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omments10.xml" ContentType="application/vnd.openxmlformats-officedocument.spreadsheetml.comments+xml"/>
  <Override PartName="/xl/drawings/drawing4.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rado\Dobrich_kor_BP-17-21_end1\"/>
    </mc:Choice>
  </mc:AlternateContent>
  <workbookProtection workbookPassword="C6DB" lockStructure="1"/>
  <bookViews>
    <workbookView xWindow="-120" yWindow="150" windowWidth="20610" windowHeight="7560" tabRatio="883" firstSheet="15" activeTab="17"/>
  </bookViews>
  <sheets>
    <sheet name="Приложение " sheetId="35" r:id="rId1"/>
    <sheet name="1. Анкетна карта" sheetId="5" r:id="rId2"/>
    <sheet name="2. Променливи" sheetId="1" r:id="rId3"/>
    <sheet name="3. Показатели за качество" sheetId="2" r:id="rId4"/>
    <sheet name="4. Отчет и прогн. потребление" sheetId="65" r:id="rId5"/>
    <sheet name="5. Персонал" sheetId="60" r:id="rId6"/>
    <sheet name="6. Ел.Енергия" sheetId="39" r:id="rId7"/>
    <sheet name="7. Утайки от ПСОВ" sheetId="58" r:id="rId8"/>
    <sheet name="8. Ремонтна програма" sheetId="46" r:id="rId9"/>
    <sheet name="9.Инвестиционна програма" sheetId="41" r:id="rId10"/>
    <sheet name="10. Финансиране на ИП" sheetId="7" r:id="rId11"/>
    <sheet name="11. Амортиз. план" sheetId="50" r:id="rId12"/>
    <sheet name="11.1.Амортиз.нови активи" sheetId="51" r:id="rId13"/>
    <sheet name="11.2. Нови активи отч.год." sheetId="62" r:id="rId14"/>
    <sheet name="12. Разходи" sheetId="53" r:id="rId15"/>
    <sheet name="12.1.Разходи-увелич.и нам." sheetId="54" r:id="rId16"/>
    <sheet name="13. Соц. поносимост" sheetId="16" r:id="rId17"/>
    <sheet name="14. ОПР" sheetId="47" r:id="rId18"/>
    <sheet name="15. ОПП" sheetId="48" r:id="rId19"/>
    <sheet name="16. Необходими приходи" sheetId="17" r:id="rId20"/>
    <sheet name="17. РБА" sheetId="49" r:id="rId21"/>
    <sheet name="18. OK" sheetId="20" r:id="rId22"/>
    <sheet name="19. HB" sheetId="21" r:id="rId23"/>
    <sheet name="20.Цени за дост.,отв. и преч." sheetId="22" r:id="rId24"/>
    <sheet name="Пояснения" sheetId="63" r:id="rId25"/>
  </sheets>
  <externalReferences>
    <externalReference r:id="rId26"/>
    <externalReference r:id="rId27"/>
    <externalReference r:id="rId28"/>
    <externalReference r:id="rId29"/>
  </externalReferences>
  <definedNames>
    <definedName name="_xlnm._FilterDatabase" localSheetId="11" hidden="1">'11. Амортиз. план'!$B$1:$B$297</definedName>
    <definedName name="_xlnm._FilterDatabase" localSheetId="13" hidden="1">'11.2. Нови активи отч.год.'!$B$1:$CB$192</definedName>
    <definedName name="_xlnm._FilterDatabase" localSheetId="9" hidden="1">'9.Инвестиционна програма'!$B$1:$B$107</definedName>
    <definedName name="_xlnm._FilterDatabase" localSheetId="24" hidden="1">Пояснения!$A$2:$F$157</definedName>
    <definedName name="_xlnm.Print_Area" localSheetId="1">'1. Анкетна карта'!$A$1:$J$62</definedName>
    <definedName name="_xlnm.Print_Area" localSheetId="10">'10. Финансиране на ИП'!$A$1:$W$87</definedName>
    <definedName name="_xlnm.Print_Area" localSheetId="11">'11. Амортиз. план'!$A$1:$AA$299</definedName>
    <definedName name="_xlnm.Print_Area" localSheetId="12">'11.1.Амортиз.нови активи'!$A$1:$AH$121</definedName>
    <definedName name="_xlnm.Print_Area" localSheetId="13">'11.2. Нови активи отч.год.'!$A$1:$AF$191</definedName>
    <definedName name="_xlnm.Print_Area" localSheetId="14">'12. Разходи'!$A$1:$AD$117</definedName>
    <definedName name="_xlnm.Print_Area" localSheetId="15">'12.1.Разходи-увелич.и нам.'!$A$1:$AL$128</definedName>
    <definedName name="_xlnm.Print_Area" localSheetId="16">'13. Соц. поносимост'!$A$1:$J$32</definedName>
    <definedName name="_xlnm.Print_Area" localSheetId="17">'14. ОПР'!$A$1:$H$58</definedName>
    <definedName name="_xlnm.Print_Area" localSheetId="18">'15. ОПП'!$A$1:$H$62</definedName>
    <definedName name="_xlnm.Print_Area" localSheetId="19">'16. Необходими приходи'!$A$2:$X$41</definedName>
    <definedName name="_xlnm.Print_Area" localSheetId="20">'17. РБА'!$A$2:$W$30</definedName>
    <definedName name="_xlnm.Print_Area" localSheetId="21">'18. OK'!$A$2:$J$38</definedName>
    <definedName name="_xlnm.Print_Area" localSheetId="22">'19. HB'!$A$1:$J$51</definedName>
    <definedName name="_xlnm.Print_Area" localSheetId="2">'2. Променливи'!$A$1:$T$123</definedName>
    <definedName name="_xlnm.Print_Area" localSheetId="3">'3. Показатели за качество'!$A$1:$O$50</definedName>
    <definedName name="_xlnm.Print_Area" localSheetId="4">'4. Отчет и прогн. потребление'!$A$1:$J$84</definedName>
    <definedName name="_xlnm.Print_Area" localSheetId="5">'5. Персонал'!$A$1:$AY$50</definedName>
    <definedName name="_xlnm.Print_Area" localSheetId="6">'6. Ел.Енергия'!$A$1:$X$82</definedName>
    <definedName name="_xlnm.Print_Area" localSheetId="7">'7. Утайки от ПСОВ'!$A$1:$J$47</definedName>
    <definedName name="_xlnm.Print_Area" localSheetId="8">'8. Ремонтна програма'!$A$1:$Q$63</definedName>
    <definedName name="_xlnm.Print_Area" localSheetId="9">'9.Инвестиционна програма'!$A$1:$AL$108</definedName>
    <definedName name="_xlnm.Print_Titles" localSheetId="11">'11. Амортиз. план'!$6:$7</definedName>
    <definedName name="_xlnm.Print_Titles" localSheetId="12">'11.1.Амортиз.нови активи'!$A:$D,'11.1.Амортиз.нови активи'!$8:$9</definedName>
    <definedName name="_xlnm.Print_Titles" localSheetId="13">'11.2. Нови активи отч.год.'!$A:$D,'11.2. Нови активи отч.год.'!$8:$9</definedName>
    <definedName name="_xlnm.Print_Titles" localSheetId="14">'12. Разходи'!$A:$B,'12. Разходи'!$8:$10</definedName>
    <definedName name="_xlnm.Print_Titles" localSheetId="15">'12.1.Разходи-увелич.и нам.'!$A:$B,'12.1.Разходи-увелич.и нам.'!$8:$10</definedName>
    <definedName name="_xlnm.Print_Titles" localSheetId="2">'2. Променливи'!$6:$7</definedName>
    <definedName name="_xlnm.Print_Titles" localSheetId="5">'5. Персонал'!$A:$B</definedName>
    <definedName name="_xlnm.Print_Titles" localSheetId="8">'8. Ремонтна програма'!$6:$7</definedName>
    <definedName name="_xlnm.Print_Titles" localSheetId="9">'9.Инвестиционна програма'!$A:$D,'9.Инвестиционна програма'!$8:$9</definedName>
    <definedName name="Z_0B349829_3F54_4163_960D_ECAFCC24CFC8_.wvu.PrintArea" localSheetId="16" hidden="1">'13. Соц. поносимост'!$A$1:$J$38</definedName>
    <definedName name="Z_0B349829_3F54_4163_960D_ECAFCC24CFC8_.wvu.PrintArea" localSheetId="2" hidden="1">'2. Променливи'!$B$1:$F$7</definedName>
    <definedName name="Z_0B349829_3F54_4163_960D_ECAFCC24CFC8_.wvu.PrintArea" localSheetId="3" hidden="1">'3. Показатели за качество'!$A$1:$K$6</definedName>
    <definedName name="Z_0B349829_3F54_4163_960D_ECAFCC24CFC8_.wvu.PrintArea" localSheetId="7" hidden="1">'7. Утайки от ПСОВ'!$A$1:$J$46</definedName>
    <definedName name="Z_40B752E9_F1B2_49B8_8062_4CC854FDABFB_.wvu.PrintArea" localSheetId="16" hidden="1">'13. Соц. поносимост'!$A$1:$J$38</definedName>
    <definedName name="Z_40B752E9_F1B2_49B8_8062_4CC854FDABFB_.wvu.PrintArea" localSheetId="2" hidden="1">'2. Променливи'!$B$1:$F$7</definedName>
    <definedName name="Z_40B752E9_F1B2_49B8_8062_4CC854FDABFB_.wvu.PrintArea" localSheetId="3" hidden="1">'3. Показатели за качество'!$A$1:$K$6</definedName>
    <definedName name="Z_40B752E9_F1B2_49B8_8062_4CC854FDABFB_.wvu.PrintArea" localSheetId="7" hidden="1">'7. Утайки от ПСОВ'!$A$1:$J$46</definedName>
    <definedName name="Z_E23DBFBB_7C2B_43B5_8169_5032323B5185_.wvu.PrintArea" localSheetId="16" hidden="1">'13. Соц. поносимост'!$A$1:$J$38</definedName>
    <definedName name="Z_E23DBFBB_7C2B_43B5_8169_5032323B5185_.wvu.PrintArea" localSheetId="2" hidden="1">'2. Променливи'!$B$1:$F$7</definedName>
    <definedName name="Z_E23DBFBB_7C2B_43B5_8169_5032323B5185_.wvu.PrintArea" localSheetId="3" hidden="1">'3. Показатели за качество'!$A$1:$K$6</definedName>
    <definedName name="Z_E23DBFBB_7C2B_43B5_8169_5032323B5185_.wvu.PrintArea" localSheetId="7" hidden="1">'7. Утайки от ПСОВ'!$A$1:$J$46</definedName>
    <definedName name="Амортизации" localSheetId="7" hidden="1">[1]Инвестиции!$43:$43</definedName>
    <definedName name="Амортизации_първа_год" localSheetId="7" hidden="1">[1]Инвестиции!$E$40</definedName>
    <definedName name="Брутна_печалба" localSheetId="1">#REF!</definedName>
    <definedName name="Брутна_печалба" localSheetId="10">#REF!</definedName>
    <definedName name="Брутна_печалба" localSheetId="16">#REF!</definedName>
    <definedName name="Брутна_печалба" localSheetId="17">#REF!</definedName>
    <definedName name="Брутна_печалба" localSheetId="18">#REF!</definedName>
    <definedName name="Брутна_печалба" localSheetId="20">#REF!</definedName>
    <definedName name="Брутна_печалба" localSheetId="4">#REF!</definedName>
    <definedName name="Брутна_печалба" localSheetId="6">#REF!</definedName>
    <definedName name="Брутна_печалба" localSheetId="7">#REF!</definedName>
    <definedName name="Брутна_печалба" localSheetId="8">#REF!</definedName>
    <definedName name="Брутна_печалба" localSheetId="9">#REF!</definedName>
    <definedName name="Брутна_печалба" localSheetId="24">#REF!</definedName>
    <definedName name="Брутна_печалба" localSheetId="0">#REF!</definedName>
    <definedName name="Вземания_по_ДДС" localSheetId="1">#REF!</definedName>
    <definedName name="Вземания_по_ДДС" localSheetId="10">#REF!</definedName>
    <definedName name="Вземания_по_ДДС" localSheetId="16">#REF!</definedName>
    <definedName name="Вземания_по_ДДС" localSheetId="17">#REF!</definedName>
    <definedName name="Вземания_по_ДДС" localSheetId="18">#REF!</definedName>
    <definedName name="Вземания_по_ДДС" localSheetId="20">#REF!</definedName>
    <definedName name="Вземания_по_ДДС" localSheetId="4">#REF!</definedName>
    <definedName name="Вземания_по_ДДС" localSheetId="6">#REF!</definedName>
    <definedName name="Вземания_по_ДДС" localSheetId="7">#REF!</definedName>
    <definedName name="Вземания_по_ДДС" localSheetId="8">#REF!</definedName>
    <definedName name="Вземания_по_ДДС" localSheetId="9">#REF!</definedName>
    <definedName name="Вземания_по_ДДС" localSheetId="24">#REF!</definedName>
    <definedName name="Вземания_по_ДДС" localSheetId="0">#REF!</definedName>
    <definedName name="Вземания_по_получени_през_периода_съучастия" localSheetId="7" hidden="1">'[1]Собствен капитал'!$7:$7</definedName>
    <definedName name="Внесен_ДДС" localSheetId="1">#REF!</definedName>
    <definedName name="Внесен_ДДС" localSheetId="10">#REF!</definedName>
    <definedName name="Внесен_ДДС" localSheetId="16">#REF!</definedName>
    <definedName name="Внесен_ДДС" localSheetId="17">#REF!</definedName>
    <definedName name="Внесен_ДДС" localSheetId="18">#REF!</definedName>
    <definedName name="Внесен_ДДС" localSheetId="20">#REF!</definedName>
    <definedName name="Внесен_ДДС" localSheetId="4">#REF!</definedName>
    <definedName name="Внесен_ДДС" localSheetId="6">#REF!</definedName>
    <definedName name="Внесен_ДДС" localSheetId="7">#REF!</definedName>
    <definedName name="Внесен_ДДС" localSheetId="8">#REF!</definedName>
    <definedName name="Внесен_ДДС" localSheetId="9">#REF!</definedName>
    <definedName name="Внесен_ДДС" localSheetId="24">#REF!</definedName>
    <definedName name="Внесен_ДДС" localSheetId="0">#REF!</definedName>
    <definedName name="ВС_1" localSheetId="1">#REF!</definedName>
    <definedName name="ВС_1" localSheetId="10">#REF!</definedName>
    <definedName name="ВС_1" localSheetId="16">#REF!</definedName>
    <definedName name="ВС_1" localSheetId="17">#REF!</definedName>
    <definedName name="ВС_1" localSheetId="18">#REF!</definedName>
    <definedName name="ВС_1" localSheetId="20">#REF!</definedName>
    <definedName name="ВС_1" localSheetId="4">#REF!</definedName>
    <definedName name="ВС_1" localSheetId="6">#REF!</definedName>
    <definedName name="ВС_1" localSheetId="7">#REF!</definedName>
    <definedName name="ВС_1" localSheetId="8">#REF!</definedName>
    <definedName name="ВС_1" localSheetId="9">#REF!</definedName>
    <definedName name="ВС_1" localSheetId="24">#REF!</definedName>
    <definedName name="ВС_1" localSheetId="0">#REF!</definedName>
    <definedName name="ВС_2" localSheetId="1">#REF!</definedName>
    <definedName name="ВС_2" localSheetId="10">#REF!</definedName>
    <definedName name="ВС_2" localSheetId="16">#REF!</definedName>
    <definedName name="ВС_2" localSheetId="17">#REF!</definedName>
    <definedName name="ВС_2" localSheetId="18">#REF!</definedName>
    <definedName name="ВС_2" localSheetId="20">#REF!</definedName>
    <definedName name="ВС_2" localSheetId="4">#REF!</definedName>
    <definedName name="ВС_2" localSheetId="6">#REF!</definedName>
    <definedName name="ВС_2" localSheetId="7">#REF!</definedName>
    <definedName name="ВС_2" localSheetId="8">#REF!</definedName>
    <definedName name="ВС_2" localSheetId="9">#REF!</definedName>
    <definedName name="ВС_2" localSheetId="24">#REF!</definedName>
    <definedName name="ВС_2" localSheetId="0">#REF!</definedName>
    <definedName name="ВС_3" localSheetId="1">#REF!</definedName>
    <definedName name="ВС_3" localSheetId="10">#REF!</definedName>
    <definedName name="ВС_3" localSheetId="16">#REF!</definedName>
    <definedName name="ВС_3" localSheetId="17">#REF!</definedName>
    <definedName name="ВС_3" localSheetId="18">#REF!</definedName>
    <definedName name="ВС_3" localSheetId="20">#REF!</definedName>
    <definedName name="ВС_3" localSheetId="4">#REF!</definedName>
    <definedName name="ВС_3" localSheetId="6">#REF!</definedName>
    <definedName name="ВС_3" localSheetId="7">#REF!</definedName>
    <definedName name="ВС_3" localSheetId="8">#REF!</definedName>
    <definedName name="ВС_3" localSheetId="9">#REF!</definedName>
    <definedName name="ВС_3" localSheetId="24">#REF!</definedName>
    <definedName name="ВС_3" localSheetId="0">#REF!</definedName>
    <definedName name="ВС_4" localSheetId="1">#REF!</definedName>
    <definedName name="ВС_4" localSheetId="10">#REF!</definedName>
    <definedName name="ВС_4" localSheetId="16">#REF!</definedName>
    <definedName name="ВС_4" localSheetId="17">#REF!</definedName>
    <definedName name="ВС_4" localSheetId="18">#REF!</definedName>
    <definedName name="ВС_4" localSheetId="20">#REF!</definedName>
    <definedName name="ВС_4" localSheetId="4">#REF!</definedName>
    <definedName name="ВС_4" localSheetId="6">#REF!</definedName>
    <definedName name="ВС_4" localSheetId="7">#REF!</definedName>
    <definedName name="ВС_4" localSheetId="8">#REF!</definedName>
    <definedName name="ВС_4" localSheetId="9">#REF!</definedName>
    <definedName name="ВС_4" localSheetId="24">#REF!</definedName>
    <definedName name="ВС_4" localSheetId="0">#REF!</definedName>
    <definedName name="ВС_5" localSheetId="1">#REF!</definedName>
    <definedName name="ВС_5" localSheetId="10">#REF!</definedName>
    <definedName name="ВС_5" localSheetId="16">#REF!</definedName>
    <definedName name="ВС_5" localSheetId="17">#REF!</definedName>
    <definedName name="ВС_5" localSheetId="18">#REF!</definedName>
    <definedName name="ВС_5" localSheetId="20">#REF!</definedName>
    <definedName name="ВС_5" localSheetId="4">#REF!</definedName>
    <definedName name="ВС_5" localSheetId="6">#REF!</definedName>
    <definedName name="ВС_5" localSheetId="7">#REF!</definedName>
    <definedName name="ВС_5" localSheetId="8">#REF!</definedName>
    <definedName name="ВС_5" localSheetId="9">#REF!</definedName>
    <definedName name="ВС_5" localSheetId="24">#REF!</definedName>
    <definedName name="ВС_5" localSheetId="0">#REF!</definedName>
    <definedName name="Всичко_инвестиции" localSheetId="1">#REF!</definedName>
    <definedName name="Всичко_инвестиции" localSheetId="10">'10. Финансиране на ИП'!#REF!</definedName>
    <definedName name="Всичко_инвестиции" localSheetId="16">#REF!</definedName>
    <definedName name="Всичко_инвестиции" localSheetId="17">#REF!</definedName>
    <definedName name="Всичко_инвестиции" localSheetId="18">#REF!</definedName>
    <definedName name="Всичко_инвестиции" localSheetId="20">#REF!</definedName>
    <definedName name="Всичко_инвестиции" localSheetId="4">#REF!</definedName>
    <definedName name="Всичко_инвестиции" localSheetId="6">#REF!</definedName>
    <definedName name="Всичко_инвестиции" localSheetId="7">'[2]6. Инвестиции'!#REF!</definedName>
    <definedName name="Всичко_инвестиции" localSheetId="8">#REF!</definedName>
    <definedName name="Всичко_инвестиции" localSheetId="9">#REF!</definedName>
    <definedName name="Всичко_инвестиции" localSheetId="24">#REF!</definedName>
    <definedName name="Всичко_инвестиции" localSheetId="0">#REF!</definedName>
    <definedName name="Външни_услуги" localSheetId="1">#REF!</definedName>
    <definedName name="Външни_услуги" localSheetId="10">#REF!</definedName>
    <definedName name="Външни_услуги" localSheetId="16">#REF!</definedName>
    <definedName name="Външни_услуги" localSheetId="17">#REF!</definedName>
    <definedName name="Външни_услуги" localSheetId="18">#REF!</definedName>
    <definedName name="Външни_услуги" localSheetId="20">#REF!</definedName>
    <definedName name="Външни_услуги" localSheetId="4">#REF!</definedName>
    <definedName name="Външни_услуги" localSheetId="6">#REF!</definedName>
    <definedName name="Външни_услуги" localSheetId="7">#REF!</definedName>
    <definedName name="Външни_услуги" localSheetId="8">#REF!</definedName>
    <definedName name="Външни_услуги" localSheetId="9">#REF!</definedName>
    <definedName name="Външни_услуги" localSheetId="24">#REF!</definedName>
    <definedName name="Външни_услуги" localSheetId="0">#REF!</definedName>
    <definedName name="Данъци" localSheetId="1">#REF!</definedName>
    <definedName name="Данъци" localSheetId="10">#REF!</definedName>
    <definedName name="Данъци" localSheetId="16">#REF!</definedName>
    <definedName name="Данъци" localSheetId="17">#REF!</definedName>
    <definedName name="Данъци" localSheetId="18">#REF!</definedName>
    <definedName name="Данъци" localSheetId="20">#REF!</definedName>
    <definedName name="Данъци" localSheetId="4">#REF!</definedName>
    <definedName name="Данъци" localSheetId="6">#REF!</definedName>
    <definedName name="Данъци" localSheetId="7">#REF!</definedName>
    <definedName name="Данъци" localSheetId="8">#REF!</definedName>
    <definedName name="Данъци" localSheetId="9">#REF!</definedName>
    <definedName name="Данъци" localSheetId="24">#REF!</definedName>
    <definedName name="Данъци" localSheetId="0">#REF!</definedName>
    <definedName name="Данъчен_период" localSheetId="1">#REF!</definedName>
    <definedName name="Данъчен_период" localSheetId="10">#REF!</definedName>
    <definedName name="Данъчен_период" localSheetId="16">#REF!</definedName>
    <definedName name="Данъчен_период" localSheetId="17">#REF!</definedName>
    <definedName name="Данъчен_период" localSheetId="18">#REF!</definedName>
    <definedName name="Данъчен_период" localSheetId="20">#REF!</definedName>
    <definedName name="Данъчен_период" localSheetId="4">#REF!</definedName>
    <definedName name="Данъчен_период" localSheetId="6">#REF!</definedName>
    <definedName name="Данъчен_период" localSheetId="7">#REF!</definedName>
    <definedName name="Данъчен_период" localSheetId="8">#REF!</definedName>
    <definedName name="Данъчен_период" localSheetId="9">#REF!</definedName>
    <definedName name="Данъчен_период" localSheetId="24">#REF!</definedName>
    <definedName name="Данъчен_период" localSheetId="0">#REF!</definedName>
    <definedName name="Дни_на_оборот_на_запасите" localSheetId="1">#REF!</definedName>
    <definedName name="Дни_на_оборот_на_запасите" localSheetId="10">#REF!</definedName>
    <definedName name="Дни_на_оборот_на_запасите" localSheetId="16">#REF!</definedName>
    <definedName name="Дни_на_оборот_на_запасите" localSheetId="17">#REF!</definedName>
    <definedName name="Дни_на_оборот_на_запасите" localSheetId="18">#REF!</definedName>
    <definedName name="Дни_на_оборот_на_запасите" localSheetId="20">#REF!</definedName>
    <definedName name="Дни_на_оборот_на_запасите" localSheetId="4">#REF!</definedName>
    <definedName name="Дни_на_оборот_на_запасите" localSheetId="6">#REF!</definedName>
    <definedName name="Дни_на_оборот_на_запасите" localSheetId="7">#REF!</definedName>
    <definedName name="Дни_на_оборот_на_запасите" localSheetId="8">#REF!</definedName>
    <definedName name="Дни_на_оборот_на_запасите" localSheetId="9">#REF!</definedName>
    <definedName name="Дни_на_оборот_на_запасите" localSheetId="24">#REF!</definedName>
    <definedName name="Дни_на_оборот_на_запасите" localSheetId="0">#REF!</definedName>
    <definedName name="Дял_на_продажбите_на_кредит" localSheetId="1">#REF!</definedName>
    <definedName name="Дял_на_продажбите_на_кредит" localSheetId="10">#REF!</definedName>
    <definedName name="Дял_на_продажбите_на_кредит" localSheetId="16">#REF!</definedName>
    <definedName name="Дял_на_продажбите_на_кредит" localSheetId="17">#REF!</definedName>
    <definedName name="Дял_на_продажбите_на_кредит" localSheetId="18">#REF!</definedName>
    <definedName name="Дял_на_продажбите_на_кредит" localSheetId="20">#REF!</definedName>
    <definedName name="Дял_на_продажбите_на_кредит" localSheetId="4">#REF!</definedName>
    <definedName name="Дял_на_продажбите_на_кредит" localSheetId="6">#REF!</definedName>
    <definedName name="Дял_на_продажбите_на_кредит" localSheetId="7">#REF!</definedName>
    <definedName name="Дял_на_продажбите_на_кредит" localSheetId="8">#REF!</definedName>
    <definedName name="Дял_на_продажбите_на_кредит" localSheetId="9">#REF!</definedName>
    <definedName name="Дял_на_продажбите_на_кредит" localSheetId="24">#REF!</definedName>
    <definedName name="Дял_на_продажбите_на_кредит" localSheetId="0">#REF!</definedName>
    <definedName name="Електроенергия" localSheetId="7" hidden="1">[1]Себестойност!$124:$124</definedName>
    <definedName name="Задължения_по_ДДС" localSheetId="1">#REF!</definedName>
    <definedName name="Задължения_по_ДДС" localSheetId="10">#REF!</definedName>
    <definedName name="Задължения_по_ДДС" localSheetId="16">#REF!</definedName>
    <definedName name="Задължения_по_ДДС" localSheetId="17">#REF!</definedName>
    <definedName name="Задължения_по_ДДС" localSheetId="18">#REF!</definedName>
    <definedName name="Задължения_по_ДДС" localSheetId="20">#REF!</definedName>
    <definedName name="Задължения_по_ДДС" localSheetId="4">#REF!</definedName>
    <definedName name="Задължения_по_ДДС" localSheetId="6">#REF!</definedName>
    <definedName name="Задължения_по_ДДС" localSheetId="7">#REF!</definedName>
    <definedName name="Задължения_по_ДДС" localSheetId="8">#REF!</definedName>
    <definedName name="Задължения_по_ДДС" localSheetId="9">#REF!</definedName>
    <definedName name="Задължения_по_ДДС" localSheetId="24">#REF!</definedName>
    <definedName name="Задължения_по_ДДС" localSheetId="0">#REF!</definedName>
    <definedName name="Зона_1" localSheetId="1">#REF!</definedName>
    <definedName name="Зона_1" localSheetId="10">#REF!</definedName>
    <definedName name="Зона_1" localSheetId="16">#REF!</definedName>
    <definedName name="Зона_1" localSheetId="17">#REF!</definedName>
    <definedName name="Зона_1" localSheetId="18">#REF!</definedName>
    <definedName name="Зона_1" localSheetId="20">#REF!</definedName>
    <definedName name="Зона_1" localSheetId="4">#REF!</definedName>
    <definedName name="Зона_1" localSheetId="6">#REF!</definedName>
    <definedName name="Зона_1" localSheetId="7">#REF!</definedName>
    <definedName name="Зона_1" localSheetId="8">#REF!</definedName>
    <definedName name="Зона_1" localSheetId="9">#REF!</definedName>
    <definedName name="Зона_1" localSheetId="24">#REF!</definedName>
    <definedName name="Зона_1" localSheetId="0">#REF!</definedName>
    <definedName name="Зона_2" localSheetId="1">#REF!</definedName>
    <definedName name="Зона_2" localSheetId="10">#REF!</definedName>
    <definedName name="Зона_2" localSheetId="16">#REF!</definedName>
    <definedName name="Зона_2" localSheetId="17">#REF!</definedName>
    <definedName name="Зона_2" localSheetId="18">#REF!</definedName>
    <definedName name="Зона_2" localSheetId="20">#REF!</definedName>
    <definedName name="Зона_2" localSheetId="4">#REF!</definedName>
    <definedName name="Зона_2" localSheetId="6">#REF!</definedName>
    <definedName name="Зона_2" localSheetId="7">#REF!</definedName>
    <definedName name="Зона_2" localSheetId="8">#REF!</definedName>
    <definedName name="Зона_2" localSheetId="9">#REF!</definedName>
    <definedName name="Зона_2" localSheetId="24">#REF!</definedName>
    <definedName name="Зона_2" localSheetId="0">#REF!</definedName>
    <definedName name="Зона_3" localSheetId="1">#REF!</definedName>
    <definedName name="Зона_3" localSheetId="10">#REF!</definedName>
    <definedName name="Зона_3" localSheetId="16">#REF!</definedName>
    <definedName name="Зона_3" localSheetId="17">#REF!</definedName>
    <definedName name="Зона_3" localSheetId="18">#REF!</definedName>
    <definedName name="Зона_3" localSheetId="20">#REF!</definedName>
    <definedName name="Зона_3" localSheetId="4">#REF!</definedName>
    <definedName name="Зона_3" localSheetId="6">#REF!</definedName>
    <definedName name="Зона_3" localSheetId="7">#REF!</definedName>
    <definedName name="Зона_3" localSheetId="8">#REF!</definedName>
    <definedName name="Зона_3" localSheetId="9">#REF!</definedName>
    <definedName name="Зона_3" localSheetId="24">#REF!</definedName>
    <definedName name="Зона_3" localSheetId="0">#REF!</definedName>
    <definedName name="Зона_4" localSheetId="1">#REF!</definedName>
    <definedName name="Зона_4" localSheetId="10">#REF!</definedName>
    <definedName name="Зона_4" localSheetId="16">#REF!</definedName>
    <definedName name="Зона_4" localSheetId="17">#REF!</definedName>
    <definedName name="Зона_4" localSheetId="18">#REF!</definedName>
    <definedName name="Зона_4" localSheetId="20">#REF!</definedName>
    <definedName name="Зона_4" localSheetId="4">#REF!</definedName>
    <definedName name="Зона_4" localSheetId="6">#REF!</definedName>
    <definedName name="Зона_4" localSheetId="7">#REF!</definedName>
    <definedName name="Зона_4" localSheetId="8">#REF!</definedName>
    <definedName name="Зона_4" localSheetId="9">#REF!</definedName>
    <definedName name="Зона_4" localSheetId="24">#REF!</definedName>
    <definedName name="Зона_4" localSheetId="0">#REF!</definedName>
    <definedName name="Зона_5" localSheetId="1">#REF!</definedName>
    <definedName name="Зона_5" localSheetId="10">#REF!</definedName>
    <definedName name="Зона_5" localSheetId="16">#REF!</definedName>
    <definedName name="Зона_5" localSheetId="17">#REF!</definedName>
    <definedName name="Зона_5" localSheetId="18">#REF!</definedName>
    <definedName name="Зона_5" localSheetId="20">#REF!</definedName>
    <definedName name="Зона_5" localSheetId="4">#REF!</definedName>
    <definedName name="Зона_5" localSheetId="6">#REF!</definedName>
    <definedName name="Зона_5" localSheetId="7">#REF!</definedName>
    <definedName name="Зона_5" localSheetId="8">#REF!</definedName>
    <definedName name="Зона_5" localSheetId="9">#REF!</definedName>
    <definedName name="Зона_5" localSheetId="24">#REF!</definedName>
    <definedName name="Зона_5" localSheetId="0">#REF!</definedName>
    <definedName name="Лихви" localSheetId="1">#REF!</definedName>
    <definedName name="Лихви" localSheetId="10">#REF!</definedName>
    <definedName name="Лихви" localSheetId="16">#REF!</definedName>
    <definedName name="Лихви" localSheetId="17">#REF!</definedName>
    <definedName name="Лихви" localSheetId="18">#REF!</definedName>
    <definedName name="Лихви" localSheetId="20">#REF!</definedName>
    <definedName name="Лихви" localSheetId="4">#REF!</definedName>
    <definedName name="Лихви" localSheetId="6">#REF!</definedName>
    <definedName name="Лихви" localSheetId="7">#REF!</definedName>
    <definedName name="Лихви" localSheetId="8">#REF!</definedName>
    <definedName name="Лихви" localSheetId="9">#REF!</definedName>
    <definedName name="Лихви" localSheetId="24">#REF!</definedName>
    <definedName name="Лихви" localSheetId="0">#REF!</definedName>
    <definedName name="Материали" localSheetId="1">#REF!</definedName>
    <definedName name="Материали" localSheetId="10">#REF!</definedName>
    <definedName name="Материали" localSheetId="16">#REF!</definedName>
    <definedName name="Материали" localSheetId="17">#REF!</definedName>
    <definedName name="Материали" localSheetId="18">#REF!</definedName>
    <definedName name="Материали" localSheetId="20">#REF!</definedName>
    <definedName name="Материали" localSheetId="4">#REF!</definedName>
    <definedName name="Материали" localSheetId="6">#REF!</definedName>
    <definedName name="Материали" localSheetId="7">#REF!</definedName>
    <definedName name="Материали" localSheetId="8">#REF!</definedName>
    <definedName name="Материали" localSheetId="9">#REF!</definedName>
    <definedName name="Материали" localSheetId="24">#REF!</definedName>
    <definedName name="Материали" localSheetId="0">#REF!</definedName>
    <definedName name="Намаление_на_собствения_капитал" localSheetId="7" hidden="1">'[1]Собствен капитал'!$6:$6</definedName>
    <definedName name="Намаление_на_финансиранията" localSheetId="1">#REF!</definedName>
    <definedName name="Намаление_на_финансиранията" localSheetId="10">#REF!</definedName>
    <definedName name="Намаление_на_финансиранията" localSheetId="16">#REF!</definedName>
    <definedName name="Намаление_на_финансиранията" localSheetId="17">#REF!</definedName>
    <definedName name="Намаление_на_финансиранията" localSheetId="18">#REF!</definedName>
    <definedName name="Намаление_на_финансиранията" localSheetId="20">#REF!</definedName>
    <definedName name="Намаление_на_финансиранията" localSheetId="4">#REF!</definedName>
    <definedName name="Намаление_на_финансиранията" localSheetId="6">#REF!</definedName>
    <definedName name="Намаление_на_финансиранията" localSheetId="7">#REF!</definedName>
    <definedName name="Намаление_на_финансиранията" localSheetId="8">#REF!</definedName>
    <definedName name="Намаление_на_финансиранията" localSheetId="9">#REF!</definedName>
    <definedName name="Намаление_на_финансиранията" localSheetId="24">#REF!</definedName>
    <definedName name="Намаление_на_финансиранията" localSheetId="0">#REF!</definedName>
    <definedName name="Начална_година" localSheetId="1">#REF!</definedName>
    <definedName name="Начална_година" localSheetId="10">#REF!</definedName>
    <definedName name="Начална_година" localSheetId="16">#REF!</definedName>
    <definedName name="Начална_година" localSheetId="17">#REF!</definedName>
    <definedName name="Начална_година" localSheetId="18">#REF!</definedName>
    <definedName name="Начална_година" localSheetId="20">#REF!</definedName>
    <definedName name="Начална_година" localSheetId="4">#REF!</definedName>
    <definedName name="Начална_година" localSheetId="6">#REF!</definedName>
    <definedName name="Начална_година" localSheetId="7">#REF!</definedName>
    <definedName name="Начална_година" localSheetId="8">#REF!</definedName>
    <definedName name="Начална_година" localSheetId="9">#REF!</definedName>
    <definedName name="Начална_година" localSheetId="24">#REF!</definedName>
    <definedName name="Начална_година" localSheetId="0">#REF!</definedName>
    <definedName name="Общо_разходи_за_заплати" localSheetId="1">#REF!</definedName>
    <definedName name="Общо_разходи_за_заплати" localSheetId="10">#REF!</definedName>
    <definedName name="Общо_разходи_за_заплати" localSheetId="16">#REF!</definedName>
    <definedName name="Общо_разходи_за_заплати" localSheetId="17">#REF!</definedName>
    <definedName name="Общо_разходи_за_заплати" localSheetId="18">#REF!</definedName>
    <definedName name="Общо_разходи_за_заплати" localSheetId="20">#REF!</definedName>
    <definedName name="Общо_разходи_за_заплати" localSheetId="4">#REF!</definedName>
    <definedName name="Общо_разходи_за_заплати" localSheetId="6">#REF!</definedName>
    <definedName name="Общо_разходи_за_заплати" localSheetId="7">#REF!</definedName>
    <definedName name="Общо_разходи_за_заплати" localSheetId="8">#REF!</definedName>
    <definedName name="Общо_разходи_за_заплати" localSheetId="9">#REF!</definedName>
    <definedName name="Общо_разходи_за_заплати" localSheetId="24">#REF!</definedName>
    <definedName name="Общо_разходи_за_заплати" localSheetId="0">#REF!</definedName>
    <definedName name="Отчетна_стойност_на_продадените_стоки" localSheetId="7" hidden="1">[1]Себестойност!$125:$125</definedName>
    <definedName name="Печалба_загуба" localSheetId="1">#REF!</definedName>
    <definedName name="Печалба_загуба" localSheetId="10">#REF!</definedName>
    <definedName name="Печалба_загуба" localSheetId="16">#REF!</definedName>
    <definedName name="Печалба_загуба" localSheetId="17">#REF!</definedName>
    <definedName name="Печалба_загуба" localSheetId="18">#REF!</definedName>
    <definedName name="Печалба_загуба" localSheetId="20">#REF!</definedName>
    <definedName name="Печалба_загуба" localSheetId="4">#REF!</definedName>
    <definedName name="Печалба_загуба" localSheetId="6">#REF!</definedName>
    <definedName name="Печалба_загуба" localSheetId="7">#REF!</definedName>
    <definedName name="Печалба_загуба" localSheetId="8">#REF!</definedName>
    <definedName name="Печалба_загуба" localSheetId="9">#REF!</definedName>
    <definedName name="Печалба_загуба" localSheetId="24">#REF!</definedName>
    <definedName name="Печалба_загуба" localSheetId="0">#REF!</definedName>
    <definedName name="Платен_ДДС" localSheetId="1">#REF!</definedName>
    <definedName name="Платен_ДДС" localSheetId="10">#REF!</definedName>
    <definedName name="Платен_ДДС" localSheetId="16">#REF!</definedName>
    <definedName name="Платен_ДДС" localSheetId="17">#REF!</definedName>
    <definedName name="Платен_ДДС" localSheetId="18">#REF!</definedName>
    <definedName name="Платен_ДДС" localSheetId="20">#REF!</definedName>
    <definedName name="Платен_ДДС" localSheetId="4">#REF!</definedName>
    <definedName name="Платен_ДДС" localSheetId="6">#REF!</definedName>
    <definedName name="Платен_ДДС" localSheetId="7">#REF!</definedName>
    <definedName name="Платен_ДДС" localSheetId="8">#REF!</definedName>
    <definedName name="Платен_ДДС" localSheetId="9">#REF!</definedName>
    <definedName name="Платен_ДДС" localSheetId="24">#REF!</definedName>
    <definedName name="Платен_ДДС" localSheetId="0">#REF!</definedName>
    <definedName name="Погасяване_главници_ДЗ" localSheetId="1">#REF!</definedName>
    <definedName name="Погасяване_главници_ДЗ" localSheetId="10">#REF!</definedName>
    <definedName name="Погасяване_главници_ДЗ" localSheetId="16">#REF!</definedName>
    <definedName name="Погасяване_главници_ДЗ" localSheetId="17">#REF!</definedName>
    <definedName name="Погасяване_главници_ДЗ" localSheetId="18">#REF!</definedName>
    <definedName name="Погасяване_главници_ДЗ" localSheetId="20">#REF!</definedName>
    <definedName name="Погасяване_главници_ДЗ" localSheetId="4">#REF!</definedName>
    <definedName name="Погасяване_главници_ДЗ" localSheetId="6">#REF!</definedName>
    <definedName name="Погасяване_главници_ДЗ" localSheetId="7">#REF!</definedName>
    <definedName name="Погасяване_главници_ДЗ" localSheetId="8">#REF!</definedName>
    <definedName name="Погасяване_главници_ДЗ" localSheetId="9">#REF!</definedName>
    <definedName name="Погасяване_главници_ДЗ" localSheetId="24">#REF!</definedName>
    <definedName name="Погасяване_главници_ДЗ" localSheetId="0">#REF!</definedName>
    <definedName name="Погасяване_главници_КЗ" localSheetId="1">#REF!</definedName>
    <definedName name="Погасяване_главници_КЗ" localSheetId="10">#REF!</definedName>
    <definedName name="Погасяване_главници_КЗ" localSheetId="16">#REF!</definedName>
    <definedName name="Погасяване_главници_КЗ" localSheetId="17">#REF!</definedName>
    <definedName name="Погасяване_главници_КЗ" localSheetId="18">#REF!</definedName>
    <definedName name="Погасяване_главници_КЗ" localSheetId="20">#REF!</definedName>
    <definedName name="Погасяване_главници_КЗ" localSheetId="4">#REF!</definedName>
    <definedName name="Погасяване_главници_КЗ" localSheetId="6">#REF!</definedName>
    <definedName name="Погасяване_главници_КЗ" localSheetId="7">#REF!</definedName>
    <definedName name="Погасяване_главници_КЗ" localSheetId="8">#REF!</definedName>
    <definedName name="Погасяване_главници_КЗ" localSheetId="9">#REF!</definedName>
    <definedName name="Погасяване_главници_КЗ" localSheetId="24">#REF!</definedName>
    <definedName name="Погасяване_главници_КЗ" localSheetId="0">#REF!</definedName>
    <definedName name="Погасяване_главници_ОЗ" localSheetId="1">#REF!</definedName>
    <definedName name="Погасяване_главници_ОЗ" localSheetId="10">#REF!</definedName>
    <definedName name="Погасяване_главници_ОЗ" localSheetId="16">#REF!</definedName>
    <definedName name="Погасяване_главници_ОЗ" localSheetId="17">#REF!</definedName>
    <definedName name="Погасяване_главници_ОЗ" localSheetId="18">#REF!</definedName>
    <definedName name="Погасяване_главници_ОЗ" localSheetId="20">#REF!</definedName>
    <definedName name="Погасяване_главници_ОЗ" localSheetId="4">#REF!</definedName>
    <definedName name="Погасяване_главници_ОЗ" localSheetId="6">#REF!</definedName>
    <definedName name="Погасяване_главници_ОЗ" localSheetId="7">#REF!</definedName>
    <definedName name="Погасяване_главници_ОЗ" localSheetId="8">#REF!</definedName>
    <definedName name="Погасяване_главници_ОЗ" localSheetId="9">#REF!</definedName>
    <definedName name="Погасяване_главници_ОЗ" localSheetId="24">#REF!</definedName>
    <definedName name="Погасяване_главници_ОЗ" localSheetId="0">#REF!</definedName>
    <definedName name="Получен_ДДС_от_бюджета_през_периода" localSheetId="1">#REF!</definedName>
    <definedName name="Получен_ДДС_от_бюджета_през_периода" localSheetId="10">#REF!</definedName>
    <definedName name="Получен_ДДС_от_бюджета_през_периода" localSheetId="16">#REF!</definedName>
    <definedName name="Получен_ДДС_от_бюджета_през_периода" localSheetId="17">#REF!</definedName>
    <definedName name="Получен_ДДС_от_бюджета_през_периода" localSheetId="18">#REF!</definedName>
    <definedName name="Получен_ДДС_от_бюджета_през_периода" localSheetId="20">#REF!</definedName>
    <definedName name="Получен_ДДС_от_бюджета_през_периода" localSheetId="4">#REF!</definedName>
    <definedName name="Получен_ДДС_от_бюджета_през_периода" localSheetId="6">#REF!</definedName>
    <definedName name="Получен_ДДС_от_бюджета_през_периода" localSheetId="7">#REF!</definedName>
    <definedName name="Получен_ДДС_от_бюджета_през_периода" localSheetId="8">#REF!</definedName>
    <definedName name="Получен_ДДС_от_бюджета_през_периода" localSheetId="9">#REF!</definedName>
    <definedName name="Получен_ДДС_от_бюджета_през_периода" localSheetId="24">#REF!</definedName>
    <definedName name="Получен_ДДС_от_бюджета_през_периода" localSheetId="0">#REF!</definedName>
    <definedName name="Получени_вземания_по_ЗДВ" localSheetId="7" hidden="1">'[1]Собствен капитал'!$5:$5</definedName>
    <definedName name="Получени_ДЗ" localSheetId="1">#REF!</definedName>
    <definedName name="Получени_ДЗ" localSheetId="10">#REF!</definedName>
    <definedName name="Получени_ДЗ" localSheetId="16">#REF!</definedName>
    <definedName name="Получени_ДЗ" localSheetId="17">#REF!</definedName>
    <definedName name="Получени_ДЗ" localSheetId="18">#REF!</definedName>
    <definedName name="Получени_ДЗ" localSheetId="20">#REF!</definedName>
    <definedName name="Получени_ДЗ" localSheetId="4">#REF!</definedName>
    <definedName name="Получени_ДЗ" localSheetId="6">#REF!</definedName>
    <definedName name="Получени_ДЗ" localSheetId="7">#REF!</definedName>
    <definedName name="Получени_ДЗ" localSheetId="8">#REF!</definedName>
    <definedName name="Получени_ДЗ" localSheetId="9">#REF!</definedName>
    <definedName name="Получени_ДЗ" localSheetId="24">#REF!</definedName>
    <definedName name="Получени_ДЗ" localSheetId="0">#REF!</definedName>
    <definedName name="Получени_КЗ" localSheetId="1">#REF!</definedName>
    <definedName name="Получени_КЗ" localSheetId="10">#REF!</definedName>
    <definedName name="Получени_КЗ" localSheetId="16">#REF!</definedName>
    <definedName name="Получени_КЗ" localSheetId="17">#REF!</definedName>
    <definedName name="Получени_КЗ" localSheetId="18">#REF!</definedName>
    <definedName name="Получени_КЗ" localSheetId="20">#REF!</definedName>
    <definedName name="Получени_КЗ" localSheetId="4">#REF!</definedName>
    <definedName name="Получени_КЗ" localSheetId="6">#REF!</definedName>
    <definedName name="Получени_КЗ" localSheetId="7">#REF!</definedName>
    <definedName name="Получени_КЗ" localSheetId="8">#REF!</definedName>
    <definedName name="Получени_КЗ" localSheetId="9">#REF!</definedName>
    <definedName name="Получени_КЗ" localSheetId="24">#REF!</definedName>
    <definedName name="Получени_КЗ" localSheetId="0">#REF!</definedName>
    <definedName name="Получени_ОЗ" localSheetId="1">#REF!</definedName>
    <definedName name="Получени_ОЗ" localSheetId="10">#REF!</definedName>
    <definedName name="Получени_ОЗ" localSheetId="16">#REF!</definedName>
    <definedName name="Получени_ОЗ" localSheetId="17">#REF!</definedName>
    <definedName name="Получени_ОЗ" localSheetId="18">#REF!</definedName>
    <definedName name="Получени_ОЗ" localSheetId="20">#REF!</definedName>
    <definedName name="Получени_ОЗ" localSheetId="4">#REF!</definedName>
    <definedName name="Получени_ОЗ" localSheetId="6">#REF!</definedName>
    <definedName name="Получени_ОЗ" localSheetId="7">#REF!</definedName>
    <definedName name="Получени_ОЗ" localSheetId="8">#REF!</definedName>
    <definedName name="Получени_ОЗ" localSheetId="9">#REF!</definedName>
    <definedName name="Получени_ОЗ" localSheetId="24">#REF!</definedName>
    <definedName name="Получени_ОЗ" localSheetId="0">#REF!</definedName>
    <definedName name="Получени_съучастия" localSheetId="7" hidden="1">'[1]Собствен капитал'!$4:$4</definedName>
    <definedName name="Получени_финансирания" localSheetId="1">#REF!</definedName>
    <definedName name="Получени_финансирания" localSheetId="10">#REF!</definedName>
    <definedName name="Получени_финансирания" localSheetId="16">#REF!</definedName>
    <definedName name="Получени_финансирания" localSheetId="17">#REF!</definedName>
    <definedName name="Получени_финансирания" localSheetId="18">#REF!</definedName>
    <definedName name="Получени_финансирания" localSheetId="20">#REF!</definedName>
    <definedName name="Получени_финансирания" localSheetId="4">#REF!</definedName>
    <definedName name="Получени_финансирания" localSheetId="6">#REF!</definedName>
    <definedName name="Получени_финансирания" localSheetId="7">#REF!</definedName>
    <definedName name="Получени_финансирания" localSheetId="8">#REF!</definedName>
    <definedName name="Получени_финансирания" localSheetId="9">#REF!</definedName>
    <definedName name="Получени_финансирания" localSheetId="24">#REF!</definedName>
    <definedName name="Получени_финансирания" localSheetId="0">#REF!</definedName>
    <definedName name="Продажби" localSheetId="1">#REF!</definedName>
    <definedName name="Продажби" localSheetId="10">#REF!</definedName>
    <definedName name="Продажби" localSheetId="16">#REF!</definedName>
    <definedName name="Продажби" localSheetId="17">#REF!</definedName>
    <definedName name="Продажби" localSheetId="18">#REF!</definedName>
    <definedName name="Продажби" localSheetId="20">#REF!</definedName>
    <definedName name="Продажби" localSheetId="4">#REF!</definedName>
    <definedName name="Продажби" localSheetId="6">#REF!</definedName>
    <definedName name="Продажби" localSheetId="7">#REF!</definedName>
    <definedName name="Продажби" localSheetId="8">#REF!</definedName>
    <definedName name="Продажби" localSheetId="9">#REF!</definedName>
    <definedName name="Продажби" localSheetId="24">#REF!</definedName>
    <definedName name="Продажби" localSheetId="0">#REF!</definedName>
    <definedName name="Разходи_за_външни_услуги" localSheetId="1">#REF!</definedName>
    <definedName name="Разходи_за_външни_услуги" localSheetId="10">#REF!</definedName>
    <definedName name="Разходи_за_външни_услуги" localSheetId="16">#REF!</definedName>
    <definedName name="Разходи_за_външни_услуги" localSheetId="17">#REF!</definedName>
    <definedName name="Разходи_за_външни_услуги" localSheetId="18">#REF!</definedName>
    <definedName name="Разходи_за_външни_услуги" localSheetId="20">#REF!</definedName>
    <definedName name="Разходи_за_външни_услуги" localSheetId="4">#REF!</definedName>
    <definedName name="Разходи_за_външни_услуги" localSheetId="6">#REF!</definedName>
    <definedName name="Разходи_за_външни_услуги" localSheetId="7">#REF!</definedName>
    <definedName name="Разходи_за_външни_услуги" localSheetId="8">#REF!</definedName>
    <definedName name="Разходи_за_външни_услуги" localSheetId="9">#REF!</definedName>
    <definedName name="Разходи_за_външни_услуги" localSheetId="24">#REF!</definedName>
    <definedName name="Разходи_за_външни_услуги" localSheetId="0">#REF!</definedName>
    <definedName name="Разходи_за_материали" localSheetId="1">#REF!</definedName>
    <definedName name="Разходи_за_материали" localSheetId="10">#REF!</definedName>
    <definedName name="Разходи_за_материали" localSheetId="16">#REF!</definedName>
    <definedName name="Разходи_за_материали" localSheetId="17">#REF!</definedName>
    <definedName name="Разходи_за_материали" localSheetId="18">#REF!</definedName>
    <definedName name="Разходи_за_материали" localSheetId="20">#REF!</definedName>
    <definedName name="Разходи_за_материали" localSheetId="4">#REF!</definedName>
    <definedName name="Разходи_за_материали" localSheetId="6">#REF!</definedName>
    <definedName name="Разходи_за_материали" localSheetId="7">#REF!</definedName>
    <definedName name="Разходи_за_материали" localSheetId="8">#REF!</definedName>
    <definedName name="Разходи_за_материали" localSheetId="9">#REF!</definedName>
    <definedName name="Разходи_за_материали" localSheetId="24">#REF!</definedName>
    <definedName name="Разходи_за_материали" localSheetId="0">#REF!</definedName>
    <definedName name="Разходи_за_осигуровки" localSheetId="1">#REF!</definedName>
    <definedName name="Разходи_за_осигуровки" localSheetId="10">#REF!</definedName>
    <definedName name="Разходи_за_осигуровки" localSheetId="16">#REF!</definedName>
    <definedName name="Разходи_за_осигуровки" localSheetId="17">#REF!</definedName>
    <definedName name="Разходи_за_осигуровки" localSheetId="18">#REF!</definedName>
    <definedName name="Разходи_за_осигуровки" localSheetId="20">#REF!</definedName>
    <definedName name="Разходи_за_осигуровки" localSheetId="4">#REF!</definedName>
    <definedName name="Разходи_за_осигуровки" localSheetId="6">#REF!</definedName>
    <definedName name="Разходи_за_осигуровки" localSheetId="7">#REF!</definedName>
    <definedName name="Разходи_за_осигуровки" localSheetId="8">#REF!</definedName>
    <definedName name="Разходи_за_осигуровки" localSheetId="9">#REF!</definedName>
    <definedName name="Разходи_за_осигуровки" localSheetId="24">#REF!</definedName>
    <definedName name="Разходи_за_осигуровки" localSheetId="0">#REF!</definedName>
    <definedName name="Срок_на_плащане" localSheetId="1">#REF!</definedName>
    <definedName name="Срок_на_плащане" localSheetId="10">#REF!</definedName>
    <definedName name="Срок_на_плащане" localSheetId="16">#REF!</definedName>
    <definedName name="Срок_на_плащане" localSheetId="17">#REF!</definedName>
    <definedName name="Срок_на_плащане" localSheetId="18">#REF!</definedName>
    <definedName name="Срок_на_плащане" localSheetId="20">#REF!</definedName>
    <definedName name="Срок_на_плащане" localSheetId="4">#REF!</definedName>
    <definedName name="Срок_на_плащане" localSheetId="6">#REF!</definedName>
    <definedName name="Срок_на_плащане" localSheetId="7">#REF!</definedName>
    <definedName name="Срок_на_плащане" localSheetId="8">#REF!</definedName>
    <definedName name="Срок_на_плащане" localSheetId="9">#REF!</definedName>
    <definedName name="Срок_на_плащане" localSheetId="24">#REF!</definedName>
    <definedName name="Срок_на_плащане" localSheetId="0">#REF!</definedName>
    <definedName name="Срок_на_събиране_на_вземанията" localSheetId="1">#REF!</definedName>
    <definedName name="Срок_на_събиране_на_вземанията" localSheetId="10">#REF!</definedName>
    <definedName name="Срок_на_събиране_на_вземанията" localSheetId="16">#REF!</definedName>
    <definedName name="Срок_на_събиране_на_вземанията" localSheetId="17">#REF!</definedName>
    <definedName name="Срок_на_събиране_на_вземанията" localSheetId="18">#REF!</definedName>
    <definedName name="Срок_на_събиране_на_вземанията" localSheetId="20">#REF!</definedName>
    <definedName name="Срок_на_събиране_на_вземанията" localSheetId="4">#REF!</definedName>
    <definedName name="Срок_на_събиране_на_вземанията" localSheetId="6">#REF!</definedName>
    <definedName name="Срок_на_събиране_на_вземанията" localSheetId="7">#REF!</definedName>
    <definedName name="Срок_на_събиране_на_вземанията" localSheetId="8">#REF!</definedName>
    <definedName name="Срок_на_събиране_на_вземанията" localSheetId="9">#REF!</definedName>
    <definedName name="Срок_на_събиране_на_вземанията" localSheetId="24">#REF!</definedName>
    <definedName name="Срок_на_събиране_на_вземанията" localSheetId="0">#REF!</definedName>
    <definedName name="Ставка_ДДС" localSheetId="1">#REF!</definedName>
    <definedName name="Ставка_ДДС" localSheetId="10">#REF!</definedName>
    <definedName name="Ставка_ДДС" localSheetId="16">#REF!</definedName>
    <definedName name="Ставка_ДДС" localSheetId="17">#REF!</definedName>
    <definedName name="Ставка_ДДС" localSheetId="18">#REF!</definedName>
    <definedName name="Ставка_ДДС" localSheetId="20">#REF!</definedName>
    <definedName name="Ставка_ДДС" localSheetId="4">#REF!</definedName>
    <definedName name="Ставка_ДДС" localSheetId="6">#REF!</definedName>
    <definedName name="Ставка_ДДС" localSheetId="7">#REF!</definedName>
    <definedName name="Ставка_ДДС" localSheetId="8">#REF!</definedName>
    <definedName name="Ставка_ДДС" localSheetId="9">#REF!</definedName>
    <definedName name="Ставка_ДДС" localSheetId="24">#REF!</definedName>
    <definedName name="Ставка_ДДС" localSheetId="0">#REF!</definedName>
    <definedName name="Събран_ДДС" localSheetId="1">#REF!</definedName>
    <definedName name="Събран_ДДС" localSheetId="10">#REF!</definedName>
    <definedName name="Събран_ДДС" localSheetId="16">#REF!</definedName>
    <definedName name="Събран_ДДС" localSheetId="17">#REF!</definedName>
    <definedName name="Събран_ДДС" localSheetId="18">#REF!</definedName>
    <definedName name="Събран_ДДС" localSheetId="20">#REF!</definedName>
    <definedName name="Събран_ДДС" localSheetId="4">#REF!</definedName>
    <definedName name="Събран_ДДС" localSheetId="6">#REF!</definedName>
    <definedName name="Събран_ДДС" localSheetId="7">#REF!</definedName>
    <definedName name="Събран_ДДС" localSheetId="8">#REF!</definedName>
    <definedName name="Събран_ДДС" localSheetId="9">#REF!</definedName>
    <definedName name="Събран_ДДС" localSheetId="24">#REF!</definedName>
    <definedName name="Събран_ДДС" localSheetId="0">#REF!</definedName>
    <definedName name="Услуга_1" localSheetId="1">#REF!</definedName>
    <definedName name="Услуга_1" localSheetId="10">#REF!</definedName>
    <definedName name="Услуга_1" localSheetId="16">#REF!</definedName>
    <definedName name="Услуга_1" localSheetId="17">#REF!</definedName>
    <definedName name="Услуга_1" localSheetId="18">#REF!</definedName>
    <definedName name="Услуга_1" localSheetId="20">#REF!</definedName>
    <definedName name="Услуга_1" localSheetId="4">#REF!</definedName>
    <definedName name="Услуга_1" localSheetId="6">#REF!</definedName>
    <definedName name="Услуга_1" localSheetId="7">#REF!</definedName>
    <definedName name="Услуга_1" localSheetId="8">#REF!</definedName>
    <definedName name="Услуга_1" localSheetId="9">#REF!</definedName>
    <definedName name="Услуга_1" localSheetId="24">#REF!</definedName>
    <definedName name="Услуга_1" localSheetId="0">#REF!</definedName>
    <definedName name="Услуга_2" localSheetId="1">#REF!</definedName>
    <definedName name="Услуга_2" localSheetId="10">#REF!</definedName>
    <definedName name="Услуга_2" localSheetId="16">#REF!</definedName>
    <definedName name="Услуга_2" localSheetId="17">#REF!</definedName>
    <definedName name="Услуга_2" localSheetId="18">#REF!</definedName>
    <definedName name="Услуга_2" localSheetId="20">#REF!</definedName>
    <definedName name="Услуга_2" localSheetId="4">#REF!</definedName>
    <definedName name="Услуга_2" localSheetId="6">#REF!</definedName>
    <definedName name="Услуга_2" localSheetId="7">#REF!</definedName>
    <definedName name="Услуга_2" localSheetId="8">#REF!</definedName>
    <definedName name="Услуга_2" localSheetId="9">#REF!</definedName>
    <definedName name="Услуга_2" localSheetId="24">#REF!</definedName>
    <definedName name="Услуга_2" localSheetId="0">#REF!</definedName>
    <definedName name="Услуга_3" localSheetId="1">#REF!</definedName>
    <definedName name="Услуга_3" localSheetId="10">#REF!</definedName>
    <definedName name="Услуга_3" localSheetId="16">#REF!</definedName>
    <definedName name="Услуга_3" localSheetId="17">#REF!</definedName>
    <definedName name="Услуга_3" localSheetId="18">#REF!</definedName>
    <definedName name="Услуга_3" localSheetId="20">#REF!</definedName>
    <definedName name="Услуга_3" localSheetId="4">#REF!</definedName>
    <definedName name="Услуга_3" localSheetId="6">#REF!</definedName>
    <definedName name="Услуга_3" localSheetId="7">#REF!</definedName>
    <definedName name="Услуга_3" localSheetId="8">#REF!</definedName>
    <definedName name="Услуга_3" localSheetId="9">#REF!</definedName>
    <definedName name="Услуга_3" localSheetId="24">#REF!</definedName>
    <definedName name="Услуга_3" localSheetId="0">#REF!</definedName>
    <definedName name="Услуга_4" localSheetId="1">#REF!</definedName>
    <definedName name="Услуга_4" localSheetId="10">#REF!</definedName>
    <definedName name="Услуга_4" localSheetId="16">#REF!</definedName>
    <definedName name="Услуга_4" localSheetId="17">#REF!</definedName>
    <definedName name="Услуга_4" localSheetId="18">#REF!</definedName>
    <definedName name="Услуга_4" localSheetId="20">#REF!</definedName>
    <definedName name="Услуга_4" localSheetId="4">#REF!</definedName>
    <definedName name="Услуга_4" localSheetId="6">#REF!</definedName>
    <definedName name="Услуга_4" localSheetId="7">#REF!</definedName>
    <definedName name="Услуга_4" localSheetId="8">#REF!</definedName>
    <definedName name="Услуга_4" localSheetId="9">#REF!</definedName>
    <definedName name="Услуга_4" localSheetId="24">#REF!</definedName>
    <definedName name="Услуга_4" localSheetId="0">#REF!</definedName>
    <definedName name="Услуга_5" localSheetId="1">#REF!</definedName>
    <definedName name="Услуга_5" localSheetId="10">#REF!</definedName>
    <definedName name="Услуга_5" localSheetId="16">#REF!</definedName>
    <definedName name="Услуга_5" localSheetId="17">#REF!</definedName>
    <definedName name="Услуга_5" localSheetId="18">#REF!</definedName>
    <definedName name="Услуга_5" localSheetId="20">#REF!</definedName>
    <definedName name="Услуга_5" localSheetId="4">#REF!</definedName>
    <definedName name="Услуга_5" localSheetId="6">#REF!</definedName>
    <definedName name="Услуга_5" localSheetId="7">#REF!</definedName>
    <definedName name="Услуга_5" localSheetId="8">#REF!</definedName>
    <definedName name="Услуга_5" localSheetId="9">#REF!</definedName>
    <definedName name="Услуга_5" localSheetId="24">#REF!</definedName>
    <definedName name="Услуга_5" localSheetId="0">#REF!</definedName>
    <definedName name="Услуги_и_др." localSheetId="7" hidden="1">[1]Себестойност!$126:$126</definedName>
    <definedName name="ЧПП" localSheetId="1">#REF!</definedName>
    <definedName name="ЧПП" localSheetId="10">#REF!</definedName>
    <definedName name="ЧПП" localSheetId="16">#REF!</definedName>
    <definedName name="ЧПП" localSheetId="17">#REF!</definedName>
    <definedName name="ЧПП" localSheetId="18">#REF!</definedName>
    <definedName name="ЧПП" localSheetId="20">#REF!</definedName>
    <definedName name="ЧПП" localSheetId="4">#REF!</definedName>
    <definedName name="ЧПП" localSheetId="6">#REF!</definedName>
    <definedName name="ЧПП" localSheetId="7">#REF!</definedName>
    <definedName name="ЧПП" localSheetId="8">#REF!</definedName>
    <definedName name="ЧПП" localSheetId="9">#REF!</definedName>
    <definedName name="ЧПП" localSheetId="24">#REF!</definedName>
    <definedName name="ЧПП" localSheetId="0">#REF!</definedName>
  </definedNames>
  <calcPr calcId="152511"/>
</workbook>
</file>

<file path=xl/calcChain.xml><?xml version="1.0" encoding="utf-8"?>
<calcChain xmlns="http://schemas.openxmlformats.org/spreadsheetml/2006/main">
  <c r="B34" i="47" l="1"/>
  <c r="X62" i="53"/>
  <c r="AK62" i="54" l="1"/>
  <c r="AI62" i="54"/>
  <c r="AG62" i="54"/>
  <c r="AK58" i="54"/>
  <c r="AI58" i="54"/>
  <c r="AG58" i="54"/>
  <c r="AE58" i="54"/>
  <c r="P35" i="39" l="1"/>
  <c r="O35" i="39"/>
  <c r="N35" i="39"/>
  <c r="M35" i="39"/>
  <c r="L35" i="39"/>
  <c r="AK101" i="54"/>
  <c r="AI101" i="54"/>
  <c r="AG101" i="54"/>
  <c r="AE101" i="54"/>
  <c r="AC62" i="54" l="1"/>
  <c r="AE62" i="54"/>
  <c r="AC58" i="54"/>
  <c r="B31" i="48" l="1"/>
  <c r="B22" i="48"/>
  <c r="B25" i="48"/>
  <c r="B24" i="48"/>
  <c r="B12" i="48"/>
  <c r="X58" i="53"/>
  <c r="C31" i="48"/>
  <c r="B35" i="48"/>
  <c r="H31" i="48" l="1"/>
  <c r="G31" i="48"/>
  <c r="F31" i="48"/>
  <c r="E31" i="48"/>
  <c r="D31" i="48"/>
  <c r="B30" i="48"/>
  <c r="B29" i="48"/>
  <c r="B23" i="48"/>
  <c r="B42" i="48" s="1"/>
  <c r="B10" i="48"/>
  <c r="B9" i="48"/>
  <c r="L41" i="46" l="1"/>
  <c r="Q41" i="46"/>
  <c r="P41" i="46"/>
  <c r="O41" i="46"/>
  <c r="N41" i="46"/>
  <c r="M41" i="46"/>
  <c r="K21" i="41" l="1"/>
  <c r="J21" i="41"/>
  <c r="I21" i="41"/>
  <c r="H21" i="41"/>
  <c r="G15" i="41"/>
  <c r="G19" i="41"/>
  <c r="G12" i="41"/>
  <c r="Q58" i="54"/>
  <c r="Q59" i="54"/>
  <c r="N23" i="54" l="1"/>
  <c r="L23" i="54"/>
  <c r="J23" i="54"/>
  <c r="H23" i="54"/>
  <c r="F23" i="54"/>
  <c r="N46" i="54"/>
  <c r="L46" i="54"/>
  <c r="J46" i="54"/>
  <c r="H46" i="54"/>
  <c r="F46" i="54"/>
  <c r="K9" i="46" l="1"/>
  <c r="K11" i="46"/>
  <c r="K12" i="46"/>
  <c r="K10" i="46"/>
  <c r="N62" i="54"/>
  <c r="M63" i="54"/>
  <c r="L62" i="54"/>
  <c r="K63" i="54"/>
  <c r="J62" i="54"/>
  <c r="I63" i="54"/>
  <c r="G63" i="54"/>
  <c r="H62" i="54"/>
  <c r="E63" i="54"/>
  <c r="F62" i="54"/>
  <c r="C63" i="54"/>
  <c r="C62" i="54"/>
  <c r="B41" i="47"/>
  <c r="B11" i="47"/>
  <c r="B40" i="48"/>
  <c r="C9" i="48"/>
  <c r="M59" i="54" l="1"/>
  <c r="N58" i="54"/>
  <c r="K59" i="54"/>
  <c r="L58" i="54"/>
  <c r="I59" i="54"/>
  <c r="J58" i="54"/>
  <c r="G59" i="54"/>
  <c r="H58" i="54"/>
  <c r="E59" i="54"/>
  <c r="F58" i="54"/>
  <c r="C59" i="54"/>
  <c r="C58" i="54"/>
  <c r="L28" i="50" l="1"/>
  <c r="E28" i="50"/>
  <c r="S209" i="50" l="1"/>
  <c r="AA62" i="54" l="1"/>
  <c r="AA58" i="54"/>
  <c r="O62" i="54"/>
  <c r="O58" i="54"/>
  <c r="L96" i="62"/>
  <c r="S72" i="62"/>
  <c r="E93" i="62"/>
  <c r="E103" i="62"/>
  <c r="E96" i="62"/>
  <c r="E95" i="62"/>
  <c r="E101" i="62"/>
  <c r="E13" i="50"/>
  <c r="E70" i="50"/>
  <c r="E71" i="50"/>
  <c r="E63" i="50"/>
  <c r="E29" i="50"/>
  <c r="S29" i="50"/>
  <c r="E11" i="50"/>
  <c r="S194" i="50"/>
  <c r="S193" i="50"/>
  <c r="S192" i="50"/>
  <c r="L193" i="50"/>
  <c r="L208" i="50"/>
  <c r="E194" i="50"/>
  <c r="E193" i="50"/>
  <c r="E207" i="50"/>
  <c r="H13" i="41"/>
  <c r="I36" i="41"/>
  <c r="H36" i="41"/>
  <c r="K37" i="41"/>
  <c r="J37" i="41"/>
  <c r="I37" i="41"/>
  <c r="K15" i="41"/>
  <c r="J15" i="41"/>
  <c r="I15" i="41"/>
  <c r="I13" i="41"/>
  <c r="G13" i="41"/>
  <c r="K19" i="41"/>
  <c r="J19" i="41"/>
  <c r="I19" i="41"/>
  <c r="K12" i="41"/>
  <c r="J12" i="41"/>
  <c r="I12" i="41"/>
  <c r="G25" i="41"/>
  <c r="I25" i="41"/>
  <c r="G23" i="41"/>
  <c r="G21" i="41"/>
  <c r="K41" i="46"/>
  <c r="Y59" i="54"/>
  <c r="Z58" i="54"/>
  <c r="W59" i="54"/>
  <c r="X58" i="54"/>
  <c r="U59" i="54"/>
  <c r="V58" i="54"/>
  <c r="S59" i="54"/>
  <c r="T58" i="54"/>
  <c r="R58" i="54"/>
  <c r="K32" i="46"/>
  <c r="K29" i="46"/>
  <c r="K27" i="46"/>
  <c r="K26" i="46"/>
  <c r="Q63" i="54"/>
  <c r="C50" i="7" l="1"/>
  <c r="D50" i="7" s="1"/>
  <c r="F56" i="65"/>
  <c r="E50" i="7" l="1"/>
  <c r="F50" i="7" s="1"/>
  <c r="G50" i="7" s="1"/>
  <c r="H50" i="7" s="1"/>
  <c r="I50" i="7" s="1"/>
  <c r="E29" i="62" l="1"/>
  <c r="F88" i="1" l="1"/>
  <c r="E88" i="1"/>
  <c r="H39" i="48"/>
  <c r="G39" i="48"/>
  <c r="F39" i="48"/>
  <c r="E39" i="48"/>
  <c r="D39" i="48"/>
  <c r="C39" i="48"/>
  <c r="J25" i="41" l="1"/>
  <c r="K25" i="41" l="1"/>
  <c r="H25" i="41"/>
  <c r="C27" i="60" l="1"/>
  <c r="L11" i="50" l="1"/>
  <c r="S11" i="50"/>
  <c r="E17" i="50"/>
  <c r="S17" i="50"/>
  <c r="L17" i="50"/>
  <c r="E10" i="50"/>
  <c r="L29" i="50"/>
  <c r="E229" i="50"/>
  <c r="E196" i="50"/>
  <c r="S196" i="50"/>
  <c r="P34" i="54"/>
  <c r="O34" i="54"/>
  <c r="C9" i="39"/>
  <c r="AK57" i="41" l="1"/>
  <c r="AJ57" i="41"/>
  <c r="AI57" i="41"/>
  <c r="AH57" i="41"/>
  <c r="AG57" i="41"/>
  <c r="E58" i="1" l="1"/>
  <c r="K58" i="1"/>
  <c r="J58" i="1"/>
  <c r="I58" i="1"/>
  <c r="H58" i="1"/>
  <c r="G58" i="1"/>
  <c r="F58" i="1"/>
  <c r="E210" i="50" l="1"/>
  <c r="E206" i="50"/>
  <c r="E204" i="50"/>
  <c r="E202" i="50"/>
  <c r="E203" i="50"/>
  <c r="E201" i="50"/>
  <c r="E198" i="50"/>
  <c r="S197" i="50"/>
  <c r="S234" i="50" l="1"/>
  <c r="S233" i="50"/>
  <c r="S232" i="50"/>
  <c r="S231" i="50"/>
  <c r="S230" i="50"/>
  <c r="S229" i="50"/>
  <c r="S228" i="50"/>
  <c r="S227" i="50"/>
  <c r="S226" i="50"/>
  <c r="S225" i="50"/>
  <c r="S224" i="50"/>
  <c r="S223" i="50"/>
  <c r="S222" i="50"/>
  <c r="S221" i="50"/>
  <c r="S220" i="50"/>
  <c r="S219" i="50"/>
  <c r="S218" i="50"/>
  <c r="S217" i="50"/>
  <c r="S216" i="50"/>
  <c r="S215" i="50"/>
  <c r="S214" i="50"/>
  <c r="L234" i="50"/>
  <c r="L233" i="50"/>
  <c r="L232" i="50"/>
  <c r="L231" i="50"/>
  <c r="L230" i="50"/>
  <c r="L229" i="50"/>
  <c r="L228" i="50"/>
  <c r="L227" i="50"/>
  <c r="L226" i="50"/>
  <c r="L225" i="50"/>
  <c r="L224" i="50"/>
  <c r="L223" i="50"/>
  <c r="L222" i="50"/>
  <c r="L221" i="50"/>
  <c r="L220" i="50"/>
  <c r="L219" i="50"/>
  <c r="L218" i="50"/>
  <c r="L217" i="50"/>
  <c r="L216" i="50"/>
  <c r="L215" i="50"/>
  <c r="L214" i="50"/>
  <c r="E234" i="50"/>
  <c r="E233" i="50"/>
  <c r="E232" i="50"/>
  <c r="E231" i="50"/>
  <c r="E230" i="50"/>
  <c r="E228" i="50"/>
  <c r="E227" i="50"/>
  <c r="E226" i="50"/>
  <c r="E225" i="50"/>
  <c r="E224" i="50"/>
  <c r="E223" i="50"/>
  <c r="E222" i="50"/>
  <c r="E221" i="50"/>
  <c r="E220" i="50"/>
  <c r="E219" i="50"/>
  <c r="E218" i="50"/>
  <c r="E217" i="50"/>
  <c r="E216" i="50"/>
  <c r="E215" i="50"/>
  <c r="E214" i="50"/>
  <c r="F14" i="21" l="1"/>
  <c r="G14" i="21" s="1"/>
  <c r="H14" i="21" s="1"/>
  <c r="I14" i="21" s="1"/>
  <c r="J14" i="21" s="1"/>
  <c r="AD62" i="53" l="1"/>
  <c r="AC62" i="53"/>
  <c r="AB62" i="53"/>
  <c r="AA62" i="53"/>
  <c r="Z62" i="53"/>
  <c r="Y62" i="53"/>
  <c r="D26" i="54" l="1"/>
  <c r="D17" i="54"/>
  <c r="C17" i="54"/>
  <c r="D35" i="39"/>
  <c r="C35" i="39"/>
  <c r="D67" i="39"/>
  <c r="F66" i="39"/>
  <c r="G66" i="39" s="1"/>
  <c r="E67" i="39"/>
  <c r="H66" i="39" l="1"/>
  <c r="I66" i="39" s="1"/>
  <c r="I67" i="39" s="1"/>
  <c r="G67" i="39"/>
  <c r="F67" i="39"/>
  <c r="H67" i="39"/>
  <c r="F21" i="41"/>
  <c r="C64" i="7" l="1"/>
  <c r="J64" i="7"/>
  <c r="C65" i="7"/>
  <c r="C66" i="7"/>
  <c r="J65" i="7"/>
  <c r="J66" i="7"/>
  <c r="W23" i="7" l="1"/>
  <c r="V23" i="7"/>
  <c r="R23" i="7"/>
  <c r="Q23" i="7"/>
  <c r="P23" i="7"/>
  <c r="O23" i="7"/>
  <c r="K23" i="7"/>
  <c r="J23" i="7"/>
  <c r="I23" i="7"/>
  <c r="H23" i="7"/>
  <c r="D23" i="7"/>
  <c r="C23" i="7"/>
  <c r="J20" i="58" l="1"/>
  <c r="J30" i="58" s="1"/>
  <c r="I20" i="58"/>
  <c r="I30" i="58" s="1"/>
  <c r="H20" i="58"/>
  <c r="H30" i="58" s="1"/>
  <c r="G20" i="58"/>
  <c r="G30" i="58" s="1"/>
  <c r="F20" i="58"/>
  <c r="F30" i="58" s="1"/>
  <c r="E20" i="58"/>
  <c r="D20" i="58"/>
  <c r="J15" i="58"/>
  <c r="J32" i="58" s="1"/>
  <c r="I15" i="58"/>
  <c r="I32" i="58" s="1"/>
  <c r="H15" i="58"/>
  <c r="H32" i="58" s="1"/>
  <c r="G15" i="58"/>
  <c r="G32" i="58" s="1"/>
  <c r="F15" i="58"/>
  <c r="E15" i="58"/>
  <c r="D15" i="58"/>
  <c r="M6" i="2" l="1"/>
  <c r="R30" i="53"/>
  <c r="Q30" i="53"/>
  <c r="W30" i="53" s="1"/>
  <c r="K30" i="53"/>
  <c r="J30" i="53"/>
  <c r="O30" i="53" s="1"/>
  <c r="D30" i="53"/>
  <c r="C30" i="53"/>
  <c r="G30" i="53" s="1"/>
  <c r="L30" i="53" l="1"/>
  <c r="T30" i="53"/>
  <c r="H30" i="53"/>
  <c r="E30" i="53"/>
  <c r="F30" i="53"/>
  <c r="I30" i="53"/>
  <c r="P30" i="53"/>
  <c r="V30" i="53"/>
  <c r="M30" i="53"/>
  <c r="U30" i="53"/>
  <c r="N30" i="53"/>
  <c r="S30" i="53"/>
  <c r="F34" i="62" l="1"/>
  <c r="Z34" i="62"/>
  <c r="Z83" i="62"/>
  <c r="S83" i="62"/>
  <c r="L83" i="62"/>
  <c r="E83" i="62"/>
  <c r="K34" i="62"/>
  <c r="J34" i="62"/>
  <c r="I34" i="62"/>
  <c r="H34" i="62"/>
  <c r="G34" i="62"/>
  <c r="E34" i="62"/>
  <c r="Y34" i="62"/>
  <c r="X34" i="62"/>
  <c r="W34" i="62"/>
  <c r="V34" i="62"/>
  <c r="U34" i="62"/>
  <c r="T34" i="62"/>
  <c r="S34" i="62"/>
  <c r="R34" i="62"/>
  <c r="Q34" i="62"/>
  <c r="P34" i="62"/>
  <c r="O34" i="62"/>
  <c r="N34" i="62"/>
  <c r="M34" i="62"/>
  <c r="L34" i="62"/>
  <c r="Z91" i="51"/>
  <c r="S91" i="51"/>
  <c r="L91" i="51"/>
  <c r="E91"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T193" i="50"/>
  <c r="U193" i="50" s="1"/>
  <c r="V193" i="50" s="1"/>
  <c r="W193" i="50" s="1"/>
  <c r="X193" i="50" s="1"/>
  <c r="Y193" i="50" s="1"/>
  <c r="T194" i="50"/>
  <c r="U194" i="50" s="1"/>
  <c r="V194" i="50" s="1"/>
  <c r="W194" i="50" s="1"/>
  <c r="X194" i="50" s="1"/>
  <c r="Y194" i="50" s="1"/>
  <c r="T195" i="50"/>
  <c r="U195" i="50" s="1"/>
  <c r="V195" i="50" s="1"/>
  <c r="W195" i="50" s="1"/>
  <c r="X195" i="50" s="1"/>
  <c r="Y195" i="50" s="1"/>
  <c r="T196" i="50"/>
  <c r="U196" i="50" s="1"/>
  <c r="V196" i="50" s="1"/>
  <c r="W196" i="50" s="1"/>
  <c r="X196" i="50" s="1"/>
  <c r="Y196" i="50" s="1"/>
  <c r="T197" i="50"/>
  <c r="U197" i="50" s="1"/>
  <c r="V197" i="50" s="1"/>
  <c r="W197" i="50" s="1"/>
  <c r="X197" i="50" s="1"/>
  <c r="Y197" i="50" s="1"/>
  <c r="T198" i="50"/>
  <c r="U198" i="50" s="1"/>
  <c r="V198" i="50" s="1"/>
  <c r="W198" i="50" s="1"/>
  <c r="X198" i="50" s="1"/>
  <c r="Y198" i="50" s="1"/>
  <c r="T199" i="50"/>
  <c r="U199" i="50" s="1"/>
  <c r="V199" i="50" s="1"/>
  <c r="W199" i="50" s="1"/>
  <c r="X199" i="50" s="1"/>
  <c r="Y199" i="50" s="1"/>
  <c r="T200" i="50"/>
  <c r="U200" i="50" s="1"/>
  <c r="V200" i="50" s="1"/>
  <c r="W200" i="50" s="1"/>
  <c r="X200" i="50" s="1"/>
  <c r="Y200" i="50" s="1"/>
  <c r="T201" i="50"/>
  <c r="U201" i="50" s="1"/>
  <c r="V201" i="50" s="1"/>
  <c r="W201" i="50" s="1"/>
  <c r="X201" i="50" s="1"/>
  <c r="Y201" i="50" s="1"/>
  <c r="T202" i="50"/>
  <c r="U202" i="50" s="1"/>
  <c r="V202" i="50" s="1"/>
  <c r="W202" i="50" s="1"/>
  <c r="X202" i="50" s="1"/>
  <c r="Y202" i="50" s="1"/>
  <c r="T203" i="50"/>
  <c r="U203" i="50" s="1"/>
  <c r="V203" i="50" s="1"/>
  <c r="W203" i="50" s="1"/>
  <c r="X203" i="50" s="1"/>
  <c r="Y203" i="50" s="1"/>
  <c r="T204" i="50"/>
  <c r="U204" i="50" s="1"/>
  <c r="V204" i="50" s="1"/>
  <c r="W204" i="50" s="1"/>
  <c r="X204" i="50" s="1"/>
  <c r="Y204" i="50" s="1"/>
  <c r="T205" i="50"/>
  <c r="U205" i="50" s="1"/>
  <c r="V205" i="50" s="1"/>
  <c r="W205" i="50" s="1"/>
  <c r="X205" i="50" s="1"/>
  <c r="Y205" i="50" s="1"/>
  <c r="T206" i="50"/>
  <c r="U206" i="50" s="1"/>
  <c r="V206" i="50" s="1"/>
  <c r="W206" i="50" s="1"/>
  <c r="X206" i="50" s="1"/>
  <c r="Y206" i="50" s="1"/>
  <c r="T207" i="50"/>
  <c r="U207" i="50" s="1"/>
  <c r="V207" i="50" s="1"/>
  <c r="W207" i="50" s="1"/>
  <c r="X207" i="50" s="1"/>
  <c r="Y207" i="50" s="1"/>
  <c r="T208" i="50"/>
  <c r="U208" i="50" s="1"/>
  <c r="V208" i="50" s="1"/>
  <c r="W208" i="50" s="1"/>
  <c r="X208" i="50" s="1"/>
  <c r="Y208" i="50" s="1"/>
  <c r="T209" i="50"/>
  <c r="U209" i="50" s="1"/>
  <c r="V209" i="50" s="1"/>
  <c r="W209" i="50" s="1"/>
  <c r="X209" i="50" s="1"/>
  <c r="Y209" i="50" s="1"/>
  <c r="T210" i="50"/>
  <c r="U210" i="50" s="1"/>
  <c r="V210" i="50" s="1"/>
  <c r="W210" i="50" s="1"/>
  <c r="X210" i="50" s="1"/>
  <c r="Y210" i="50" s="1"/>
  <c r="T211" i="50"/>
  <c r="U211" i="50" s="1"/>
  <c r="V211" i="50" s="1"/>
  <c r="W211" i="50" s="1"/>
  <c r="X211" i="50" s="1"/>
  <c r="Y211" i="50" s="1"/>
  <c r="T212" i="50"/>
  <c r="U212" i="50" s="1"/>
  <c r="V212" i="50" s="1"/>
  <c r="W212" i="50" s="1"/>
  <c r="X212" i="50" s="1"/>
  <c r="Y212" i="50" s="1"/>
  <c r="T192" i="50"/>
  <c r="U192" i="50" s="1"/>
  <c r="V192" i="50" s="1"/>
  <c r="W192" i="50" s="1"/>
  <c r="X192" i="50" s="1"/>
  <c r="Y192" i="50" s="1"/>
  <c r="M193" i="50"/>
  <c r="N193" i="50" s="1"/>
  <c r="O193" i="50" s="1"/>
  <c r="P193" i="50" s="1"/>
  <c r="Q193" i="50" s="1"/>
  <c r="R193" i="50" s="1"/>
  <c r="M194" i="50"/>
  <c r="N194" i="50" s="1"/>
  <c r="O194" i="50" s="1"/>
  <c r="P194" i="50" s="1"/>
  <c r="Q194" i="50" s="1"/>
  <c r="R194" i="50" s="1"/>
  <c r="M195" i="50"/>
  <c r="N195" i="50" s="1"/>
  <c r="O195" i="50" s="1"/>
  <c r="P195" i="50" s="1"/>
  <c r="Q195" i="50" s="1"/>
  <c r="R195" i="50" s="1"/>
  <c r="M196" i="50"/>
  <c r="N196" i="50" s="1"/>
  <c r="O196" i="50" s="1"/>
  <c r="P196" i="50" s="1"/>
  <c r="Q196" i="50" s="1"/>
  <c r="R196" i="50" s="1"/>
  <c r="M197" i="50"/>
  <c r="N197" i="50" s="1"/>
  <c r="O197" i="50" s="1"/>
  <c r="P197" i="50" s="1"/>
  <c r="Q197" i="50" s="1"/>
  <c r="R197" i="50" s="1"/>
  <c r="M198" i="50"/>
  <c r="N198" i="50" s="1"/>
  <c r="O198" i="50" s="1"/>
  <c r="P198" i="50" s="1"/>
  <c r="Q198" i="50" s="1"/>
  <c r="R198" i="50" s="1"/>
  <c r="M199" i="50"/>
  <c r="N199" i="50" s="1"/>
  <c r="O199" i="50" s="1"/>
  <c r="P199" i="50" s="1"/>
  <c r="Q199" i="50" s="1"/>
  <c r="R199" i="50" s="1"/>
  <c r="M200" i="50"/>
  <c r="N200" i="50" s="1"/>
  <c r="O200" i="50" s="1"/>
  <c r="P200" i="50" s="1"/>
  <c r="Q200" i="50" s="1"/>
  <c r="R200" i="50" s="1"/>
  <c r="M201" i="50"/>
  <c r="N201" i="50" s="1"/>
  <c r="O201" i="50" s="1"/>
  <c r="P201" i="50" s="1"/>
  <c r="Q201" i="50" s="1"/>
  <c r="R201" i="50" s="1"/>
  <c r="M202" i="50"/>
  <c r="N202" i="50" s="1"/>
  <c r="O202" i="50" s="1"/>
  <c r="P202" i="50" s="1"/>
  <c r="Q202" i="50" s="1"/>
  <c r="R202" i="50" s="1"/>
  <c r="M203" i="50"/>
  <c r="N203" i="50" s="1"/>
  <c r="O203" i="50" s="1"/>
  <c r="P203" i="50" s="1"/>
  <c r="Q203" i="50" s="1"/>
  <c r="R203" i="50" s="1"/>
  <c r="M204" i="50"/>
  <c r="N204" i="50" s="1"/>
  <c r="O204" i="50" s="1"/>
  <c r="P204" i="50" s="1"/>
  <c r="Q204" i="50" s="1"/>
  <c r="R204" i="50" s="1"/>
  <c r="M205" i="50"/>
  <c r="N205" i="50" s="1"/>
  <c r="O205" i="50" s="1"/>
  <c r="P205" i="50" s="1"/>
  <c r="Q205" i="50" s="1"/>
  <c r="R205" i="50" s="1"/>
  <c r="M206" i="50"/>
  <c r="N206" i="50" s="1"/>
  <c r="O206" i="50" s="1"/>
  <c r="P206" i="50" s="1"/>
  <c r="Q206" i="50" s="1"/>
  <c r="R206" i="50" s="1"/>
  <c r="M207" i="50"/>
  <c r="N207" i="50" s="1"/>
  <c r="O207" i="50" s="1"/>
  <c r="P207" i="50" s="1"/>
  <c r="Q207" i="50" s="1"/>
  <c r="R207" i="50" s="1"/>
  <c r="M208" i="50"/>
  <c r="N208" i="50" s="1"/>
  <c r="O208" i="50" s="1"/>
  <c r="P208" i="50" s="1"/>
  <c r="Q208" i="50" s="1"/>
  <c r="R208" i="50" s="1"/>
  <c r="M209" i="50"/>
  <c r="N209" i="50" s="1"/>
  <c r="O209" i="50" s="1"/>
  <c r="P209" i="50" s="1"/>
  <c r="Q209" i="50" s="1"/>
  <c r="R209" i="50" s="1"/>
  <c r="M210" i="50"/>
  <c r="N210" i="50" s="1"/>
  <c r="O210" i="50" s="1"/>
  <c r="P210" i="50" s="1"/>
  <c r="Q210" i="50" s="1"/>
  <c r="R210" i="50" s="1"/>
  <c r="M211" i="50"/>
  <c r="N211" i="50" s="1"/>
  <c r="O211" i="50" s="1"/>
  <c r="P211" i="50" s="1"/>
  <c r="Q211" i="50" s="1"/>
  <c r="R211" i="50" s="1"/>
  <c r="M212" i="50"/>
  <c r="N212" i="50" s="1"/>
  <c r="O212" i="50" s="1"/>
  <c r="P212" i="50" s="1"/>
  <c r="Q212" i="50" s="1"/>
  <c r="R212" i="50" s="1"/>
  <c r="M192" i="50"/>
  <c r="N192" i="50" s="1"/>
  <c r="O192" i="50" s="1"/>
  <c r="P192" i="50" s="1"/>
  <c r="Q192" i="50" s="1"/>
  <c r="R192" i="50" s="1"/>
  <c r="F193" i="50"/>
  <c r="G193" i="50" s="1"/>
  <c r="H193" i="50" s="1"/>
  <c r="I193" i="50" s="1"/>
  <c r="J193" i="50" s="1"/>
  <c r="K193" i="50" s="1"/>
  <c r="F194" i="50"/>
  <c r="G194" i="50" s="1"/>
  <c r="H194" i="50" s="1"/>
  <c r="I194" i="50" s="1"/>
  <c r="J194" i="50" s="1"/>
  <c r="K194" i="50" s="1"/>
  <c r="F195" i="50"/>
  <c r="G195" i="50" s="1"/>
  <c r="H195" i="50" s="1"/>
  <c r="I195" i="50" s="1"/>
  <c r="J195" i="50" s="1"/>
  <c r="K195" i="50" s="1"/>
  <c r="F196" i="50"/>
  <c r="G196" i="50" s="1"/>
  <c r="H196" i="50" s="1"/>
  <c r="I196" i="50" s="1"/>
  <c r="J196" i="50" s="1"/>
  <c r="K196" i="50" s="1"/>
  <c r="F197" i="50"/>
  <c r="G197" i="50" s="1"/>
  <c r="H197" i="50" s="1"/>
  <c r="I197" i="50" s="1"/>
  <c r="J197" i="50" s="1"/>
  <c r="K197" i="50" s="1"/>
  <c r="F198" i="50"/>
  <c r="G198" i="50" s="1"/>
  <c r="H198" i="50" s="1"/>
  <c r="I198" i="50" s="1"/>
  <c r="J198" i="50" s="1"/>
  <c r="K198" i="50" s="1"/>
  <c r="F199" i="50"/>
  <c r="G199" i="50" s="1"/>
  <c r="H199" i="50" s="1"/>
  <c r="I199" i="50" s="1"/>
  <c r="J199" i="50" s="1"/>
  <c r="K199" i="50" s="1"/>
  <c r="F200" i="50"/>
  <c r="G200" i="50" s="1"/>
  <c r="H200" i="50" s="1"/>
  <c r="I200" i="50" s="1"/>
  <c r="J200" i="50" s="1"/>
  <c r="K200" i="50" s="1"/>
  <c r="F201" i="50"/>
  <c r="G201" i="50" s="1"/>
  <c r="H201" i="50" s="1"/>
  <c r="I201" i="50" s="1"/>
  <c r="J201" i="50" s="1"/>
  <c r="K201" i="50" s="1"/>
  <c r="F202" i="50"/>
  <c r="G202" i="50" s="1"/>
  <c r="H202" i="50" s="1"/>
  <c r="I202" i="50" s="1"/>
  <c r="J202" i="50" s="1"/>
  <c r="K202" i="50" s="1"/>
  <c r="F203" i="50"/>
  <c r="G203" i="50" s="1"/>
  <c r="H203" i="50" s="1"/>
  <c r="I203" i="50" s="1"/>
  <c r="J203" i="50" s="1"/>
  <c r="K203" i="50" s="1"/>
  <c r="F204" i="50"/>
  <c r="G204" i="50" s="1"/>
  <c r="H204" i="50" s="1"/>
  <c r="I204" i="50" s="1"/>
  <c r="J204" i="50" s="1"/>
  <c r="K204" i="50" s="1"/>
  <c r="F205" i="50"/>
  <c r="G205" i="50" s="1"/>
  <c r="H205" i="50" s="1"/>
  <c r="I205" i="50" s="1"/>
  <c r="J205" i="50" s="1"/>
  <c r="K205" i="50" s="1"/>
  <c r="F206" i="50"/>
  <c r="G206" i="50" s="1"/>
  <c r="H206" i="50" s="1"/>
  <c r="I206" i="50" s="1"/>
  <c r="J206" i="50" s="1"/>
  <c r="K206" i="50" s="1"/>
  <c r="F207" i="50"/>
  <c r="G207" i="50" s="1"/>
  <c r="H207" i="50" s="1"/>
  <c r="I207" i="50" s="1"/>
  <c r="J207" i="50" s="1"/>
  <c r="K207" i="50" s="1"/>
  <c r="F208" i="50"/>
  <c r="G208" i="50" s="1"/>
  <c r="H208" i="50" s="1"/>
  <c r="I208" i="50" s="1"/>
  <c r="J208" i="50" s="1"/>
  <c r="K208" i="50" s="1"/>
  <c r="F209" i="50"/>
  <c r="G209" i="50" s="1"/>
  <c r="H209" i="50" s="1"/>
  <c r="I209" i="50" s="1"/>
  <c r="J209" i="50" s="1"/>
  <c r="K209" i="50" s="1"/>
  <c r="F210" i="50"/>
  <c r="G210" i="50" s="1"/>
  <c r="H210" i="50" s="1"/>
  <c r="I210" i="50" s="1"/>
  <c r="J210" i="50" s="1"/>
  <c r="K210" i="50" s="1"/>
  <c r="F211" i="50"/>
  <c r="G211" i="50" s="1"/>
  <c r="H211" i="50" s="1"/>
  <c r="I211" i="50" s="1"/>
  <c r="J211" i="50" s="1"/>
  <c r="K211" i="50" s="1"/>
  <c r="F212" i="50"/>
  <c r="G212" i="50" s="1"/>
  <c r="H212" i="50" s="1"/>
  <c r="I212" i="50" s="1"/>
  <c r="J212" i="50" s="1"/>
  <c r="K212" i="50" s="1"/>
  <c r="F192" i="50"/>
  <c r="G192" i="50" s="1"/>
  <c r="H192" i="50" s="1"/>
  <c r="I192" i="50" s="1"/>
  <c r="J192" i="50" s="1"/>
  <c r="K192" i="50" s="1"/>
  <c r="T156" i="62"/>
  <c r="U156" i="62" s="1"/>
  <c r="V156" i="62" s="1"/>
  <c r="W156" i="62" s="1"/>
  <c r="X156" i="62" s="1"/>
  <c r="Y156" i="62" s="1"/>
  <c r="T157" i="62"/>
  <c r="U157" i="62" s="1"/>
  <c r="V157" i="62" s="1"/>
  <c r="W157" i="62" s="1"/>
  <c r="X157" i="62" s="1"/>
  <c r="Y157" i="62" s="1"/>
  <c r="T158" i="62"/>
  <c r="U158" i="62" s="1"/>
  <c r="V158" i="62" s="1"/>
  <c r="W158" i="62" s="1"/>
  <c r="X158" i="62" s="1"/>
  <c r="Y158" i="62" s="1"/>
  <c r="T159" i="62"/>
  <c r="U159" i="62" s="1"/>
  <c r="V159" i="62" s="1"/>
  <c r="W159" i="62" s="1"/>
  <c r="X159" i="62" s="1"/>
  <c r="Y159" i="62" s="1"/>
  <c r="T160" i="62"/>
  <c r="U160" i="62" s="1"/>
  <c r="V160" i="62" s="1"/>
  <c r="W160" i="62" s="1"/>
  <c r="X160" i="62" s="1"/>
  <c r="Y160" i="62" s="1"/>
  <c r="T161" i="62"/>
  <c r="U161" i="62" s="1"/>
  <c r="V161" i="62" s="1"/>
  <c r="W161" i="62" s="1"/>
  <c r="X161" i="62" s="1"/>
  <c r="Y161" i="62" s="1"/>
  <c r="T162" i="62"/>
  <c r="U162" i="62" s="1"/>
  <c r="V162" i="62" s="1"/>
  <c r="W162" i="62" s="1"/>
  <c r="X162" i="62" s="1"/>
  <c r="Y162" i="62" s="1"/>
  <c r="T163" i="62"/>
  <c r="U163" i="62" s="1"/>
  <c r="V163" i="62" s="1"/>
  <c r="W163" i="62" s="1"/>
  <c r="X163" i="62" s="1"/>
  <c r="Y163" i="62" s="1"/>
  <c r="T164" i="62"/>
  <c r="U164" i="62" s="1"/>
  <c r="V164" i="62" s="1"/>
  <c r="W164" i="62" s="1"/>
  <c r="X164" i="62" s="1"/>
  <c r="Y164" i="62" s="1"/>
  <c r="T165" i="62"/>
  <c r="U165" i="62" s="1"/>
  <c r="V165" i="62" s="1"/>
  <c r="W165" i="62" s="1"/>
  <c r="X165" i="62" s="1"/>
  <c r="Y165" i="62" s="1"/>
  <c r="T166" i="62"/>
  <c r="U166" i="62" s="1"/>
  <c r="V166" i="62" s="1"/>
  <c r="W166" i="62" s="1"/>
  <c r="X166" i="62" s="1"/>
  <c r="Y166" i="62" s="1"/>
  <c r="T167" i="62"/>
  <c r="U167" i="62" s="1"/>
  <c r="V167" i="62" s="1"/>
  <c r="W167" i="62" s="1"/>
  <c r="X167" i="62" s="1"/>
  <c r="Y167" i="62" s="1"/>
  <c r="T168" i="62"/>
  <c r="U168" i="62" s="1"/>
  <c r="V168" i="62" s="1"/>
  <c r="W168" i="62" s="1"/>
  <c r="X168" i="62" s="1"/>
  <c r="Y168" i="62" s="1"/>
  <c r="T169" i="62"/>
  <c r="U169" i="62" s="1"/>
  <c r="V169" i="62" s="1"/>
  <c r="W169" i="62" s="1"/>
  <c r="X169" i="62" s="1"/>
  <c r="Y169" i="62" s="1"/>
  <c r="T170" i="62"/>
  <c r="U170" i="62" s="1"/>
  <c r="V170" i="62" s="1"/>
  <c r="W170" i="62" s="1"/>
  <c r="X170" i="62" s="1"/>
  <c r="Y170" i="62" s="1"/>
  <c r="T171" i="62"/>
  <c r="U171" i="62" s="1"/>
  <c r="V171" i="62" s="1"/>
  <c r="W171" i="62" s="1"/>
  <c r="X171" i="62" s="1"/>
  <c r="Y171" i="62" s="1"/>
  <c r="T172" i="62"/>
  <c r="U172" i="62" s="1"/>
  <c r="V172" i="62" s="1"/>
  <c r="W172" i="62" s="1"/>
  <c r="X172" i="62" s="1"/>
  <c r="Y172" i="62" s="1"/>
  <c r="T173" i="62"/>
  <c r="U173" i="62" s="1"/>
  <c r="V173" i="62" s="1"/>
  <c r="W173" i="62" s="1"/>
  <c r="X173" i="62" s="1"/>
  <c r="Y173" i="62" s="1"/>
  <c r="T174" i="62"/>
  <c r="U174" i="62" s="1"/>
  <c r="V174" i="62" s="1"/>
  <c r="W174" i="62" s="1"/>
  <c r="X174" i="62" s="1"/>
  <c r="Y174" i="62" s="1"/>
  <c r="T175" i="62"/>
  <c r="U175" i="62" s="1"/>
  <c r="V175" i="62" s="1"/>
  <c r="W175" i="62" s="1"/>
  <c r="X175" i="62" s="1"/>
  <c r="Y175" i="62" s="1"/>
  <c r="T155" i="62"/>
  <c r="U155" i="62" s="1"/>
  <c r="V155" i="62" s="1"/>
  <c r="W155" i="62" s="1"/>
  <c r="X155" i="62" s="1"/>
  <c r="Y155" i="62" s="1"/>
  <c r="M156" i="62"/>
  <c r="N156" i="62" s="1"/>
  <c r="O156" i="62" s="1"/>
  <c r="P156" i="62" s="1"/>
  <c r="Q156" i="62" s="1"/>
  <c r="R156" i="62" s="1"/>
  <c r="M157" i="62"/>
  <c r="N157" i="62" s="1"/>
  <c r="O157" i="62" s="1"/>
  <c r="P157" i="62" s="1"/>
  <c r="Q157" i="62" s="1"/>
  <c r="R157" i="62" s="1"/>
  <c r="M158" i="62"/>
  <c r="N158" i="62" s="1"/>
  <c r="O158" i="62" s="1"/>
  <c r="P158" i="62" s="1"/>
  <c r="Q158" i="62" s="1"/>
  <c r="R158" i="62" s="1"/>
  <c r="M159" i="62"/>
  <c r="N159" i="62" s="1"/>
  <c r="O159" i="62" s="1"/>
  <c r="P159" i="62" s="1"/>
  <c r="Q159" i="62" s="1"/>
  <c r="R159" i="62" s="1"/>
  <c r="M160" i="62"/>
  <c r="N160" i="62" s="1"/>
  <c r="O160" i="62" s="1"/>
  <c r="P160" i="62" s="1"/>
  <c r="Q160" i="62" s="1"/>
  <c r="R160" i="62" s="1"/>
  <c r="M161" i="62"/>
  <c r="N161" i="62" s="1"/>
  <c r="O161" i="62" s="1"/>
  <c r="P161" i="62" s="1"/>
  <c r="Q161" i="62" s="1"/>
  <c r="R161" i="62" s="1"/>
  <c r="M162" i="62"/>
  <c r="N162" i="62" s="1"/>
  <c r="O162" i="62" s="1"/>
  <c r="P162" i="62" s="1"/>
  <c r="Q162" i="62" s="1"/>
  <c r="R162" i="62" s="1"/>
  <c r="M163" i="62"/>
  <c r="N163" i="62" s="1"/>
  <c r="O163" i="62" s="1"/>
  <c r="P163" i="62" s="1"/>
  <c r="Q163" i="62" s="1"/>
  <c r="R163" i="62" s="1"/>
  <c r="M164" i="62"/>
  <c r="N164" i="62" s="1"/>
  <c r="O164" i="62" s="1"/>
  <c r="P164" i="62" s="1"/>
  <c r="Q164" i="62" s="1"/>
  <c r="R164" i="62" s="1"/>
  <c r="M165" i="62"/>
  <c r="N165" i="62" s="1"/>
  <c r="O165" i="62" s="1"/>
  <c r="P165" i="62" s="1"/>
  <c r="Q165" i="62" s="1"/>
  <c r="R165" i="62" s="1"/>
  <c r="M166" i="62"/>
  <c r="N166" i="62" s="1"/>
  <c r="O166" i="62" s="1"/>
  <c r="P166" i="62" s="1"/>
  <c r="Q166" i="62" s="1"/>
  <c r="R166" i="62" s="1"/>
  <c r="M167" i="62"/>
  <c r="N167" i="62" s="1"/>
  <c r="O167" i="62" s="1"/>
  <c r="P167" i="62" s="1"/>
  <c r="Q167" i="62" s="1"/>
  <c r="R167" i="62" s="1"/>
  <c r="M168" i="62"/>
  <c r="N168" i="62" s="1"/>
  <c r="O168" i="62" s="1"/>
  <c r="P168" i="62" s="1"/>
  <c r="Q168" i="62" s="1"/>
  <c r="R168" i="62" s="1"/>
  <c r="M169" i="62"/>
  <c r="N169" i="62" s="1"/>
  <c r="O169" i="62" s="1"/>
  <c r="P169" i="62" s="1"/>
  <c r="Q169" i="62" s="1"/>
  <c r="R169" i="62" s="1"/>
  <c r="M170" i="62"/>
  <c r="N170" i="62" s="1"/>
  <c r="O170" i="62" s="1"/>
  <c r="P170" i="62" s="1"/>
  <c r="Q170" i="62" s="1"/>
  <c r="R170" i="62" s="1"/>
  <c r="M171" i="62"/>
  <c r="N171" i="62" s="1"/>
  <c r="O171" i="62" s="1"/>
  <c r="P171" i="62" s="1"/>
  <c r="Q171" i="62" s="1"/>
  <c r="R171" i="62" s="1"/>
  <c r="M172" i="62"/>
  <c r="N172" i="62" s="1"/>
  <c r="O172" i="62" s="1"/>
  <c r="P172" i="62" s="1"/>
  <c r="Q172" i="62" s="1"/>
  <c r="R172" i="62" s="1"/>
  <c r="M173" i="62"/>
  <c r="N173" i="62" s="1"/>
  <c r="O173" i="62" s="1"/>
  <c r="P173" i="62" s="1"/>
  <c r="Q173" i="62" s="1"/>
  <c r="R173" i="62" s="1"/>
  <c r="M174" i="62"/>
  <c r="N174" i="62" s="1"/>
  <c r="O174" i="62" s="1"/>
  <c r="P174" i="62" s="1"/>
  <c r="Q174" i="62" s="1"/>
  <c r="R174" i="62" s="1"/>
  <c r="M175" i="62"/>
  <c r="N175" i="62" s="1"/>
  <c r="O175" i="62" s="1"/>
  <c r="P175" i="62" s="1"/>
  <c r="Q175" i="62" s="1"/>
  <c r="R175" i="62" s="1"/>
  <c r="M155" i="62"/>
  <c r="N155" i="62" s="1"/>
  <c r="O155" i="62" s="1"/>
  <c r="P155" i="62" s="1"/>
  <c r="Q155" i="62" s="1"/>
  <c r="R155" i="62" s="1"/>
  <c r="F156" i="62"/>
  <c r="G156" i="62" s="1"/>
  <c r="H156" i="62" s="1"/>
  <c r="I156" i="62" s="1"/>
  <c r="J156" i="62" s="1"/>
  <c r="K156" i="62" s="1"/>
  <c r="F157" i="62"/>
  <c r="G157" i="62" s="1"/>
  <c r="H157" i="62" s="1"/>
  <c r="I157" i="62" s="1"/>
  <c r="J157" i="62" s="1"/>
  <c r="K157" i="62" s="1"/>
  <c r="F158" i="62"/>
  <c r="G158" i="62" s="1"/>
  <c r="H158" i="62" s="1"/>
  <c r="I158" i="62" s="1"/>
  <c r="J158" i="62" s="1"/>
  <c r="K158" i="62" s="1"/>
  <c r="F159" i="62"/>
  <c r="G159" i="62" s="1"/>
  <c r="H159" i="62" s="1"/>
  <c r="I159" i="62" s="1"/>
  <c r="J159" i="62" s="1"/>
  <c r="K159" i="62" s="1"/>
  <c r="F160" i="62"/>
  <c r="G160" i="62" s="1"/>
  <c r="H160" i="62" s="1"/>
  <c r="I160" i="62" s="1"/>
  <c r="J160" i="62" s="1"/>
  <c r="K160" i="62" s="1"/>
  <c r="F161" i="62"/>
  <c r="G161" i="62" s="1"/>
  <c r="H161" i="62" s="1"/>
  <c r="I161" i="62" s="1"/>
  <c r="J161" i="62" s="1"/>
  <c r="K161" i="62" s="1"/>
  <c r="F162" i="62"/>
  <c r="G162" i="62" s="1"/>
  <c r="H162" i="62" s="1"/>
  <c r="I162" i="62" s="1"/>
  <c r="J162" i="62" s="1"/>
  <c r="K162" i="62" s="1"/>
  <c r="F163" i="62"/>
  <c r="G163" i="62" s="1"/>
  <c r="H163" i="62" s="1"/>
  <c r="I163" i="62" s="1"/>
  <c r="J163" i="62" s="1"/>
  <c r="K163" i="62" s="1"/>
  <c r="F164" i="62"/>
  <c r="G164" i="62" s="1"/>
  <c r="H164" i="62" s="1"/>
  <c r="I164" i="62" s="1"/>
  <c r="J164" i="62" s="1"/>
  <c r="K164" i="62" s="1"/>
  <c r="F165" i="62"/>
  <c r="G165" i="62" s="1"/>
  <c r="H165" i="62" s="1"/>
  <c r="I165" i="62" s="1"/>
  <c r="J165" i="62" s="1"/>
  <c r="K165" i="62" s="1"/>
  <c r="F166" i="62"/>
  <c r="G166" i="62" s="1"/>
  <c r="H166" i="62" s="1"/>
  <c r="I166" i="62" s="1"/>
  <c r="J166" i="62" s="1"/>
  <c r="K166" i="62" s="1"/>
  <c r="F167" i="62"/>
  <c r="G167" i="62" s="1"/>
  <c r="H167" i="62" s="1"/>
  <c r="I167" i="62" s="1"/>
  <c r="J167" i="62" s="1"/>
  <c r="K167" i="62" s="1"/>
  <c r="F168" i="62"/>
  <c r="G168" i="62" s="1"/>
  <c r="H168" i="62" s="1"/>
  <c r="I168" i="62" s="1"/>
  <c r="J168" i="62" s="1"/>
  <c r="K168" i="62" s="1"/>
  <c r="F169" i="62"/>
  <c r="G169" i="62" s="1"/>
  <c r="H169" i="62" s="1"/>
  <c r="I169" i="62" s="1"/>
  <c r="J169" i="62" s="1"/>
  <c r="K169" i="62" s="1"/>
  <c r="F170" i="62"/>
  <c r="G170" i="62" s="1"/>
  <c r="H170" i="62" s="1"/>
  <c r="I170" i="62" s="1"/>
  <c r="J170" i="62" s="1"/>
  <c r="K170" i="62" s="1"/>
  <c r="F171" i="62"/>
  <c r="G171" i="62" s="1"/>
  <c r="H171" i="62" s="1"/>
  <c r="I171" i="62" s="1"/>
  <c r="J171" i="62" s="1"/>
  <c r="K171" i="62" s="1"/>
  <c r="F172" i="62"/>
  <c r="G172" i="62" s="1"/>
  <c r="H172" i="62" s="1"/>
  <c r="I172" i="62" s="1"/>
  <c r="J172" i="62" s="1"/>
  <c r="K172" i="62" s="1"/>
  <c r="F173" i="62"/>
  <c r="G173" i="62" s="1"/>
  <c r="H173" i="62" s="1"/>
  <c r="I173" i="62" s="1"/>
  <c r="J173" i="62" s="1"/>
  <c r="K173" i="62" s="1"/>
  <c r="F174" i="62"/>
  <c r="G174" i="62" s="1"/>
  <c r="H174" i="62" s="1"/>
  <c r="I174" i="62" s="1"/>
  <c r="J174" i="62" s="1"/>
  <c r="K174" i="62" s="1"/>
  <c r="F175" i="62"/>
  <c r="G175" i="62" s="1"/>
  <c r="H175" i="62" s="1"/>
  <c r="I175" i="62" s="1"/>
  <c r="J175" i="62" s="1"/>
  <c r="K175" i="62" s="1"/>
  <c r="F155" i="62"/>
  <c r="G155" i="62" s="1"/>
  <c r="H155" i="62" s="1"/>
  <c r="I155" i="62" s="1"/>
  <c r="J155" i="62" s="1"/>
  <c r="K155" i="62" s="1"/>
  <c r="AF132" i="62"/>
  <c r="AE132" i="62"/>
  <c r="AD132" i="62"/>
  <c r="AC132" i="62"/>
  <c r="AB132" i="62"/>
  <c r="AA132" i="62"/>
  <c r="Z132" i="62"/>
  <c r="Y132" i="62"/>
  <c r="X132" i="62"/>
  <c r="W132" i="62"/>
  <c r="V132" i="62"/>
  <c r="U132" i="62"/>
  <c r="T132" i="62"/>
  <c r="S132" i="62"/>
  <c r="R132" i="62"/>
  <c r="Q132" i="62"/>
  <c r="P132" i="62"/>
  <c r="O132" i="62"/>
  <c r="N132" i="62"/>
  <c r="M132" i="62"/>
  <c r="L132" i="62"/>
  <c r="K132" i="62"/>
  <c r="J132" i="62"/>
  <c r="I132" i="62"/>
  <c r="H132" i="62"/>
  <c r="G132" i="62"/>
  <c r="F132" i="62"/>
  <c r="E132" i="62"/>
  <c r="F92" i="62" l="1"/>
  <c r="G92" i="62" s="1"/>
  <c r="H92" i="62" s="1"/>
  <c r="T92" i="62"/>
  <c r="U92" i="62" s="1"/>
  <c r="V92" i="62" s="1"/>
  <c r="W92" i="62" s="1"/>
  <c r="X92" i="62" s="1"/>
  <c r="M92" i="62"/>
  <c r="N92" i="62" s="1"/>
  <c r="O92" i="62" s="1"/>
  <c r="Y92" i="62" l="1"/>
  <c r="P92" i="62"/>
  <c r="I92" i="62"/>
  <c r="Z12" i="62"/>
  <c r="Z15" i="62"/>
  <c r="Z22" i="62"/>
  <c r="Z25" i="62"/>
  <c r="Z31" i="62"/>
  <c r="Z30" i="62" s="1"/>
  <c r="Z45" i="62"/>
  <c r="Z50" i="62"/>
  <c r="Z61" i="62"/>
  <c r="Z64" i="62"/>
  <c r="Z71" i="62"/>
  <c r="Z74" i="62"/>
  <c r="Z80" i="62"/>
  <c r="Z79" i="62" s="1"/>
  <c r="Z94" i="62"/>
  <c r="Z99" i="62"/>
  <c r="Z110" i="62"/>
  <c r="AA110" i="62"/>
  <c r="AB110" i="62"/>
  <c r="AC110" i="62"/>
  <c r="AD110" i="62"/>
  <c r="AE110" i="62"/>
  <c r="AF110" i="62"/>
  <c r="Z154" i="62"/>
  <c r="AA154" i="62"/>
  <c r="AB154" i="62"/>
  <c r="AC154" i="62"/>
  <c r="AD154" i="62"/>
  <c r="AE154" i="62"/>
  <c r="AF154" i="62"/>
  <c r="Z181" i="62"/>
  <c r="AA182" i="62"/>
  <c r="Z186" i="62"/>
  <c r="AA187" i="62"/>
  <c r="C38" i="47"/>
  <c r="B38" i="47"/>
  <c r="Z18" i="62" l="1"/>
  <c r="Z67" i="62"/>
  <c r="Z60" i="62" s="1"/>
  <c r="Q92" i="62"/>
  <c r="J92" i="62"/>
  <c r="Z11" i="62"/>
  <c r="AB11" i="62"/>
  <c r="AD11" i="62"/>
  <c r="AC11" i="62"/>
  <c r="AE11" i="62"/>
  <c r="AA11" i="62"/>
  <c r="AF11" i="62"/>
  <c r="S62" i="50"/>
  <c r="L62" i="50"/>
  <c r="E62" i="50"/>
  <c r="S37" i="50"/>
  <c r="L37" i="50"/>
  <c r="E37" i="50"/>
  <c r="S12" i="50"/>
  <c r="L12" i="50"/>
  <c r="E12" i="50"/>
  <c r="R92" i="62" l="1"/>
  <c r="K92" i="62"/>
  <c r="AA60" i="62"/>
  <c r="Z107" i="51"/>
  <c r="Z106" i="51"/>
  <c r="Z105" i="51"/>
  <c r="Z104" i="51"/>
  <c r="Z103" i="51"/>
  <c r="Z102" i="51"/>
  <c r="Z101" i="51"/>
  <c r="Z100" i="51"/>
  <c r="Z99" i="51"/>
  <c r="Z97" i="51"/>
  <c r="Z96" i="51"/>
  <c r="Z95" i="51"/>
  <c r="Z94" i="51"/>
  <c r="Z92" i="51"/>
  <c r="Z90" i="51"/>
  <c r="Z89" i="51"/>
  <c r="Z88" i="51"/>
  <c r="Z87" i="51"/>
  <c r="Z86" i="51"/>
  <c r="Z85" i="51"/>
  <c r="Z84" i="51"/>
  <c r="Z83" i="51"/>
  <c r="Z81" i="51"/>
  <c r="Z80" i="51"/>
  <c r="Z77" i="51"/>
  <c r="S107" i="51"/>
  <c r="S106" i="51"/>
  <c r="S105" i="51"/>
  <c r="S104" i="51"/>
  <c r="S103" i="51"/>
  <c r="S102" i="51"/>
  <c r="S101" i="51"/>
  <c r="S100" i="51"/>
  <c r="S99" i="51"/>
  <c r="S97" i="51"/>
  <c r="S96" i="51"/>
  <c r="S95" i="51"/>
  <c r="S94" i="51"/>
  <c r="S92" i="51"/>
  <c r="S90" i="51"/>
  <c r="S89" i="51"/>
  <c r="S88" i="51"/>
  <c r="S87" i="51"/>
  <c r="S86" i="51"/>
  <c r="S85" i="51"/>
  <c r="S84" i="51"/>
  <c r="S83" i="51"/>
  <c r="S81" i="51"/>
  <c r="S80" i="51"/>
  <c r="S77" i="51"/>
  <c r="L77" i="51"/>
  <c r="L107" i="51"/>
  <c r="L106" i="51"/>
  <c r="L105" i="51"/>
  <c r="L104" i="51"/>
  <c r="L103" i="51"/>
  <c r="L102" i="51"/>
  <c r="L101" i="51"/>
  <c r="L100" i="51"/>
  <c r="L99" i="51"/>
  <c r="L97" i="51"/>
  <c r="L96" i="51"/>
  <c r="L95" i="51"/>
  <c r="L94" i="51"/>
  <c r="L92" i="51"/>
  <c r="L90" i="51"/>
  <c r="L89" i="51"/>
  <c r="L88" i="51"/>
  <c r="L87" i="51"/>
  <c r="L86" i="51"/>
  <c r="L85" i="51"/>
  <c r="L84" i="51"/>
  <c r="L83" i="51"/>
  <c r="L81" i="51"/>
  <c r="L80" i="51"/>
  <c r="Z76" i="51"/>
  <c r="Z75" i="51"/>
  <c r="Z74" i="51"/>
  <c r="Z72" i="51"/>
  <c r="Z71" i="51"/>
  <c r="Z69" i="51"/>
  <c r="Z68" i="51"/>
  <c r="Z67" i="51"/>
  <c r="Z65" i="51"/>
  <c r="Z64" i="51"/>
  <c r="Z62" i="51"/>
  <c r="Z61" i="51"/>
  <c r="S76" i="51"/>
  <c r="S75" i="51"/>
  <c r="S74" i="51"/>
  <c r="S72" i="51"/>
  <c r="S71" i="51"/>
  <c r="S69" i="51"/>
  <c r="S68" i="51"/>
  <c r="S67" i="51"/>
  <c r="S65" i="51"/>
  <c r="S64" i="51"/>
  <c r="S62" i="51"/>
  <c r="S61" i="51"/>
  <c r="L76" i="51"/>
  <c r="L75" i="51"/>
  <c r="L74" i="51"/>
  <c r="L72" i="51"/>
  <c r="L71" i="51"/>
  <c r="L69" i="51"/>
  <c r="L68" i="51"/>
  <c r="L67" i="51"/>
  <c r="L65" i="51"/>
  <c r="L64" i="51"/>
  <c r="L62" i="51"/>
  <c r="L61" i="51"/>
  <c r="Z82" i="51" l="1"/>
  <c r="L82" i="51"/>
  <c r="S82" i="51"/>
  <c r="AB60" i="62"/>
  <c r="AC60" i="62"/>
  <c r="E68" i="50"/>
  <c r="AE106" i="41" l="1"/>
  <c r="AE105" i="41"/>
  <c r="AE100" i="41"/>
  <c r="AE99" i="41"/>
  <c r="AD60" i="62" l="1"/>
  <c r="AE60" i="62"/>
  <c r="AL79" i="54"/>
  <c r="AL72" i="54" s="1"/>
  <c r="AK79" i="54"/>
  <c r="AK72" i="54" s="1"/>
  <c r="AJ79" i="54"/>
  <c r="AJ72" i="54" s="1"/>
  <c r="AI79" i="54"/>
  <c r="AI72" i="54" s="1"/>
  <c r="AH79" i="54"/>
  <c r="AH72" i="54" s="1"/>
  <c r="AG79" i="54"/>
  <c r="AG72" i="54" s="1"/>
  <c r="AF79" i="54"/>
  <c r="AF72" i="54" s="1"/>
  <c r="AE79" i="54"/>
  <c r="AE72" i="54" s="1"/>
  <c r="AD79" i="54"/>
  <c r="AD72" i="54" s="1"/>
  <c r="AC79" i="54"/>
  <c r="AC72" i="54" s="1"/>
  <c r="Z79" i="54"/>
  <c r="Z72" i="54" s="1"/>
  <c r="Y79" i="54"/>
  <c r="Y72" i="54" s="1"/>
  <c r="X79" i="54"/>
  <c r="X72" i="54" s="1"/>
  <c r="W79" i="54"/>
  <c r="W72" i="54" s="1"/>
  <c r="V79" i="54"/>
  <c r="V72" i="54" s="1"/>
  <c r="U79" i="54"/>
  <c r="U72" i="54" s="1"/>
  <c r="T79" i="54"/>
  <c r="T72" i="54" s="1"/>
  <c r="S79" i="54"/>
  <c r="S72" i="54" s="1"/>
  <c r="R79" i="54"/>
  <c r="R72" i="54" s="1"/>
  <c r="Q79" i="54"/>
  <c r="Q72" i="54" s="1"/>
  <c r="N79" i="54"/>
  <c r="N72" i="54" s="1"/>
  <c r="M79" i="54"/>
  <c r="M72" i="54" s="1"/>
  <c r="L79" i="54"/>
  <c r="L72" i="54" s="1"/>
  <c r="K79" i="54"/>
  <c r="K72" i="54" s="1"/>
  <c r="J79" i="54"/>
  <c r="J72" i="54" s="1"/>
  <c r="I79" i="54"/>
  <c r="I72" i="54" s="1"/>
  <c r="H79" i="54"/>
  <c r="H72" i="54" s="1"/>
  <c r="G79" i="54"/>
  <c r="G72" i="54" s="1"/>
  <c r="F79" i="54"/>
  <c r="F72" i="54" s="1"/>
  <c r="E79" i="54"/>
  <c r="E72" i="54" s="1"/>
  <c r="AL66" i="54"/>
  <c r="AK66" i="54"/>
  <c r="AJ66" i="54"/>
  <c r="AI66" i="54"/>
  <c r="AH66" i="54"/>
  <c r="AG66" i="54"/>
  <c r="AF66" i="54"/>
  <c r="AE66" i="54"/>
  <c r="AD66" i="54"/>
  <c r="AC66" i="54"/>
  <c r="Z66" i="54"/>
  <c r="Y66" i="54"/>
  <c r="X66" i="54"/>
  <c r="W66" i="54"/>
  <c r="V66" i="54"/>
  <c r="U66" i="54"/>
  <c r="T66" i="54"/>
  <c r="S66" i="54"/>
  <c r="R66" i="54"/>
  <c r="Q66" i="54"/>
  <c r="N66" i="54"/>
  <c r="L66" i="54"/>
  <c r="J66" i="54"/>
  <c r="H66" i="54"/>
  <c r="F66" i="54"/>
  <c r="AL61" i="54"/>
  <c r="AJ61" i="54"/>
  <c r="AH61" i="54"/>
  <c r="AF61" i="54"/>
  <c r="AD61" i="54"/>
  <c r="Z61" i="54"/>
  <c r="Y61" i="54"/>
  <c r="X61" i="54"/>
  <c r="W61" i="54"/>
  <c r="V61" i="54"/>
  <c r="U61" i="54"/>
  <c r="T61" i="54"/>
  <c r="S61" i="54"/>
  <c r="R61" i="54"/>
  <c r="Q61" i="54"/>
  <c r="N61" i="54"/>
  <c r="L61" i="54"/>
  <c r="J61" i="54"/>
  <c r="H61" i="54"/>
  <c r="F61" i="54"/>
  <c r="AL57" i="54"/>
  <c r="AJ57" i="54"/>
  <c r="AH57" i="54"/>
  <c r="AF57" i="54"/>
  <c r="AD57" i="54"/>
  <c r="Z57" i="54"/>
  <c r="Y57" i="54"/>
  <c r="X57" i="54"/>
  <c r="W57" i="54"/>
  <c r="V57" i="54"/>
  <c r="U57" i="54"/>
  <c r="T57" i="54"/>
  <c r="S57" i="54"/>
  <c r="R57" i="54"/>
  <c r="Q57" i="54"/>
  <c r="N57" i="54"/>
  <c r="L57" i="54"/>
  <c r="J57" i="54"/>
  <c r="H57" i="54"/>
  <c r="F57" i="54"/>
  <c r="AL53" i="54"/>
  <c r="AK53" i="54"/>
  <c r="AJ53" i="54"/>
  <c r="AI53" i="54"/>
  <c r="AH53" i="54"/>
  <c r="AG53" i="54"/>
  <c r="AF53" i="54"/>
  <c r="AE53" i="54"/>
  <c r="AD53" i="54"/>
  <c r="AC53" i="54"/>
  <c r="Z53" i="54"/>
  <c r="Y53" i="54"/>
  <c r="X53" i="54"/>
  <c r="W53" i="54"/>
  <c r="V53" i="54"/>
  <c r="U53" i="54"/>
  <c r="T53" i="54"/>
  <c r="S53" i="54"/>
  <c r="R53" i="54"/>
  <c r="Q53" i="54"/>
  <c r="N53" i="54"/>
  <c r="M53" i="54"/>
  <c r="L53" i="54"/>
  <c r="K53" i="54"/>
  <c r="J53" i="54"/>
  <c r="I53" i="54"/>
  <c r="H53" i="54"/>
  <c r="G53" i="54"/>
  <c r="F53" i="54"/>
  <c r="E53" i="54"/>
  <c r="AL49" i="54"/>
  <c r="AK49" i="54"/>
  <c r="AJ49" i="54"/>
  <c r="AI49" i="54"/>
  <c r="AH49" i="54"/>
  <c r="AG49" i="54"/>
  <c r="AE49" i="54"/>
  <c r="AF49" i="54"/>
  <c r="AD49" i="54"/>
  <c r="AC49" i="54"/>
  <c r="Z49" i="54"/>
  <c r="Y49" i="54"/>
  <c r="X49" i="54"/>
  <c r="W49" i="54"/>
  <c r="V49" i="54"/>
  <c r="U49" i="54"/>
  <c r="T49" i="54"/>
  <c r="S49" i="54"/>
  <c r="R49" i="54"/>
  <c r="Q49" i="54"/>
  <c r="N49" i="54"/>
  <c r="M49" i="54"/>
  <c r="L49" i="54"/>
  <c r="K49" i="54"/>
  <c r="J49" i="54"/>
  <c r="I49" i="54"/>
  <c r="H49" i="54"/>
  <c r="G49" i="54"/>
  <c r="F49" i="54"/>
  <c r="E49" i="54"/>
  <c r="AL36" i="54"/>
  <c r="AK36" i="54"/>
  <c r="AJ36" i="54"/>
  <c r="AI36" i="54"/>
  <c r="AH36" i="54"/>
  <c r="AG36" i="54"/>
  <c r="AF36" i="54"/>
  <c r="AE36" i="54"/>
  <c r="AD36" i="54"/>
  <c r="AC36" i="54"/>
  <c r="Z36" i="54"/>
  <c r="Y36" i="54"/>
  <c r="X36" i="54"/>
  <c r="W36" i="54"/>
  <c r="V36" i="54"/>
  <c r="U36" i="54"/>
  <c r="T36" i="54"/>
  <c r="S36" i="54"/>
  <c r="R36" i="54"/>
  <c r="Q36" i="54"/>
  <c r="N36" i="54"/>
  <c r="M36" i="54"/>
  <c r="L36" i="54"/>
  <c r="K36" i="54"/>
  <c r="J36" i="54"/>
  <c r="I36" i="54"/>
  <c r="H36" i="54"/>
  <c r="G36" i="54"/>
  <c r="F36" i="54"/>
  <c r="E36" i="54"/>
  <c r="AK24" i="54"/>
  <c r="AL24" i="54"/>
  <c r="AJ24" i="54"/>
  <c r="AI24" i="54"/>
  <c r="AH24" i="54"/>
  <c r="AG24" i="54"/>
  <c r="AF24" i="54"/>
  <c r="AE24" i="54"/>
  <c r="AD24" i="54"/>
  <c r="AC24" i="54"/>
  <c r="Z24" i="54"/>
  <c r="Y24" i="54"/>
  <c r="X24" i="54"/>
  <c r="W24" i="54"/>
  <c r="V24" i="54"/>
  <c r="U24" i="54"/>
  <c r="T24" i="54"/>
  <c r="S24" i="54"/>
  <c r="R24" i="54"/>
  <c r="Q24" i="54"/>
  <c r="N24" i="54"/>
  <c r="M24" i="54"/>
  <c r="L24" i="54"/>
  <c r="K24" i="54"/>
  <c r="J24" i="54"/>
  <c r="I24" i="54"/>
  <c r="H24" i="54"/>
  <c r="G24" i="54"/>
  <c r="F24" i="54"/>
  <c r="E24" i="54"/>
  <c r="C24" i="54"/>
  <c r="AL18" i="54"/>
  <c r="AK18" i="54"/>
  <c r="AJ18" i="54"/>
  <c r="AI18" i="54"/>
  <c r="AH18" i="54"/>
  <c r="AG18" i="54"/>
  <c r="AF18" i="54"/>
  <c r="AE18" i="54"/>
  <c r="AD18" i="54"/>
  <c r="AC18" i="54"/>
  <c r="Z18" i="54"/>
  <c r="Y18" i="54"/>
  <c r="X18" i="54"/>
  <c r="W18" i="54"/>
  <c r="V18" i="54"/>
  <c r="U18" i="54"/>
  <c r="T18" i="54"/>
  <c r="S18" i="54"/>
  <c r="O18" i="54"/>
  <c r="P18" i="54"/>
  <c r="R18" i="54"/>
  <c r="Q18" i="54"/>
  <c r="N18" i="54"/>
  <c r="M18" i="54"/>
  <c r="L18" i="54"/>
  <c r="K18" i="54"/>
  <c r="J18" i="54"/>
  <c r="I18" i="54"/>
  <c r="H18" i="54"/>
  <c r="G18" i="54"/>
  <c r="F18" i="54"/>
  <c r="E18" i="54"/>
  <c r="E12" i="54"/>
  <c r="O20" i="41"/>
  <c r="N20" i="41"/>
  <c r="P20" i="41"/>
  <c r="Q20" i="41"/>
  <c r="R20" i="41"/>
  <c r="S20" i="41"/>
  <c r="S278" i="50"/>
  <c r="S277" i="50"/>
  <c r="S276" i="50"/>
  <c r="S275" i="50"/>
  <c r="S274" i="50"/>
  <c r="S273" i="50"/>
  <c r="S272" i="50"/>
  <c r="S271" i="50"/>
  <c r="S270" i="50"/>
  <c r="S269" i="50"/>
  <c r="S268" i="50"/>
  <c r="S267" i="50"/>
  <c r="S266" i="50"/>
  <c r="S265" i="50"/>
  <c r="S264" i="50"/>
  <c r="S263" i="50"/>
  <c r="S262" i="50"/>
  <c r="S261" i="50"/>
  <c r="S260" i="50"/>
  <c r="S259" i="50"/>
  <c r="S258" i="50"/>
  <c r="L278" i="50"/>
  <c r="L277" i="50"/>
  <c r="L276" i="50"/>
  <c r="L275" i="50"/>
  <c r="L274" i="50"/>
  <c r="L273" i="50"/>
  <c r="L272" i="50"/>
  <c r="L271" i="50"/>
  <c r="L270" i="50"/>
  <c r="L269" i="50"/>
  <c r="L268" i="50"/>
  <c r="L267" i="50"/>
  <c r="L266" i="50"/>
  <c r="L265" i="50"/>
  <c r="L264" i="50"/>
  <c r="L263" i="50"/>
  <c r="L262" i="50"/>
  <c r="L261" i="50"/>
  <c r="L260" i="50"/>
  <c r="L259" i="50"/>
  <c r="L258" i="50"/>
  <c r="E260" i="50"/>
  <c r="E261" i="50"/>
  <c r="E262" i="50"/>
  <c r="E263" i="50"/>
  <c r="E264" i="50"/>
  <c r="E265" i="50"/>
  <c r="E266" i="50"/>
  <c r="E267" i="50"/>
  <c r="E268" i="50"/>
  <c r="E269" i="50"/>
  <c r="E270" i="50"/>
  <c r="E271" i="50"/>
  <c r="E272" i="50"/>
  <c r="E273" i="50"/>
  <c r="E274" i="50"/>
  <c r="E275" i="50"/>
  <c r="E276" i="50"/>
  <c r="E277" i="50"/>
  <c r="E278" i="50"/>
  <c r="E258" i="50"/>
  <c r="E259" i="50"/>
  <c r="S189" i="50"/>
  <c r="S188" i="50"/>
  <c r="S187" i="50"/>
  <c r="S186" i="50"/>
  <c r="S185" i="50"/>
  <c r="S184" i="50"/>
  <c r="S183" i="50"/>
  <c r="S182" i="50"/>
  <c r="S181" i="50"/>
  <c r="S180" i="50"/>
  <c r="S179" i="50"/>
  <c r="S178" i="50"/>
  <c r="S177" i="50"/>
  <c r="S176" i="50"/>
  <c r="S175" i="50"/>
  <c r="S174" i="50"/>
  <c r="S173" i="50"/>
  <c r="S172" i="50"/>
  <c r="S171" i="50"/>
  <c r="L189" i="50"/>
  <c r="L188" i="50"/>
  <c r="L187" i="50"/>
  <c r="L186" i="50"/>
  <c r="L185" i="50"/>
  <c r="L184" i="50"/>
  <c r="L183" i="50"/>
  <c r="L182" i="50"/>
  <c r="L181" i="50"/>
  <c r="L180" i="50"/>
  <c r="L179" i="50"/>
  <c r="L178" i="50"/>
  <c r="L177" i="50"/>
  <c r="L176" i="50"/>
  <c r="L175" i="50"/>
  <c r="L174" i="50"/>
  <c r="L173" i="50"/>
  <c r="L172" i="50"/>
  <c r="L171" i="50"/>
  <c r="E173" i="50"/>
  <c r="E174" i="50"/>
  <c r="E175" i="50"/>
  <c r="E176" i="50"/>
  <c r="E177" i="50"/>
  <c r="E178" i="50"/>
  <c r="E179" i="50"/>
  <c r="E180" i="50"/>
  <c r="E181" i="50"/>
  <c r="E182" i="50"/>
  <c r="E183" i="50"/>
  <c r="E184" i="50"/>
  <c r="E185" i="50"/>
  <c r="E186" i="50"/>
  <c r="E187" i="50"/>
  <c r="E188" i="50"/>
  <c r="E189" i="50"/>
  <c r="E172" i="50"/>
  <c r="E171" i="50"/>
  <c r="E85" i="50"/>
  <c r="G28" i="54" l="1"/>
  <c r="K28" i="54"/>
  <c r="U28" i="54"/>
  <c r="Y28" i="54"/>
  <c r="AI28" i="54"/>
  <c r="AF28" i="54"/>
  <c r="Q28" i="54"/>
  <c r="F28" i="54"/>
  <c r="J28" i="54"/>
  <c r="N28" i="54"/>
  <c r="T28" i="54"/>
  <c r="X28" i="54"/>
  <c r="AD28" i="54"/>
  <c r="AH28" i="54"/>
  <c r="AL28" i="54"/>
  <c r="AE28" i="54"/>
  <c r="H28" i="54"/>
  <c r="L28" i="54"/>
  <c r="R28" i="54"/>
  <c r="V28" i="54"/>
  <c r="Z28" i="54"/>
  <c r="AJ28" i="54"/>
  <c r="E28" i="54"/>
  <c r="I28" i="54"/>
  <c r="M28" i="54"/>
  <c r="S28" i="54"/>
  <c r="W28" i="54"/>
  <c r="AC28" i="54"/>
  <c r="AG28" i="54"/>
  <c r="AK28" i="54"/>
  <c r="AF60" i="62"/>
  <c r="E11" i="54"/>
  <c r="B8" i="47" l="1"/>
  <c r="AB79" i="54" l="1"/>
  <c r="AB72" i="54" s="1"/>
  <c r="AA79" i="54"/>
  <c r="AA72" i="54" s="1"/>
  <c r="AB66" i="54"/>
  <c r="AA66" i="54"/>
  <c r="AB61" i="54"/>
  <c r="AA61" i="54"/>
  <c r="AB57" i="54"/>
  <c r="AA57" i="54"/>
  <c r="AB53" i="54"/>
  <c r="AA53" i="54"/>
  <c r="AB49" i="54"/>
  <c r="AA49" i="54"/>
  <c r="AB36" i="54"/>
  <c r="AA36" i="54"/>
  <c r="AB24" i="54"/>
  <c r="AA24" i="54"/>
  <c r="AB18" i="54"/>
  <c r="AA18" i="54"/>
  <c r="P79" i="54"/>
  <c r="P72" i="54" s="1"/>
  <c r="O79" i="54"/>
  <c r="O72" i="54" s="1"/>
  <c r="P66" i="54"/>
  <c r="O66" i="54"/>
  <c r="P61" i="54"/>
  <c r="O61" i="54"/>
  <c r="P57" i="54"/>
  <c r="O57" i="54"/>
  <c r="P53" i="54"/>
  <c r="O53" i="54"/>
  <c r="P49" i="54"/>
  <c r="O49" i="54"/>
  <c r="P36" i="54"/>
  <c r="O36" i="54"/>
  <c r="P24" i="54"/>
  <c r="O24" i="54"/>
  <c r="D79" i="54"/>
  <c r="D72" i="54" s="1"/>
  <c r="C79" i="54"/>
  <c r="C72" i="54" s="1"/>
  <c r="D66" i="54"/>
  <c r="C66" i="54"/>
  <c r="D61" i="54"/>
  <c r="C61" i="54"/>
  <c r="D57" i="54"/>
  <c r="C57" i="54"/>
  <c r="D53" i="54"/>
  <c r="C53" i="54"/>
  <c r="D49" i="54"/>
  <c r="C49" i="54"/>
  <c r="D36" i="54"/>
  <c r="D28" i="54" s="1"/>
  <c r="C36" i="54"/>
  <c r="D24" i="54"/>
  <c r="D18" i="54"/>
  <c r="C18" i="54"/>
  <c r="S108" i="50"/>
  <c r="S107" i="50"/>
  <c r="S106" i="50"/>
  <c r="S105" i="50"/>
  <c r="S104" i="50"/>
  <c r="S103" i="50"/>
  <c r="S102" i="50"/>
  <c r="S101" i="50"/>
  <c r="S100" i="50"/>
  <c r="S99" i="50"/>
  <c r="S98" i="50"/>
  <c r="S97" i="50"/>
  <c r="S96" i="50"/>
  <c r="S95" i="50"/>
  <c r="S94" i="50"/>
  <c r="S92" i="50"/>
  <c r="S91" i="50"/>
  <c r="S90" i="50"/>
  <c r="S89" i="50"/>
  <c r="S88" i="50"/>
  <c r="S86" i="50"/>
  <c r="S85" i="50"/>
  <c r="E71" i="62"/>
  <c r="L108" i="50"/>
  <c r="L107" i="50"/>
  <c r="L106" i="50"/>
  <c r="L105" i="50"/>
  <c r="L104" i="50"/>
  <c r="L103" i="50"/>
  <c r="L102" i="50"/>
  <c r="L101" i="50"/>
  <c r="L100" i="50"/>
  <c r="L99" i="50"/>
  <c r="L98" i="50"/>
  <c r="L97" i="50"/>
  <c r="L96" i="50"/>
  <c r="L95" i="50"/>
  <c r="L94" i="50"/>
  <c r="L92" i="50"/>
  <c r="L91" i="50"/>
  <c r="L90" i="50"/>
  <c r="L89" i="50"/>
  <c r="L88" i="50"/>
  <c r="L86" i="50"/>
  <c r="L85" i="50"/>
  <c r="E108" i="50"/>
  <c r="E107" i="50"/>
  <c r="E106" i="50"/>
  <c r="E105" i="50"/>
  <c r="E104" i="50"/>
  <c r="E103" i="50"/>
  <c r="E102" i="50"/>
  <c r="E101" i="50"/>
  <c r="E100" i="50"/>
  <c r="E99" i="50"/>
  <c r="E98" i="50"/>
  <c r="E97" i="50"/>
  <c r="E96" i="50"/>
  <c r="E95" i="50"/>
  <c r="E94" i="50"/>
  <c r="E92" i="50"/>
  <c r="E91" i="50"/>
  <c r="E90" i="50"/>
  <c r="E89" i="50"/>
  <c r="E88" i="50"/>
  <c r="E86" i="50"/>
  <c r="C28" i="54" l="1"/>
  <c r="AA28" i="54"/>
  <c r="AB28" i="54"/>
  <c r="O28" i="54"/>
  <c r="P28" i="54"/>
  <c r="S87" i="50"/>
  <c r="S93" i="50"/>
  <c r="L93" i="50"/>
  <c r="E93" i="50"/>
  <c r="L87" i="50"/>
  <c r="E87" i="50"/>
  <c r="E84" i="50" l="1"/>
  <c r="E43" i="50" l="1"/>
  <c r="E18" i="50"/>
  <c r="L18" i="50"/>
  <c r="S18" i="50"/>
  <c r="L43" i="50"/>
  <c r="S43" i="50"/>
  <c r="L9" i="50" l="1"/>
  <c r="E34" i="50"/>
  <c r="S9" i="50"/>
  <c r="E9" i="50"/>
  <c r="E130" i="50" l="1"/>
  <c r="E10" i="65" l="1"/>
  <c r="F10" i="65"/>
  <c r="G10" i="65"/>
  <c r="G69" i="54" s="1"/>
  <c r="G66" i="54" s="1"/>
  <c r="H10" i="65"/>
  <c r="I69" i="54" s="1"/>
  <c r="I66" i="54" s="1"/>
  <c r="I10" i="65"/>
  <c r="K69" i="54" s="1"/>
  <c r="K66" i="54" s="1"/>
  <c r="J10" i="65"/>
  <c r="M69" i="54" s="1"/>
  <c r="M66" i="54" s="1"/>
  <c r="D10" i="65"/>
  <c r="E69" i="54" l="1"/>
  <c r="E66" i="54" s="1"/>
  <c r="W54" i="39"/>
  <c r="V54" i="39"/>
  <c r="U54" i="39"/>
  <c r="T54" i="39"/>
  <c r="S54" i="39"/>
  <c r="R54" i="39"/>
  <c r="Q54" i="39"/>
  <c r="W53" i="39"/>
  <c r="V53" i="39"/>
  <c r="U53" i="39"/>
  <c r="T53" i="39"/>
  <c r="S53" i="39"/>
  <c r="R53" i="39"/>
  <c r="Q53" i="39"/>
  <c r="P12" i="39"/>
  <c r="O12" i="39"/>
  <c r="N12" i="39"/>
  <c r="M12" i="39"/>
  <c r="L12" i="39"/>
  <c r="K12" i="39"/>
  <c r="J12" i="39"/>
  <c r="S67" i="41"/>
  <c r="R67" i="41"/>
  <c r="Q67" i="41"/>
  <c r="P67" i="41"/>
  <c r="O67" i="41"/>
  <c r="N67" i="41"/>
  <c r="M67" i="41"/>
  <c r="S66" i="41"/>
  <c r="R66" i="41"/>
  <c r="Q66" i="41"/>
  <c r="P66" i="41"/>
  <c r="O66" i="41"/>
  <c r="N66" i="41"/>
  <c r="M66" i="41"/>
  <c r="S65" i="41"/>
  <c r="R65" i="41"/>
  <c r="Q65" i="41"/>
  <c r="P65" i="41"/>
  <c r="O65" i="41"/>
  <c r="N65" i="41"/>
  <c r="M65" i="41"/>
  <c r="S64" i="41"/>
  <c r="R64" i="41"/>
  <c r="Q64" i="41"/>
  <c r="P64" i="41"/>
  <c r="O64" i="41"/>
  <c r="N64" i="41"/>
  <c r="M64" i="41"/>
  <c r="S63" i="41"/>
  <c r="R63" i="41"/>
  <c r="Q63" i="41"/>
  <c r="P63" i="41"/>
  <c r="O63" i="41"/>
  <c r="N63" i="41"/>
  <c r="M63" i="41"/>
  <c r="S62" i="41"/>
  <c r="R62" i="41"/>
  <c r="Q62" i="41"/>
  <c r="P62" i="41"/>
  <c r="O62" i="41"/>
  <c r="N62" i="41"/>
  <c r="M62" i="41"/>
  <c r="S61" i="41"/>
  <c r="R61" i="41"/>
  <c r="Q61" i="41"/>
  <c r="P61" i="41"/>
  <c r="O61" i="41"/>
  <c r="N61" i="41"/>
  <c r="M61" i="41"/>
  <c r="S60" i="41"/>
  <c r="R60" i="41"/>
  <c r="Q60" i="41"/>
  <c r="P60" i="41"/>
  <c r="O60" i="41"/>
  <c r="N60" i="41"/>
  <c r="M60" i="41"/>
  <c r="S58" i="41"/>
  <c r="R58" i="41"/>
  <c r="Q58" i="41"/>
  <c r="P58" i="41"/>
  <c r="O58" i="41"/>
  <c r="N58" i="41"/>
  <c r="M58" i="41"/>
  <c r="S57" i="41"/>
  <c r="R57" i="41"/>
  <c r="Q57" i="41"/>
  <c r="P57" i="41"/>
  <c r="O57" i="41"/>
  <c r="N57" i="41"/>
  <c r="M57" i="41"/>
  <c r="S55" i="41"/>
  <c r="R55" i="41"/>
  <c r="Q55" i="41"/>
  <c r="P55" i="41"/>
  <c r="O55" i="41"/>
  <c r="N55" i="41"/>
  <c r="M55" i="41"/>
  <c r="S54" i="41"/>
  <c r="R54" i="41"/>
  <c r="Q54" i="41"/>
  <c r="P54" i="41"/>
  <c r="O54" i="41"/>
  <c r="N54" i="41"/>
  <c r="M54" i="41"/>
  <c r="S53" i="41"/>
  <c r="R53" i="41"/>
  <c r="Q53" i="41"/>
  <c r="P53" i="41"/>
  <c r="O53" i="41"/>
  <c r="N53" i="41"/>
  <c r="M53" i="41"/>
  <c r="S52" i="41"/>
  <c r="R52" i="41"/>
  <c r="Q52" i="41"/>
  <c r="P52" i="41"/>
  <c r="O52" i="41"/>
  <c r="N52" i="41"/>
  <c r="M52" i="41"/>
  <c r="S51" i="41"/>
  <c r="R51" i="41"/>
  <c r="Q51" i="41"/>
  <c r="P51" i="41"/>
  <c r="O51" i="41"/>
  <c r="N51" i="41"/>
  <c r="M51" i="41"/>
  <c r="S50" i="41"/>
  <c r="R50" i="41"/>
  <c r="Q50" i="41"/>
  <c r="P50" i="41"/>
  <c r="O50" i="41"/>
  <c r="N50" i="41"/>
  <c r="M50" i="41"/>
  <c r="S49" i="41"/>
  <c r="R49" i="41"/>
  <c r="Q49" i="41"/>
  <c r="P49" i="41"/>
  <c r="O49" i="41"/>
  <c r="N49" i="41"/>
  <c r="M49" i="41"/>
  <c r="S48" i="41"/>
  <c r="R48" i="41"/>
  <c r="Q48" i="41"/>
  <c r="P48" i="41"/>
  <c r="O48" i="41"/>
  <c r="N48" i="41"/>
  <c r="M48" i="41"/>
  <c r="S46" i="41"/>
  <c r="R46" i="41"/>
  <c r="Q46" i="41"/>
  <c r="P46" i="41"/>
  <c r="O46" i="41"/>
  <c r="N46" i="41"/>
  <c r="M46" i="41"/>
  <c r="S45" i="41"/>
  <c r="R45" i="41"/>
  <c r="Q45" i="41"/>
  <c r="P45" i="41"/>
  <c r="O45" i="41"/>
  <c r="N45" i="41"/>
  <c r="M45" i="41"/>
  <c r="S44" i="41"/>
  <c r="R44" i="41"/>
  <c r="Q44" i="41"/>
  <c r="P44" i="41"/>
  <c r="O44" i="41"/>
  <c r="N44" i="41"/>
  <c r="M44" i="41"/>
  <c r="S43" i="41"/>
  <c r="R43" i="41"/>
  <c r="Q43" i="41"/>
  <c r="P43" i="41"/>
  <c r="O43" i="41"/>
  <c r="N43" i="41"/>
  <c r="M43" i="41"/>
  <c r="S42" i="41"/>
  <c r="R42" i="41"/>
  <c r="Q42" i="41"/>
  <c r="P42" i="41"/>
  <c r="O42" i="41"/>
  <c r="N42" i="41"/>
  <c r="M42" i="41"/>
  <c r="S41" i="41"/>
  <c r="R41" i="41"/>
  <c r="Q41" i="41"/>
  <c r="P41" i="41"/>
  <c r="O41" i="41"/>
  <c r="N41" i="41"/>
  <c r="M41" i="41"/>
  <c r="S40" i="41"/>
  <c r="R40" i="41"/>
  <c r="Q40" i="41"/>
  <c r="P40" i="41"/>
  <c r="O40" i="41"/>
  <c r="N40" i="41"/>
  <c r="M40" i="41"/>
  <c r="S39" i="41"/>
  <c r="R39" i="41"/>
  <c r="Q39" i="41"/>
  <c r="P39" i="41"/>
  <c r="O39" i="41"/>
  <c r="N39" i="41"/>
  <c r="M39" i="41"/>
  <c r="S38" i="41"/>
  <c r="R38" i="41"/>
  <c r="Q38" i="41"/>
  <c r="P38" i="41"/>
  <c r="O38" i="41"/>
  <c r="N38" i="41"/>
  <c r="M38" i="41"/>
  <c r="S37" i="41"/>
  <c r="R37" i="41"/>
  <c r="Q37" i="41"/>
  <c r="P37" i="41"/>
  <c r="O37" i="41"/>
  <c r="N37" i="41"/>
  <c r="M37" i="41"/>
  <c r="S36" i="41"/>
  <c r="R36" i="41"/>
  <c r="Q36" i="41"/>
  <c r="P36" i="41"/>
  <c r="O36" i="41"/>
  <c r="N36" i="41"/>
  <c r="M36" i="41"/>
  <c r="S34" i="41"/>
  <c r="R34" i="41"/>
  <c r="Q34" i="41"/>
  <c r="P34" i="41"/>
  <c r="O34" i="41"/>
  <c r="N34" i="41"/>
  <c r="M34" i="41"/>
  <c r="S33" i="41"/>
  <c r="R33" i="41"/>
  <c r="Q33" i="41"/>
  <c r="P33" i="41"/>
  <c r="O33" i="41"/>
  <c r="N33" i="41"/>
  <c r="M33" i="41"/>
  <c r="S32" i="41"/>
  <c r="R32" i="41"/>
  <c r="Q32" i="41"/>
  <c r="P32" i="41"/>
  <c r="O32" i="41"/>
  <c r="N32" i="41"/>
  <c r="M32" i="41"/>
  <c r="S31" i="41"/>
  <c r="R31" i="41"/>
  <c r="Q31" i="41"/>
  <c r="P31" i="41"/>
  <c r="O31" i="41"/>
  <c r="N31" i="41"/>
  <c r="M31" i="41"/>
  <c r="S30" i="41"/>
  <c r="R30" i="41"/>
  <c r="Q30" i="41"/>
  <c r="P30" i="41"/>
  <c r="O30" i="41"/>
  <c r="N30" i="41"/>
  <c r="M30" i="41"/>
  <c r="S29" i="41"/>
  <c r="R29" i="41"/>
  <c r="Q29" i="41"/>
  <c r="P29" i="41"/>
  <c r="O29" i="41"/>
  <c r="N29" i="41"/>
  <c r="M29" i="41"/>
  <c r="S28" i="41"/>
  <c r="R28" i="41"/>
  <c r="Q28" i="41"/>
  <c r="P28" i="41"/>
  <c r="O28" i="41"/>
  <c r="N28" i="41"/>
  <c r="M28" i="41"/>
  <c r="S27" i="41"/>
  <c r="R27" i="41"/>
  <c r="Q27" i="41"/>
  <c r="P27" i="41"/>
  <c r="O27" i="41"/>
  <c r="N27" i="41"/>
  <c r="M27" i="41"/>
  <c r="S26" i="41"/>
  <c r="R26" i="41"/>
  <c r="Q26" i="41"/>
  <c r="P26" i="41"/>
  <c r="O26" i="41"/>
  <c r="N26" i="41"/>
  <c r="M26" i="41"/>
  <c r="S25" i="41"/>
  <c r="R25" i="41"/>
  <c r="Q25" i="41"/>
  <c r="P25" i="41"/>
  <c r="O25" i="41"/>
  <c r="N25" i="41"/>
  <c r="M25" i="41"/>
  <c r="S24" i="41"/>
  <c r="R24" i="41"/>
  <c r="Q24" i="41"/>
  <c r="P24" i="41"/>
  <c r="O24" i="41"/>
  <c r="N24" i="41"/>
  <c r="M24" i="41"/>
  <c r="S23" i="41"/>
  <c r="R23" i="41"/>
  <c r="Q23" i="41"/>
  <c r="P23" i="41"/>
  <c r="O23" i="41"/>
  <c r="N23" i="41"/>
  <c r="M23" i="41"/>
  <c r="S22" i="41"/>
  <c r="R22" i="41"/>
  <c r="Q22" i="41"/>
  <c r="P22" i="41"/>
  <c r="O22" i="41"/>
  <c r="N22" i="41"/>
  <c r="M22" i="41"/>
  <c r="S21" i="41"/>
  <c r="R21" i="41"/>
  <c r="Q21" i="41"/>
  <c r="P21" i="41"/>
  <c r="O21" i="41"/>
  <c r="N21" i="41"/>
  <c r="M21" i="41"/>
  <c r="M20" i="41"/>
  <c r="S19" i="41"/>
  <c r="R19" i="41"/>
  <c r="Q19" i="41"/>
  <c r="P19" i="41"/>
  <c r="O19" i="41"/>
  <c r="N19" i="41"/>
  <c r="M19" i="41"/>
  <c r="S18" i="41"/>
  <c r="R18" i="41"/>
  <c r="Q18" i="41"/>
  <c r="P18" i="41"/>
  <c r="O18" i="41"/>
  <c r="N18" i="41"/>
  <c r="M18" i="41"/>
  <c r="S17" i="41"/>
  <c r="R17" i="41"/>
  <c r="Q17" i="41"/>
  <c r="P17" i="41"/>
  <c r="O17" i="41"/>
  <c r="N17" i="41"/>
  <c r="M17" i="41"/>
  <c r="S16" i="41"/>
  <c r="R16" i="41"/>
  <c r="Q16" i="41"/>
  <c r="P16" i="41"/>
  <c r="O16" i="41"/>
  <c r="N16" i="41"/>
  <c r="M16" i="41"/>
  <c r="S15" i="41"/>
  <c r="R15" i="41"/>
  <c r="Q15" i="41"/>
  <c r="P15" i="41"/>
  <c r="O15" i="41"/>
  <c r="N15" i="41"/>
  <c r="M15" i="41"/>
  <c r="S14" i="41"/>
  <c r="R14" i="41"/>
  <c r="Q14" i="41"/>
  <c r="P14" i="41"/>
  <c r="O14" i="41"/>
  <c r="N14" i="41"/>
  <c r="M14" i="41"/>
  <c r="S13" i="41"/>
  <c r="R13" i="41"/>
  <c r="Q13" i="41"/>
  <c r="P13" i="41"/>
  <c r="O13" i="41"/>
  <c r="N13" i="41"/>
  <c r="M13" i="41"/>
  <c r="S12" i="41"/>
  <c r="R12" i="41"/>
  <c r="Q12" i="41"/>
  <c r="P12" i="41"/>
  <c r="O12" i="41"/>
  <c r="N12" i="41"/>
  <c r="M12" i="41"/>
  <c r="S11" i="41"/>
  <c r="R11" i="41"/>
  <c r="Q11" i="41"/>
  <c r="P11" i="41"/>
  <c r="O11" i="41"/>
  <c r="N11" i="41"/>
  <c r="M11" i="41"/>
  <c r="F25" i="2" l="1"/>
  <c r="G25" i="2"/>
  <c r="H25" i="2"/>
  <c r="I25" i="2"/>
  <c r="J25" i="2"/>
  <c r="K25" i="2"/>
  <c r="E25" i="2"/>
  <c r="F216" i="50" l="1"/>
  <c r="F238" i="50" s="1"/>
  <c r="M216" i="50"/>
  <c r="M238" i="50" s="1"/>
  <c r="M217" i="50"/>
  <c r="M239" i="50" s="1"/>
  <c r="T217" i="50"/>
  <c r="T239" i="50" s="1"/>
  <c r="F222" i="50"/>
  <c r="F244" i="50" s="1"/>
  <c r="M222" i="50"/>
  <c r="M244" i="50" s="1"/>
  <c r="F217" i="50" l="1"/>
  <c r="F239" i="50" s="1"/>
  <c r="F261" i="50" s="1"/>
  <c r="T216" i="50"/>
  <c r="T238" i="50" s="1"/>
  <c r="T260" i="50" s="1"/>
  <c r="W222" i="50"/>
  <c r="R222" i="50"/>
  <c r="U217" i="50"/>
  <c r="U239" i="50" s="1"/>
  <c r="U261" i="50" s="1"/>
  <c r="G217" i="50"/>
  <c r="N216" i="50"/>
  <c r="N238" i="50" s="1"/>
  <c r="N260" i="50" s="1"/>
  <c r="N217" i="50"/>
  <c r="N239" i="50" s="1"/>
  <c r="N261" i="50" s="1"/>
  <c r="Y216" i="50"/>
  <c r="W216" i="50"/>
  <c r="G216" i="50"/>
  <c r="G238" i="50" s="1"/>
  <c r="P222" i="50"/>
  <c r="Q222" i="50"/>
  <c r="N222" i="50"/>
  <c r="N244" i="50" s="1"/>
  <c r="N266" i="50" s="1"/>
  <c r="T222" i="50"/>
  <c r="T244" i="50" s="1"/>
  <c r="T266" i="50" s="1"/>
  <c r="U222" i="50"/>
  <c r="Y222" i="50"/>
  <c r="F260" i="50"/>
  <c r="M260" i="50"/>
  <c r="U216" i="50"/>
  <c r="U238" i="50" s="1"/>
  <c r="T261" i="50"/>
  <c r="M261" i="50"/>
  <c r="V216" i="50"/>
  <c r="F266" i="50"/>
  <c r="V222" i="50"/>
  <c r="M266" i="50"/>
  <c r="O222" i="50"/>
  <c r="G239" i="50" l="1"/>
  <c r="G261" i="50" s="1"/>
  <c r="X216" i="50"/>
  <c r="X222" i="50"/>
  <c r="V217" i="50"/>
  <c r="V239" i="50" s="1"/>
  <c r="V261" i="50" s="1"/>
  <c r="G222" i="50"/>
  <c r="G244" i="50" s="1"/>
  <c r="G266" i="50" s="1"/>
  <c r="H216" i="50"/>
  <c r="H238" i="50" s="1"/>
  <c r="O217" i="50"/>
  <c r="O239" i="50" s="1"/>
  <c r="O216" i="50"/>
  <c r="O238" i="50" s="1"/>
  <c r="O260" i="50" s="1"/>
  <c r="H217" i="50"/>
  <c r="H239" i="50" s="1"/>
  <c r="W217" i="50"/>
  <c r="G260" i="50"/>
  <c r="U244" i="50"/>
  <c r="U266" i="50" s="1"/>
  <c r="U260" i="50"/>
  <c r="V238" i="50"/>
  <c r="V260" i="50" s="1"/>
  <c r="O244" i="50"/>
  <c r="O266" i="50" s="1"/>
  <c r="E15" i="21"/>
  <c r="E13" i="21" s="1"/>
  <c r="D15" i="21"/>
  <c r="D13" i="21" s="1"/>
  <c r="H222" i="50" l="1"/>
  <c r="H244" i="50" s="1"/>
  <c r="H266" i="50" s="1"/>
  <c r="V244" i="50"/>
  <c r="V266" i="50" s="1"/>
  <c r="W239" i="50"/>
  <c r="W261" i="50" s="1"/>
  <c r="O261" i="50"/>
  <c r="H261" i="50"/>
  <c r="H260" i="50"/>
  <c r="P216" i="50"/>
  <c r="P238" i="50" s="1"/>
  <c r="P260" i="50" s="1"/>
  <c r="P217" i="50"/>
  <c r="P239" i="50" s="1"/>
  <c r="Y217" i="50"/>
  <c r="X217" i="50"/>
  <c r="I217" i="50"/>
  <c r="I239" i="50" s="1"/>
  <c r="I216" i="50"/>
  <c r="I238" i="50" s="1"/>
  <c r="W238" i="50"/>
  <c r="X238" i="50" s="1"/>
  <c r="P244" i="50"/>
  <c r="Q244" i="50" s="1"/>
  <c r="W244" i="50" l="1"/>
  <c r="X239" i="50"/>
  <c r="Y239" i="50" s="1"/>
  <c r="Y261" i="50" s="1"/>
  <c r="I222" i="50"/>
  <c r="I244" i="50" s="1"/>
  <c r="P266" i="50"/>
  <c r="W260" i="50"/>
  <c r="I260" i="50"/>
  <c r="I261" i="50"/>
  <c r="P261" i="50"/>
  <c r="K216" i="50"/>
  <c r="J216" i="50"/>
  <c r="J238" i="50" s="1"/>
  <c r="K217" i="50"/>
  <c r="J217" i="50"/>
  <c r="J239" i="50" s="1"/>
  <c r="Q217" i="50"/>
  <c r="Q239" i="50" s="1"/>
  <c r="R217" i="50"/>
  <c r="Q216" i="50"/>
  <c r="Q238" i="50" s="1"/>
  <c r="R216" i="50"/>
  <c r="X260" i="50"/>
  <c r="Y238" i="50"/>
  <c r="Y260" i="50" s="1"/>
  <c r="Q266" i="50"/>
  <c r="R244" i="50"/>
  <c r="R266" i="50" s="1"/>
  <c r="B34" i="48"/>
  <c r="B21" i="48"/>
  <c r="AF30" i="60"/>
  <c r="AE31" i="60"/>
  <c r="AS24" i="60"/>
  <c r="AY28" i="60"/>
  <c r="AX28" i="60"/>
  <c r="AW28" i="60"/>
  <c r="AV28" i="60"/>
  <c r="AU28" i="60"/>
  <c r="AT28" i="60"/>
  <c r="AY27" i="60"/>
  <c r="AX27" i="60"/>
  <c r="AW27" i="60"/>
  <c r="AV27" i="60"/>
  <c r="AU27" i="60"/>
  <c r="AT27" i="60"/>
  <c r="AS27" i="60"/>
  <c r="AY26" i="60"/>
  <c r="AX26" i="60"/>
  <c r="AW26" i="60"/>
  <c r="AV26" i="60"/>
  <c r="AU26" i="60"/>
  <c r="AT26" i="60"/>
  <c r="AS26" i="60"/>
  <c r="AY25" i="60"/>
  <c r="AX25" i="60"/>
  <c r="AW25" i="60"/>
  <c r="AV25" i="60"/>
  <c r="AU25" i="60"/>
  <c r="AT25" i="60"/>
  <c r="AS25" i="60"/>
  <c r="AY24" i="60"/>
  <c r="AX24" i="60"/>
  <c r="AW24" i="60"/>
  <c r="AV24" i="60"/>
  <c r="AU24" i="60"/>
  <c r="AT24" i="60"/>
  <c r="AY23" i="60"/>
  <c r="AX23" i="60"/>
  <c r="AW23" i="60"/>
  <c r="AV23" i="60"/>
  <c r="AU23" i="60"/>
  <c r="AT23" i="60"/>
  <c r="AS23" i="60"/>
  <c r="AY22" i="60"/>
  <c r="AX22" i="60"/>
  <c r="AW22" i="60"/>
  <c r="AV22" i="60"/>
  <c r="AU22" i="60"/>
  <c r="AT22" i="60"/>
  <c r="AS22" i="60"/>
  <c r="AY20" i="60"/>
  <c r="AX20" i="60"/>
  <c r="AW20" i="60"/>
  <c r="AV20" i="60"/>
  <c r="AU20" i="60"/>
  <c r="AT20" i="60"/>
  <c r="AS20" i="60"/>
  <c r="AY19" i="60"/>
  <c r="AX19" i="60"/>
  <c r="AW19" i="60"/>
  <c r="AV19" i="60"/>
  <c r="AU19" i="60"/>
  <c r="AT19" i="60"/>
  <c r="AY18" i="60"/>
  <c r="AX18" i="60"/>
  <c r="AW18" i="60"/>
  <c r="AV18" i="60"/>
  <c r="AU18" i="60"/>
  <c r="AT18" i="60"/>
  <c r="AS18" i="60"/>
  <c r="AS12" i="60"/>
  <c r="AT12" i="60"/>
  <c r="AU12" i="60"/>
  <c r="AV12" i="60"/>
  <c r="AW12" i="60"/>
  <c r="AX12" i="60"/>
  <c r="AY12" i="60"/>
  <c r="AS13" i="60"/>
  <c r="AT13" i="60"/>
  <c r="AU13" i="60"/>
  <c r="AV13" i="60"/>
  <c r="AW13" i="60"/>
  <c r="AX13" i="60"/>
  <c r="AY13" i="60"/>
  <c r="AT11" i="60"/>
  <c r="AU11" i="60"/>
  <c r="AV11" i="60"/>
  <c r="AW11" i="60"/>
  <c r="AX11" i="60"/>
  <c r="AY11" i="60"/>
  <c r="AS11" i="60"/>
  <c r="AR21" i="60"/>
  <c r="AQ21" i="60"/>
  <c r="AP21" i="60"/>
  <c r="AO21" i="60"/>
  <c r="AN21" i="60"/>
  <c r="AM21" i="60"/>
  <c r="AL21" i="60"/>
  <c r="AR31" i="60"/>
  <c r="AQ31" i="60"/>
  <c r="AP31" i="60"/>
  <c r="AO31" i="60"/>
  <c r="AN31" i="60"/>
  <c r="AM31" i="60"/>
  <c r="AL31" i="60"/>
  <c r="AR30" i="60"/>
  <c r="AQ30" i="60"/>
  <c r="AP30" i="60"/>
  <c r="AO30" i="60"/>
  <c r="AN30" i="60"/>
  <c r="AM30" i="60"/>
  <c r="AL30" i="60"/>
  <c r="AR29" i="60"/>
  <c r="AQ29" i="60"/>
  <c r="AP29" i="60"/>
  <c r="AO29" i="60"/>
  <c r="AN29" i="60"/>
  <c r="AM29" i="60"/>
  <c r="AL29" i="60"/>
  <c r="AR14" i="60"/>
  <c r="AQ14" i="60"/>
  <c r="AP14" i="60"/>
  <c r="AO14" i="60"/>
  <c r="AN14" i="60"/>
  <c r="AM14" i="60"/>
  <c r="AL14" i="60"/>
  <c r="AK21" i="60"/>
  <c r="AJ21" i="60"/>
  <c r="AI21" i="60"/>
  <c r="AH21" i="60"/>
  <c r="AG21" i="60"/>
  <c r="AF21" i="60"/>
  <c r="AE21" i="60"/>
  <c r="AK31" i="60"/>
  <c r="AJ31" i="60"/>
  <c r="AI31" i="60"/>
  <c r="AH31" i="60"/>
  <c r="AG31" i="60"/>
  <c r="AF31" i="60"/>
  <c r="AK30" i="60"/>
  <c r="AJ30" i="60"/>
  <c r="AI30" i="60"/>
  <c r="AH30" i="60"/>
  <c r="AG30" i="60"/>
  <c r="AE30" i="60"/>
  <c r="AK29" i="60"/>
  <c r="AJ29" i="60"/>
  <c r="AI29" i="60"/>
  <c r="AH29" i="60"/>
  <c r="AG29" i="60"/>
  <c r="AF29" i="60"/>
  <c r="AE29" i="60"/>
  <c r="AK14" i="60"/>
  <c r="AJ14" i="60"/>
  <c r="AI14" i="60"/>
  <c r="AH14" i="60"/>
  <c r="AG14" i="60"/>
  <c r="AF14" i="60"/>
  <c r="AE14" i="60"/>
  <c r="D23" i="46"/>
  <c r="C32" i="48"/>
  <c r="D32" i="48"/>
  <c r="E32" i="48"/>
  <c r="F32" i="48"/>
  <c r="G32" i="48"/>
  <c r="H32" i="48"/>
  <c r="C33" i="48"/>
  <c r="D33" i="48"/>
  <c r="E33" i="48"/>
  <c r="F33" i="48"/>
  <c r="G33" i="48"/>
  <c r="H33" i="48"/>
  <c r="C8" i="48"/>
  <c r="C19" i="48" s="1"/>
  <c r="B8" i="48"/>
  <c r="B19" i="48" s="1"/>
  <c r="B17" i="47"/>
  <c r="K23" i="46"/>
  <c r="X261" i="50" l="1"/>
  <c r="R238" i="50"/>
  <c r="R260" i="50" s="1"/>
  <c r="X244" i="50"/>
  <c r="W266" i="50"/>
  <c r="AH32" i="60"/>
  <c r="I266" i="50"/>
  <c r="Q260" i="50"/>
  <c r="K222" i="50"/>
  <c r="J222" i="50"/>
  <c r="J244" i="50" s="1"/>
  <c r="AO32" i="60"/>
  <c r="AG32" i="60"/>
  <c r="AK32" i="60"/>
  <c r="AN32" i="60"/>
  <c r="AR32" i="60"/>
  <c r="R239" i="50"/>
  <c r="R261" i="50" s="1"/>
  <c r="Q261" i="50"/>
  <c r="K239" i="50"/>
  <c r="K261" i="50" s="1"/>
  <c r="J261" i="50"/>
  <c r="K238" i="50"/>
  <c r="K260" i="50" s="1"/>
  <c r="J260" i="50"/>
  <c r="AE32" i="60"/>
  <c r="AI32" i="60"/>
  <c r="AL32" i="60"/>
  <c r="AP32" i="60"/>
  <c r="AF32" i="60"/>
  <c r="AJ32" i="60"/>
  <c r="AM32" i="60"/>
  <c r="AQ32" i="60"/>
  <c r="AM35" i="60"/>
  <c r="AM33" i="60"/>
  <c r="AO35" i="60"/>
  <c r="AO33" i="60"/>
  <c r="AQ35" i="60"/>
  <c r="AQ33" i="60"/>
  <c r="AL36" i="60"/>
  <c r="AL34" i="60"/>
  <c r="AN36" i="60"/>
  <c r="AN34" i="60"/>
  <c r="AP36" i="60"/>
  <c r="AP34" i="60"/>
  <c r="AR36" i="60"/>
  <c r="AR34" i="60"/>
  <c r="AL35" i="60"/>
  <c r="AL33" i="60"/>
  <c r="AN35" i="60"/>
  <c r="AN33" i="60"/>
  <c r="AP35" i="60"/>
  <c r="AP33" i="60"/>
  <c r="AR35" i="60"/>
  <c r="AR33" i="60"/>
  <c r="AM36" i="60"/>
  <c r="AM34" i="60"/>
  <c r="AO36" i="60"/>
  <c r="AO34" i="60"/>
  <c r="AQ36" i="60"/>
  <c r="AQ34" i="60"/>
  <c r="AF35" i="60"/>
  <c r="AF33" i="60"/>
  <c r="AH35" i="60"/>
  <c r="AH33" i="60"/>
  <c r="AJ35" i="60"/>
  <c r="AJ33" i="60"/>
  <c r="AE36" i="60"/>
  <c r="AE34" i="60"/>
  <c r="AG36" i="60"/>
  <c r="AG34" i="60"/>
  <c r="AI36" i="60"/>
  <c r="AI34" i="60"/>
  <c r="AK36" i="60"/>
  <c r="AK34" i="60"/>
  <c r="AE35" i="60"/>
  <c r="AE33" i="60"/>
  <c r="AG35" i="60"/>
  <c r="AG33" i="60"/>
  <c r="AI35" i="60"/>
  <c r="AI33" i="60"/>
  <c r="AK35" i="60"/>
  <c r="AK33" i="60"/>
  <c r="AF36" i="60"/>
  <c r="AF34" i="60"/>
  <c r="AH36" i="60"/>
  <c r="AH34" i="60"/>
  <c r="AJ36" i="60"/>
  <c r="AJ34" i="60"/>
  <c r="X266" i="50" l="1"/>
  <c r="Y244" i="50"/>
  <c r="Y266" i="50" s="1"/>
  <c r="J266" i="50"/>
  <c r="K244" i="50"/>
  <c r="K266" i="50" s="1"/>
  <c r="C14" i="60"/>
  <c r="E111" i="1" s="1"/>
  <c r="E110" i="62" l="1"/>
  <c r="F102" i="62"/>
  <c r="M102" i="62"/>
  <c r="T102" i="62"/>
  <c r="U102" i="62" l="1"/>
  <c r="G102" i="62"/>
  <c r="N102" i="62"/>
  <c r="Z98" i="51"/>
  <c r="S98" i="51"/>
  <c r="L98" i="51"/>
  <c r="E101" i="51"/>
  <c r="E52" i="51"/>
  <c r="F52" i="51"/>
  <c r="G52" i="51"/>
  <c r="H52" i="51"/>
  <c r="I52" i="51"/>
  <c r="J52" i="51"/>
  <c r="K52" i="51"/>
  <c r="L52" i="51"/>
  <c r="M52" i="51"/>
  <c r="N52" i="51"/>
  <c r="O52" i="51"/>
  <c r="P52" i="51"/>
  <c r="Q52" i="51"/>
  <c r="R52" i="51"/>
  <c r="S52" i="51"/>
  <c r="T52" i="51"/>
  <c r="U52" i="51"/>
  <c r="V52" i="51"/>
  <c r="W52" i="51"/>
  <c r="X52" i="51"/>
  <c r="Y52" i="51"/>
  <c r="Z52" i="51"/>
  <c r="AA52" i="51"/>
  <c r="AB52" i="51"/>
  <c r="AC52" i="51"/>
  <c r="AD52" i="51"/>
  <c r="AE52" i="51"/>
  <c r="AF52" i="51"/>
  <c r="F110" i="62"/>
  <c r="M224" i="50"/>
  <c r="M246" i="50" s="1"/>
  <c r="M268" i="50" s="1"/>
  <c r="T224" i="50"/>
  <c r="T246" i="50" s="1"/>
  <c r="T268" i="50" s="1"/>
  <c r="E99" i="62"/>
  <c r="E50" i="62"/>
  <c r="S99" i="62"/>
  <c r="L99" i="62"/>
  <c r="I50" i="62"/>
  <c r="Y50" i="62"/>
  <c r="X50" i="62"/>
  <c r="W50" i="62"/>
  <c r="V50" i="62"/>
  <c r="U50" i="62"/>
  <c r="T50" i="62"/>
  <c r="S50" i="62"/>
  <c r="R50" i="62"/>
  <c r="Q50" i="62"/>
  <c r="P50" i="62"/>
  <c r="O50" i="62"/>
  <c r="N50" i="62"/>
  <c r="M50" i="62"/>
  <c r="L50" i="62"/>
  <c r="K50" i="62"/>
  <c r="J50" i="62"/>
  <c r="H50" i="62"/>
  <c r="G50" i="62"/>
  <c r="F50" i="62"/>
  <c r="N224" i="50" l="1"/>
  <c r="N246" i="50" s="1"/>
  <c r="O102" i="62"/>
  <c r="H102" i="62"/>
  <c r="V102" i="62"/>
  <c r="F224" i="50"/>
  <c r="F246" i="50" s="1"/>
  <c r="W102" i="62" l="1"/>
  <c r="I102" i="62"/>
  <c r="P102" i="62"/>
  <c r="U224" i="50"/>
  <c r="U246" i="50" s="1"/>
  <c r="O224" i="50"/>
  <c r="O246" i="50" s="1"/>
  <c r="N268" i="50"/>
  <c r="F268" i="50"/>
  <c r="G224" i="50"/>
  <c r="G246" i="50" s="1"/>
  <c r="E10" i="41"/>
  <c r="Q102" i="62" l="1"/>
  <c r="J102" i="62"/>
  <c r="X102" i="62"/>
  <c r="U268" i="50"/>
  <c r="P224" i="50"/>
  <c r="P246" i="50" s="1"/>
  <c r="O268" i="50"/>
  <c r="V224" i="50"/>
  <c r="V246" i="50" s="1"/>
  <c r="G268" i="50"/>
  <c r="H224" i="50"/>
  <c r="H246" i="50" s="1"/>
  <c r="E57" i="65"/>
  <c r="D57" i="65"/>
  <c r="E32" i="1"/>
  <c r="F32" i="1"/>
  <c r="G32" i="1"/>
  <c r="Y102" i="62" l="1"/>
  <c r="K102" i="62"/>
  <c r="R102" i="62"/>
  <c r="P268" i="50"/>
  <c r="V268" i="50"/>
  <c r="W224" i="50"/>
  <c r="W246" i="50" s="1"/>
  <c r="R224" i="50"/>
  <c r="Q224" i="50"/>
  <c r="Q246" i="50" s="1"/>
  <c r="H268" i="50"/>
  <c r="I224" i="50"/>
  <c r="I246" i="50" s="1"/>
  <c r="R70" i="53"/>
  <c r="Q70" i="53"/>
  <c r="V70" i="53" s="1"/>
  <c r="J69" i="53"/>
  <c r="D69" i="53"/>
  <c r="C69" i="53"/>
  <c r="G69" i="53" s="1"/>
  <c r="J14" i="60"/>
  <c r="K14" i="60"/>
  <c r="L14" i="60"/>
  <c r="M14" i="60"/>
  <c r="N14" i="60"/>
  <c r="O14" i="60"/>
  <c r="P14" i="60"/>
  <c r="Q14" i="60"/>
  <c r="R14" i="60"/>
  <c r="S14" i="60"/>
  <c r="T14" i="60"/>
  <c r="U14" i="60"/>
  <c r="V14" i="60"/>
  <c r="W14" i="60"/>
  <c r="X14" i="60"/>
  <c r="Y14" i="60"/>
  <c r="Z14" i="60"/>
  <c r="AA14" i="60"/>
  <c r="AB14" i="60"/>
  <c r="AC14" i="60"/>
  <c r="AD14" i="60"/>
  <c r="D14" i="60"/>
  <c r="F111" i="1" s="1"/>
  <c r="E14" i="60"/>
  <c r="G111" i="1" s="1"/>
  <c r="F14" i="60"/>
  <c r="H111" i="1" s="1"/>
  <c r="G14" i="60"/>
  <c r="I111" i="1" s="1"/>
  <c r="H14" i="60"/>
  <c r="J111" i="1" s="1"/>
  <c r="I14" i="60"/>
  <c r="K111" i="1" s="1"/>
  <c r="AX14" i="60" l="1"/>
  <c r="AT14" i="60"/>
  <c r="AW14" i="60"/>
  <c r="AS14" i="60"/>
  <c r="E69" i="53"/>
  <c r="R246" i="50"/>
  <c r="R268" i="50" s="1"/>
  <c r="Q268" i="50"/>
  <c r="W268" i="50"/>
  <c r="AY14" i="60"/>
  <c r="AU14" i="60"/>
  <c r="AV14" i="60"/>
  <c r="Y224" i="50"/>
  <c r="X224" i="50"/>
  <c r="X246" i="50" s="1"/>
  <c r="I268" i="50"/>
  <c r="K224" i="50"/>
  <c r="J224" i="50"/>
  <c r="J246" i="50" s="1"/>
  <c r="H69" i="53"/>
  <c r="I69" i="53"/>
  <c r="S70" i="53"/>
  <c r="T70" i="53"/>
  <c r="F69" i="53"/>
  <c r="W70" i="53"/>
  <c r="U70" i="53"/>
  <c r="X268" i="50" l="1"/>
  <c r="Y246" i="50"/>
  <c r="Y268" i="50" s="1"/>
  <c r="J268" i="50"/>
  <c r="K246" i="50"/>
  <c r="K268" i="50" s="1"/>
  <c r="F69" i="1"/>
  <c r="G69" i="1"/>
  <c r="H69" i="1"/>
  <c r="I69" i="1"/>
  <c r="J69" i="1"/>
  <c r="K69" i="1"/>
  <c r="E69" i="1"/>
  <c r="Q17" i="49" l="1"/>
  <c r="J17" i="49"/>
  <c r="C17" i="49"/>
  <c r="E31" i="51" l="1"/>
  <c r="F31" i="51"/>
  <c r="G31" i="51"/>
  <c r="H31" i="51"/>
  <c r="I31" i="51"/>
  <c r="J31" i="51"/>
  <c r="K31" i="51"/>
  <c r="L31" i="51"/>
  <c r="M31" i="51"/>
  <c r="N31" i="51"/>
  <c r="O31" i="51"/>
  <c r="P31" i="51"/>
  <c r="Q31" i="51"/>
  <c r="R31" i="51"/>
  <c r="S31" i="51"/>
  <c r="T31" i="51"/>
  <c r="U31" i="51"/>
  <c r="V31" i="51"/>
  <c r="W31" i="51"/>
  <c r="X31" i="51"/>
  <c r="Y31" i="51"/>
  <c r="Z31" i="51"/>
  <c r="AA31" i="51"/>
  <c r="AB31" i="51"/>
  <c r="AC31" i="51"/>
  <c r="AD31" i="51"/>
  <c r="AE31" i="51"/>
  <c r="AF31" i="51"/>
  <c r="R83" i="53" l="1"/>
  <c r="R82" i="53"/>
  <c r="R81" i="53"/>
  <c r="R80" i="53"/>
  <c r="R78" i="53"/>
  <c r="R77" i="53"/>
  <c r="R76" i="53"/>
  <c r="R75" i="53"/>
  <c r="R74" i="53"/>
  <c r="R73" i="53"/>
  <c r="R71" i="53"/>
  <c r="R69" i="53"/>
  <c r="R68" i="53"/>
  <c r="R67" i="53"/>
  <c r="R65" i="53"/>
  <c r="R64" i="53"/>
  <c r="R63" i="53"/>
  <c r="R62" i="53"/>
  <c r="R60" i="53"/>
  <c r="R59" i="53"/>
  <c r="R58" i="53"/>
  <c r="R52" i="53"/>
  <c r="R51" i="53"/>
  <c r="R50" i="53"/>
  <c r="R48" i="53"/>
  <c r="R47" i="53"/>
  <c r="R46" i="53"/>
  <c r="R45" i="53"/>
  <c r="R44" i="53"/>
  <c r="R43" i="53"/>
  <c r="R42" i="53"/>
  <c r="R41" i="53"/>
  <c r="R40" i="53"/>
  <c r="R39" i="53"/>
  <c r="R38" i="53"/>
  <c r="R37" i="53"/>
  <c r="R35" i="53"/>
  <c r="R34" i="53"/>
  <c r="R33" i="53"/>
  <c r="R32" i="53"/>
  <c r="R31" i="53"/>
  <c r="R29" i="53"/>
  <c r="R27" i="53"/>
  <c r="R26" i="53"/>
  <c r="R25" i="53"/>
  <c r="R23" i="53"/>
  <c r="R22" i="53"/>
  <c r="R21" i="53"/>
  <c r="R20" i="53"/>
  <c r="R19" i="53"/>
  <c r="R17" i="53"/>
  <c r="R14" i="53"/>
  <c r="R15" i="53"/>
  <c r="R16" i="53"/>
  <c r="R13" i="53"/>
  <c r="K83" i="53"/>
  <c r="K82" i="53"/>
  <c r="K81" i="53"/>
  <c r="K80" i="53"/>
  <c r="K78" i="53"/>
  <c r="K77" i="53"/>
  <c r="K76" i="53"/>
  <c r="K75" i="53"/>
  <c r="K74" i="53"/>
  <c r="K73" i="53"/>
  <c r="K71" i="53"/>
  <c r="K70" i="53"/>
  <c r="K69" i="53"/>
  <c r="K68" i="53"/>
  <c r="K67" i="53"/>
  <c r="K65" i="53"/>
  <c r="K64" i="53"/>
  <c r="K63" i="53"/>
  <c r="K62" i="53"/>
  <c r="K60" i="53"/>
  <c r="K59" i="53"/>
  <c r="K58" i="53"/>
  <c r="K52" i="53"/>
  <c r="K51" i="53"/>
  <c r="K50" i="53"/>
  <c r="K48" i="53"/>
  <c r="K47" i="53"/>
  <c r="K46" i="53"/>
  <c r="K45" i="53"/>
  <c r="K44" i="53"/>
  <c r="K43" i="53"/>
  <c r="K42" i="53"/>
  <c r="K41" i="53"/>
  <c r="K40" i="53"/>
  <c r="K39" i="53"/>
  <c r="K38" i="53"/>
  <c r="K37" i="53"/>
  <c r="K35" i="53"/>
  <c r="K34" i="53"/>
  <c r="K33" i="53"/>
  <c r="K32" i="53"/>
  <c r="K31" i="53"/>
  <c r="K29" i="53"/>
  <c r="K17" i="53"/>
  <c r="K26" i="53"/>
  <c r="K27" i="53"/>
  <c r="K25" i="53"/>
  <c r="K23" i="53"/>
  <c r="K20" i="53"/>
  <c r="K21" i="53"/>
  <c r="K22" i="53"/>
  <c r="K14" i="53"/>
  <c r="K15" i="53"/>
  <c r="K16" i="53"/>
  <c r="K19" i="53"/>
  <c r="K13" i="53"/>
  <c r="AB9" i="54"/>
  <c r="AB87" i="54" s="1"/>
  <c r="AB12" i="54"/>
  <c r="F96" i="53"/>
  <c r="G96" i="53"/>
  <c r="H96" i="53"/>
  <c r="I96" i="53"/>
  <c r="R100" i="53"/>
  <c r="S100" i="53"/>
  <c r="T100" i="53"/>
  <c r="U100" i="53"/>
  <c r="V100" i="53"/>
  <c r="W100" i="53"/>
  <c r="Q100" i="53"/>
  <c r="K97" i="53"/>
  <c r="L97" i="53"/>
  <c r="M97" i="53"/>
  <c r="N97" i="53"/>
  <c r="O97" i="53"/>
  <c r="P97" i="53"/>
  <c r="J97" i="53"/>
  <c r="D96" i="53"/>
  <c r="E96" i="53"/>
  <c r="C96" i="53"/>
  <c r="AB11" i="54" l="1"/>
  <c r="S18" i="17" l="1"/>
  <c r="R18" i="17"/>
  <c r="S17" i="17"/>
  <c r="R17" i="17"/>
  <c r="S16" i="17"/>
  <c r="R16" i="17"/>
  <c r="S11" i="17"/>
  <c r="R11" i="17"/>
  <c r="K11" i="17"/>
  <c r="L11" i="17"/>
  <c r="E11" i="17"/>
  <c r="D11" i="17"/>
  <c r="E8" i="17"/>
  <c r="L8" i="17" s="1"/>
  <c r="S8" i="17" s="1"/>
  <c r="D8" i="17"/>
  <c r="K8" i="17" s="1"/>
  <c r="R8" i="17" s="1"/>
  <c r="D9" i="20"/>
  <c r="E9" i="20"/>
  <c r="D7" i="20"/>
  <c r="E7" i="20"/>
  <c r="E22" i="17" l="1"/>
  <c r="D22" i="17"/>
  <c r="D80" i="53"/>
  <c r="D81" i="53"/>
  <c r="D82" i="53"/>
  <c r="D83" i="53"/>
  <c r="D73" i="53"/>
  <c r="D74" i="53"/>
  <c r="D75" i="53"/>
  <c r="D76" i="53"/>
  <c r="D77" i="53"/>
  <c r="D78" i="53"/>
  <c r="D70" i="53"/>
  <c r="D71" i="53"/>
  <c r="D67" i="53"/>
  <c r="D68" i="53"/>
  <c r="D62" i="53"/>
  <c r="D63" i="53"/>
  <c r="D64" i="53"/>
  <c r="D65" i="53"/>
  <c r="D58" i="53"/>
  <c r="D59" i="53"/>
  <c r="D60" i="53"/>
  <c r="D50" i="53"/>
  <c r="D51" i="53"/>
  <c r="D52" i="53"/>
  <c r="D37" i="53"/>
  <c r="D38" i="53"/>
  <c r="D39" i="53"/>
  <c r="D40" i="53"/>
  <c r="D41" i="53"/>
  <c r="D42" i="53"/>
  <c r="D43" i="53"/>
  <c r="D44" i="53"/>
  <c r="D45" i="53"/>
  <c r="D46" i="53"/>
  <c r="D47" i="53"/>
  <c r="D48" i="53"/>
  <c r="D31" i="53"/>
  <c r="D32" i="53"/>
  <c r="D33" i="53"/>
  <c r="D34" i="53"/>
  <c r="D35" i="53"/>
  <c r="D29" i="53"/>
  <c r="D25" i="53"/>
  <c r="D26" i="53"/>
  <c r="D27" i="53"/>
  <c r="D19" i="53"/>
  <c r="D20" i="53"/>
  <c r="D21" i="53"/>
  <c r="D22" i="53"/>
  <c r="D23" i="53"/>
  <c r="D17" i="53"/>
  <c r="K17" i="39" s="1"/>
  <c r="D13" i="53"/>
  <c r="D14" i="53"/>
  <c r="D15" i="53"/>
  <c r="D16" i="53"/>
  <c r="D12" i="21"/>
  <c r="E12" i="21"/>
  <c r="D12" i="53" l="1"/>
  <c r="D18" i="53"/>
  <c r="AD21" i="60" l="1"/>
  <c r="AC21" i="60"/>
  <c r="AB21" i="60"/>
  <c r="AA21" i="60"/>
  <c r="Z21" i="60"/>
  <c r="Y21" i="60"/>
  <c r="W21" i="60"/>
  <c r="V21" i="60"/>
  <c r="U21" i="60"/>
  <c r="T21" i="60"/>
  <c r="S21" i="60"/>
  <c r="R21" i="60"/>
  <c r="P21" i="60"/>
  <c r="O21" i="60"/>
  <c r="N21" i="60"/>
  <c r="M21" i="60"/>
  <c r="L21" i="60"/>
  <c r="K21" i="60"/>
  <c r="I21" i="60"/>
  <c r="H21" i="60"/>
  <c r="G21" i="60"/>
  <c r="F21" i="60"/>
  <c r="E21" i="60"/>
  <c r="D21" i="60"/>
  <c r="E94" i="62"/>
  <c r="E80" i="62"/>
  <c r="E79" i="62" s="1"/>
  <c r="E74" i="62"/>
  <c r="E64" i="62"/>
  <c r="E61" i="62"/>
  <c r="Y45" i="62"/>
  <c r="X45" i="62"/>
  <c r="W45" i="62"/>
  <c r="V45" i="62"/>
  <c r="U45" i="62"/>
  <c r="T45" i="62"/>
  <c r="S45" i="62"/>
  <c r="R45" i="62"/>
  <c r="Q45" i="62"/>
  <c r="P45" i="62"/>
  <c r="O45" i="62"/>
  <c r="N45" i="62"/>
  <c r="M45" i="62"/>
  <c r="L45" i="62"/>
  <c r="K45" i="62"/>
  <c r="J45" i="62"/>
  <c r="I45" i="62"/>
  <c r="H45" i="62"/>
  <c r="G45" i="62"/>
  <c r="F45" i="62"/>
  <c r="E45" i="62"/>
  <c r="Y31" i="62"/>
  <c r="Y30" i="62" s="1"/>
  <c r="X31" i="62"/>
  <c r="X30" i="62" s="1"/>
  <c r="W31" i="62"/>
  <c r="W30" i="62" s="1"/>
  <c r="V31" i="62"/>
  <c r="V30" i="62" s="1"/>
  <c r="U31" i="62"/>
  <c r="U30" i="62" s="1"/>
  <c r="T31" i="62"/>
  <c r="T30" i="62" s="1"/>
  <c r="S31" i="62"/>
  <c r="S30" i="62" s="1"/>
  <c r="R31" i="62"/>
  <c r="R30" i="62" s="1"/>
  <c r="Q31" i="62"/>
  <c r="Q30" i="62" s="1"/>
  <c r="P31" i="62"/>
  <c r="P30" i="62" s="1"/>
  <c r="O31" i="62"/>
  <c r="O30" i="62" s="1"/>
  <c r="N31" i="62"/>
  <c r="N30" i="62" s="1"/>
  <c r="M31" i="62"/>
  <c r="M30" i="62" s="1"/>
  <c r="L31" i="62"/>
  <c r="L30" i="62" s="1"/>
  <c r="K31" i="62"/>
  <c r="K30" i="62" s="1"/>
  <c r="J31" i="62"/>
  <c r="J30" i="62" s="1"/>
  <c r="I31" i="62"/>
  <c r="I30" i="62" s="1"/>
  <c r="H31" i="62"/>
  <c r="H30" i="62" s="1"/>
  <c r="G31" i="62"/>
  <c r="G30" i="62" s="1"/>
  <c r="F31" i="62"/>
  <c r="F30" i="62" s="1"/>
  <c r="E31" i="62"/>
  <c r="E30" i="62" s="1"/>
  <c r="Y25" i="62"/>
  <c r="X25" i="62"/>
  <c r="W25" i="62"/>
  <c r="V25" i="62"/>
  <c r="U25" i="62"/>
  <c r="T25" i="62"/>
  <c r="S25" i="62"/>
  <c r="R25" i="62"/>
  <c r="Q25" i="62"/>
  <c r="P25" i="62"/>
  <c r="O25" i="62"/>
  <c r="N25" i="62"/>
  <c r="M25" i="62"/>
  <c r="L25" i="62"/>
  <c r="K25" i="62"/>
  <c r="J25" i="62"/>
  <c r="I25" i="62"/>
  <c r="H25" i="62"/>
  <c r="G25" i="62"/>
  <c r="F25" i="62"/>
  <c r="E25" i="62"/>
  <c r="Y22" i="62"/>
  <c r="Y18" i="62" s="1"/>
  <c r="X22" i="62"/>
  <c r="W22" i="62"/>
  <c r="V22" i="62"/>
  <c r="U22" i="62"/>
  <c r="U18" i="62" s="1"/>
  <c r="T22" i="62"/>
  <c r="S22" i="62"/>
  <c r="R22" i="62"/>
  <c r="Q22" i="62"/>
  <c r="Q18" i="62" s="1"/>
  <c r="P22" i="62"/>
  <c r="O22" i="62"/>
  <c r="N22" i="62"/>
  <c r="M22" i="62"/>
  <c r="M18" i="62" s="1"/>
  <c r="L22" i="62"/>
  <c r="K22" i="62"/>
  <c r="J22" i="62"/>
  <c r="I22" i="62"/>
  <c r="I18" i="62" s="1"/>
  <c r="H22" i="62"/>
  <c r="G22" i="62"/>
  <c r="F22" i="62"/>
  <c r="E22" i="62"/>
  <c r="E18" i="62" s="1"/>
  <c r="Y15" i="62"/>
  <c r="X15" i="62"/>
  <c r="W15" i="62"/>
  <c r="V15" i="62"/>
  <c r="U15" i="62"/>
  <c r="T15" i="62"/>
  <c r="S15" i="62"/>
  <c r="R15" i="62"/>
  <c r="Q15" i="62"/>
  <c r="P15" i="62"/>
  <c r="O15" i="62"/>
  <c r="N15" i="62"/>
  <c r="M15" i="62"/>
  <c r="L15" i="62"/>
  <c r="K15" i="62"/>
  <c r="J15" i="62"/>
  <c r="I15" i="62"/>
  <c r="H15" i="62"/>
  <c r="G15" i="62"/>
  <c r="F15" i="62"/>
  <c r="E15" i="62"/>
  <c r="Y12" i="62"/>
  <c r="X12" i="62"/>
  <c r="W12" i="62"/>
  <c r="V12" i="62"/>
  <c r="U12" i="62"/>
  <c r="T12" i="62"/>
  <c r="S12" i="62"/>
  <c r="R12" i="62"/>
  <c r="Q12" i="62"/>
  <c r="P12" i="62"/>
  <c r="O12" i="62"/>
  <c r="N12" i="62"/>
  <c r="M12" i="62"/>
  <c r="L12" i="62"/>
  <c r="K12" i="62"/>
  <c r="J12" i="62"/>
  <c r="I12" i="62"/>
  <c r="H12" i="62"/>
  <c r="G12" i="62"/>
  <c r="F12" i="62"/>
  <c r="E12" i="62"/>
  <c r="S68" i="50"/>
  <c r="L68" i="50"/>
  <c r="E35" i="41"/>
  <c r="F35" i="41"/>
  <c r="G35" i="41"/>
  <c r="H35" i="41"/>
  <c r="I35" i="41"/>
  <c r="J35" i="41"/>
  <c r="K35" i="41"/>
  <c r="E47" i="41"/>
  <c r="F47" i="41"/>
  <c r="G47" i="41"/>
  <c r="H47" i="41"/>
  <c r="I47" i="41"/>
  <c r="J47" i="41"/>
  <c r="K47" i="41"/>
  <c r="E56" i="41"/>
  <c r="E70" i="41" s="1"/>
  <c r="F56" i="41"/>
  <c r="F70" i="41" s="1"/>
  <c r="G56" i="41"/>
  <c r="G70" i="41" s="1"/>
  <c r="H56" i="41"/>
  <c r="H70" i="41" s="1"/>
  <c r="I56" i="41"/>
  <c r="I70" i="41" s="1"/>
  <c r="J56" i="41"/>
  <c r="J70" i="41" s="1"/>
  <c r="K56" i="41"/>
  <c r="K70" i="41" s="1"/>
  <c r="E59" i="41"/>
  <c r="E69" i="41" s="1"/>
  <c r="F59" i="41"/>
  <c r="F69" i="41" s="1"/>
  <c r="G59" i="41"/>
  <c r="G69" i="41" s="1"/>
  <c r="H59" i="41"/>
  <c r="H69" i="41" s="1"/>
  <c r="I59" i="41"/>
  <c r="I69" i="41" s="1"/>
  <c r="J59" i="41"/>
  <c r="J69" i="41" s="1"/>
  <c r="K59" i="41"/>
  <c r="K69" i="41" s="1"/>
  <c r="G10" i="41"/>
  <c r="K10" i="41"/>
  <c r="I10" i="41"/>
  <c r="H10" i="41"/>
  <c r="C30" i="47" l="1"/>
  <c r="C12" i="47"/>
  <c r="H30" i="47"/>
  <c r="H12" i="47"/>
  <c r="G12" i="47"/>
  <c r="G30" i="47"/>
  <c r="F30" i="47"/>
  <c r="F12" i="47"/>
  <c r="E30" i="47"/>
  <c r="E12" i="47"/>
  <c r="D30" i="47"/>
  <c r="D12" i="47"/>
  <c r="E81" i="41"/>
  <c r="F18" i="62"/>
  <c r="F11" i="62" s="1"/>
  <c r="J18" i="62"/>
  <c r="J11" i="62" s="1"/>
  <c r="N18" i="62"/>
  <c r="R18" i="62"/>
  <c r="V18" i="62"/>
  <c r="M11" i="62"/>
  <c r="Q11" i="62"/>
  <c r="U11" i="62"/>
  <c r="Y11" i="62"/>
  <c r="E67" i="62"/>
  <c r="H18" i="62"/>
  <c r="L18" i="62"/>
  <c r="P18" i="62"/>
  <c r="T18" i="62"/>
  <c r="X18" i="62"/>
  <c r="G18" i="62"/>
  <c r="O18" i="62"/>
  <c r="S18" i="62"/>
  <c r="W18" i="62"/>
  <c r="K18" i="62"/>
  <c r="I11" i="62"/>
  <c r="E11" i="62"/>
  <c r="G81" i="41"/>
  <c r="AW21" i="60"/>
  <c r="AY21" i="60"/>
  <c r="AU21" i="60"/>
  <c r="AV21" i="60"/>
  <c r="AX21" i="60"/>
  <c r="AT21" i="60"/>
  <c r="H68" i="41"/>
  <c r="G68" i="41"/>
  <c r="J10" i="41"/>
  <c r="J68" i="41" s="1"/>
  <c r="F10" i="41"/>
  <c r="F68" i="41" s="1"/>
  <c r="K68" i="41"/>
  <c r="I68" i="41"/>
  <c r="B6" i="48"/>
  <c r="C6" i="48"/>
  <c r="C41" i="48"/>
  <c r="B6" i="47"/>
  <c r="C6" i="47"/>
  <c r="C17" i="47"/>
  <c r="B37" i="47"/>
  <c r="C37" i="47"/>
  <c r="V11" i="62" l="1"/>
  <c r="N11" i="62"/>
  <c r="W11" i="62"/>
  <c r="O11" i="62"/>
  <c r="K11" i="62"/>
  <c r="G11" i="62"/>
  <c r="H11" i="62"/>
  <c r="R11" i="62"/>
  <c r="P11" i="62"/>
  <c r="L11" i="62"/>
  <c r="T11" i="62"/>
  <c r="X11" i="62"/>
  <c r="S11" i="62"/>
  <c r="B7" i="47"/>
  <c r="B38" i="48"/>
  <c r="B37" i="48" s="1"/>
  <c r="B20" i="48" s="1"/>
  <c r="C38" i="48"/>
  <c r="B45" i="48"/>
  <c r="B46" i="48" s="1"/>
  <c r="Q40" i="7" l="1"/>
  <c r="X17" i="60"/>
  <c r="Y17" i="60"/>
  <c r="Z17" i="60"/>
  <c r="AA17" i="60"/>
  <c r="AB17" i="60"/>
  <c r="AC17" i="60"/>
  <c r="AD17" i="60"/>
  <c r="X16" i="60"/>
  <c r="Y16" i="60"/>
  <c r="Z16" i="60"/>
  <c r="AA16" i="60"/>
  <c r="AB16" i="60"/>
  <c r="AC16" i="60"/>
  <c r="AD16" i="60"/>
  <c r="AD15" i="60"/>
  <c r="AD29" i="60" s="1"/>
  <c r="X15" i="60"/>
  <c r="Y15" i="60"/>
  <c r="Y29" i="60" s="1"/>
  <c r="Z15" i="60"/>
  <c r="Z29" i="60" s="1"/>
  <c r="AA15" i="60"/>
  <c r="AA29" i="60" s="1"/>
  <c r="AB15" i="60"/>
  <c r="AB29" i="60" s="1"/>
  <c r="AC15" i="60"/>
  <c r="AC29" i="60" s="1"/>
  <c r="T16" i="17"/>
  <c r="U16" i="17"/>
  <c r="V16" i="17"/>
  <c r="W16" i="17"/>
  <c r="X16" i="17"/>
  <c r="T17" i="17"/>
  <c r="U17" i="17"/>
  <c r="V17" i="17"/>
  <c r="W17" i="17"/>
  <c r="X17" i="17"/>
  <c r="T18" i="17"/>
  <c r="U18" i="17"/>
  <c r="V18" i="17"/>
  <c r="W18" i="17"/>
  <c r="X18" i="17"/>
  <c r="X29" i="60" l="1"/>
  <c r="X28" i="60"/>
  <c r="X21" i="60" s="1"/>
  <c r="L62" i="41"/>
  <c r="AA62" i="41" s="1"/>
  <c r="L67" i="41"/>
  <c r="AA67" i="41" s="1"/>
  <c r="L66" i="41"/>
  <c r="AA66" i="41" s="1"/>
  <c r="L65" i="41"/>
  <c r="L64" i="41"/>
  <c r="AA64" i="41" s="1"/>
  <c r="L63" i="41"/>
  <c r="AA63" i="41" s="1"/>
  <c r="L61" i="41"/>
  <c r="AA61" i="41" s="1"/>
  <c r="L60" i="41"/>
  <c r="AA60" i="41" s="1"/>
  <c r="L58" i="41"/>
  <c r="AA58" i="41" s="1"/>
  <c r="L57" i="41"/>
  <c r="AA57" i="41" s="1"/>
  <c r="L55" i="41"/>
  <c r="AA55" i="41" s="1"/>
  <c r="L54" i="41"/>
  <c r="AA54" i="41" s="1"/>
  <c r="L53" i="41"/>
  <c r="AA53" i="41" s="1"/>
  <c r="L52" i="41"/>
  <c r="AA52" i="41" s="1"/>
  <c r="L51" i="41"/>
  <c r="AA51" i="41" s="1"/>
  <c r="L50" i="41"/>
  <c r="AA50" i="41" s="1"/>
  <c r="L49" i="41"/>
  <c r="L48" i="41"/>
  <c r="L37" i="41"/>
  <c r="AA37" i="41" s="1"/>
  <c r="L38" i="41"/>
  <c r="AA38" i="41" s="1"/>
  <c r="L39" i="41"/>
  <c r="AA39" i="41" s="1"/>
  <c r="L40" i="41"/>
  <c r="AA40" i="41" s="1"/>
  <c r="L41" i="41"/>
  <c r="AA41" i="41" s="1"/>
  <c r="L42" i="41"/>
  <c r="AA42" i="41" s="1"/>
  <c r="L43" i="41"/>
  <c r="AA43" i="41" s="1"/>
  <c r="L44" i="41"/>
  <c r="AA44" i="41" s="1"/>
  <c r="L45" i="41"/>
  <c r="AA45" i="41" s="1"/>
  <c r="L46" i="41"/>
  <c r="AA46" i="41" s="1"/>
  <c r="L36" i="41"/>
  <c r="AA36" i="41" s="1"/>
  <c r="L12" i="41"/>
  <c r="AA12" i="41" s="1"/>
  <c r="L13" i="41"/>
  <c r="AA13" i="41" s="1"/>
  <c r="L14" i="41"/>
  <c r="AA14" i="41" s="1"/>
  <c r="L15" i="41"/>
  <c r="AA15" i="41" s="1"/>
  <c r="L16" i="41"/>
  <c r="AA16" i="41" s="1"/>
  <c r="L17" i="41"/>
  <c r="AA17" i="41" s="1"/>
  <c r="L18" i="41"/>
  <c r="AA18" i="41" s="1"/>
  <c r="L19" i="41"/>
  <c r="AA19" i="41" s="1"/>
  <c r="L20" i="41"/>
  <c r="AA20" i="41" s="1"/>
  <c r="L21" i="41"/>
  <c r="AA21" i="41" s="1"/>
  <c r="L22" i="41"/>
  <c r="AA22" i="41" s="1"/>
  <c r="L23" i="41"/>
  <c r="AA23" i="41" s="1"/>
  <c r="L24" i="41"/>
  <c r="AA24" i="41" s="1"/>
  <c r="L25" i="41"/>
  <c r="AA25" i="41" s="1"/>
  <c r="L26" i="41"/>
  <c r="AA26" i="41" s="1"/>
  <c r="L27" i="41"/>
  <c r="AA27" i="41" s="1"/>
  <c r="L28" i="41"/>
  <c r="AA28" i="41" s="1"/>
  <c r="L29" i="41"/>
  <c r="AA29" i="41" s="1"/>
  <c r="L30" i="41"/>
  <c r="AA30" i="41" s="1"/>
  <c r="L31" i="41"/>
  <c r="AA31" i="41" s="1"/>
  <c r="L32" i="41"/>
  <c r="AA32" i="41" s="1"/>
  <c r="L33" i="41"/>
  <c r="AA33" i="41" s="1"/>
  <c r="L34" i="41"/>
  <c r="AA34" i="41" s="1"/>
  <c r="L11" i="41"/>
  <c r="AA11" i="41" s="1"/>
  <c r="K9" i="41"/>
  <c r="S9" i="41" s="1"/>
  <c r="Z9" i="41" s="1"/>
  <c r="J9" i="41"/>
  <c r="AJ9" i="41" s="1"/>
  <c r="I9" i="41"/>
  <c r="Q9" i="41" s="1"/>
  <c r="X9" i="41" s="1"/>
  <c r="H9" i="41"/>
  <c r="P9" i="41" s="1"/>
  <c r="W9" i="41" s="1"/>
  <c r="G9" i="41"/>
  <c r="O9" i="41" s="1"/>
  <c r="V9" i="41" s="1"/>
  <c r="F9" i="41"/>
  <c r="AF9" i="41" s="1"/>
  <c r="E9" i="41"/>
  <c r="M9" i="41" s="1"/>
  <c r="T9" i="41" s="1"/>
  <c r="AA48" i="41" l="1"/>
  <c r="AA49" i="41"/>
  <c r="AA65" i="41"/>
  <c r="AH9" i="41"/>
  <c r="R9" i="41"/>
  <c r="Y9" i="41" s="1"/>
  <c r="N9" i="41"/>
  <c r="U9" i="41" s="1"/>
  <c r="AE9" i="41"/>
  <c r="AI9" i="41"/>
  <c r="AG9" i="41"/>
  <c r="AK9" i="41"/>
  <c r="E48" i="46" l="1"/>
  <c r="F48" i="46"/>
  <c r="G48" i="46"/>
  <c r="H48" i="46"/>
  <c r="I48" i="46"/>
  <c r="J48" i="46"/>
  <c r="K48" i="46"/>
  <c r="L48" i="46"/>
  <c r="M48" i="46"/>
  <c r="N48" i="46"/>
  <c r="O48" i="46"/>
  <c r="P48" i="46"/>
  <c r="Q48" i="46"/>
  <c r="D48" i="46"/>
  <c r="E36" i="46"/>
  <c r="F36" i="46"/>
  <c r="G36" i="46"/>
  <c r="H36" i="46"/>
  <c r="I36" i="46"/>
  <c r="J36" i="46"/>
  <c r="K36" i="46"/>
  <c r="L36" i="46"/>
  <c r="M36" i="46"/>
  <c r="N36" i="46"/>
  <c r="O36" i="46"/>
  <c r="P36" i="46"/>
  <c r="Q36" i="46"/>
  <c r="D36" i="46"/>
  <c r="E23" i="46"/>
  <c r="F23" i="46"/>
  <c r="G23" i="46"/>
  <c r="H23" i="46"/>
  <c r="I23" i="46"/>
  <c r="J23" i="46"/>
  <c r="L23" i="46"/>
  <c r="M23" i="46"/>
  <c r="N23" i="46"/>
  <c r="O23" i="46"/>
  <c r="P23" i="46"/>
  <c r="Q23" i="46"/>
  <c r="J7" i="46"/>
  <c r="Q7" i="46" s="1"/>
  <c r="I7" i="46"/>
  <c r="P7" i="46" s="1"/>
  <c r="H7" i="46"/>
  <c r="O7" i="46" s="1"/>
  <c r="G7" i="46"/>
  <c r="N7" i="46" s="1"/>
  <c r="F7" i="46"/>
  <c r="M7" i="46" s="1"/>
  <c r="E7" i="46"/>
  <c r="L7" i="46" s="1"/>
  <c r="D7" i="46"/>
  <c r="K7" i="46" s="1"/>
  <c r="W52" i="39"/>
  <c r="V52" i="39"/>
  <c r="U52" i="39"/>
  <c r="T52" i="39"/>
  <c r="S52" i="39"/>
  <c r="R52" i="39"/>
  <c r="Q52" i="39"/>
  <c r="W51" i="39"/>
  <c r="V51" i="39"/>
  <c r="U51" i="39"/>
  <c r="T51" i="39"/>
  <c r="S51" i="39"/>
  <c r="R51" i="39"/>
  <c r="Q51" i="39"/>
  <c r="W36" i="39"/>
  <c r="V36" i="39"/>
  <c r="U36" i="39"/>
  <c r="T36" i="39"/>
  <c r="S36" i="39"/>
  <c r="R36" i="39"/>
  <c r="Q36" i="39"/>
  <c r="W35" i="39"/>
  <c r="V35" i="39"/>
  <c r="U35" i="39"/>
  <c r="T35" i="39"/>
  <c r="S35" i="39"/>
  <c r="R35" i="39"/>
  <c r="Q35" i="39"/>
  <c r="W34" i="39"/>
  <c r="V34" i="39"/>
  <c r="U34" i="39"/>
  <c r="T34" i="39"/>
  <c r="S34" i="39"/>
  <c r="R34" i="39"/>
  <c r="Q34" i="39"/>
  <c r="W24" i="39"/>
  <c r="V24" i="39"/>
  <c r="U24" i="39"/>
  <c r="T24" i="39"/>
  <c r="S24" i="39"/>
  <c r="R24" i="39"/>
  <c r="Q24" i="39"/>
  <c r="W23" i="39"/>
  <c r="V23" i="39"/>
  <c r="U23" i="39"/>
  <c r="T23" i="39"/>
  <c r="S23" i="39"/>
  <c r="R23" i="39"/>
  <c r="Q23" i="39"/>
  <c r="W22" i="39"/>
  <c r="V22" i="39"/>
  <c r="U22" i="39"/>
  <c r="T22" i="39"/>
  <c r="S22" i="39"/>
  <c r="R22" i="39"/>
  <c r="Q22" i="39"/>
  <c r="W11" i="39"/>
  <c r="V11" i="39"/>
  <c r="U11" i="39"/>
  <c r="T11" i="39"/>
  <c r="S11" i="39"/>
  <c r="R11" i="39"/>
  <c r="Q11" i="39"/>
  <c r="W10" i="39"/>
  <c r="V10" i="39"/>
  <c r="U10" i="39"/>
  <c r="T10" i="39"/>
  <c r="S10" i="39"/>
  <c r="R10" i="39"/>
  <c r="Q10" i="39"/>
  <c r="W9" i="39"/>
  <c r="V9" i="39"/>
  <c r="U9" i="39"/>
  <c r="T9" i="39"/>
  <c r="S9" i="39"/>
  <c r="R9" i="39"/>
  <c r="Q9" i="39"/>
  <c r="E98" i="53" l="1"/>
  <c r="H98" i="53"/>
  <c r="D98" i="53"/>
  <c r="I98" i="53"/>
  <c r="G98" i="53"/>
  <c r="C98" i="53"/>
  <c r="F98" i="53"/>
  <c r="H7" i="1"/>
  <c r="F96" i="1"/>
  <c r="G96" i="1"/>
  <c r="H96" i="1"/>
  <c r="I96" i="1"/>
  <c r="J96" i="1"/>
  <c r="K96" i="1"/>
  <c r="E96" i="1"/>
  <c r="F31" i="2" l="1"/>
  <c r="G31" i="2"/>
  <c r="H31" i="2"/>
  <c r="I31" i="2"/>
  <c r="J31" i="2"/>
  <c r="K31" i="2"/>
  <c r="E31" i="2"/>
  <c r="F30" i="2"/>
  <c r="G30" i="2"/>
  <c r="H30" i="2"/>
  <c r="I30" i="2"/>
  <c r="J30" i="2"/>
  <c r="K30" i="2"/>
  <c r="E30" i="2"/>
  <c r="K7" i="1"/>
  <c r="R7" i="1" s="1"/>
  <c r="T7" i="1" s="1"/>
  <c r="J7" i="1"/>
  <c r="Q7" i="1" s="1"/>
  <c r="I7" i="1"/>
  <c r="P7" i="1" s="1"/>
  <c r="O7" i="1"/>
  <c r="G7" i="1"/>
  <c r="N7" i="1" s="1"/>
  <c r="F7" i="1"/>
  <c r="M7" i="1" s="1"/>
  <c r="E7" i="1"/>
  <c r="L7" i="1" s="1"/>
  <c r="S7" i="1" s="1"/>
  <c r="F19" i="2"/>
  <c r="G19" i="2"/>
  <c r="H19" i="2"/>
  <c r="I19" i="2"/>
  <c r="J19" i="2"/>
  <c r="K19" i="2"/>
  <c r="E19" i="2"/>
  <c r="F14" i="2" l="1"/>
  <c r="G14" i="2"/>
  <c r="H14" i="2"/>
  <c r="I14" i="2"/>
  <c r="J14" i="2"/>
  <c r="K14" i="2"/>
  <c r="E14" i="2"/>
  <c r="F15" i="2"/>
  <c r="G15" i="2"/>
  <c r="H15" i="2"/>
  <c r="I15" i="2"/>
  <c r="J15" i="2"/>
  <c r="K15" i="2"/>
  <c r="E15" i="2"/>
  <c r="Y215" i="50" l="1"/>
  <c r="Y219" i="50"/>
  <c r="Y225" i="50"/>
  <c r="Y229" i="50"/>
  <c r="R215" i="50"/>
  <c r="R219" i="50"/>
  <c r="R225" i="50"/>
  <c r="R229" i="50"/>
  <c r="R233" i="50"/>
  <c r="R214" i="50"/>
  <c r="K215" i="50"/>
  <c r="F219" i="50"/>
  <c r="F220" i="50"/>
  <c r="F221" i="50"/>
  <c r="F243" i="50" s="1"/>
  <c r="F223" i="50"/>
  <c r="F245" i="50" s="1"/>
  <c r="F225" i="50"/>
  <c r="F247" i="50" s="1"/>
  <c r="F226" i="50"/>
  <c r="F248" i="50" s="1"/>
  <c r="F227" i="50"/>
  <c r="F249" i="50" s="1"/>
  <c r="F229" i="50"/>
  <c r="F251" i="50" s="1"/>
  <c r="F230" i="50"/>
  <c r="F252" i="50" s="1"/>
  <c r="F231" i="50"/>
  <c r="F253" i="50" s="1"/>
  <c r="F233" i="50"/>
  <c r="F255" i="50" s="1"/>
  <c r="F234" i="50"/>
  <c r="F62" i="62"/>
  <c r="F270" i="50" l="1"/>
  <c r="F277" i="50"/>
  <c r="F275" i="50"/>
  <c r="F273" i="50"/>
  <c r="F271" i="50"/>
  <c r="F269" i="50"/>
  <c r="F274" i="50"/>
  <c r="F267" i="50"/>
  <c r="F154" i="62"/>
  <c r="N229" i="50"/>
  <c r="H231" i="50"/>
  <c r="G219" i="50"/>
  <c r="M214" i="50"/>
  <c r="W229" i="50"/>
  <c r="P233" i="50"/>
  <c r="U225" i="50"/>
  <c r="Q214" i="50"/>
  <c r="N233" i="50"/>
  <c r="P219" i="50"/>
  <c r="U229" i="50"/>
  <c r="O214" i="50"/>
  <c r="P225" i="50"/>
  <c r="N219" i="50"/>
  <c r="W219" i="50"/>
  <c r="G221" i="50"/>
  <c r="P229" i="50"/>
  <c r="N225" i="50"/>
  <c r="W225" i="50"/>
  <c r="U219" i="50"/>
  <c r="G214" i="50"/>
  <c r="H229" i="50"/>
  <c r="M232" i="50"/>
  <c r="M223" i="50"/>
  <c r="M245" i="50" s="1"/>
  <c r="M218" i="50"/>
  <c r="T228" i="50"/>
  <c r="T250" i="50" s="1"/>
  <c r="T223" i="50"/>
  <c r="T245" i="50" s="1"/>
  <c r="T218" i="50"/>
  <c r="F232" i="50"/>
  <c r="F254" i="50" s="1"/>
  <c r="F228" i="50"/>
  <c r="F250" i="50" s="1"/>
  <c r="F218" i="50"/>
  <c r="M234" i="50"/>
  <c r="M230" i="50"/>
  <c r="M252" i="50" s="1"/>
  <c r="M226" i="50"/>
  <c r="M248" i="50" s="1"/>
  <c r="M220" i="50"/>
  <c r="T234" i="50"/>
  <c r="T230" i="50"/>
  <c r="T252" i="50" s="1"/>
  <c r="T226" i="50"/>
  <c r="T248" i="50" s="1"/>
  <c r="T220" i="50"/>
  <c r="F214" i="50"/>
  <c r="G229" i="50"/>
  <c r="G251" i="50" s="1"/>
  <c r="T214" i="50"/>
  <c r="U214" i="50"/>
  <c r="M228" i="50"/>
  <c r="M250" i="50" s="1"/>
  <c r="T232" i="50"/>
  <c r="M231" i="50"/>
  <c r="M253" i="50" s="1"/>
  <c r="M227" i="50"/>
  <c r="M249" i="50" s="1"/>
  <c r="M221" i="50"/>
  <c r="T231" i="50"/>
  <c r="T253" i="50" s="1"/>
  <c r="T227" i="50"/>
  <c r="T249" i="50" s="1"/>
  <c r="T221" i="50"/>
  <c r="N214" i="50"/>
  <c r="Q233" i="50"/>
  <c r="M233" i="50"/>
  <c r="Q229" i="50"/>
  <c r="M229" i="50"/>
  <c r="M251" i="50" s="1"/>
  <c r="Q225" i="50"/>
  <c r="M225" i="50"/>
  <c r="M247" i="50" s="1"/>
  <c r="Q219" i="50"/>
  <c r="M219" i="50"/>
  <c r="X229" i="50"/>
  <c r="T229" i="50"/>
  <c r="T251" i="50" s="1"/>
  <c r="X225" i="50"/>
  <c r="T225" i="50"/>
  <c r="T247" i="50" s="1"/>
  <c r="X219" i="50"/>
  <c r="T219" i="50"/>
  <c r="P214" i="50"/>
  <c r="O233" i="50"/>
  <c r="O229" i="50"/>
  <c r="O225" i="50"/>
  <c r="O219" i="50"/>
  <c r="V229" i="50"/>
  <c r="V225" i="50"/>
  <c r="V219" i="50"/>
  <c r="W215" i="50"/>
  <c r="U215" i="50"/>
  <c r="X215" i="50"/>
  <c r="V215" i="50"/>
  <c r="T215" i="50"/>
  <c r="P215" i="50"/>
  <c r="N215" i="50"/>
  <c r="Q215" i="50"/>
  <c r="O215" i="50"/>
  <c r="M215" i="50"/>
  <c r="I215" i="50"/>
  <c r="G215" i="50"/>
  <c r="J215" i="50"/>
  <c r="H215" i="50"/>
  <c r="F215" i="50"/>
  <c r="G231" i="50" l="1"/>
  <c r="G253" i="50" s="1"/>
  <c r="H253" i="50" s="1"/>
  <c r="H251" i="50"/>
  <c r="G273" i="50"/>
  <c r="T271" i="50"/>
  <c r="T275" i="50"/>
  <c r="M271" i="50"/>
  <c r="M275" i="50"/>
  <c r="T270" i="50"/>
  <c r="T274" i="50"/>
  <c r="M270" i="50"/>
  <c r="M274" i="50"/>
  <c r="T267" i="50"/>
  <c r="T272" i="50"/>
  <c r="M267" i="50"/>
  <c r="U247" i="50"/>
  <c r="T269" i="50"/>
  <c r="U251" i="50"/>
  <c r="T273" i="50"/>
  <c r="N247" i="50"/>
  <c r="M269" i="50"/>
  <c r="N251" i="50"/>
  <c r="M273" i="50"/>
  <c r="M272" i="50"/>
  <c r="F272" i="50"/>
  <c r="F276" i="50"/>
  <c r="H221" i="50"/>
  <c r="U221" i="50"/>
  <c r="U231" i="50"/>
  <c r="U253" i="50" s="1"/>
  <c r="N227" i="50"/>
  <c r="N249" i="50" s="1"/>
  <c r="G230" i="50"/>
  <c r="G252" i="50" s="1"/>
  <c r="U220" i="50"/>
  <c r="U230" i="50"/>
  <c r="U252" i="50" s="1"/>
  <c r="N220" i="50"/>
  <c r="N230" i="50"/>
  <c r="N252" i="50" s="1"/>
  <c r="G234" i="50"/>
  <c r="U223" i="50"/>
  <c r="U245" i="50" s="1"/>
  <c r="N218" i="50"/>
  <c r="N232" i="50"/>
  <c r="I231" i="50"/>
  <c r="N228" i="50"/>
  <c r="N250" i="50" s="1"/>
  <c r="G220" i="50"/>
  <c r="G218" i="50"/>
  <c r="G228" i="50"/>
  <c r="G250" i="50" s="1"/>
  <c r="H219" i="50"/>
  <c r="U227" i="50"/>
  <c r="U249" i="50" s="1"/>
  <c r="N221" i="50"/>
  <c r="N231" i="50"/>
  <c r="N253" i="50" s="1"/>
  <c r="G227" i="50"/>
  <c r="G249" i="50" s="1"/>
  <c r="U226" i="50"/>
  <c r="U248" i="50" s="1"/>
  <c r="U234" i="50"/>
  <c r="N226" i="50"/>
  <c r="N248" i="50" s="1"/>
  <c r="N234" i="50"/>
  <c r="U218" i="50"/>
  <c r="U228" i="50"/>
  <c r="U250" i="50" s="1"/>
  <c r="N223" i="50"/>
  <c r="N245" i="50" s="1"/>
  <c r="I229" i="50"/>
  <c r="H214" i="50"/>
  <c r="G226" i="50"/>
  <c r="G248" i="50" s="1"/>
  <c r="G225" i="50"/>
  <c r="G247" i="50" s="1"/>
  <c r="U232" i="50"/>
  <c r="V214" i="50"/>
  <c r="G233" i="50"/>
  <c r="G255" i="50" s="1"/>
  <c r="G223" i="50"/>
  <c r="G245" i="50" s="1"/>
  <c r="G232" i="50"/>
  <c r="G254" i="50" s="1"/>
  <c r="T154" i="62"/>
  <c r="S154" i="62"/>
  <c r="L154" i="62"/>
  <c r="E154" i="62"/>
  <c r="Y110" i="62"/>
  <c r="X110" i="62"/>
  <c r="W110" i="62"/>
  <c r="V110" i="62"/>
  <c r="U110" i="62"/>
  <c r="T110" i="62"/>
  <c r="S110" i="62"/>
  <c r="R110" i="62"/>
  <c r="Q110" i="62"/>
  <c r="P110" i="62"/>
  <c r="O110" i="62"/>
  <c r="N110" i="62"/>
  <c r="M110" i="62"/>
  <c r="L110" i="62"/>
  <c r="K110" i="62"/>
  <c r="J110" i="62"/>
  <c r="I110" i="62"/>
  <c r="H110" i="62"/>
  <c r="G110" i="62"/>
  <c r="G275" i="50" l="1"/>
  <c r="G276" i="50"/>
  <c r="N267" i="50"/>
  <c r="N270" i="50"/>
  <c r="N275" i="50"/>
  <c r="U271" i="50"/>
  <c r="N272" i="50"/>
  <c r="U267" i="50"/>
  <c r="N274" i="50"/>
  <c r="U274" i="50"/>
  <c r="N271" i="50"/>
  <c r="U275" i="50"/>
  <c r="U272" i="50"/>
  <c r="U270" i="50"/>
  <c r="G272" i="50"/>
  <c r="G277" i="50"/>
  <c r="G271" i="50"/>
  <c r="H275" i="50"/>
  <c r="I253" i="50"/>
  <c r="G267" i="50"/>
  <c r="G269" i="50"/>
  <c r="G270" i="50"/>
  <c r="G274" i="50"/>
  <c r="N273" i="50"/>
  <c r="O251" i="50"/>
  <c r="N269" i="50"/>
  <c r="O247" i="50"/>
  <c r="U273" i="50"/>
  <c r="V251" i="50"/>
  <c r="U269" i="50"/>
  <c r="V247" i="50"/>
  <c r="I251" i="50"/>
  <c r="H273" i="50"/>
  <c r="H226" i="50"/>
  <c r="H248" i="50" s="1"/>
  <c r="I219" i="50"/>
  <c r="H218" i="50"/>
  <c r="H230" i="50"/>
  <c r="H252" i="50" s="1"/>
  <c r="H223" i="50"/>
  <c r="H245" i="50" s="1"/>
  <c r="H233" i="50"/>
  <c r="H255" i="50" s="1"/>
  <c r="V232" i="50"/>
  <c r="J229" i="50"/>
  <c r="K229" i="50"/>
  <c r="V228" i="50"/>
  <c r="V250" i="50" s="1"/>
  <c r="O234" i="50"/>
  <c r="V234" i="50"/>
  <c r="H227" i="50"/>
  <c r="H249" i="50" s="1"/>
  <c r="O221" i="50"/>
  <c r="O228" i="50"/>
  <c r="O250" i="50" s="1"/>
  <c r="O232" i="50"/>
  <c r="V223" i="50"/>
  <c r="V245" i="50" s="1"/>
  <c r="O230" i="50"/>
  <c r="O252" i="50" s="1"/>
  <c r="V230" i="50"/>
  <c r="V252" i="50" s="1"/>
  <c r="V231" i="50"/>
  <c r="V253" i="50" s="1"/>
  <c r="I221" i="50"/>
  <c r="H225" i="50"/>
  <c r="H247" i="50" s="1"/>
  <c r="H228" i="50"/>
  <c r="H250" i="50" s="1"/>
  <c r="H220" i="50"/>
  <c r="H232" i="50"/>
  <c r="H254" i="50" s="1"/>
  <c r="W214" i="50"/>
  <c r="I214" i="50"/>
  <c r="O223" i="50"/>
  <c r="O245" i="50" s="1"/>
  <c r="V218" i="50"/>
  <c r="O226" i="50"/>
  <c r="O248" i="50" s="1"/>
  <c r="V226" i="50"/>
  <c r="V248" i="50" s="1"/>
  <c r="O231" i="50"/>
  <c r="O253" i="50" s="1"/>
  <c r="V227" i="50"/>
  <c r="V249" i="50" s="1"/>
  <c r="J231" i="50"/>
  <c r="K231" i="50"/>
  <c r="O218" i="50"/>
  <c r="H234" i="50"/>
  <c r="O220" i="50"/>
  <c r="V220" i="50"/>
  <c r="O227" i="50"/>
  <c r="O249" i="50" s="1"/>
  <c r="V221" i="50"/>
  <c r="V154" i="62"/>
  <c r="N154" i="62"/>
  <c r="M154" i="62"/>
  <c r="G154" i="62"/>
  <c r="O154" i="62"/>
  <c r="U154" i="62"/>
  <c r="V271" i="50" l="1"/>
  <c r="V270" i="50"/>
  <c r="O267" i="50"/>
  <c r="H272" i="50"/>
  <c r="V274" i="50"/>
  <c r="O274" i="50"/>
  <c r="V267" i="50"/>
  <c r="O272" i="50"/>
  <c r="V272" i="50"/>
  <c r="H267" i="50"/>
  <c r="H274" i="50"/>
  <c r="H270" i="50"/>
  <c r="O271" i="50"/>
  <c r="O275" i="50"/>
  <c r="O270" i="50"/>
  <c r="H276" i="50"/>
  <c r="V275" i="50"/>
  <c r="H269" i="50"/>
  <c r="H271" i="50"/>
  <c r="H277" i="50"/>
  <c r="V269" i="50"/>
  <c r="W247" i="50"/>
  <c r="V273" i="50"/>
  <c r="W251" i="50"/>
  <c r="P247" i="50"/>
  <c r="O269" i="50"/>
  <c r="P251" i="50"/>
  <c r="O273" i="50"/>
  <c r="J253" i="50"/>
  <c r="I275" i="50"/>
  <c r="J251" i="50"/>
  <c r="I273" i="50"/>
  <c r="I227" i="50"/>
  <c r="I249" i="50" s="1"/>
  <c r="I233" i="50"/>
  <c r="I255" i="50" s="1"/>
  <c r="P227" i="50"/>
  <c r="P249" i="50" s="1"/>
  <c r="P220" i="50"/>
  <c r="P218" i="50"/>
  <c r="W227" i="50"/>
  <c r="W249" i="50" s="1"/>
  <c r="W226" i="50"/>
  <c r="W248" i="50" s="1"/>
  <c r="W218" i="50"/>
  <c r="J214" i="50"/>
  <c r="K214" i="50"/>
  <c r="I232" i="50"/>
  <c r="I254" i="50" s="1"/>
  <c r="I228" i="50"/>
  <c r="I250" i="50" s="1"/>
  <c r="J221" i="50"/>
  <c r="K221" i="50"/>
  <c r="W230" i="50"/>
  <c r="W252" i="50" s="1"/>
  <c r="W223" i="50"/>
  <c r="W245" i="50" s="1"/>
  <c r="P228" i="50"/>
  <c r="P250" i="50" s="1"/>
  <c r="P234" i="50"/>
  <c r="I230" i="50"/>
  <c r="I252" i="50" s="1"/>
  <c r="J219" i="50"/>
  <c r="K219" i="50"/>
  <c r="I225" i="50"/>
  <c r="I247" i="50" s="1"/>
  <c r="W221" i="50"/>
  <c r="W220" i="50"/>
  <c r="I234" i="50"/>
  <c r="P231" i="50"/>
  <c r="P253" i="50" s="1"/>
  <c r="P226" i="50"/>
  <c r="P248" i="50" s="1"/>
  <c r="P223" i="50"/>
  <c r="P245" i="50" s="1"/>
  <c r="Y214" i="50"/>
  <c r="X214" i="50"/>
  <c r="I220" i="50"/>
  <c r="W231" i="50"/>
  <c r="W253" i="50" s="1"/>
  <c r="P230" i="50"/>
  <c r="P252" i="50" s="1"/>
  <c r="P232" i="50"/>
  <c r="P221" i="50"/>
  <c r="W234" i="50"/>
  <c r="W228" i="50"/>
  <c r="W250" i="50" s="1"/>
  <c r="W232" i="50"/>
  <c r="I223" i="50"/>
  <c r="I245" i="50" s="1"/>
  <c r="I218" i="50"/>
  <c r="I226" i="50"/>
  <c r="I248" i="50" s="1"/>
  <c r="C16" i="16"/>
  <c r="I270" i="50" l="1"/>
  <c r="I267" i="50"/>
  <c r="W275" i="50"/>
  <c r="P267" i="50"/>
  <c r="P275" i="50"/>
  <c r="P272" i="50"/>
  <c r="W274" i="50"/>
  <c r="I272" i="50"/>
  <c r="I276" i="50"/>
  <c r="W271" i="50"/>
  <c r="P271" i="50"/>
  <c r="I277" i="50"/>
  <c r="I271" i="50"/>
  <c r="W272" i="50"/>
  <c r="P274" i="50"/>
  <c r="P270" i="50"/>
  <c r="I269" i="50"/>
  <c r="I274" i="50"/>
  <c r="W267" i="50"/>
  <c r="W270" i="50"/>
  <c r="X251" i="50"/>
  <c r="W273" i="50"/>
  <c r="X247" i="50"/>
  <c r="W269" i="50"/>
  <c r="J273" i="50"/>
  <c r="K251" i="50"/>
  <c r="K273" i="50" s="1"/>
  <c r="J275" i="50"/>
  <c r="K253" i="50"/>
  <c r="K275" i="50" s="1"/>
  <c r="Q251" i="50"/>
  <c r="P273" i="50"/>
  <c r="Q247" i="50"/>
  <c r="P269" i="50"/>
  <c r="R226" i="50"/>
  <c r="Q226" i="50"/>
  <c r="Q248" i="50" s="1"/>
  <c r="J234" i="50"/>
  <c r="K234" i="50"/>
  <c r="Y221" i="50"/>
  <c r="X221" i="50"/>
  <c r="J232" i="50"/>
  <c r="J254" i="50" s="1"/>
  <c r="K232" i="50"/>
  <c r="Y218" i="50"/>
  <c r="X218" i="50"/>
  <c r="Y227" i="50"/>
  <c r="X227" i="50"/>
  <c r="X249" i="50" s="1"/>
  <c r="R220" i="50"/>
  <c r="Q220" i="50"/>
  <c r="J233" i="50"/>
  <c r="J255" i="50" s="1"/>
  <c r="K233" i="50"/>
  <c r="J218" i="50"/>
  <c r="K218" i="50"/>
  <c r="Y232" i="50"/>
  <c r="X232" i="50"/>
  <c r="Y234" i="50"/>
  <c r="X234" i="50"/>
  <c r="R232" i="50"/>
  <c r="Q232" i="50"/>
  <c r="Y231" i="50"/>
  <c r="X231" i="50"/>
  <c r="X253" i="50" s="1"/>
  <c r="R234" i="50"/>
  <c r="Q234" i="50"/>
  <c r="Y223" i="50"/>
  <c r="X223" i="50"/>
  <c r="X245" i="50" s="1"/>
  <c r="J226" i="50"/>
  <c r="J248" i="50" s="1"/>
  <c r="K226" i="50"/>
  <c r="J223" i="50"/>
  <c r="J245" i="50" s="1"/>
  <c r="K223" i="50"/>
  <c r="Y228" i="50"/>
  <c r="X228" i="50"/>
  <c r="X250" i="50" s="1"/>
  <c r="R221" i="50"/>
  <c r="Q221" i="50"/>
  <c r="R230" i="50"/>
  <c r="Q230" i="50"/>
  <c r="Q252" i="50" s="1"/>
  <c r="J220" i="50"/>
  <c r="K220" i="50"/>
  <c r="R223" i="50"/>
  <c r="Q223" i="50"/>
  <c r="Q245" i="50" s="1"/>
  <c r="R231" i="50"/>
  <c r="Q231" i="50"/>
  <c r="Q253" i="50" s="1"/>
  <c r="Y220" i="50"/>
  <c r="X220" i="50"/>
  <c r="J225" i="50"/>
  <c r="J247" i="50" s="1"/>
  <c r="K225" i="50"/>
  <c r="J230" i="50"/>
  <c r="J252" i="50" s="1"/>
  <c r="K230" i="50"/>
  <c r="R228" i="50"/>
  <c r="Q228" i="50"/>
  <c r="Q250" i="50" s="1"/>
  <c r="Y230" i="50"/>
  <c r="X230" i="50"/>
  <c r="X252" i="50" s="1"/>
  <c r="J228" i="50"/>
  <c r="J250" i="50" s="1"/>
  <c r="K228" i="50"/>
  <c r="Y226" i="50"/>
  <c r="X226" i="50"/>
  <c r="X248" i="50" s="1"/>
  <c r="R218" i="50"/>
  <c r="Q218" i="50"/>
  <c r="R227" i="50"/>
  <c r="Q227" i="50"/>
  <c r="Q249" i="50" s="1"/>
  <c r="J227" i="50"/>
  <c r="J249" i="50" s="1"/>
  <c r="K227" i="50"/>
  <c r="W154" i="62"/>
  <c r="P154" i="62"/>
  <c r="H154" i="62"/>
  <c r="I154" i="62"/>
  <c r="E107" i="51"/>
  <c r="E106" i="51"/>
  <c r="E105" i="51"/>
  <c r="E104" i="51"/>
  <c r="E103" i="51"/>
  <c r="E102" i="51"/>
  <c r="E100" i="51"/>
  <c r="E99" i="51"/>
  <c r="E97" i="51"/>
  <c r="E96" i="51"/>
  <c r="E95" i="51"/>
  <c r="E94" i="51"/>
  <c r="E92" i="51"/>
  <c r="E90" i="51"/>
  <c r="E89" i="51"/>
  <c r="E88" i="51"/>
  <c r="E87" i="51"/>
  <c r="E86" i="51"/>
  <c r="E85" i="51"/>
  <c r="E84" i="51"/>
  <c r="E83" i="51"/>
  <c r="E81" i="51"/>
  <c r="E80" i="51"/>
  <c r="E77" i="51"/>
  <c r="E76" i="51"/>
  <c r="E75" i="51"/>
  <c r="E74" i="51"/>
  <c r="E72" i="51"/>
  <c r="E71" i="51"/>
  <c r="E69" i="51"/>
  <c r="E68" i="51"/>
  <c r="E67" i="51"/>
  <c r="E65" i="51"/>
  <c r="E64" i="51"/>
  <c r="E62" i="51"/>
  <c r="E61" i="51"/>
  <c r="E82" i="51" l="1"/>
  <c r="E98" i="51"/>
  <c r="R249" i="50"/>
  <c r="R271" i="50" s="1"/>
  <c r="Q271" i="50"/>
  <c r="X270" i="50"/>
  <c r="Y248" i="50"/>
  <c r="Y270" i="50" s="1"/>
  <c r="X274" i="50"/>
  <c r="Y252" i="50"/>
  <c r="Y274" i="50" s="1"/>
  <c r="R250" i="50"/>
  <c r="R272" i="50" s="1"/>
  <c r="Q272" i="50"/>
  <c r="R253" i="50"/>
  <c r="R275" i="50" s="1"/>
  <c r="Q275" i="50"/>
  <c r="R245" i="50"/>
  <c r="R267" i="50" s="1"/>
  <c r="Q267" i="50"/>
  <c r="R252" i="50"/>
  <c r="R274" i="50" s="1"/>
  <c r="Q274" i="50"/>
  <c r="X272" i="50"/>
  <c r="Y250" i="50"/>
  <c r="Y272" i="50" s="1"/>
  <c r="X267" i="50"/>
  <c r="Y245" i="50"/>
  <c r="Y267" i="50" s="1"/>
  <c r="X275" i="50"/>
  <c r="Y253" i="50"/>
  <c r="Y275" i="50" s="1"/>
  <c r="X271" i="50"/>
  <c r="Y249" i="50"/>
  <c r="Y271" i="50" s="1"/>
  <c r="R248" i="50"/>
  <c r="R270" i="50" s="1"/>
  <c r="Q270" i="50"/>
  <c r="J271" i="50"/>
  <c r="K249" i="50"/>
  <c r="K271" i="50" s="1"/>
  <c r="J272" i="50"/>
  <c r="K250" i="50"/>
  <c r="K272" i="50" s="1"/>
  <c r="J274" i="50"/>
  <c r="K252" i="50"/>
  <c r="K274" i="50" s="1"/>
  <c r="J269" i="50"/>
  <c r="K247" i="50"/>
  <c r="K269" i="50" s="1"/>
  <c r="J267" i="50"/>
  <c r="K245" i="50"/>
  <c r="K267" i="50" s="1"/>
  <c r="J270" i="50"/>
  <c r="K248" i="50"/>
  <c r="K270" i="50" s="1"/>
  <c r="J277" i="50"/>
  <c r="K255" i="50"/>
  <c r="K277" i="50" s="1"/>
  <c r="J276" i="50"/>
  <c r="K254" i="50"/>
  <c r="K276" i="50" s="1"/>
  <c r="R247" i="50"/>
  <c r="R269" i="50" s="1"/>
  <c r="Q269" i="50"/>
  <c r="R251" i="50"/>
  <c r="R273" i="50" s="1"/>
  <c r="Q273" i="50"/>
  <c r="X269" i="50"/>
  <c r="Y247" i="50"/>
  <c r="Y269" i="50" s="1"/>
  <c r="X273" i="50"/>
  <c r="Y251" i="50"/>
  <c r="Y273" i="50" s="1"/>
  <c r="X154" i="62"/>
  <c r="Q154" i="62"/>
  <c r="Q48" i="53"/>
  <c r="J48" i="53"/>
  <c r="C48" i="53"/>
  <c r="Y154" i="62" l="1"/>
  <c r="R154" i="62"/>
  <c r="J154" i="62"/>
  <c r="K154" i="62"/>
  <c r="O48" i="53"/>
  <c r="M48" i="53"/>
  <c r="U48" i="53"/>
  <c r="T48" i="53"/>
  <c r="V48" i="53"/>
  <c r="S48" i="53"/>
  <c r="W48" i="53"/>
  <c r="P48" i="53"/>
  <c r="N48" i="53"/>
  <c r="L48" i="53"/>
  <c r="I48" i="53"/>
  <c r="G48" i="53"/>
  <c r="E48" i="53"/>
  <c r="H48" i="53"/>
  <c r="F48" i="53"/>
  <c r="E28" i="58" l="1"/>
  <c r="F28" i="58"/>
  <c r="G28" i="58"/>
  <c r="H28" i="58"/>
  <c r="I28" i="58"/>
  <c r="J28" i="58"/>
  <c r="D28" i="58"/>
  <c r="R8" i="22" l="1"/>
  <c r="Q8" i="22"/>
  <c r="P8" i="22"/>
  <c r="O8" i="22"/>
  <c r="N8" i="22"/>
  <c r="M8" i="22"/>
  <c r="L8" i="22"/>
  <c r="K8" i="22"/>
  <c r="J8" i="22"/>
  <c r="I8" i="22"/>
  <c r="H8" i="22"/>
  <c r="G8" i="22"/>
  <c r="F8" i="22"/>
  <c r="E8" i="22"/>
  <c r="D8" i="22"/>
  <c r="I9" i="49"/>
  <c r="H9" i="49"/>
  <c r="G9" i="49"/>
  <c r="F9" i="49"/>
  <c r="E9" i="49"/>
  <c r="D9" i="49"/>
  <c r="C9" i="49"/>
  <c r="H6" i="48"/>
  <c r="G6" i="48"/>
  <c r="F6" i="48"/>
  <c r="E6" i="48"/>
  <c r="D6" i="48"/>
  <c r="H6" i="47"/>
  <c r="G6" i="47"/>
  <c r="F6" i="47"/>
  <c r="E6" i="47"/>
  <c r="D6" i="47"/>
  <c r="J8" i="58"/>
  <c r="I8" i="58"/>
  <c r="H8" i="58"/>
  <c r="G8" i="58"/>
  <c r="F8" i="58"/>
  <c r="E8" i="58"/>
  <c r="D8" i="58"/>
  <c r="J8" i="65" l="1"/>
  <c r="I8" i="65"/>
  <c r="H8" i="65"/>
  <c r="G8" i="65"/>
  <c r="F8" i="65"/>
  <c r="E8" i="65"/>
  <c r="D8" i="65"/>
  <c r="G57" i="65"/>
  <c r="N15" i="17" s="1"/>
  <c r="H57" i="65"/>
  <c r="O15" i="17" s="1"/>
  <c r="I57" i="65"/>
  <c r="P15" i="17" s="1"/>
  <c r="J57" i="65"/>
  <c r="Q15" i="17" s="1"/>
  <c r="F57" i="65"/>
  <c r="M15" i="17" s="1"/>
  <c r="E55" i="65"/>
  <c r="L14" i="17" s="1"/>
  <c r="F55" i="65"/>
  <c r="M14" i="17" s="1"/>
  <c r="G55" i="65"/>
  <c r="N14" i="17" s="1"/>
  <c r="H55" i="65"/>
  <c r="O14" i="17" s="1"/>
  <c r="I55" i="65"/>
  <c r="P14" i="17" s="1"/>
  <c r="J55" i="65"/>
  <c r="Q14" i="17" s="1"/>
  <c r="D55" i="65"/>
  <c r="K14" i="17" s="1"/>
  <c r="J67" i="65"/>
  <c r="I67" i="65"/>
  <c r="H67" i="65"/>
  <c r="G67" i="65"/>
  <c r="F67" i="65"/>
  <c r="E67" i="65"/>
  <c r="S15" i="17" s="1"/>
  <c r="D67" i="65"/>
  <c r="R15" i="17" s="1"/>
  <c r="J65" i="65"/>
  <c r="X14" i="17" s="1"/>
  <c r="I65" i="65"/>
  <c r="W14" i="17" s="1"/>
  <c r="H65" i="65"/>
  <c r="V14" i="17" s="1"/>
  <c r="G65" i="65"/>
  <c r="U14" i="17" s="1"/>
  <c r="F65" i="65"/>
  <c r="T14" i="17" s="1"/>
  <c r="E65" i="65"/>
  <c r="S14" i="17" s="1"/>
  <c r="D65" i="65"/>
  <c r="R14" i="17" s="1"/>
  <c r="L15" i="17"/>
  <c r="K15" i="17"/>
  <c r="J42" i="65"/>
  <c r="I42" i="65"/>
  <c r="H42" i="65"/>
  <c r="G42" i="65"/>
  <c r="F42" i="65"/>
  <c r="E42" i="65"/>
  <c r="D42" i="65"/>
  <c r="J38" i="65"/>
  <c r="I38" i="65"/>
  <c r="H38" i="65"/>
  <c r="G38" i="65"/>
  <c r="F38" i="65"/>
  <c r="E38" i="65"/>
  <c r="D38" i="65"/>
  <c r="J31" i="65"/>
  <c r="I31" i="65"/>
  <c r="H31" i="65"/>
  <c r="G31" i="65"/>
  <c r="F31" i="65"/>
  <c r="E31" i="65"/>
  <c r="D31" i="65"/>
  <c r="J27" i="65"/>
  <c r="I27" i="65"/>
  <c r="H27" i="65"/>
  <c r="G27" i="65"/>
  <c r="F27" i="65"/>
  <c r="E27" i="65"/>
  <c r="D27" i="65"/>
  <c r="E23" i="65"/>
  <c r="D23" i="65"/>
  <c r="S13" i="17" l="1"/>
  <c r="T15" i="17"/>
  <c r="F63" i="65"/>
  <c r="X15" i="17"/>
  <c r="J63" i="65"/>
  <c r="U15" i="17"/>
  <c r="G63" i="65"/>
  <c r="V15" i="17"/>
  <c r="H63" i="65"/>
  <c r="W15" i="17"/>
  <c r="I63" i="65"/>
  <c r="R13" i="17"/>
  <c r="K13" i="17"/>
  <c r="L13" i="17"/>
  <c r="F35" i="65"/>
  <c r="F37" i="65" s="1"/>
  <c r="D35" i="65"/>
  <c r="D37" i="65" s="1"/>
  <c r="J53" i="65"/>
  <c r="P99" i="53" s="1"/>
  <c r="F53" i="65"/>
  <c r="L99" i="53" s="1"/>
  <c r="G53" i="65"/>
  <c r="J39" i="65"/>
  <c r="J35" i="65"/>
  <c r="J37" i="65" s="1"/>
  <c r="D43" i="65"/>
  <c r="I32" i="65"/>
  <c r="H35" i="65"/>
  <c r="H37" i="65" s="1"/>
  <c r="H32" i="65"/>
  <c r="E63" i="65"/>
  <c r="I43" i="65"/>
  <c r="D63" i="65"/>
  <c r="D21" i="65"/>
  <c r="E62" i="1" s="1"/>
  <c r="E21" i="65"/>
  <c r="D53" i="65"/>
  <c r="J99" i="53" s="1"/>
  <c r="H53" i="65"/>
  <c r="E53" i="65"/>
  <c r="K99" i="53" s="1"/>
  <c r="I53" i="65"/>
  <c r="O99" i="53" s="1"/>
  <c r="J43" i="65"/>
  <c r="E35" i="65"/>
  <c r="E37" i="65" s="1"/>
  <c r="I35" i="65"/>
  <c r="I37" i="65" s="1"/>
  <c r="G35" i="65"/>
  <c r="G37" i="65" s="1"/>
  <c r="D48" i="65" l="1"/>
  <c r="D12" i="17" s="1"/>
  <c r="M99" i="53"/>
  <c r="N99" i="53"/>
  <c r="H48" i="65"/>
  <c r="H12" i="17" s="1"/>
  <c r="J48" i="65"/>
  <c r="J49" i="65" s="1"/>
  <c r="F48" i="65"/>
  <c r="F12" i="17" s="1"/>
  <c r="E64" i="65"/>
  <c r="F62" i="1"/>
  <c r="I61" i="1"/>
  <c r="K61" i="1"/>
  <c r="J61" i="1"/>
  <c r="D32" i="65"/>
  <c r="E61" i="1"/>
  <c r="F32" i="65"/>
  <c r="G61" i="1"/>
  <c r="I39" i="65"/>
  <c r="J32" i="65"/>
  <c r="E32" i="65"/>
  <c r="F61" i="1"/>
  <c r="H61" i="1"/>
  <c r="F36" i="65"/>
  <c r="D36" i="65"/>
  <c r="F39" i="65"/>
  <c r="H39" i="65"/>
  <c r="F43" i="65"/>
  <c r="D54" i="65"/>
  <c r="G39" i="65"/>
  <c r="G32" i="65"/>
  <c r="E39" i="65"/>
  <c r="G43" i="65"/>
  <c r="E43" i="65"/>
  <c r="H43" i="65"/>
  <c r="J36" i="65"/>
  <c r="H36" i="65"/>
  <c r="D39" i="65"/>
  <c r="E54" i="65"/>
  <c r="D22" i="65"/>
  <c r="D64" i="65"/>
  <c r="D19" i="65"/>
  <c r="E19" i="65"/>
  <c r="E22" i="65"/>
  <c r="I48" i="65"/>
  <c r="I12" i="17" s="1"/>
  <c r="I36" i="65"/>
  <c r="E48" i="65"/>
  <c r="E12" i="17" s="1"/>
  <c r="E36" i="65"/>
  <c r="G36" i="65"/>
  <c r="G48" i="65"/>
  <c r="D50" i="65" l="1"/>
  <c r="D51" i="65"/>
  <c r="D49" i="65"/>
  <c r="E63" i="1"/>
  <c r="E12" i="2" s="1"/>
  <c r="H49" i="65"/>
  <c r="I63" i="1"/>
  <c r="I12" i="2" s="1"/>
  <c r="G12" i="17"/>
  <c r="H50" i="65"/>
  <c r="J50" i="65"/>
  <c r="J12" i="17"/>
  <c r="K63" i="1"/>
  <c r="K12" i="2" s="1"/>
  <c r="I50" i="65"/>
  <c r="J63" i="1"/>
  <c r="E51" i="65"/>
  <c r="E50" i="65"/>
  <c r="G50" i="65"/>
  <c r="H63" i="1"/>
  <c r="H12" i="2" s="1"/>
  <c r="F50" i="65"/>
  <c r="F49" i="65"/>
  <c r="G63" i="1"/>
  <c r="F63" i="1"/>
  <c r="D20" i="65"/>
  <c r="E20" i="65"/>
  <c r="G49" i="65"/>
  <c r="E49" i="65"/>
  <c r="I49" i="65"/>
  <c r="I13" i="2" l="1"/>
  <c r="E13" i="2"/>
  <c r="F13" i="2"/>
  <c r="F12" i="2"/>
  <c r="G13" i="2"/>
  <c r="G12" i="2"/>
  <c r="H13" i="2"/>
  <c r="K13" i="2"/>
  <c r="J13" i="2"/>
  <c r="J12" i="2"/>
  <c r="M255" i="50"/>
  <c r="M277" i="50" s="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T76" i="62"/>
  <c r="U76" i="62" s="1"/>
  <c r="V76" i="62" s="1"/>
  <c r="W76" i="62" s="1"/>
  <c r="X76" i="62" s="1"/>
  <c r="Y76" i="62" s="1"/>
  <c r="M76" i="62"/>
  <c r="N76" i="62" s="1"/>
  <c r="O76" i="62" s="1"/>
  <c r="P76" i="62" s="1"/>
  <c r="Q76" i="62" s="1"/>
  <c r="R76" i="62" s="1"/>
  <c r="F76" i="62"/>
  <c r="G76" i="62" s="1"/>
  <c r="H76" i="62" s="1"/>
  <c r="I76" i="62" s="1"/>
  <c r="J76" i="62" s="1"/>
  <c r="K76" i="62" s="1"/>
  <c r="F240" i="50"/>
  <c r="G240" i="50" s="1"/>
  <c r="M240" i="50"/>
  <c r="M262" i="50" s="1"/>
  <c r="T240" i="50"/>
  <c r="U240" i="50" s="1"/>
  <c r="F241" i="50"/>
  <c r="G241" i="50" s="1"/>
  <c r="M241" i="50"/>
  <c r="N241" i="50" s="1"/>
  <c r="T241" i="50"/>
  <c r="T263" i="50" s="1"/>
  <c r="F242" i="50"/>
  <c r="G242" i="50" s="1"/>
  <c r="M242" i="50"/>
  <c r="N242" i="50" s="1"/>
  <c r="T242" i="50"/>
  <c r="U242" i="50" s="1"/>
  <c r="F265" i="50"/>
  <c r="M243" i="50"/>
  <c r="M265" i="50" s="1"/>
  <c r="T243" i="50"/>
  <c r="U243" i="50" s="1"/>
  <c r="F262" i="50" l="1"/>
  <c r="M264" i="50"/>
  <c r="F263" i="50"/>
  <c r="T262" i="50"/>
  <c r="T264" i="50"/>
  <c r="T265" i="50"/>
  <c r="M263" i="50"/>
  <c r="F264" i="50"/>
  <c r="G243" i="50"/>
  <c r="G265" i="50" s="1"/>
  <c r="N240" i="50"/>
  <c r="N262" i="50" s="1"/>
  <c r="U241" i="50"/>
  <c r="V241" i="50" s="1"/>
  <c r="N243" i="50"/>
  <c r="O243" i="50" s="1"/>
  <c r="N255" i="50"/>
  <c r="N277" i="50" s="1"/>
  <c r="V243" i="50"/>
  <c r="U265" i="50"/>
  <c r="O242" i="50"/>
  <c r="N264" i="50"/>
  <c r="H241" i="50"/>
  <c r="G263" i="50"/>
  <c r="V242" i="50"/>
  <c r="U264" i="50"/>
  <c r="H242" i="50"/>
  <c r="G264" i="50"/>
  <c r="O241" i="50"/>
  <c r="N263" i="50"/>
  <c r="V240" i="50"/>
  <c r="U262" i="50"/>
  <c r="H240" i="50"/>
  <c r="G262" i="50"/>
  <c r="U263" i="50" l="1"/>
  <c r="O240" i="50"/>
  <c r="O262" i="50" s="1"/>
  <c r="N265" i="50"/>
  <c r="H243" i="50"/>
  <c r="H265" i="50" s="1"/>
  <c r="O255" i="50"/>
  <c r="O277" i="50" s="1"/>
  <c r="H262" i="50"/>
  <c r="I240" i="50"/>
  <c r="V262" i="50"/>
  <c r="W240" i="50"/>
  <c r="O263" i="50"/>
  <c r="P241" i="50"/>
  <c r="H264" i="50"/>
  <c r="I242" i="50"/>
  <c r="V264" i="50"/>
  <c r="W242" i="50"/>
  <c r="O265" i="50"/>
  <c r="P243" i="50"/>
  <c r="H263" i="50"/>
  <c r="I241" i="50"/>
  <c r="V263" i="50"/>
  <c r="W241" i="50"/>
  <c r="O264" i="50"/>
  <c r="P242" i="50"/>
  <c r="V265" i="50"/>
  <c r="W243" i="50"/>
  <c r="P240" i="50" l="1"/>
  <c r="Q240" i="50" s="1"/>
  <c r="I243" i="50"/>
  <c r="J243" i="50" s="1"/>
  <c r="P255" i="50"/>
  <c r="P277" i="50" s="1"/>
  <c r="X243" i="50"/>
  <c r="W265" i="50"/>
  <c r="Q242" i="50"/>
  <c r="P264" i="50"/>
  <c r="X241" i="50"/>
  <c r="W263" i="50"/>
  <c r="J241" i="50"/>
  <c r="I263" i="50"/>
  <c r="Q243" i="50"/>
  <c r="P265" i="50"/>
  <c r="X242" i="50"/>
  <c r="W264" i="50"/>
  <c r="J242" i="50"/>
  <c r="I264" i="50"/>
  <c r="Q241" i="50"/>
  <c r="P263" i="50"/>
  <c r="X240" i="50"/>
  <c r="W262" i="50"/>
  <c r="J240" i="50"/>
  <c r="I262" i="50"/>
  <c r="P262" i="50" l="1"/>
  <c r="I265" i="50"/>
  <c r="Q255" i="50"/>
  <c r="Q277" i="50" s="1"/>
  <c r="J262" i="50"/>
  <c r="K240" i="50"/>
  <c r="K262" i="50" s="1"/>
  <c r="X262" i="50"/>
  <c r="Y240" i="50"/>
  <c r="Y262" i="50" s="1"/>
  <c r="Q263" i="50"/>
  <c r="R241" i="50"/>
  <c r="R263" i="50" s="1"/>
  <c r="J264" i="50"/>
  <c r="K242" i="50"/>
  <c r="K264" i="50" s="1"/>
  <c r="X264" i="50"/>
  <c r="Y242" i="50"/>
  <c r="Y264" i="50" s="1"/>
  <c r="Q265" i="50"/>
  <c r="R243" i="50"/>
  <c r="R265" i="50" s="1"/>
  <c r="Q262" i="50"/>
  <c r="R240" i="50"/>
  <c r="R262" i="50" s="1"/>
  <c r="J263" i="50"/>
  <c r="K241" i="50"/>
  <c r="K263" i="50" s="1"/>
  <c r="X263" i="50"/>
  <c r="Y241" i="50"/>
  <c r="Y263" i="50" s="1"/>
  <c r="Q264" i="50"/>
  <c r="R242" i="50"/>
  <c r="R264" i="50" s="1"/>
  <c r="J265" i="50"/>
  <c r="K243" i="50"/>
  <c r="K265" i="50" s="1"/>
  <c r="X265" i="50"/>
  <c r="Y243" i="50"/>
  <c r="Y265" i="50" s="1"/>
  <c r="R255" i="50" l="1"/>
  <c r="R277" i="50" s="1"/>
  <c r="C42" i="7" l="1"/>
  <c r="C40" i="7" s="1"/>
  <c r="I41" i="7"/>
  <c r="H41" i="7"/>
  <c r="G41" i="7"/>
  <c r="F41" i="7"/>
  <c r="E41" i="7"/>
  <c r="D41" i="7"/>
  <c r="C41" i="7"/>
  <c r="J42" i="7"/>
  <c r="P41" i="7"/>
  <c r="O41" i="7"/>
  <c r="N41" i="7"/>
  <c r="M41" i="7"/>
  <c r="L41" i="7"/>
  <c r="K41" i="7"/>
  <c r="J41" i="7"/>
  <c r="Q42" i="7"/>
  <c r="W41" i="7"/>
  <c r="V41" i="7"/>
  <c r="U41" i="7"/>
  <c r="T41" i="7"/>
  <c r="S41" i="7"/>
  <c r="R41" i="7"/>
  <c r="Q41" i="7"/>
  <c r="R36" i="7"/>
  <c r="R40" i="7" s="1"/>
  <c r="K36" i="7" l="1"/>
  <c r="J40" i="7"/>
  <c r="D36" i="7"/>
  <c r="R42" i="7"/>
  <c r="S36" i="7" s="1"/>
  <c r="S40" i="7" s="1"/>
  <c r="M59" i="41"/>
  <c r="M69" i="41" s="1"/>
  <c r="N59" i="41"/>
  <c r="N69" i="41" s="1"/>
  <c r="O59" i="41"/>
  <c r="O69" i="41" s="1"/>
  <c r="P59" i="41"/>
  <c r="P69" i="41" s="1"/>
  <c r="Q59" i="41"/>
  <c r="Q69" i="41" s="1"/>
  <c r="R59" i="41"/>
  <c r="R69" i="41" s="1"/>
  <c r="S59" i="41"/>
  <c r="S69" i="41" s="1"/>
  <c r="T59" i="41"/>
  <c r="T69" i="41" s="1"/>
  <c r="U59" i="41"/>
  <c r="U69" i="41" s="1"/>
  <c r="V59" i="41"/>
  <c r="V69" i="41" s="1"/>
  <c r="W59" i="41"/>
  <c r="W69" i="41" s="1"/>
  <c r="X59" i="41"/>
  <c r="X69" i="41" s="1"/>
  <c r="Y59" i="41"/>
  <c r="Y69" i="41" s="1"/>
  <c r="Z59" i="41"/>
  <c r="Z69" i="41" s="1"/>
  <c r="D37" i="39"/>
  <c r="E37" i="39"/>
  <c r="F37" i="39"/>
  <c r="G37" i="39"/>
  <c r="H37" i="39"/>
  <c r="I37" i="39"/>
  <c r="J37" i="39"/>
  <c r="Q17" i="53" s="1"/>
  <c r="J42" i="39" s="1"/>
  <c r="K37" i="39"/>
  <c r="K42" i="39" s="1"/>
  <c r="L37" i="39"/>
  <c r="M37" i="39"/>
  <c r="N37" i="39"/>
  <c r="O37" i="39"/>
  <c r="P37" i="39"/>
  <c r="C37" i="39"/>
  <c r="D25" i="39"/>
  <c r="D27" i="39" s="1"/>
  <c r="E25" i="39"/>
  <c r="E27" i="39" s="1"/>
  <c r="F25" i="39"/>
  <c r="F27" i="39" s="1"/>
  <c r="G25" i="39"/>
  <c r="G27" i="39" s="1"/>
  <c r="H25" i="39"/>
  <c r="H27" i="39" s="1"/>
  <c r="I25" i="39"/>
  <c r="I27" i="39" s="1"/>
  <c r="J25" i="39"/>
  <c r="K25" i="39"/>
  <c r="K29" i="39" s="1"/>
  <c r="L25" i="39"/>
  <c r="M25" i="39"/>
  <c r="N25" i="39"/>
  <c r="O25" i="39"/>
  <c r="P25" i="39"/>
  <c r="C25" i="39"/>
  <c r="C27" i="39" s="1"/>
  <c r="D12" i="39"/>
  <c r="E12" i="39"/>
  <c r="F12" i="39"/>
  <c r="G12" i="39"/>
  <c r="H12" i="39"/>
  <c r="I12" i="39"/>
  <c r="C12" i="39"/>
  <c r="K42" i="7" l="1"/>
  <c r="L36" i="7" s="1"/>
  <c r="L42" i="7" s="1"/>
  <c r="M36" i="7" s="1"/>
  <c r="T37" i="39"/>
  <c r="J17" i="53"/>
  <c r="M17" i="53" s="1"/>
  <c r="M29" i="39" s="1"/>
  <c r="T17" i="53"/>
  <c r="M42" i="39" s="1"/>
  <c r="S17" i="53"/>
  <c r="L42" i="39" s="1"/>
  <c r="W17" i="53"/>
  <c r="P42" i="39" s="1"/>
  <c r="V17" i="53"/>
  <c r="O42" i="39" s="1"/>
  <c r="U17" i="53"/>
  <c r="N42" i="39" s="1"/>
  <c r="W37" i="39"/>
  <c r="S37" i="39"/>
  <c r="E79" i="1"/>
  <c r="C39" i="39"/>
  <c r="C40" i="39"/>
  <c r="K79" i="1"/>
  <c r="I40" i="39"/>
  <c r="I39" i="39"/>
  <c r="G79" i="1"/>
  <c r="E40" i="39"/>
  <c r="E39" i="39"/>
  <c r="J79" i="1"/>
  <c r="H39" i="39"/>
  <c r="H40" i="39"/>
  <c r="F79" i="1"/>
  <c r="D39" i="39"/>
  <c r="D40" i="39"/>
  <c r="V37" i="39"/>
  <c r="R37" i="39"/>
  <c r="I79" i="1"/>
  <c r="G39" i="39"/>
  <c r="G40" i="39"/>
  <c r="W25" i="39"/>
  <c r="S25" i="39"/>
  <c r="U37" i="39"/>
  <c r="Q37" i="39"/>
  <c r="H79" i="1"/>
  <c r="F39" i="39"/>
  <c r="F40" i="39"/>
  <c r="U25" i="39"/>
  <c r="V25" i="39"/>
  <c r="R25" i="39"/>
  <c r="Q25" i="39"/>
  <c r="T25" i="39"/>
  <c r="F78" i="1"/>
  <c r="D14" i="39"/>
  <c r="D15" i="39"/>
  <c r="H78" i="1"/>
  <c r="F14" i="39"/>
  <c r="E78" i="1"/>
  <c r="C15" i="39"/>
  <c r="C14" i="39"/>
  <c r="K78" i="1"/>
  <c r="I14" i="39"/>
  <c r="G78" i="1"/>
  <c r="E14" i="39"/>
  <c r="J78" i="1"/>
  <c r="H14" i="39"/>
  <c r="I78" i="1"/>
  <c r="G14" i="39"/>
  <c r="D42" i="7"/>
  <c r="D40" i="7" s="1"/>
  <c r="S42" i="7"/>
  <c r="T36" i="7" s="1"/>
  <c r="T40" i="7" s="1"/>
  <c r="F65" i="62"/>
  <c r="T108" i="62"/>
  <c r="T107" i="62"/>
  <c r="T106" i="62"/>
  <c r="T105" i="62"/>
  <c r="T104" i="62"/>
  <c r="T103" i="62"/>
  <c r="T101" i="62"/>
  <c r="T100" i="62"/>
  <c r="T98" i="62"/>
  <c r="T97" i="62"/>
  <c r="U97" i="62" s="1"/>
  <c r="T96" i="62"/>
  <c r="T95" i="62"/>
  <c r="U95" i="62" s="1"/>
  <c r="T93" i="62"/>
  <c r="T91" i="62"/>
  <c r="T90" i="62"/>
  <c r="U90" i="62" s="1"/>
  <c r="V90" i="62" s="1"/>
  <c r="W90" i="62" s="1"/>
  <c r="T89" i="62"/>
  <c r="T88" i="62"/>
  <c r="U88" i="62" s="1"/>
  <c r="V88" i="62" s="1"/>
  <c r="W88" i="62" s="1"/>
  <c r="X88" i="62" s="1"/>
  <c r="Y88" i="62" s="1"/>
  <c r="T87" i="62"/>
  <c r="T86" i="62"/>
  <c r="U86" i="62" s="1"/>
  <c r="V86" i="62" s="1"/>
  <c r="W86" i="62" s="1"/>
  <c r="X86" i="62" s="1"/>
  <c r="Y86" i="62" s="1"/>
  <c r="T85" i="62"/>
  <c r="U85" i="62" s="1"/>
  <c r="V85" i="62" s="1"/>
  <c r="T84" i="62"/>
  <c r="U84" i="62" s="1"/>
  <c r="V84" i="62" s="1"/>
  <c r="W84" i="62" s="1"/>
  <c r="X84" i="62" s="1"/>
  <c r="Y84" i="62" s="1"/>
  <c r="T82" i="62"/>
  <c r="U82" i="62" s="1"/>
  <c r="V82" i="62" s="1"/>
  <c r="W82" i="62" s="1"/>
  <c r="X82" i="62" s="1"/>
  <c r="Y82" i="62" s="1"/>
  <c r="T81" i="62"/>
  <c r="U81" i="62" s="1"/>
  <c r="V81" i="62" s="1"/>
  <c r="W81" i="62" s="1"/>
  <c r="X81" i="62" s="1"/>
  <c r="Y81" i="62" s="1"/>
  <c r="T78" i="62"/>
  <c r="U78" i="62" s="1"/>
  <c r="T77" i="62"/>
  <c r="T75" i="62"/>
  <c r="U75" i="62" s="1"/>
  <c r="V75" i="62" s="1"/>
  <c r="W75" i="62" s="1"/>
  <c r="X75" i="62" s="1"/>
  <c r="Y75" i="62" s="1"/>
  <c r="T73" i="62"/>
  <c r="T72" i="62"/>
  <c r="U72" i="62" s="1"/>
  <c r="V72" i="62" s="1"/>
  <c r="W72" i="62" s="1"/>
  <c r="X72" i="62" s="1"/>
  <c r="Y72" i="62" s="1"/>
  <c r="T70" i="62"/>
  <c r="U70" i="62" s="1"/>
  <c r="T69" i="62"/>
  <c r="T68" i="62"/>
  <c r="U68" i="62" s="1"/>
  <c r="T66" i="62"/>
  <c r="U66" i="62" s="1"/>
  <c r="V66" i="62" s="1"/>
  <c r="W66" i="62" s="1"/>
  <c r="X66" i="62" s="1"/>
  <c r="Y66" i="62" s="1"/>
  <c r="T65" i="62"/>
  <c r="T63" i="62"/>
  <c r="U63" i="62" s="1"/>
  <c r="V63" i="62" s="1"/>
  <c r="W63" i="62" s="1"/>
  <c r="X63" i="62" s="1"/>
  <c r="Y63" i="62" s="1"/>
  <c r="T62" i="62"/>
  <c r="M108" i="62"/>
  <c r="M107" i="62"/>
  <c r="M106" i="62"/>
  <c r="M105" i="62"/>
  <c r="M104" i="62"/>
  <c r="M103" i="62"/>
  <c r="M101" i="62"/>
  <c r="M100" i="62"/>
  <c r="M98" i="62"/>
  <c r="N98" i="62" s="1"/>
  <c r="M97" i="62"/>
  <c r="M96" i="62"/>
  <c r="N96" i="62" s="1"/>
  <c r="M95" i="62"/>
  <c r="N95" i="62" s="1"/>
  <c r="M93" i="62"/>
  <c r="M91" i="62"/>
  <c r="M90" i="62"/>
  <c r="N90" i="62" s="1"/>
  <c r="O90" i="62" s="1"/>
  <c r="P90" i="62" s="1"/>
  <c r="Q90" i="62" s="1"/>
  <c r="R90" i="62" s="1"/>
  <c r="M89" i="62"/>
  <c r="M88" i="62"/>
  <c r="N88" i="62" s="1"/>
  <c r="O88" i="62" s="1"/>
  <c r="P88" i="62" s="1"/>
  <c r="Q88" i="62" s="1"/>
  <c r="R88" i="62" s="1"/>
  <c r="M87" i="62"/>
  <c r="M86" i="62"/>
  <c r="N86" i="62" s="1"/>
  <c r="O86" i="62" s="1"/>
  <c r="P86" i="62" s="1"/>
  <c r="Q86" i="62" s="1"/>
  <c r="R86" i="62" s="1"/>
  <c r="M85" i="62"/>
  <c r="M84" i="62"/>
  <c r="N84" i="62" s="1"/>
  <c r="O84" i="62" s="1"/>
  <c r="P84" i="62" s="1"/>
  <c r="Q84" i="62" s="1"/>
  <c r="R84" i="62" s="1"/>
  <c r="M82" i="62"/>
  <c r="N82" i="62" s="1"/>
  <c r="O82" i="62" s="1"/>
  <c r="P82" i="62" s="1"/>
  <c r="Q82" i="62" s="1"/>
  <c r="R82" i="62" s="1"/>
  <c r="M81" i="62"/>
  <c r="N81" i="62" s="1"/>
  <c r="O81" i="62" s="1"/>
  <c r="P81" i="62" s="1"/>
  <c r="Q81" i="62" s="1"/>
  <c r="R81" i="62" s="1"/>
  <c r="M78" i="62"/>
  <c r="N78" i="62" s="1"/>
  <c r="M77" i="62"/>
  <c r="M75" i="62"/>
  <c r="N75" i="62" s="1"/>
  <c r="O75" i="62" s="1"/>
  <c r="P75" i="62" s="1"/>
  <c r="Q75" i="62" s="1"/>
  <c r="R75" i="62" s="1"/>
  <c r="M73" i="62"/>
  <c r="M72" i="62"/>
  <c r="N72" i="62" s="1"/>
  <c r="O72" i="62" s="1"/>
  <c r="P72" i="62" s="1"/>
  <c r="Q72" i="62" s="1"/>
  <c r="R72" i="62" s="1"/>
  <c r="M70" i="62"/>
  <c r="N70" i="62" s="1"/>
  <c r="M69" i="62"/>
  <c r="M68" i="62"/>
  <c r="N68" i="62" s="1"/>
  <c r="M66" i="62"/>
  <c r="M65" i="62"/>
  <c r="N65" i="62" s="1"/>
  <c r="M63" i="62"/>
  <c r="M62" i="62"/>
  <c r="F108" i="62"/>
  <c r="F107" i="62"/>
  <c r="F106" i="62"/>
  <c r="F105" i="62"/>
  <c r="F104" i="62"/>
  <c r="F103" i="62"/>
  <c r="F101" i="62"/>
  <c r="F100" i="62"/>
  <c r="F98" i="62"/>
  <c r="G98" i="62" s="1"/>
  <c r="F97" i="62"/>
  <c r="F96" i="62"/>
  <c r="G96" i="62" s="1"/>
  <c r="F95" i="62"/>
  <c r="F93" i="62"/>
  <c r="F91" i="62"/>
  <c r="F90" i="62"/>
  <c r="G90" i="62" s="1"/>
  <c r="F89" i="62"/>
  <c r="F88" i="62"/>
  <c r="G88" i="62" s="1"/>
  <c r="F87" i="62"/>
  <c r="F86" i="62"/>
  <c r="G86" i="62" s="1"/>
  <c r="F85" i="62"/>
  <c r="F84" i="62"/>
  <c r="G84" i="62" s="1"/>
  <c r="F82" i="62"/>
  <c r="F81" i="62"/>
  <c r="F78" i="62"/>
  <c r="G78" i="62" s="1"/>
  <c r="F77" i="62"/>
  <c r="F75" i="62"/>
  <c r="G75" i="62" s="1"/>
  <c r="F73" i="62"/>
  <c r="G73" i="62" s="1"/>
  <c r="F72" i="62"/>
  <c r="F70" i="62"/>
  <c r="G70" i="62" s="1"/>
  <c r="F69" i="62"/>
  <c r="F68" i="62"/>
  <c r="G68" i="62" s="1"/>
  <c r="F66" i="62"/>
  <c r="G66" i="62" s="1"/>
  <c r="F63" i="62"/>
  <c r="G63" i="62" s="1"/>
  <c r="H63" i="62" s="1"/>
  <c r="I63" i="62" s="1"/>
  <c r="J63" i="62" s="1"/>
  <c r="K63" i="62" s="1"/>
  <c r="G62" i="62"/>
  <c r="Z58" i="51"/>
  <c r="Z57" i="51"/>
  <c r="Z56" i="51"/>
  <c r="Z55" i="51"/>
  <c r="Z54" i="51"/>
  <c r="Z53" i="51"/>
  <c r="Z51" i="51"/>
  <c r="Z50" i="51"/>
  <c r="Z48" i="51"/>
  <c r="Z47" i="51"/>
  <c r="Z46" i="51"/>
  <c r="Z45" i="51"/>
  <c r="Z43" i="51"/>
  <c r="Z41" i="51"/>
  <c r="Z40" i="51"/>
  <c r="Z39" i="51"/>
  <c r="Z38" i="51"/>
  <c r="Z37" i="51"/>
  <c r="Z36" i="51"/>
  <c r="Z35" i="51"/>
  <c r="Z34" i="51"/>
  <c r="Z32" i="51"/>
  <c r="Z28" i="51"/>
  <c r="Z27" i="51"/>
  <c r="Z25" i="51"/>
  <c r="Z23" i="51"/>
  <c r="Z22" i="51"/>
  <c r="Z20" i="51"/>
  <c r="Z19" i="51"/>
  <c r="Z18" i="51"/>
  <c r="Z16" i="51"/>
  <c r="Z15" i="51"/>
  <c r="Z13" i="51"/>
  <c r="Z12" i="51"/>
  <c r="S58" i="51"/>
  <c r="S57" i="51"/>
  <c r="S56" i="51"/>
  <c r="S55" i="51"/>
  <c r="S54" i="51"/>
  <c r="S53" i="51"/>
  <c r="S51" i="51"/>
  <c r="S50" i="51"/>
  <c r="S48" i="51"/>
  <c r="S47" i="51"/>
  <c r="S46" i="51"/>
  <c r="S45" i="51"/>
  <c r="S43" i="51"/>
  <c r="S41" i="51"/>
  <c r="S40" i="51"/>
  <c r="S39" i="51"/>
  <c r="S38" i="51"/>
  <c r="S37" i="51"/>
  <c r="S36" i="51"/>
  <c r="S35" i="51"/>
  <c r="S34" i="51"/>
  <c r="S32" i="51"/>
  <c r="S28" i="51"/>
  <c r="S27" i="51"/>
  <c r="S25" i="51"/>
  <c r="S23" i="51"/>
  <c r="S22" i="51"/>
  <c r="S20" i="51"/>
  <c r="S19" i="51"/>
  <c r="S18" i="51"/>
  <c r="S16" i="51"/>
  <c r="S15" i="51"/>
  <c r="S13" i="51"/>
  <c r="S12" i="51"/>
  <c r="L58" i="51"/>
  <c r="L57" i="51"/>
  <c r="L56" i="51"/>
  <c r="L55" i="51"/>
  <c r="L54" i="51"/>
  <c r="L53" i="51"/>
  <c r="L51" i="51"/>
  <c r="L50" i="51"/>
  <c r="L48" i="51"/>
  <c r="L47" i="51"/>
  <c r="L46" i="51"/>
  <c r="L45" i="51"/>
  <c r="L43" i="51"/>
  <c r="L41" i="51"/>
  <c r="L40" i="51"/>
  <c r="L39" i="51"/>
  <c r="L38" i="51"/>
  <c r="L37" i="51"/>
  <c r="L36" i="51"/>
  <c r="L35" i="51"/>
  <c r="L34" i="51"/>
  <c r="L32" i="51"/>
  <c r="L28" i="51"/>
  <c r="L27" i="51"/>
  <c r="L25" i="51"/>
  <c r="L23" i="51"/>
  <c r="L22" i="51"/>
  <c r="L20" i="51"/>
  <c r="L19" i="51"/>
  <c r="L18" i="51"/>
  <c r="L16" i="51"/>
  <c r="L15" i="51"/>
  <c r="L13" i="51"/>
  <c r="L12" i="51"/>
  <c r="E58" i="51"/>
  <c r="E57" i="51"/>
  <c r="E56" i="51"/>
  <c r="E55" i="51"/>
  <c r="E54" i="51"/>
  <c r="E53" i="51"/>
  <c r="E51" i="51"/>
  <c r="E50" i="51"/>
  <c r="E48" i="51"/>
  <c r="E47" i="51"/>
  <c r="E46" i="51"/>
  <c r="E45" i="51"/>
  <c r="E43" i="51"/>
  <c r="E41" i="51"/>
  <c r="E40" i="51"/>
  <c r="E39" i="51"/>
  <c r="E38" i="51"/>
  <c r="E37" i="51"/>
  <c r="E36" i="51"/>
  <c r="E35" i="51"/>
  <c r="E34" i="51"/>
  <c r="E32" i="51"/>
  <c r="E28" i="51"/>
  <c r="E27" i="51"/>
  <c r="E25" i="51"/>
  <c r="E23" i="51"/>
  <c r="E22" i="51"/>
  <c r="E20" i="51"/>
  <c r="E19" i="51"/>
  <c r="E18" i="51"/>
  <c r="E16" i="51"/>
  <c r="E15" i="51"/>
  <c r="E13" i="51"/>
  <c r="E12" i="51"/>
  <c r="S94" i="62"/>
  <c r="L94" i="62"/>
  <c r="S80" i="62"/>
  <c r="S79" i="62" s="1"/>
  <c r="L80" i="62"/>
  <c r="L79" i="62" s="1"/>
  <c r="S74" i="62"/>
  <c r="L74" i="62"/>
  <c r="S71" i="62"/>
  <c r="L71" i="62"/>
  <c r="S64" i="62"/>
  <c r="L64" i="62"/>
  <c r="S61" i="62"/>
  <c r="L61" i="62"/>
  <c r="K9" i="62"/>
  <c r="R9" i="62" s="1"/>
  <c r="Y9" i="62" s="1"/>
  <c r="AF9" i="62" s="1"/>
  <c r="J9" i="62"/>
  <c r="Q9" i="62" s="1"/>
  <c r="X9" i="62" s="1"/>
  <c r="AE9" i="62" s="1"/>
  <c r="I9" i="62"/>
  <c r="P9" i="62" s="1"/>
  <c r="W9" i="62" s="1"/>
  <c r="AD9" i="62" s="1"/>
  <c r="H9" i="62"/>
  <c r="O9" i="62" s="1"/>
  <c r="V9" i="62" s="1"/>
  <c r="AC9" i="62" s="1"/>
  <c r="G9" i="62"/>
  <c r="N9" i="62" s="1"/>
  <c r="U9" i="62" s="1"/>
  <c r="AB9" i="62" s="1"/>
  <c r="F9" i="62"/>
  <c r="M9" i="62" s="1"/>
  <c r="T9" i="62" s="1"/>
  <c r="AA9" i="62" s="1"/>
  <c r="E9" i="62"/>
  <c r="L9" i="62" s="1"/>
  <c r="S9" i="62" s="1"/>
  <c r="Z9" i="62" s="1"/>
  <c r="AK9" i="54"/>
  <c r="AK87" i="54" s="1"/>
  <c r="AI9" i="54"/>
  <c r="AI87" i="54" s="1"/>
  <c r="AG9" i="54"/>
  <c r="AG87" i="54" s="1"/>
  <c r="AE9" i="54"/>
  <c r="AE87" i="54" s="1"/>
  <c r="AC9" i="54"/>
  <c r="AC87" i="54" s="1"/>
  <c r="AA9" i="54"/>
  <c r="AA87" i="54" s="1"/>
  <c r="Y9" i="54"/>
  <c r="Y87" i="54" s="1"/>
  <c r="W9" i="54"/>
  <c r="W87" i="54" s="1"/>
  <c r="U9" i="54"/>
  <c r="U87" i="54" s="1"/>
  <c r="S9" i="54"/>
  <c r="S87" i="54" s="1"/>
  <c r="Q9" i="54"/>
  <c r="Q87" i="54" s="1"/>
  <c r="P9" i="54"/>
  <c r="P87" i="54" s="1"/>
  <c r="O9" i="54"/>
  <c r="O87" i="54" s="1"/>
  <c r="M9" i="54"/>
  <c r="M87" i="54" s="1"/>
  <c r="K9" i="54"/>
  <c r="K87" i="54" s="1"/>
  <c r="I9" i="54"/>
  <c r="I87" i="54" s="1"/>
  <c r="G9" i="54"/>
  <c r="G87" i="54" s="1"/>
  <c r="E9" i="54"/>
  <c r="E87" i="54" s="1"/>
  <c r="D9" i="54"/>
  <c r="D87" i="54" s="1"/>
  <c r="C9" i="54"/>
  <c r="C87" i="54" s="1"/>
  <c r="I10" i="53"/>
  <c r="I90" i="53" s="1"/>
  <c r="H10" i="53"/>
  <c r="H90" i="53" s="1"/>
  <c r="G10" i="53"/>
  <c r="G90" i="53" s="1"/>
  <c r="F10" i="53"/>
  <c r="F90" i="53" s="1"/>
  <c r="E10" i="53"/>
  <c r="E90" i="53" s="1"/>
  <c r="D10" i="53"/>
  <c r="D90" i="53" s="1"/>
  <c r="C10" i="53"/>
  <c r="C90" i="53" s="1"/>
  <c r="I9" i="60"/>
  <c r="P9" i="60" s="1"/>
  <c r="W9" i="60" s="1"/>
  <c r="AD9" i="60" s="1"/>
  <c r="H9" i="60"/>
  <c r="O9" i="60" s="1"/>
  <c r="V9" i="60" s="1"/>
  <c r="AC9" i="60" s="1"/>
  <c r="G9" i="60"/>
  <c r="N9" i="60" s="1"/>
  <c r="U9" i="60" s="1"/>
  <c r="AB9" i="60" s="1"/>
  <c r="F9" i="60"/>
  <c r="M9" i="60" s="1"/>
  <c r="T9" i="60" s="1"/>
  <c r="AA9" i="60" s="1"/>
  <c r="E9" i="60"/>
  <c r="L9" i="60" s="1"/>
  <c r="S9" i="60" s="1"/>
  <c r="Z9" i="60" s="1"/>
  <c r="D9" i="60"/>
  <c r="K9" i="60" s="1"/>
  <c r="R9" i="60" s="1"/>
  <c r="Y9" i="60" s="1"/>
  <c r="C9" i="60"/>
  <c r="J9" i="60" s="1"/>
  <c r="Q9" i="60" s="1"/>
  <c r="X9" i="60" s="1"/>
  <c r="K7" i="50"/>
  <c r="J7" i="50"/>
  <c r="I7" i="50"/>
  <c r="H7" i="50"/>
  <c r="G7" i="50"/>
  <c r="F7" i="50"/>
  <c r="E7" i="50"/>
  <c r="K9" i="51"/>
  <c r="R9" i="51" s="1"/>
  <c r="Y9" i="51" s="1"/>
  <c r="J9" i="51"/>
  <c r="Q9" i="51" s="1"/>
  <c r="X9" i="51" s="1"/>
  <c r="I9" i="51"/>
  <c r="P9" i="51" s="1"/>
  <c r="W9" i="51" s="1"/>
  <c r="H9" i="51"/>
  <c r="O9" i="51" s="1"/>
  <c r="V9" i="51" s="1"/>
  <c r="G9" i="51"/>
  <c r="N9" i="51" s="1"/>
  <c r="U9" i="51" s="1"/>
  <c r="F9" i="51"/>
  <c r="M9" i="51" s="1"/>
  <c r="T9" i="51" s="1"/>
  <c r="E9" i="51"/>
  <c r="A3" i="62"/>
  <c r="C44" i="53"/>
  <c r="J44" i="53"/>
  <c r="M44" i="53" s="1"/>
  <c r="Q44" i="53"/>
  <c r="L17" i="53" l="1"/>
  <c r="L29" i="39" s="1"/>
  <c r="L40" i="7"/>
  <c r="K40" i="7"/>
  <c r="L33" i="51"/>
  <c r="N17" i="53"/>
  <c r="N29" i="39" s="1"/>
  <c r="O17" i="53"/>
  <c r="O29" i="39" s="1"/>
  <c r="P17" i="53"/>
  <c r="P29" i="39" s="1"/>
  <c r="T83" i="62"/>
  <c r="Z33" i="51"/>
  <c r="E33" i="51"/>
  <c r="S33" i="51"/>
  <c r="F83" i="62"/>
  <c r="N91" i="62"/>
  <c r="M83" i="62"/>
  <c r="J29" i="39"/>
  <c r="G93" i="62"/>
  <c r="G101" i="62"/>
  <c r="H101" i="62" s="1"/>
  <c r="O78" i="62"/>
  <c r="O95" i="62"/>
  <c r="P95" i="62" s="1"/>
  <c r="M99" i="62"/>
  <c r="V68" i="62"/>
  <c r="V70" i="62"/>
  <c r="U93" i="62"/>
  <c r="U101" i="62"/>
  <c r="U104" i="62"/>
  <c r="U106" i="62"/>
  <c r="U108" i="62"/>
  <c r="H62" i="62"/>
  <c r="O65" i="62"/>
  <c r="O68" i="62"/>
  <c r="O70" i="62"/>
  <c r="N93" i="62"/>
  <c r="O96" i="62"/>
  <c r="O98" i="62"/>
  <c r="N101" i="62"/>
  <c r="N104" i="62"/>
  <c r="N106" i="62"/>
  <c r="N108" i="62"/>
  <c r="V78" i="62"/>
  <c r="V95" i="62"/>
  <c r="V97" i="62"/>
  <c r="F99" i="62"/>
  <c r="E49" i="51"/>
  <c r="L49" i="51"/>
  <c r="S49" i="51"/>
  <c r="Z49" i="51"/>
  <c r="T99" i="62"/>
  <c r="AT9" i="60"/>
  <c r="AF9" i="60"/>
  <c r="AM9" i="60" s="1"/>
  <c r="AY9" i="60"/>
  <c r="AK9" i="60"/>
  <c r="AR9" i="60" s="1"/>
  <c r="AV9" i="60"/>
  <c r="AH9" i="60"/>
  <c r="AO9" i="60" s="1"/>
  <c r="AS9" i="60"/>
  <c r="AE9" i="60"/>
  <c r="AL9" i="60" s="1"/>
  <c r="AW9" i="60"/>
  <c r="AI9" i="60"/>
  <c r="AP9" i="60" s="1"/>
  <c r="AU9" i="60"/>
  <c r="AG9" i="60"/>
  <c r="AN9" i="60" s="1"/>
  <c r="X90" i="62"/>
  <c r="Y90" i="62" s="1"/>
  <c r="AX9" i="60"/>
  <c r="AJ9" i="60"/>
  <c r="AQ9" i="60" s="1"/>
  <c r="G69" i="62"/>
  <c r="G65" i="62"/>
  <c r="G64" i="62" s="1"/>
  <c r="E36" i="7"/>
  <c r="M42" i="7"/>
  <c r="N36" i="7" s="1"/>
  <c r="S67" i="62"/>
  <c r="E24" i="51"/>
  <c r="U44" i="53"/>
  <c r="O44" i="53"/>
  <c r="G44" i="53"/>
  <c r="E44" i="53"/>
  <c r="N44" i="53"/>
  <c r="L44" i="53"/>
  <c r="P44" i="53"/>
  <c r="W44" i="53"/>
  <c r="E73" i="51"/>
  <c r="L67" i="62"/>
  <c r="I44" i="53"/>
  <c r="T42" i="7"/>
  <c r="U36" i="7" s="1"/>
  <c r="U40" i="7" s="1"/>
  <c r="H70" i="62"/>
  <c r="H75" i="62"/>
  <c r="H86" i="62"/>
  <c r="H90" i="62"/>
  <c r="H96" i="62"/>
  <c r="G106" i="62"/>
  <c r="N62" i="62"/>
  <c r="N73" i="62"/>
  <c r="U77" i="62"/>
  <c r="V77" i="62" s="1"/>
  <c r="U87" i="62"/>
  <c r="U91" i="62"/>
  <c r="U103" i="62"/>
  <c r="U107" i="62"/>
  <c r="S44" i="53"/>
  <c r="H66" i="62"/>
  <c r="G72" i="62"/>
  <c r="G77" i="62"/>
  <c r="G82" i="62"/>
  <c r="G87" i="62"/>
  <c r="G91" i="62"/>
  <c r="G97" i="62"/>
  <c r="G103" i="62"/>
  <c r="G107" i="62"/>
  <c r="N63" i="62"/>
  <c r="O63" i="62" s="1"/>
  <c r="N69" i="62"/>
  <c r="N85" i="62"/>
  <c r="O85" i="62" s="1"/>
  <c r="N89" i="62"/>
  <c r="O89" i="62" s="1"/>
  <c r="N100" i="62"/>
  <c r="N105" i="62"/>
  <c r="U62" i="62"/>
  <c r="U73" i="62"/>
  <c r="U98" i="62"/>
  <c r="H68" i="62"/>
  <c r="H73" i="62"/>
  <c r="H78" i="62"/>
  <c r="H84" i="62"/>
  <c r="H88" i="62"/>
  <c r="H98" i="62"/>
  <c r="G104" i="62"/>
  <c r="G108" i="62"/>
  <c r="U69" i="62"/>
  <c r="W85" i="62"/>
  <c r="X85" i="62" s="1"/>
  <c r="U89" i="62"/>
  <c r="V89" i="62" s="1"/>
  <c r="U100" i="62"/>
  <c r="U105" i="62"/>
  <c r="G81" i="62"/>
  <c r="G85" i="62"/>
  <c r="G89" i="62"/>
  <c r="G95" i="62"/>
  <c r="G100" i="62"/>
  <c r="G105" i="62"/>
  <c r="N66" i="62"/>
  <c r="N77" i="62"/>
  <c r="N87" i="62"/>
  <c r="N97" i="62"/>
  <c r="N103" i="62"/>
  <c r="N107" i="62"/>
  <c r="O107" i="62" s="1"/>
  <c r="U65" i="62"/>
  <c r="U96" i="62"/>
  <c r="E60" i="62"/>
  <c r="F61" i="62"/>
  <c r="F64" i="62"/>
  <c r="M64" i="62"/>
  <c r="T64" i="62"/>
  <c r="V44" i="53"/>
  <c r="T44" i="53"/>
  <c r="H44" i="53"/>
  <c r="F44" i="53"/>
  <c r="M40" i="7" l="1"/>
  <c r="G83" i="62"/>
  <c r="U83" i="62"/>
  <c r="O91" i="62"/>
  <c r="N83" i="62"/>
  <c r="L60" i="62"/>
  <c r="S60" i="62"/>
  <c r="E42" i="7"/>
  <c r="F36" i="7" s="1"/>
  <c r="V96" i="62"/>
  <c r="W96" i="62" s="1"/>
  <c r="O97" i="62"/>
  <c r="O94" i="62" s="1"/>
  <c r="G99" i="62"/>
  <c r="O105" i="62"/>
  <c r="P105" i="62" s="1"/>
  <c r="Q95" i="62"/>
  <c r="H65" i="62"/>
  <c r="H64" i="62" s="1"/>
  <c r="V65" i="62"/>
  <c r="O103" i="62"/>
  <c r="V105" i="62"/>
  <c r="V69" i="62"/>
  <c r="H93" i="62"/>
  <c r="V98" i="62"/>
  <c r="W98" i="62" s="1"/>
  <c r="O69" i="62"/>
  <c r="H69" i="62"/>
  <c r="W97" i="62"/>
  <c r="W95" i="62"/>
  <c r="W78" i="62"/>
  <c r="O108" i="62"/>
  <c r="O106" i="62"/>
  <c r="O104" i="62"/>
  <c r="O101" i="62"/>
  <c r="P98" i="62"/>
  <c r="P96" i="62"/>
  <c r="O93" i="62"/>
  <c r="P70" i="62"/>
  <c r="P68" i="62"/>
  <c r="P65" i="62"/>
  <c r="I62" i="62"/>
  <c r="I61" i="62" s="1"/>
  <c r="V108" i="62"/>
  <c r="V106" i="62"/>
  <c r="V104" i="62"/>
  <c r="V101" i="62"/>
  <c r="V93" i="62"/>
  <c r="W70" i="62"/>
  <c r="W68" i="62"/>
  <c r="P78" i="62"/>
  <c r="V73" i="62"/>
  <c r="W73" i="62" s="1"/>
  <c r="V100" i="62"/>
  <c r="W100" i="62" s="1"/>
  <c r="U99" i="62"/>
  <c r="O100" i="62"/>
  <c r="N99" i="62"/>
  <c r="N42" i="7"/>
  <c r="O36" i="7" s="1"/>
  <c r="U42" i="7"/>
  <c r="V36" i="7" s="1"/>
  <c r="V40" i="7" s="1"/>
  <c r="H105" i="62"/>
  <c r="H85" i="62"/>
  <c r="V107" i="62"/>
  <c r="W77" i="62"/>
  <c r="W74" i="62" s="1"/>
  <c r="I101" i="62"/>
  <c r="P107" i="62"/>
  <c r="O87" i="62"/>
  <c r="H100" i="62"/>
  <c r="H81" i="62"/>
  <c r="V103" i="62"/>
  <c r="O73" i="62"/>
  <c r="I96" i="62"/>
  <c r="O77" i="62"/>
  <c r="O74" i="62" s="1"/>
  <c r="H95" i="62"/>
  <c r="V91" i="62"/>
  <c r="O62" i="62"/>
  <c r="I90" i="62"/>
  <c r="O66" i="62"/>
  <c r="N64" i="62"/>
  <c r="H89" i="62"/>
  <c r="V87" i="62"/>
  <c r="H106" i="62"/>
  <c r="I86" i="62"/>
  <c r="I75" i="62"/>
  <c r="W89" i="62"/>
  <c r="H108" i="62"/>
  <c r="I98" i="62"/>
  <c r="I88" i="62"/>
  <c r="I78" i="62"/>
  <c r="I68" i="62"/>
  <c r="V62" i="62"/>
  <c r="P89" i="62"/>
  <c r="H107" i="62"/>
  <c r="H97" i="62"/>
  <c r="H87" i="62"/>
  <c r="H77" i="62"/>
  <c r="I66" i="62"/>
  <c r="I70" i="62"/>
  <c r="Y85" i="62"/>
  <c r="H104" i="62"/>
  <c r="I84" i="62"/>
  <c r="I73" i="62"/>
  <c r="P85" i="62"/>
  <c r="P63" i="62"/>
  <c r="H103" i="62"/>
  <c r="H91" i="62"/>
  <c r="H82" i="62"/>
  <c r="H72" i="62"/>
  <c r="U61" i="62"/>
  <c r="N61" i="62"/>
  <c r="G61" i="62"/>
  <c r="M61" i="62"/>
  <c r="H61" i="62"/>
  <c r="T94" i="62"/>
  <c r="M94" i="62"/>
  <c r="F94" i="62"/>
  <c r="U80" i="62"/>
  <c r="V80" i="62"/>
  <c r="N80" i="62"/>
  <c r="O80" i="62"/>
  <c r="G80" i="62"/>
  <c r="U74" i="62"/>
  <c r="V74" i="62"/>
  <c r="N74" i="62"/>
  <c r="G74" i="62"/>
  <c r="U71" i="62"/>
  <c r="N71" i="62"/>
  <c r="G71" i="62"/>
  <c r="U64" i="62"/>
  <c r="T61" i="62"/>
  <c r="U94" i="62"/>
  <c r="N94" i="62"/>
  <c r="G94" i="62"/>
  <c r="W80" i="62"/>
  <c r="T80" i="62"/>
  <c r="T79" i="62" s="1"/>
  <c r="M80" i="62"/>
  <c r="M79" i="62" s="1"/>
  <c r="F80" i="62"/>
  <c r="F79" i="62" s="1"/>
  <c r="T74" i="62"/>
  <c r="M74" i="62"/>
  <c r="F74" i="62"/>
  <c r="T71" i="62"/>
  <c r="M71" i="62"/>
  <c r="F71" i="62"/>
  <c r="E40" i="7" l="1"/>
  <c r="N40" i="7"/>
  <c r="G79" i="62"/>
  <c r="V83" i="62"/>
  <c r="V79" i="62" s="1"/>
  <c r="N79" i="62"/>
  <c r="U79" i="62"/>
  <c r="H83" i="62"/>
  <c r="O83" i="62"/>
  <c r="O79" i="62" s="1"/>
  <c r="P91" i="62"/>
  <c r="V94" i="62"/>
  <c r="F42" i="7"/>
  <c r="G36" i="7" s="1"/>
  <c r="U67" i="62"/>
  <c r="R95" i="62"/>
  <c r="P69" i="62"/>
  <c r="Q69" i="62" s="1"/>
  <c r="H99" i="62"/>
  <c r="O99" i="62"/>
  <c r="V99" i="62"/>
  <c r="X68" i="62"/>
  <c r="X70" i="62"/>
  <c r="W93" i="62"/>
  <c r="W101" i="62"/>
  <c r="W104" i="62"/>
  <c r="W106" i="62"/>
  <c r="W108" i="62"/>
  <c r="J62" i="62"/>
  <c r="Q65" i="62"/>
  <c r="Q68" i="62"/>
  <c r="Q70" i="62"/>
  <c r="P93" i="62"/>
  <c r="Q96" i="62"/>
  <c r="Q98" i="62"/>
  <c r="P101" i="62"/>
  <c r="P104" i="62"/>
  <c r="P106" i="62"/>
  <c r="P108" i="62"/>
  <c r="X78" i="62"/>
  <c r="X95" i="62"/>
  <c r="X97" i="62"/>
  <c r="V64" i="62"/>
  <c r="V71" i="62"/>
  <c r="V67" i="62" s="1"/>
  <c r="P100" i="62"/>
  <c r="I93" i="62"/>
  <c r="V61" i="62"/>
  <c r="W69" i="62"/>
  <c r="X69" i="62" s="1"/>
  <c r="W105" i="62"/>
  <c r="I69" i="62"/>
  <c r="P97" i="62"/>
  <c r="Q97" i="62" s="1"/>
  <c r="P103" i="62"/>
  <c r="Q103" i="62" s="1"/>
  <c r="W65" i="62"/>
  <c r="W64" i="62" s="1"/>
  <c r="Q78" i="62"/>
  <c r="I65" i="62"/>
  <c r="W71" i="62"/>
  <c r="O71" i="62"/>
  <c r="O67" i="62" s="1"/>
  <c r="O42" i="7"/>
  <c r="P36" i="7" s="1"/>
  <c r="H94" i="62"/>
  <c r="G67" i="62"/>
  <c r="T67" i="62"/>
  <c r="N67" i="62"/>
  <c r="F67" i="62"/>
  <c r="M67" i="62"/>
  <c r="W94" i="62"/>
  <c r="V42" i="7"/>
  <c r="W36" i="7" s="1"/>
  <c r="W40" i="7" s="1"/>
  <c r="I82" i="62"/>
  <c r="I103" i="62"/>
  <c r="Q85" i="62"/>
  <c r="Q105" i="62"/>
  <c r="J73" i="62"/>
  <c r="I77" i="62"/>
  <c r="I97" i="62"/>
  <c r="W62" i="62"/>
  <c r="J78" i="62"/>
  <c r="J98" i="62"/>
  <c r="J75" i="62"/>
  <c r="I106" i="62"/>
  <c r="J90" i="62"/>
  <c r="W91" i="62"/>
  <c r="I95" i="62"/>
  <c r="J101" i="62"/>
  <c r="W107" i="62"/>
  <c r="I105" i="62"/>
  <c r="P66" i="62"/>
  <c r="O64" i="62"/>
  <c r="J96" i="62"/>
  <c r="W103" i="62"/>
  <c r="I100" i="62"/>
  <c r="Q107" i="62"/>
  <c r="I72" i="62"/>
  <c r="I91" i="62"/>
  <c r="Q63" i="62"/>
  <c r="X73" i="62"/>
  <c r="J84" i="62"/>
  <c r="I104" i="62"/>
  <c r="J70" i="62"/>
  <c r="J66" i="62"/>
  <c r="I87" i="62"/>
  <c r="I107" i="62"/>
  <c r="Q89" i="62"/>
  <c r="X98" i="62"/>
  <c r="J68" i="62"/>
  <c r="J88" i="62"/>
  <c r="I108" i="62"/>
  <c r="X89" i="62"/>
  <c r="J86" i="62"/>
  <c r="W87" i="62"/>
  <c r="I89" i="62"/>
  <c r="P62" i="62"/>
  <c r="P77" i="62"/>
  <c r="X96" i="62"/>
  <c r="X77" i="62"/>
  <c r="I85" i="62"/>
  <c r="P80" i="62"/>
  <c r="O61" i="62"/>
  <c r="H71" i="62"/>
  <c r="H74" i="62"/>
  <c r="H80" i="62"/>
  <c r="P73" i="62"/>
  <c r="I81" i="62"/>
  <c r="P87" i="62"/>
  <c r="X100" i="62"/>
  <c r="Q100" i="62"/>
  <c r="H79" i="62" l="1"/>
  <c r="O40" i="7"/>
  <c r="F40" i="7"/>
  <c r="I83" i="62"/>
  <c r="W83" i="62"/>
  <c r="W79" i="62" s="1"/>
  <c r="Q91" i="62"/>
  <c r="P83" i="62"/>
  <c r="P79" i="62" s="1"/>
  <c r="F60" i="62"/>
  <c r="X65" i="62"/>
  <c r="Y65" i="62" s="1"/>
  <c r="U60" i="62"/>
  <c r="G42" i="7"/>
  <c r="G40" i="7" s="1"/>
  <c r="N60" i="62"/>
  <c r="W67" i="62"/>
  <c r="J69" i="62"/>
  <c r="K69" i="62" s="1"/>
  <c r="I99" i="62"/>
  <c r="J65" i="62"/>
  <c r="J64" i="62" s="1"/>
  <c r="P94" i="62"/>
  <c r="P99" i="62"/>
  <c r="I64" i="62"/>
  <c r="X105" i="62"/>
  <c r="Y105" i="62" s="1"/>
  <c r="J93" i="62"/>
  <c r="R78" i="62"/>
  <c r="Y97" i="62"/>
  <c r="Y95" i="62"/>
  <c r="Y78" i="62"/>
  <c r="Q108" i="62"/>
  <c r="Q106" i="62"/>
  <c r="Q104" i="62"/>
  <c r="Q101" i="62"/>
  <c r="R98" i="62"/>
  <c r="R96" i="62"/>
  <c r="Q93" i="62"/>
  <c r="R70" i="62"/>
  <c r="R68" i="62"/>
  <c r="R65" i="62"/>
  <c r="K62" i="62"/>
  <c r="J61" i="62"/>
  <c r="X108" i="62"/>
  <c r="X106" i="62"/>
  <c r="X104" i="62"/>
  <c r="X101" i="62"/>
  <c r="X99" i="62" s="1"/>
  <c r="X93" i="62"/>
  <c r="Y70" i="62"/>
  <c r="Y68" i="62"/>
  <c r="W99" i="62"/>
  <c r="T60" i="62"/>
  <c r="G60" i="62"/>
  <c r="V60" i="62"/>
  <c r="P42" i="7"/>
  <c r="P40" i="7" s="1"/>
  <c r="M60" i="62"/>
  <c r="O60" i="62"/>
  <c r="W42" i="7"/>
  <c r="K70" i="62"/>
  <c r="R63" i="62"/>
  <c r="J72" i="62"/>
  <c r="I71" i="62"/>
  <c r="R107" i="62"/>
  <c r="J81" i="62"/>
  <c r="I80" i="62"/>
  <c r="Q73" i="62"/>
  <c r="P71" i="62"/>
  <c r="Y96" i="62"/>
  <c r="X94" i="62"/>
  <c r="J89" i="62"/>
  <c r="K86" i="62"/>
  <c r="Y89" i="62"/>
  <c r="K88" i="62"/>
  <c r="Y98" i="62"/>
  <c r="J107" i="62"/>
  <c r="K84" i="62"/>
  <c r="Y73" i="62"/>
  <c r="X71" i="62"/>
  <c r="K96" i="62"/>
  <c r="J105" i="62"/>
  <c r="X107" i="62"/>
  <c r="R103" i="62"/>
  <c r="X91" i="62"/>
  <c r="K75" i="62"/>
  <c r="Y69" i="62"/>
  <c r="K78" i="62"/>
  <c r="X62" i="62"/>
  <c r="W61" i="62"/>
  <c r="J97" i="62"/>
  <c r="Q80" i="62"/>
  <c r="K73" i="62"/>
  <c r="R105" i="62"/>
  <c r="J103" i="62"/>
  <c r="K66" i="62"/>
  <c r="J91" i="62"/>
  <c r="Q66" i="62"/>
  <c r="P64" i="62"/>
  <c r="Q87" i="62"/>
  <c r="R97" i="62"/>
  <c r="Q94" i="62"/>
  <c r="H67" i="62"/>
  <c r="J85" i="62"/>
  <c r="Y77" i="62"/>
  <c r="X74" i="62"/>
  <c r="Q77" i="62"/>
  <c r="P74" i="62"/>
  <c r="Q62" i="62"/>
  <c r="P61" i="62"/>
  <c r="X87" i="62"/>
  <c r="J108" i="62"/>
  <c r="K68" i="62"/>
  <c r="R89" i="62"/>
  <c r="J87" i="62"/>
  <c r="J104" i="62"/>
  <c r="J100" i="62"/>
  <c r="X103" i="62"/>
  <c r="X80" i="62"/>
  <c r="X64" i="62"/>
  <c r="K101" i="62"/>
  <c r="J95" i="62"/>
  <c r="I94" i="62"/>
  <c r="K90" i="62"/>
  <c r="J106" i="62"/>
  <c r="K98" i="62"/>
  <c r="R69" i="62"/>
  <c r="J77" i="62"/>
  <c r="J74" i="62" s="1"/>
  <c r="I74" i="62"/>
  <c r="R85" i="62"/>
  <c r="J82" i="62"/>
  <c r="Y100" i="62"/>
  <c r="R100" i="62"/>
  <c r="I79" i="62" l="1"/>
  <c r="J83" i="62"/>
  <c r="X83" i="62"/>
  <c r="X79" i="62" s="1"/>
  <c r="Q83" i="62"/>
  <c r="Q79" i="62" s="1"/>
  <c r="R91" i="62"/>
  <c r="H36" i="7"/>
  <c r="H42" i="7" s="1"/>
  <c r="I36" i="7" s="1"/>
  <c r="J99" i="62"/>
  <c r="K61" i="62"/>
  <c r="R93" i="62"/>
  <c r="R101" i="62"/>
  <c r="R104" i="62"/>
  <c r="R106" i="62"/>
  <c r="R108" i="62"/>
  <c r="K65" i="62"/>
  <c r="K93" i="62"/>
  <c r="Y93" i="62"/>
  <c r="Y101" i="62"/>
  <c r="Y104" i="62"/>
  <c r="Y106" i="62"/>
  <c r="Y108" i="62"/>
  <c r="Q99" i="62"/>
  <c r="H60" i="62"/>
  <c r="K82" i="62"/>
  <c r="K106" i="62"/>
  <c r="Y64" i="62"/>
  <c r="K104" i="62"/>
  <c r="K108" i="62"/>
  <c r="R62" i="62"/>
  <c r="Q61" i="62"/>
  <c r="R94" i="62"/>
  <c r="R80" i="62"/>
  <c r="P67" i="62"/>
  <c r="P60" i="62" s="1"/>
  <c r="Y103" i="62"/>
  <c r="Y74" i="62"/>
  <c r="R66" i="62"/>
  <c r="Q64" i="62"/>
  <c r="Y71" i="62"/>
  <c r="K81" i="62"/>
  <c r="J80" i="62"/>
  <c r="J79" i="62" s="1"/>
  <c r="I67" i="62"/>
  <c r="K77" i="62"/>
  <c r="K87" i="62"/>
  <c r="R77" i="62"/>
  <c r="Q74" i="62"/>
  <c r="K107" i="62"/>
  <c r="K89" i="62"/>
  <c r="R73" i="62"/>
  <c r="Q71" i="62"/>
  <c r="K100" i="62"/>
  <c r="K85" i="62"/>
  <c r="K97" i="62"/>
  <c r="Y94" i="62"/>
  <c r="K95" i="62"/>
  <c r="J94" i="62"/>
  <c r="R87" i="62"/>
  <c r="K103" i="62"/>
  <c r="W60" i="62"/>
  <c r="Y91" i="62"/>
  <c r="K105" i="62"/>
  <c r="Y80" i="62"/>
  <c r="Y87" i="62"/>
  <c r="K91" i="62"/>
  <c r="K83" i="62" s="1"/>
  <c r="Y62" i="62"/>
  <c r="X61" i="62"/>
  <c r="Y107" i="62"/>
  <c r="X67" i="62"/>
  <c r="K72" i="62"/>
  <c r="J71" i="62"/>
  <c r="J67" i="62" s="1"/>
  <c r="R83" i="62" l="1"/>
  <c r="R79" i="62" s="1"/>
  <c r="Y83" i="62"/>
  <c r="Y79" i="62" s="1"/>
  <c r="H40" i="7"/>
  <c r="I42" i="7"/>
  <c r="I40" i="7" s="1"/>
  <c r="K64" i="62"/>
  <c r="R99" i="62"/>
  <c r="K99" i="62"/>
  <c r="Y99" i="62"/>
  <c r="Q67" i="62"/>
  <c r="Q60" i="62" s="1"/>
  <c r="Y67" i="62"/>
  <c r="X60" i="62"/>
  <c r="J60" i="62"/>
  <c r="I60" i="62"/>
  <c r="K80" i="62"/>
  <c r="K79" i="62" s="1"/>
  <c r="R61" i="62"/>
  <c r="K71" i="62"/>
  <c r="K94" i="62"/>
  <c r="R64" i="62"/>
  <c r="Y61" i="62"/>
  <c r="R71" i="62"/>
  <c r="K74" i="62"/>
  <c r="R74" i="62"/>
  <c r="G191" i="50"/>
  <c r="E257" i="50"/>
  <c r="E235" i="50"/>
  <c r="F191" i="50"/>
  <c r="AF57" i="51"/>
  <c r="AE57" i="51"/>
  <c r="AD57" i="51"/>
  <c r="AC57" i="51"/>
  <c r="AB57" i="51"/>
  <c r="AA57" i="51"/>
  <c r="Y57" i="51"/>
  <c r="X57" i="51"/>
  <c r="W57" i="51"/>
  <c r="V57" i="51"/>
  <c r="U57" i="51"/>
  <c r="T57" i="51"/>
  <c r="R57" i="51"/>
  <c r="Q57" i="51"/>
  <c r="P57" i="51"/>
  <c r="O57" i="51"/>
  <c r="N57" i="51"/>
  <c r="M57" i="51"/>
  <c r="K57" i="51"/>
  <c r="J57" i="51"/>
  <c r="I57" i="51"/>
  <c r="H57" i="51"/>
  <c r="G57" i="51"/>
  <c r="F57" i="51"/>
  <c r="R67" i="62" l="1"/>
  <c r="R60" i="62" s="1"/>
  <c r="Y60" i="62"/>
  <c r="K67" i="62"/>
  <c r="K60" i="62" l="1"/>
  <c r="L59" i="41"/>
  <c r="L69" i="41" s="1"/>
  <c r="L10" i="41"/>
  <c r="C12" i="49"/>
  <c r="AA59" i="41" l="1"/>
  <c r="E11" i="51"/>
  <c r="X30" i="60" l="1"/>
  <c r="Y30" i="60"/>
  <c r="Z30" i="60"/>
  <c r="AA30" i="60"/>
  <c r="AB30" i="60"/>
  <c r="AC30" i="60"/>
  <c r="AD30" i="60"/>
  <c r="X31" i="60"/>
  <c r="Y31" i="60"/>
  <c r="Z31" i="60"/>
  <c r="AA31" i="60"/>
  <c r="AB31" i="60"/>
  <c r="AC31" i="60"/>
  <c r="AD31" i="60"/>
  <c r="E76" i="39"/>
  <c r="E72" i="39"/>
  <c r="X34" i="60" l="1"/>
  <c r="AA34" i="60"/>
  <c r="AD33" i="60"/>
  <c r="Z33" i="60"/>
  <c r="AB34" i="60"/>
  <c r="AA33" i="60"/>
  <c r="AD34" i="60"/>
  <c r="Z34" i="60"/>
  <c r="AC33" i="60"/>
  <c r="Y33" i="60"/>
  <c r="AC34" i="60"/>
  <c r="Y34" i="60"/>
  <c r="AB33" i="60"/>
  <c r="X33" i="60"/>
  <c r="F112" i="1"/>
  <c r="G112" i="1"/>
  <c r="H112" i="1"/>
  <c r="I112" i="1"/>
  <c r="J112" i="1"/>
  <c r="K112" i="1"/>
  <c r="E112" i="1"/>
  <c r="H35" i="2"/>
  <c r="I35" i="2"/>
  <c r="J35" i="2"/>
  <c r="K35" i="2"/>
  <c r="AF58" i="51" l="1"/>
  <c r="AE58" i="51"/>
  <c r="AD58" i="51"/>
  <c r="AC58" i="51"/>
  <c r="AB58" i="51"/>
  <c r="AA58" i="51"/>
  <c r="AF56" i="51"/>
  <c r="AE56" i="51"/>
  <c r="AD56" i="51"/>
  <c r="AC56" i="51"/>
  <c r="AB56" i="51"/>
  <c r="AA56" i="51"/>
  <c r="AF55" i="51"/>
  <c r="AE55" i="51"/>
  <c r="AD55" i="51"/>
  <c r="AC55" i="51"/>
  <c r="AB55" i="51"/>
  <c r="AA55" i="51"/>
  <c r="AF54" i="51"/>
  <c r="AE54" i="51"/>
  <c r="AD54" i="51"/>
  <c r="AC54" i="51"/>
  <c r="AB54" i="51"/>
  <c r="AA54" i="51"/>
  <c r="AF53" i="51"/>
  <c r="AE53" i="51"/>
  <c r="AD53" i="51"/>
  <c r="AC53" i="51"/>
  <c r="AB53" i="51"/>
  <c r="AA53" i="51"/>
  <c r="AF51" i="51"/>
  <c r="AE51" i="51"/>
  <c r="AD51" i="51"/>
  <c r="AC51" i="51"/>
  <c r="AB51" i="51"/>
  <c r="AA51" i="51"/>
  <c r="AF50" i="51"/>
  <c r="AE50" i="51"/>
  <c r="AD50" i="51"/>
  <c r="AD49" i="51" s="1"/>
  <c r="AC50" i="51"/>
  <c r="AB50" i="51"/>
  <c r="AA50" i="51"/>
  <c r="AF48" i="51"/>
  <c r="AE48" i="51"/>
  <c r="AD48" i="51"/>
  <c r="AC48" i="51"/>
  <c r="AB48" i="51"/>
  <c r="AA48" i="51"/>
  <c r="AF47" i="51"/>
  <c r="AE47" i="51"/>
  <c r="AD47" i="51"/>
  <c r="AC47" i="51"/>
  <c r="AB47" i="51"/>
  <c r="AA47" i="51"/>
  <c r="AF46" i="51"/>
  <c r="AE46" i="51"/>
  <c r="AD46" i="51"/>
  <c r="AC46" i="51"/>
  <c r="AB46" i="51"/>
  <c r="AA46" i="51"/>
  <c r="AF45" i="51"/>
  <c r="AE45" i="51"/>
  <c r="AD45" i="51"/>
  <c r="AC45" i="51"/>
  <c r="AB45" i="51"/>
  <c r="AA45" i="51"/>
  <c r="AF43" i="51"/>
  <c r="AE43" i="51"/>
  <c r="AD43" i="51"/>
  <c r="AC43" i="51"/>
  <c r="AB43" i="51"/>
  <c r="AA43" i="51"/>
  <c r="AF41" i="51"/>
  <c r="AE41" i="51"/>
  <c r="AD41" i="51"/>
  <c r="AC41" i="51"/>
  <c r="AB41" i="51"/>
  <c r="AA41" i="51"/>
  <c r="AF40" i="51"/>
  <c r="AE40" i="51"/>
  <c r="AD40" i="51"/>
  <c r="AC40" i="51"/>
  <c r="AB40" i="51"/>
  <c r="AA40" i="51"/>
  <c r="AF39" i="51"/>
  <c r="AE39" i="51"/>
  <c r="AD39" i="51"/>
  <c r="AC39" i="51"/>
  <c r="AB39" i="51"/>
  <c r="AA39" i="51"/>
  <c r="AF38" i="51"/>
  <c r="AE38" i="51"/>
  <c r="AD38" i="51"/>
  <c r="AC38" i="51"/>
  <c r="AB38" i="51"/>
  <c r="AA38" i="51"/>
  <c r="AF37" i="51"/>
  <c r="AE37" i="51"/>
  <c r="AD37" i="51"/>
  <c r="AC37" i="51"/>
  <c r="AB37" i="51"/>
  <c r="AA37" i="51"/>
  <c r="AF36" i="51"/>
  <c r="AE36" i="51"/>
  <c r="AD36" i="51"/>
  <c r="AC36" i="51"/>
  <c r="AB36" i="51"/>
  <c r="AA36" i="51"/>
  <c r="AF35" i="51"/>
  <c r="AE35" i="51"/>
  <c r="AD35" i="51"/>
  <c r="AC35" i="51"/>
  <c r="AB35" i="51"/>
  <c r="AA35" i="51"/>
  <c r="AF34" i="51"/>
  <c r="AE34" i="51"/>
  <c r="AE33" i="51" s="1"/>
  <c r="AD34" i="51"/>
  <c r="AC34" i="51"/>
  <c r="AB34" i="51"/>
  <c r="AA34" i="51"/>
  <c r="AA33" i="51" s="1"/>
  <c r="AF32" i="51"/>
  <c r="AE32" i="51"/>
  <c r="AD32" i="51"/>
  <c r="AC32" i="51"/>
  <c r="AB32" i="51"/>
  <c r="AA32" i="51"/>
  <c r="AF28" i="51"/>
  <c r="AE28" i="51"/>
  <c r="AD28" i="51"/>
  <c r="AC28" i="51"/>
  <c r="AB28" i="51"/>
  <c r="AA28" i="51"/>
  <c r="AF27" i="51"/>
  <c r="AE27" i="51"/>
  <c r="AD27" i="51"/>
  <c r="AC27" i="51"/>
  <c r="AB27" i="51"/>
  <c r="AA27" i="51"/>
  <c r="AF25" i="51"/>
  <c r="AE25" i="51"/>
  <c r="AD25" i="51"/>
  <c r="AC25" i="51"/>
  <c r="AB25" i="51"/>
  <c r="AA25" i="51"/>
  <c r="AF23" i="51"/>
  <c r="AE23" i="51"/>
  <c r="AD23" i="51"/>
  <c r="AC23" i="51"/>
  <c r="AB23" i="51"/>
  <c r="AA23" i="51"/>
  <c r="AF22" i="51"/>
  <c r="AE22" i="51"/>
  <c r="AD22" i="51"/>
  <c r="AC22" i="51"/>
  <c r="AB22" i="51"/>
  <c r="AA22" i="51"/>
  <c r="AF20" i="51"/>
  <c r="AE20" i="51"/>
  <c r="AD20" i="51"/>
  <c r="AC20" i="51"/>
  <c r="AB20" i="51"/>
  <c r="AA20" i="51"/>
  <c r="AF19" i="51"/>
  <c r="AE19" i="51"/>
  <c r="AD19" i="51"/>
  <c r="AC19" i="51"/>
  <c r="AB19" i="51"/>
  <c r="AA19" i="51"/>
  <c r="AF18" i="51"/>
  <c r="AE18" i="51"/>
  <c r="AD18" i="51"/>
  <c r="AC18" i="51"/>
  <c r="AB18" i="51"/>
  <c r="AA18" i="51"/>
  <c r="AF16" i="51"/>
  <c r="AE16" i="51"/>
  <c r="AD16" i="51"/>
  <c r="AC16" i="51"/>
  <c r="AB16" i="51"/>
  <c r="AA16" i="51"/>
  <c r="AF15" i="51"/>
  <c r="AE15" i="51"/>
  <c r="AD15" i="51"/>
  <c r="AC15" i="51"/>
  <c r="AB15" i="51"/>
  <c r="AA15" i="51"/>
  <c r="AA13" i="51"/>
  <c r="AB13" i="51"/>
  <c r="AC13" i="51"/>
  <c r="AD13" i="51"/>
  <c r="AE13" i="51"/>
  <c r="AF13" i="51"/>
  <c r="AB12" i="51"/>
  <c r="AC12" i="51"/>
  <c r="AD12" i="51"/>
  <c r="AE12" i="51"/>
  <c r="AF12" i="51"/>
  <c r="AA12" i="51"/>
  <c r="Y58" i="51"/>
  <c r="X58" i="51"/>
  <c r="W58" i="51"/>
  <c r="V58" i="51"/>
  <c r="U58" i="51"/>
  <c r="T58" i="51"/>
  <c r="Y56" i="51"/>
  <c r="X56" i="51"/>
  <c r="W56" i="51"/>
  <c r="V56" i="51"/>
  <c r="U56" i="51"/>
  <c r="T56" i="51"/>
  <c r="Y55" i="51"/>
  <c r="X55" i="51"/>
  <c r="W55" i="51"/>
  <c r="V55" i="51"/>
  <c r="U55" i="51"/>
  <c r="T55" i="51"/>
  <c r="Y54" i="51"/>
  <c r="X54" i="51"/>
  <c r="W54" i="51"/>
  <c r="V54" i="51"/>
  <c r="U54" i="51"/>
  <c r="T54" i="51"/>
  <c r="Y53" i="51"/>
  <c r="X53" i="51"/>
  <c r="W53" i="51"/>
  <c r="V53" i="51"/>
  <c r="U53" i="51"/>
  <c r="T53" i="51"/>
  <c r="Y51" i="51"/>
  <c r="X51" i="51"/>
  <c r="W51" i="51"/>
  <c r="V51" i="51"/>
  <c r="U51" i="51"/>
  <c r="T51" i="51"/>
  <c r="Y50" i="51"/>
  <c r="X50" i="51"/>
  <c r="W50" i="51"/>
  <c r="V50" i="51"/>
  <c r="U50" i="51"/>
  <c r="T50" i="51"/>
  <c r="Y48" i="51"/>
  <c r="X48" i="51"/>
  <c r="W48" i="51"/>
  <c r="V48" i="51"/>
  <c r="U48" i="51"/>
  <c r="T48" i="51"/>
  <c r="Y47" i="51"/>
  <c r="X47" i="51"/>
  <c r="W47" i="51"/>
  <c r="V47" i="51"/>
  <c r="U47" i="51"/>
  <c r="T47" i="51"/>
  <c r="Y46" i="51"/>
  <c r="X46" i="51"/>
  <c r="W46" i="51"/>
  <c r="V46" i="51"/>
  <c r="U46" i="51"/>
  <c r="T46" i="51"/>
  <c r="Y45" i="51"/>
  <c r="X45" i="51"/>
  <c r="W45" i="51"/>
  <c r="V45" i="51"/>
  <c r="U45" i="51"/>
  <c r="T45" i="51"/>
  <c r="Y43" i="51"/>
  <c r="X43" i="51"/>
  <c r="W43" i="51"/>
  <c r="V43" i="51"/>
  <c r="U43" i="51"/>
  <c r="T43" i="51"/>
  <c r="Y41" i="51"/>
  <c r="X41" i="51"/>
  <c r="W41" i="51"/>
  <c r="V41" i="51"/>
  <c r="U41" i="51"/>
  <c r="T41" i="51"/>
  <c r="Y40" i="51"/>
  <c r="X40" i="51"/>
  <c r="W40" i="51"/>
  <c r="V40" i="51"/>
  <c r="U40" i="51"/>
  <c r="T40" i="51"/>
  <c r="Y39" i="51"/>
  <c r="X39" i="51"/>
  <c r="W39" i="51"/>
  <c r="V39" i="51"/>
  <c r="U39" i="51"/>
  <c r="T39" i="51"/>
  <c r="Y38" i="51"/>
  <c r="X38" i="51"/>
  <c r="W38" i="51"/>
  <c r="V38" i="51"/>
  <c r="U38" i="51"/>
  <c r="T38" i="51"/>
  <c r="Y37" i="51"/>
  <c r="X37" i="51"/>
  <c r="W37" i="51"/>
  <c r="V37" i="51"/>
  <c r="U37" i="51"/>
  <c r="T37" i="51"/>
  <c r="Y36" i="51"/>
  <c r="X36" i="51"/>
  <c r="W36" i="51"/>
  <c r="V36" i="51"/>
  <c r="U36" i="51"/>
  <c r="T36" i="51"/>
  <c r="Y35" i="51"/>
  <c r="X35" i="51"/>
  <c r="W35" i="51"/>
  <c r="V35" i="51"/>
  <c r="U35" i="51"/>
  <c r="T35" i="51"/>
  <c r="Y34" i="51"/>
  <c r="X34" i="51"/>
  <c r="W34" i="51"/>
  <c r="V34" i="51"/>
  <c r="U34" i="51"/>
  <c r="T34" i="51"/>
  <c r="Y32" i="51"/>
  <c r="X32" i="51"/>
  <c r="W32" i="51"/>
  <c r="V32" i="51"/>
  <c r="U32" i="51"/>
  <c r="T32" i="51"/>
  <c r="Y28" i="51"/>
  <c r="X28" i="51"/>
  <c r="W28" i="51"/>
  <c r="V28" i="51"/>
  <c r="U28" i="51"/>
  <c r="T28" i="51"/>
  <c r="Y27" i="51"/>
  <c r="X27" i="51"/>
  <c r="W27" i="51"/>
  <c r="V27" i="51"/>
  <c r="U27" i="51"/>
  <c r="T27" i="51"/>
  <c r="Y25" i="51"/>
  <c r="X25" i="51"/>
  <c r="W25" i="51"/>
  <c r="V25" i="51"/>
  <c r="U25" i="51"/>
  <c r="T25" i="51"/>
  <c r="Y23" i="51"/>
  <c r="X23" i="51"/>
  <c r="W23" i="51"/>
  <c r="V23" i="51"/>
  <c r="U23" i="51"/>
  <c r="T23" i="51"/>
  <c r="Y22" i="51"/>
  <c r="X22" i="51"/>
  <c r="W22" i="51"/>
  <c r="V22" i="51"/>
  <c r="U22" i="51"/>
  <c r="T22" i="51"/>
  <c r="Y20" i="51"/>
  <c r="X20" i="51"/>
  <c r="W20" i="51"/>
  <c r="V20" i="51"/>
  <c r="U20" i="51"/>
  <c r="T20" i="51"/>
  <c r="Y19" i="51"/>
  <c r="X19" i="51"/>
  <c r="W19" i="51"/>
  <c r="V19" i="51"/>
  <c r="U19" i="51"/>
  <c r="T19" i="51"/>
  <c r="Y18" i="51"/>
  <c r="X18" i="51"/>
  <c r="W18" i="51"/>
  <c r="V18" i="51"/>
  <c r="U18" i="51"/>
  <c r="T18" i="51"/>
  <c r="Y16" i="51"/>
  <c r="X16" i="51"/>
  <c r="W16" i="51"/>
  <c r="V16" i="51"/>
  <c r="U16" i="51"/>
  <c r="T16" i="51"/>
  <c r="Y15" i="51"/>
  <c r="X15" i="51"/>
  <c r="W15" i="51"/>
  <c r="V15" i="51"/>
  <c r="U15" i="51"/>
  <c r="T15" i="51"/>
  <c r="T13" i="51"/>
  <c r="U13" i="51"/>
  <c r="V13" i="51"/>
  <c r="W13" i="51"/>
  <c r="X13" i="51"/>
  <c r="Y13" i="51"/>
  <c r="U12" i="51"/>
  <c r="V12" i="51"/>
  <c r="W12" i="51"/>
  <c r="X12" i="51"/>
  <c r="Y12" i="51"/>
  <c r="T12" i="51"/>
  <c r="R58" i="51"/>
  <c r="Q58" i="51"/>
  <c r="P58" i="51"/>
  <c r="O58" i="51"/>
  <c r="N58" i="51"/>
  <c r="M58" i="51"/>
  <c r="R56" i="51"/>
  <c r="Q56" i="51"/>
  <c r="P56" i="51"/>
  <c r="O56" i="51"/>
  <c r="N56" i="51"/>
  <c r="M56" i="51"/>
  <c r="R55" i="51"/>
  <c r="Q55" i="51"/>
  <c r="P55" i="51"/>
  <c r="O55" i="51"/>
  <c r="N55" i="51"/>
  <c r="M55" i="51"/>
  <c r="R54" i="51"/>
  <c r="Q54" i="51"/>
  <c r="P54" i="51"/>
  <c r="O54" i="51"/>
  <c r="N54" i="51"/>
  <c r="M54" i="51"/>
  <c r="R53" i="51"/>
  <c r="Q53" i="51"/>
  <c r="P53" i="51"/>
  <c r="O53" i="51"/>
  <c r="N53" i="51"/>
  <c r="M53" i="51"/>
  <c r="R51" i="51"/>
  <c r="Q51" i="51"/>
  <c r="P51" i="51"/>
  <c r="O51" i="51"/>
  <c r="N51" i="51"/>
  <c r="M51" i="51"/>
  <c r="R50" i="51"/>
  <c r="Q50" i="51"/>
  <c r="P50" i="51"/>
  <c r="O50" i="51"/>
  <c r="N50" i="51"/>
  <c r="M50" i="51"/>
  <c r="R48" i="51"/>
  <c r="Q48" i="51"/>
  <c r="P48" i="51"/>
  <c r="O48" i="51"/>
  <c r="N48" i="51"/>
  <c r="M48" i="51"/>
  <c r="R47" i="51"/>
  <c r="Q47" i="51"/>
  <c r="P47" i="51"/>
  <c r="O47" i="51"/>
  <c r="N47" i="51"/>
  <c r="M47" i="51"/>
  <c r="R46" i="51"/>
  <c r="Q46" i="51"/>
  <c r="P46" i="51"/>
  <c r="O46" i="51"/>
  <c r="N46" i="51"/>
  <c r="M46" i="51"/>
  <c r="R45" i="51"/>
  <c r="Q45" i="51"/>
  <c r="P45" i="51"/>
  <c r="O45" i="51"/>
  <c r="N45" i="51"/>
  <c r="M45" i="51"/>
  <c r="R43" i="51"/>
  <c r="Q43" i="51"/>
  <c r="P43" i="51"/>
  <c r="O43" i="51"/>
  <c r="N43" i="51"/>
  <c r="M43" i="51"/>
  <c r="R41" i="51"/>
  <c r="Q41" i="51"/>
  <c r="P41" i="51"/>
  <c r="O41" i="51"/>
  <c r="N41" i="51"/>
  <c r="M41" i="51"/>
  <c r="R40" i="51"/>
  <c r="Q40" i="51"/>
  <c r="P40" i="51"/>
  <c r="O40" i="51"/>
  <c r="N40" i="51"/>
  <c r="M40" i="51"/>
  <c r="R39" i="51"/>
  <c r="Q39" i="51"/>
  <c r="P39" i="51"/>
  <c r="O39" i="51"/>
  <c r="N39" i="51"/>
  <c r="M39" i="51"/>
  <c r="R38" i="51"/>
  <c r="Q38" i="51"/>
  <c r="P38" i="51"/>
  <c r="O38" i="51"/>
  <c r="N38" i="51"/>
  <c r="M38" i="51"/>
  <c r="R37" i="51"/>
  <c r="Q37" i="51"/>
  <c r="P37" i="51"/>
  <c r="O37" i="51"/>
  <c r="N37" i="51"/>
  <c r="M37" i="51"/>
  <c r="R36" i="51"/>
  <c r="Q36" i="51"/>
  <c r="P36" i="51"/>
  <c r="O36" i="51"/>
  <c r="N36" i="51"/>
  <c r="M36" i="51"/>
  <c r="R35" i="51"/>
  <c r="Q35" i="51"/>
  <c r="P35" i="51"/>
  <c r="O35" i="51"/>
  <c r="N35" i="51"/>
  <c r="M35" i="51"/>
  <c r="R34" i="51"/>
  <c r="Q34" i="51"/>
  <c r="P34" i="51"/>
  <c r="O34" i="51"/>
  <c r="N34" i="51"/>
  <c r="M34" i="51"/>
  <c r="R32" i="51"/>
  <c r="Q32" i="51"/>
  <c r="P32" i="51"/>
  <c r="O32" i="51"/>
  <c r="N32" i="51"/>
  <c r="M32" i="51"/>
  <c r="R28" i="51"/>
  <c r="Q28" i="51"/>
  <c r="P28" i="51"/>
  <c r="O28" i="51"/>
  <c r="N28" i="51"/>
  <c r="M28" i="51"/>
  <c r="R27" i="51"/>
  <c r="Q27" i="51"/>
  <c r="P27" i="51"/>
  <c r="O27" i="51"/>
  <c r="N27" i="51"/>
  <c r="M27" i="51"/>
  <c r="R25" i="51"/>
  <c r="Q25" i="51"/>
  <c r="P25" i="51"/>
  <c r="O25" i="51"/>
  <c r="N25" i="51"/>
  <c r="M25" i="51"/>
  <c r="R23" i="51"/>
  <c r="Q23" i="51"/>
  <c r="P23" i="51"/>
  <c r="O23" i="51"/>
  <c r="N23" i="51"/>
  <c r="M23" i="51"/>
  <c r="R22" i="51"/>
  <c r="Q22" i="51"/>
  <c r="P22" i="51"/>
  <c r="O22" i="51"/>
  <c r="N22" i="51"/>
  <c r="M22" i="51"/>
  <c r="R20" i="51"/>
  <c r="Q20" i="51"/>
  <c r="P20" i="51"/>
  <c r="O20" i="51"/>
  <c r="N20" i="51"/>
  <c r="M20" i="51"/>
  <c r="R19" i="51"/>
  <c r="Q19" i="51"/>
  <c r="P19" i="51"/>
  <c r="O19" i="51"/>
  <c r="N19" i="51"/>
  <c r="M19" i="51"/>
  <c r="R18" i="51"/>
  <c r="Q18" i="51"/>
  <c r="P18" i="51"/>
  <c r="O18" i="51"/>
  <c r="N18" i="51"/>
  <c r="M18" i="51"/>
  <c r="R16" i="51"/>
  <c r="Q16" i="51"/>
  <c r="P16" i="51"/>
  <c r="O16" i="51"/>
  <c r="N16" i="51"/>
  <c r="M16" i="51"/>
  <c r="R15" i="51"/>
  <c r="Q15" i="51"/>
  <c r="P15" i="51"/>
  <c r="O15" i="51"/>
  <c r="N15" i="51"/>
  <c r="M15" i="51"/>
  <c r="M13" i="51"/>
  <c r="N13" i="51"/>
  <c r="O13" i="51"/>
  <c r="P13" i="51"/>
  <c r="Q13" i="51"/>
  <c r="R13" i="51"/>
  <c r="N12" i="51"/>
  <c r="O12" i="51"/>
  <c r="P12" i="51"/>
  <c r="Q12" i="51"/>
  <c r="R12" i="51"/>
  <c r="M12" i="51"/>
  <c r="K58" i="51"/>
  <c r="J58" i="51"/>
  <c r="I58" i="51"/>
  <c r="H58" i="51"/>
  <c r="G58" i="51"/>
  <c r="F58" i="51"/>
  <c r="K56" i="51"/>
  <c r="J56" i="51"/>
  <c r="I56" i="51"/>
  <c r="H56" i="51"/>
  <c r="G56" i="51"/>
  <c r="F56" i="51"/>
  <c r="K55" i="51"/>
  <c r="J55" i="51"/>
  <c r="I55" i="51"/>
  <c r="H55" i="51"/>
  <c r="G55" i="51"/>
  <c r="F55" i="51"/>
  <c r="K54" i="51"/>
  <c r="J54" i="51"/>
  <c r="I54" i="51"/>
  <c r="H54" i="51"/>
  <c r="G54" i="51"/>
  <c r="F54" i="51"/>
  <c r="K53" i="51"/>
  <c r="J53" i="51"/>
  <c r="I53" i="51"/>
  <c r="H53" i="51"/>
  <c r="G53" i="51"/>
  <c r="F53" i="51"/>
  <c r="K51" i="51"/>
  <c r="J51" i="51"/>
  <c r="I51" i="51"/>
  <c r="H51" i="51"/>
  <c r="G51" i="51"/>
  <c r="F51" i="51"/>
  <c r="K50" i="51"/>
  <c r="J50" i="51"/>
  <c r="I50" i="51"/>
  <c r="H50" i="51"/>
  <c r="G50" i="51"/>
  <c r="F50" i="51"/>
  <c r="K48" i="51"/>
  <c r="J48" i="51"/>
  <c r="I48" i="51"/>
  <c r="H48" i="51"/>
  <c r="G48" i="51"/>
  <c r="F48" i="51"/>
  <c r="K47" i="51"/>
  <c r="J47" i="51"/>
  <c r="I47" i="51"/>
  <c r="H47" i="51"/>
  <c r="G47" i="51"/>
  <c r="F47" i="51"/>
  <c r="K46" i="51"/>
  <c r="J46" i="51"/>
  <c r="I46" i="51"/>
  <c r="H46" i="51"/>
  <c r="G46" i="51"/>
  <c r="F46" i="51"/>
  <c r="K45" i="51"/>
  <c r="J45" i="51"/>
  <c r="I45" i="51"/>
  <c r="H45" i="51"/>
  <c r="G45" i="51"/>
  <c r="F45" i="51"/>
  <c r="K43" i="51"/>
  <c r="J43" i="51"/>
  <c r="I43" i="51"/>
  <c r="H43" i="51"/>
  <c r="G43" i="51"/>
  <c r="F43" i="51"/>
  <c r="K41" i="51"/>
  <c r="J41" i="51"/>
  <c r="I41" i="51"/>
  <c r="H41" i="51"/>
  <c r="G41" i="51"/>
  <c r="F41" i="51"/>
  <c r="K40" i="51"/>
  <c r="J40" i="51"/>
  <c r="I40" i="51"/>
  <c r="H40" i="51"/>
  <c r="G40" i="51"/>
  <c r="F40" i="51"/>
  <c r="K39" i="51"/>
  <c r="J39" i="51"/>
  <c r="I39" i="51"/>
  <c r="H39" i="51"/>
  <c r="G39" i="51"/>
  <c r="F39" i="51"/>
  <c r="K38" i="51"/>
  <c r="J38" i="51"/>
  <c r="I38" i="51"/>
  <c r="H38" i="51"/>
  <c r="G38" i="51"/>
  <c r="F38" i="51"/>
  <c r="K37" i="51"/>
  <c r="J37" i="51"/>
  <c r="I37" i="51"/>
  <c r="H37" i="51"/>
  <c r="G37" i="51"/>
  <c r="F37" i="51"/>
  <c r="K36" i="51"/>
  <c r="J36" i="51"/>
  <c r="I36" i="51"/>
  <c r="H36" i="51"/>
  <c r="G36" i="51"/>
  <c r="F36" i="51"/>
  <c r="K35" i="51"/>
  <c r="J35" i="51"/>
  <c r="I35" i="51"/>
  <c r="H35" i="51"/>
  <c r="G35" i="51"/>
  <c r="F35" i="51"/>
  <c r="K34" i="51"/>
  <c r="J34" i="51"/>
  <c r="I34" i="51"/>
  <c r="H34" i="51"/>
  <c r="G34" i="51"/>
  <c r="F34" i="51"/>
  <c r="K32" i="51"/>
  <c r="J32" i="51"/>
  <c r="I32" i="51"/>
  <c r="H32" i="51"/>
  <c r="G32" i="51"/>
  <c r="F32" i="51"/>
  <c r="K28" i="51"/>
  <c r="J28" i="51"/>
  <c r="I28" i="51"/>
  <c r="H28" i="51"/>
  <c r="G28" i="51"/>
  <c r="F28" i="51"/>
  <c r="K27" i="51"/>
  <c r="J27" i="51"/>
  <c r="I27" i="51"/>
  <c r="H27" i="51"/>
  <c r="G27" i="51"/>
  <c r="F27" i="51"/>
  <c r="K25" i="51"/>
  <c r="J25" i="51"/>
  <c r="I25" i="51"/>
  <c r="H25" i="51"/>
  <c r="G25" i="51"/>
  <c r="F25" i="51"/>
  <c r="K23" i="51"/>
  <c r="J23" i="51"/>
  <c r="I23" i="51"/>
  <c r="H23" i="51"/>
  <c r="G23" i="51"/>
  <c r="F23" i="51"/>
  <c r="K22" i="51"/>
  <c r="J22" i="51"/>
  <c r="I22" i="51"/>
  <c r="H22" i="51"/>
  <c r="G22" i="51"/>
  <c r="F22" i="51"/>
  <c r="K20" i="51"/>
  <c r="J20" i="51"/>
  <c r="I20" i="51"/>
  <c r="H20" i="51"/>
  <c r="G20" i="51"/>
  <c r="F20" i="51"/>
  <c r="K19" i="51"/>
  <c r="J19" i="51"/>
  <c r="I19" i="51"/>
  <c r="H19" i="51"/>
  <c r="G19" i="51"/>
  <c r="F19" i="51"/>
  <c r="K18" i="51"/>
  <c r="J18" i="51"/>
  <c r="I18" i="51"/>
  <c r="H18" i="51"/>
  <c r="G18" i="51"/>
  <c r="F18" i="51"/>
  <c r="K16" i="51"/>
  <c r="J16" i="51"/>
  <c r="I16" i="51"/>
  <c r="H16" i="51"/>
  <c r="G16" i="51"/>
  <c r="F16" i="51"/>
  <c r="K15" i="51"/>
  <c r="J15" i="51"/>
  <c r="I15" i="51"/>
  <c r="H15" i="51"/>
  <c r="G15" i="51"/>
  <c r="F15" i="51"/>
  <c r="F13" i="51"/>
  <c r="G13" i="51"/>
  <c r="H13" i="51"/>
  <c r="I13" i="51"/>
  <c r="J13" i="51"/>
  <c r="K13" i="51"/>
  <c r="G12" i="51"/>
  <c r="H12" i="51"/>
  <c r="I12" i="51"/>
  <c r="J12" i="51"/>
  <c r="K12" i="51"/>
  <c r="F12" i="51"/>
  <c r="E6" i="51"/>
  <c r="H33" i="51" l="1"/>
  <c r="M33" i="51"/>
  <c r="V33" i="51"/>
  <c r="Q33" i="51"/>
  <c r="P33" i="51"/>
  <c r="U33" i="51"/>
  <c r="Y33" i="51"/>
  <c r="AD33" i="51"/>
  <c r="G33" i="51"/>
  <c r="K33" i="51"/>
  <c r="I33" i="51"/>
  <c r="N33" i="51"/>
  <c r="R33" i="51"/>
  <c r="W33" i="51"/>
  <c r="AB33" i="51"/>
  <c r="AF33" i="51"/>
  <c r="K91" i="51"/>
  <c r="U91" i="51"/>
  <c r="AC91" i="51"/>
  <c r="N91" i="51"/>
  <c r="AB91" i="51"/>
  <c r="AF91" i="51"/>
  <c r="M91" i="51"/>
  <c r="W91" i="51"/>
  <c r="AE91" i="51"/>
  <c r="P91" i="51"/>
  <c r="AD91" i="51"/>
  <c r="R91" i="51"/>
  <c r="J91" i="51"/>
  <c r="G91" i="51"/>
  <c r="O91" i="51"/>
  <c r="Y91" i="51"/>
  <c r="F91" i="51"/>
  <c r="T91" i="51"/>
  <c r="X91" i="51"/>
  <c r="I91" i="51"/>
  <c r="Q91" i="51"/>
  <c r="AA91" i="51"/>
  <c r="H91" i="51"/>
  <c r="V91" i="51"/>
  <c r="F33" i="51"/>
  <c r="J33" i="51"/>
  <c r="O33" i="51"/>
  <c r="T33" i="51"/>
  <c r="X33" i="51"/>
  <c r="AC33" i="51"/>
  <c r="K49" i="51"/>
  <c r="P49" i="51"/>
  <c r="U49" i="51"/>
  <c r="AE49" i="51"/>
  <c r="V49" i="51"/>
  <c r="M49" i="51"/>
  <c r="Q49" i="51"/>
  <c r="G49" i="51"/>
  <c r="AA49" i="51"/>
  <c r="Y49" i="51"/>
  <c r="H49" i="51"/>
  <c r="T101" i="51"/>
  <c r="U101" i="51"/>
  <c r="AA101" i="51"/>
  <c r="H101" i="51"/>
  <c r="M101" i="51"/>
  <c r="AD101" i="51"/>
  <c r="V101" i="51"/>
  <c r="K101" i="51"/>
  <c r="O101" i="51"/>
  <c r="AB101" i="51"/>
  <c r="I101" i="51"/>
  <c r="Y101" i="51"/>
  <c r="AC101" i="51"/>
  <c r="G101" i="51"/>
  <c r="J101" i="51"/>
  <c r="W101" i="51"/>
  <c r="F101" i="51"/>
  <c r="P101" i="51"/>
  <c r="X101" i="51"/>
  <c r="R101" i="51"/>
  <c r="AE101" i="51"/>
  <c r="AF101" i="51"/>
  <c r="N101" i="51"/>
  <c r="Q101" i="51"/>
  <c r="I49" i="51"/>
  <c r="F49" i="51"/>
  <c r="J49" i="51"/>
  <c r="F102" i="51"/>
  <c r="O49" i="51"/>
  <c r="T49" i="51"/>
  <c r="X49" i="51"/>
  <c r="AC49" i="51"/>
  <c r="N49" i="51"/>
  <c r="R49" i="51"/>
  <c r="W49" i="51"/>
  <c r="AB49" i="51"/>
  <c r="AF49" i="51"/>
  <c r="N88" i="51"/>
  <c r="K61" i="51"/>
  <c r="G61" i="51"/>
  <c r="I61" i="51"/>
  <c r="J61" i="51"/>
  <c r="H61" i="51"/>
  <c r="F61" i="51"/>
  <c r="K64" i="51"/>
  <c r="G64" i="51"/>
  <c r="I64" i="51"/>
  <c r="H64" i="51"/>
  <c r="F64" i="51"/>
  <c r="J64" i="51"/>
  <c r="K67" i="51"/>
  <c r="G67" i="51"/>
  <c r="I67" i="51"/>
  <c r="J67" i="51"/>
  <c r="H67" i="51"/>
  <c r="F67" i="51"/>
  <c r="F69" i="51"/>
  <c r="J69" i="51"/>
  <c r="H69" i="51"/>
  <c r="G69" i="51"/>
  <c r="I69" i="51"/>
  <c r="K69" i="51"/>
  <c r="I72" i="51"/>
  <c r="H72" i="51"/>
  <c r="G72" i="51"/>
  <c r="K72" i="51"/>
  <c r="J72" i="51"/>
  <c r="F72" i="51"/>
  <c r="K76" i="51"/>
  <c r="G76" i="51"/>
  <c r="J76" i="51"/>
  <c r="F76" i="51"/>
  <c r="I76" i="51"/>
  <c r="H76" i="51"/>
  <c r="K80" i="51"/>
  <c r="G80" i="51"/>
  <c r="J80" i="51"/>
  <c r="F80" i="51"/>
  <c r="I80" i="51"/>
  <c r="H80" i="51"/>
  <c r="K83" i="51"/>
  <c r="G83" i="51"/>
  <c r="J83" i="51"/>
  <c r="F83" i="51"/>
  <c r="I83" i="51"/>
  <c r="H83" i="51"/>
  <c r="K85" i="51"/>
  <c r="G85" i="51"/>
  <c r="J85" i="51"/>
  <c r="F85" i="51"/>
  <c r="I85" i="51"/>
  <c r="H85" i="51"/>
  <c r="I87" i="51"/>
  <c r="K87" i="51"/>
  <c r="G87" i="51"/>
  <c r="J87" i="51"/>
  <c r="H87" i="51"/>
  <c r="F87" i="51"/>
  <c r="I89" i="51"/>
  <c r="K89" i="51"/>
  <c r="G89" i="51"/>
  <c r="H89" i="51"/>
  <c r="F89" i="51"/>
  <c r="J89" i="51"/>
  <c r="I92" i="51"/>
  <c r="K92" i="51"/>
  <c r="G92" i="51"/>
  <c r="J92" i="51"/>
  <c r="H92" i="51"/>
  <c r="F92" i="51"/>
  <c r="I95" i="51"/>
  <c r="K95" i="51"/>
  <c r="G95" i="51"/>
  <c r="H95" i="51"/>
  <c r="F95" i="51"/>
  <c r="J95" i="51"/>
  <c r="I97" i="51"/>
  <c r="K97" i="51"/>
  <c r="G97" i="51"/>
  <c r="J97" i="51"/>
  <c r="H97" i="51"/>
  <c r="F97" i="51"/>
  <c r="I100" i="51"/>
  <c r="K100" i="51"/>
  <c r="G100" i="51"/>
  <c r="H100" i="51"/>
  <c r="F100" i="51"/>
  <c r="J100" i="51"/>
  <c r="I103" i="51"/>
  <c r="K103" i="51"/>
  <c r="G103" i="51"/>
  <c r="J103" i="51"/>
  <c r="H103" i="51"/>
  <c r="F103" i="51"/>
  <c r="I105" i="51"/>
  <c r="K105" i="51"/>
  <c r="G105" i="51"/>
  <c r="H105" i="51"/>
  <c r="F105" i="51"/>
  <c r="J105" i="51"/>
  <c r="P61" i="51"/>
  <c r="R61" i="51"/>
  <c r="N61" i="51"/>
  <c r="M61" i="51"/>
  <c r="Q61" i="51"/>
  <c r="O61" i="51"/>
  <c r="P64" i="51"/>
  <c r="R64" i="51"/>
  <c r="N64" i="51"/>
  <c r="Q64" i="51"/>
  <c r="O64" i="51"/>
  <c r="M64" i="51"/>
  <c r="P67" i="51"/>
  <c r="R67" i="51"/>
  <c r="N67" i="51"/>
  <c r="M67" i="51"/>
  <c r="Q67" i="51"/>
  <c r="O67" i="51"/>
  <c r="O69" i="51"/>
  <c r="M69" i="51"/>
  <c r="Q69" i="51"/>
  <c r="N69" i="51"/>
  <c r="P69" i="51"/>
  <c r="R69" i="51"/>
  <c r="R72" i="51"/>
  <c r="N72" i="51"/>
  <c r="Q72" i="51"/>
  <c r="M72" i="51"/>
  <c r="P72" i="51"/>
  <c r="O72" i="51"/>
  <c r="P76" i="51"/>
  <c r="O76" i="51"/>
  <c r="R76" i="51"/>
  <c r="N76" i="51"/>
  <c r="M76" i="51"/>
  <c r="Q76" i="51"/>
  <c r="P80" i="51"/>
  <c r="O80" i="51"/>
  <c r="N80" i="51"/>
  <c r="R80" i="51"/>
  <c r="Q80" i="51"/>
  <c r="M80" i="51"/>
  <c r="P83" i="51"/>
  <c r="O83" i="51"/>
  <c r="R83" i="51"/>
  <c r="N83" i="51"/>
  <c r="Q83" i="51"/>
  <c r="M83" i="51"/>
  <c r="R85" i="51"/>
  <c r="P85" i="51"/>
  <c r="Q85" i="51"/>
  <c r="O85" i="51"/>
  <c r="N85" i="51"/>
  <c r="M85" i="51"/>
  <c r="R87" i="51"/>
  <c r="N87" i="51"/>
  <c r="P87" i="51"/>
  <c r="M87" i="51"/>
  <c r="Q87" i="51"/>
  <c r="O87" i="51"/>
  <c r="R89" i="51"/>
  <c r="N89" i="51"/>
  <c r="P89" i="51"/>
  <c r="Q89" i="51"/>
  <c r="O89" i="51"/>
  <c r="M89" i="51"/>
  <c r="R92" i="51"/>
  <c r="N92" i="51"/>
  <c r="P92" i="51"/>
  <c r="M92" i="51"/>
  <c r="Q92" i="51"/>
  <c r="O92" i="51"/>
  <c r="R95" i="51"/>
  <c r="N95" i="51"/>
  <c r="P95" i="51"/>
  <c r="Q95" i="51"/>
  <c r="O95" i="51"/>
  <c r="M95" i="51"/>
  <c r="R97" i="51"/>
  <c r="N97" i="51"/>
  <c r="P97" i="51"/>
  <c r="M97" i="51"/>
  <c r="Q97" i="51"/>
  <c r="O97" i="51"/>
  <c r="R100" i="51"/>
  <c r="N100" i="51"/>
  <c r="P100" i="51"/>
  <c r="Q100" i="51"/>
  <c r="O100" i="51"/>
  <c r="M100" i="51"/>
  <c r="R103" i="51"/>
  <c r="N103" i="51"/>
  <c r="P103" i="51"/>
  <c r="M103" i="51"/>
  <c r="Q103" i="51"/>
  <c r="O103" i="51"/>
  <c r="R105" i="51"/>
  <c r="N105" i="51"/>
  <c r="P105" i="51"/>
  <c r="Q105" i="51"/>
  <c r="O105" i="51"/>
  <c r="M105" i="51"/>
  <c r="X61" i="51"/>
  <c r="W61" i="51"/>
  <c r="T61" i="51"/>
  <c r="Y61" i="51"/>
  <c r="V61" i="51"/>
  <c r="U61" i="51"/>
  <c r="Y64" i="51"/>
  <c r="U64" i="51"/>
  <c r="W64" i="51"/>
  <c r="X64" i="51"/>
  <c r="V64" i="51"/>
  <c r="T64" i="51"/>
  <c r="Y67" i="51"/>
  <c r="U67" i="51"/>
  <c r="W67" i="51"/>
  <c r="V67" i="51"/>
  <c r="T67" i="51"/>
  <c r="X67" i="51"/>
  <c r="T69" i="51"/>
  <c r="X69" i="51"/>
  <c r="V69" i="51"/>
  <c r="W69" i="51"/>
  <c r="Y69" i="51"/>
  <c r="U69" i="51"/>
  <c r="W72" i="51"/>
  <c r="V72" i="51"/>
  <c r="Y72" i="51"/>
  <c r="U72" i="51"/>
  <c r="T72" i="51"/>
  <c r="X72" i="51"/>
  <c r="Y76" i="51"/>
  <c r="U76" i="51"/>
  <c r="X76" i="51"/>
  <c r="T76" i="51"/>
  <c r="W76" i="51"/>
  <c r="V76" i="51"/>
  <c r="Y80" i="51"/>
  <c r="U80" i="51"/>
  <c r="X80" i="51"/>
  <c r="T80" i="51"/>
  <c r="W80" i="51"/>
  <c r="V80" i="51"/>
  <c r="Y83" i="51"/>
  <c r="U83" i="51"/>
  <c r="X83" i="51"/>
  <c r="T83" i="51"/>
  <c r="W83" i="51"/>
  <c r="V83" i="51"/>
  <c r="W85" i="51"/>
  <c r="Y85" i="51"/>
  <c r="U85" i="51"/>
  <c r="X85" i="51"/>
  <c r="V85" i="51"/>
  <c r="T85" i="51"/>
  <c r="W87" i="51"/>
  <c r="Y87" i="51"/>
  <c r="U87" i="51"/>
  <c r="V87" i="51"/>
  <c r="T87" i="51"/>
  <c r="X87" i="51"/>
  <c r="W89" i="51"/>
  <c r="Y89" i="51"/>
  <c r="U89" i="51"/>
  <c r="X89" i="51"/>
  <c r="V89" i="51"/>
  <c r="T89" i="51"/>
  <c r="W92" i="51"/>
  <c r="Y92" i="51"/>
  <c r="U92" i="51"/>
  <c r="V92" i="51"/>
  <c r="T92" i="51"/>
  <c r="X92" i="51"/>
  <c r="W95" i="51"/>
  <c r="Y95" i="51"/>
  <c r="U95" i="51"/>
  <c r="X95" i="51"/>
  <c r="V95" i="51"/>
  <c r="T95" i="51"/>
  <c r="W97" i="51"/>
  <c r="Y97" i="51"/>
  <c r="U97" i="51"/>
  <c r="V97" i="51"/>
  <c r="T97" i="51"/>
  <c r="X97" i="51"/>
  <c r="W100" i="51"/>
  <c r="Y100" i="51"/>
  <c r="U100" i="51"/>
  <c r="X100" i="51"/>
  <c r="V100" i="51"/>
  <c r="T100" i="51"/>
  <c r="W103" i="51"/>
  <c r="Y103" i="51"/>
  <c r="U103" i="51"/>
  <c r="V103" i="51"/>
  <c r="T103" i="51"/>
  <c r="X103" i="51"/>
  <c r="W105" i="51"/>
  <c r="Y105" i="51"/>
  <c r="U105" i="51"/>
  <c r="X105" i="51"/>
  <c r="V105" i="51"/>
  <c r="T105" i="51"/>
  <c r="I84" i="51"/>
  <c r="H84" i="51"/>
  <c r="G84" i="51"/>
  <c r="K84" i="51"/>
  <c r="J84" i="51"/>
  <c r="F84" i="51"/>
  <c r="K86" i="51"/>
  <c r="G86" i="51"/>
  <c r="I86" i="51"/>
  <c r="F86" i="51"/>
  <c r="J86" i="51"/>
  <c r="H86" i="51"/>
  <c r="K88" i="51"/>
  <c r="G88" i="51"/>
  <c r="I88" i="51"/>
  <c r="J88" i="51"/>
  <c r="H88" i="51"/>
  <c r="F88" i="51"/>
  <c r="K90" i="51"/>
  <c r="G90" i="51"/>
  <c r="I90" i="51"/>
  <c r="F90" i="51"/>
  <c r="J90" i="51"/>
  <c r="H90" i="51"/>
  <c r="K94" i="51"/>
  <c r="G94" i="51"/>
  <c r="I94" i="51"/>
  <c r="J94" i="51"/>
  <c r="H94" i="51"/>
  <c r="F94" i="51"/>
  <c r="P74" i="51"/>
  <c r="O74" i="51"/>
  <c r="N74" i="51"/>
  <c r="R74" i="51"/>
  <c r="Q74" i="51"/>
  <c r="M74" i="51"/>
  <c r="R77" i="51"/>
  <c r="N77" i="51"/>
  <c r="Q77" i="51"/>
  <c r="M77" i="51"/>
  <c r="P77" i="51"/>
  <c r="O77" i="51"/>
  <c r="R81" i="51"/>
  <c r="N81" i="51"/>
  <c r="Q81" i="51"/>
  <c r="M81" i="51"/>
  <c r="P81" i="51"/>
  <c r="O81" i="51"/>
  <c r="R84" i="51"/>
  <c r="N84" i="51"/>
  <c r="Q84" i="51"/>
  <c r="M84" i="51"/>
  <c r="P84" i="51"/>
  <c r="O84" i="51"/>
  <c r="P86" i="51"/>
  <c r="R86" i="51"/>
  <c r="N86" i="51"/>
  <c r="O86" i="51"/>
  <c r="M86" i="51"/>
  <c r="Q86" i="51"/>
  <c r="P88" i="51"/>
  <c r="R88" i="51"/>
  <c r="Q88" i="51"/>
  <c r="O88" i="51"/>
  <c r="M88" i="51"/>
  <c r="P90" i="51"/>
  <c r="R90" i="51"/>
  <c r="N90" i="51"/>
  <c r="O90" i="51"/>
  <c r="M90" i="51"/>
  <c r="Q90" i="51"/>
  <c r="P94" i="51"/>
  <c r="R94" i="51"/>
  <c r="N94" i="51"/>
  <c r="Q94" i="51"/>
  <c r="O94" i="51"/>
  <c r="M94" i="51"/>
  <c r="P96" i="51"/>
  <c r="R96" i="51"/>
  <c r="N96" i="51"/>
  <c r="O96" i="51"/>
  <c r="M96" i="51"/>
  <c r="Q96" i="51"/>
  <c r="P99" i="51"/>
  <c r="R99" i="51"/>
  <c r="N99" i="51"/>
  <c r="Q99" i="51"/>
  <c r="O99" i="51"/>
  <c r="M99" i="51"/>
  <c r="P102" i="51"/>
  <c r="R102" i="51"/>
  <c r="N102" i="51"/>
  <c r="O102" i="51"/>
  <c r="M102" i="51"/>
  <c r="Q102" i="51"/>
  <c r="P104" i="51"/>
  <c r="R104" i="51"/>
  <c r="N104" i="51"/>
  <c r="Q104" i="51"/>
  <c r="O104" i="51"/>
  <c r="M104" i="51"/>
  <c r="O107" i="51"/>
  <c r="Q107" i="51"/>
  <c r="M107" i="51"/>
  <c r="N107" i="51"/>
  <c r="R107" i="51"/>
  <c r="P107" i="51"/>
  <c r="W65" i="51"/>
  <c r="Y65" i="51"/>
  <c r="U65" i="51"/>
  <c r="X65" i="51"/>
  <c r="V65" i="51"/>
  <c r="T65" i="51"/>
  <c r="W68" i="51"/>
  <c r="Y68" i="51"/>
  <c r="U68" i="51"/>
  <c r="T68" i="51"/>
  <c r="X68" i="51"/>
  <c r="V68" i="51"/>
  <c r="W71" i="51"/>
  <c r="Y71" i="51"/>
  <c r="U71" i="51"/>
  <c r="X71" i="51"/>
  <c r="V71" i="51"/>
  <c r="T71" i="51"/>
  <c r="Y74" i="51"/>
  <c r="U74" i="51"/>
  <c r="X74" i="51"/>
  <c r="T74" i="51"/>
  <c r="W74" i="51"/>
  <c r="V74" i="51"/>
  <c r="W77" i="51"/>
  <c r="V77" i="51"/>
  <c r="Y77" i="51"/>
  <c r="U77" i="51"/>
  <c r="X77" i="51"/>
  <c r="T77" i="51"/>
  <c r="W81" i="51"/>
  <c r="V81" i="51"/>
  <c r="U81" i="51"/>
  <c r="Y81" i="51"/>
  <c r="X81" i="51"/>
  <c r="T81" i="51"/>
  <c r="W84" i="51"/>
  <c r="V84" i="51"/>
  <c r="Y84" i="51"/>
  <c r="U84" i="51"/>
  <c r="T84" i="51"/>
  <c r="X84" i="51"/>
  <c r="Y86" i="51"/>
  <c r="U86" i="51"/>
  <c r="W86" i="51"/>
  <c r="X86" i="51"/>
  <c r="V86" i="51"/>
  <c r="T86" i="51"/>
  <c r="Y88" i="51"/>
  <c r="U88" i="51"/>
  <c r="W88" i="51"/>
  <c r="T88" i="51"/>
  <c r="X88" i="51"/>
  <c r="V88" i="51"/>
  <c r="Y90" i="51"/>
  <c r="U90" i="51"/>
  <c r="W90" i="51"/>
  <c r="X90" i="51"/>
  <c r="V90" i="51"/>
  <c r="T90" i="51"/>
  <c r="Y94" i="51"/>
  <c r="U94" i="51"/>
  <c r="W94" i="51"/>
  <c r="T94" i="51"/>
  <c r="X94" i="51"/>
  <c r="V94" i="51"/>
  <c r="Y96" i="51"/>
  <c r="U96" i="51"/>
  <c r="W96" i="51"/>
  <c r="X96" i="51"/>
  <c r="V96" i="51"/>
  <c r="T96" i="51"/>
  <c r="Y99" i="51"/>
  <c r="Y98" i="51" s="1"/>
  <c r="U99" i="51"/>
  <c r="W99" i="51"/>
  <c r="T99" i="51"/>
  <c r="X99" i="51"/>
  <c r="V99" i="51"/>
  <c r="Y102" i="51"/>
  <c r="U102" i="51"/>
  <c r="W102" i="51"/>
  <c r="X102" i="51"/>
  <c r="V102" i="51"/>
  <c r="T102" i="51"/>
  <c r="Y104" i="51"/>
  <c r="U104" i="51"/>
  <c r="W104" i="51"/>
  <c r="T104" i="51"/>
  <c r="X104" i="51"/>
  <c r="V104" i="51"/>
  <c r="X107" i="51"/>
  <c r="T107" i="51"/>
  <c r="V107" i="51"/>
  <c r="W107" i="51"/>
  <c r="U107" i="51"/>
  <c r="Y107" i="51"/>
  <c r="I65" i="51"/>
  <c r="K65" i="51"/>
  <c r="G65" i="51"/>
  <c r="F65" i="51"/>
  <c r="J65" i="51"/>
  <c r="H65" i="51"/>
  <c r="I68" i="51"/>
  <c r="K68" i="51"/>
  <c r="G68" i="51"/>
  <c r="J68" i="51"/>
  <c r="H68" i="51"/>
  <c r="F68" i="51"/>
  <c r="I71" i="51"/>
  <c r="K71" i="51"/>
  <c r="G71" i="51"/>
  <c r="F71" i="51"/>
  <c r="J71" i="51"/>
  <c r="H71" i="51"/>
  <c r="K74" i="51"/>
  <c r="G74" i="51"/>
  <c r="J74" i="51"/>
  <c r="F74" i="51"/>
  <c r="I74" i="51"/>
  <c r="H74" i="51"/>
  <c r="I77" i="51"/>
  <c r="H77" i="51"/>
  <c r="G77" i="51"/>
  <c r="K77" i="51"/>
  <c r="J77" i="51"/>
  <c r="F77" i="51"/>
  <c r="I81" i="51"/>
  <c r="H81" i="51"/>
  <c r="K81" i="51"/>
  <c r="G81" i="51"/>
  <c r="F81" i="51"/>
  <c r="J81" i="51"/>
  <c r="K96" i="51"/>
  <c r="G96" i="51"/>
  <c r="I96" i="51"/>
  <c r="F96" i="51"/>
  <c r="J96" i="51"/>
  <c r="H96" i="51"/>
  <c r="K99" i="51"/>
  <c r="G99" i="51"/>
  <c r="I99" i="51"/>
  <c r="J99" i="51"/>
  <c r="H99" i="51"/>
  <c r="F99" i="51"/>
  <c r="K102" i="51"/>
  <c r="G102" i="51"/>
  <c r="I102" i="51"/>
  <c r="J102" i="51"/>
  <c r="H102" i="51"/>
  <c r="K104" i="51"/>
  <c r="G104" i="51"/>
  <c r="I104" i="51"/>
  <c r="J104" i="51"/>
  <c r="H104" i="51"/>
  <c r="F104" i="51"/>
  <c r="J107" i="51"/>
  <c r="F107" i="51"/>
  <c r="H107" i="51"/>
  <c r="K107" i="51"/>
  <c r="I107" i="51"/>
  <c r="G107" i="51"/>
  <c r="R65" i="51"/>
  <c r="N65" i="51"/>
  <c r="P65" i="51"/>
  <c r="O65" i="51"/>
  <c r="M65" i="51"/>
  <c r="Q65" i="51"/>
  <c r="R68" i="51"/>
  <c r="N68" i="51"/>
  <c r="P68" i="51"/>
  <c r="Q68" i="51"/>
  <c r="O68" i="51"/>
  <c r="M68" i="51"/>
  <c r="R71" i="51"/>
  <c r="N71" i="51"/>
  <c r="P71" i="51"/>
  <c r="O71" i="51"/>
  <c r="M71" i="51"/>
  <c r="Q71" i="51"/>
  <c r="R75" i="51"/>
  <c r="P75" i="51"/>
  <c r="U75" i="51"/>
  <c r="I75" i="51"/>
  <c r="J75" i="51"/>
  <c r="AB75" i="51"/>
  <c r="Q75" i="51"/>
  <c r="AF75" i="51"/>
  <c r="N75" i="51"/>
  <c r="O75" i="51"/>
  <c r="Y75" i="51"/>
  <c r="H75" i="51"/>
  <c r="F75" i="51"/>
  <c r="AE75" i="51"/>
  <c r="X75" i="51"/>
  <c r="AC75" i="51"/>
  <c r="M75" i="51"/>
  <c r="V75" i="51"/>
  <c r="T75" i="51"/>
  <c r="G75" i="51"/>
  <c r="AD75" i="51"/>
  <c r="AA75" i="51"/>
  <c r="W75" i="51"/>
  <c r="K75" i="51"/>
  <c r="Q106" i="51"/>
  <c r="N106" i="51"/>
  <c r="J106" i="51"/>
  <c r="V106" i="51"/>
  <c r="W106" i="51"/>
  <c r="AA106" i="51"/>
  <c r="O106" i="51"/>
  <c r="H106" i="51"/>
  <c r="K106" i="51"/>
  <c r="AE106" i="51"/>
  <c r="M106" i="51"/>
  <c r="R106" i="51"/>
  <c r="F106" i="51"/>
  <c r="X106" i="51"/>
  <c r="U106" i="51"/>
  <c r="AF106" i="51"/>
  <c r="T106" i="51"/>
  <c r="AD106" i="51"/>
  <c r="P106" i="51"/>
  <c r="G106" i="51"/>
  <c r="I106" i="51"/>
  <c r="Y106" i="51"/>
  <c r="AC106" i="51"/>
  <c r="AB106" i="51"/>
  <c r="H62" i="51"/>
  <c r="F62" i="51"/>
  <c r="J62" i="51"/>
  <c r="K62" i="51"/>
  <c r="G62" i="51"/>
  <c r="I62" i="51"/>
  <c r="M62" i="51"/>
  <c r="Q62" i="51"/>
  <c r="O62" i="51"/>
  <c r="N62" i="51"/>
  <c r="P62" i="51"/>
  <c r="R62" i="51"/>
  <c r="V62" i="51"/>
  <c r="T62" i="51"/>
  <c r="X62" i="51"/>
  <c r="U62" i="51"/>
  <c r="W62" i="51"/>
  <c r="Y62" i="51"/>
  <c r="AF61" i="51"/>
  <c r="AD61" i="51"/>
  <c r="AB61" i="51"/>
  <c r="AE61" i="51"/>
  <c r="AC61" i="51"/>
  <c r="AA61" i="51"/>
  <c r="AF64" i="51"/>
  <c r="AD64" i="51"/>
  <c r="AB64" i="51"/>
  <c r="AE64" i="51"/>
  <c r="AC64" i="51"/>
  <c r="AA64" i="51"/>
  <c r="AF65" i="51"/>
  <c r="AD65" i="51"/>
  <c r="AB65" i="51"/>
  <c r="AE65" i="51"/>
  <c r="AC65" i="51"/>
  <c r="AA65" i="51"/>
  <c r="AF67" i="51"/>
  <c r="AD67" i="51"/>
  <c r="AB67" i="51"/>
  <c r="AE67" i="51"/>
  <c r="AC67" i="51"/>
  <c r="AA67" i="51"/>
  <c r="AF68" i="51"/>
  <c r="AD68" i="51"/>
  <c r="AB68" i="51"/>
  <c r="AE68" i="51"/>
  <c r="AC68" i="51"/>
  <c r="AA68" i="51"/>
  <c r="AA69" i="51"/>
  <c r="AC69" i="51"/>
  <c r="AE69" i="51"/>
  <c r="AB69" i="51"/>
  <c r="AD69" i="51"/>
  <c r="AF69" i="51"/>
  <c r="AF71" i="51"/>
  <c r="AE71" i="51"/>
  <c r="AD71" i="51"/>
  <c r="AB71" i="51"/>
  <c r="AC71" i="51"/>
  <c r="AA71" i="51"/>
  <c r="AF72" i="51"/>
  <c r="AD72" i="51"/>
  <c r="AB72" i="51"/>
  <c r="AE72" i="51"/>
  <c r="AC72" i="51"/>
  <c r="AA72" i="51"/>
  <c r="AF74" i="51"/>
  <c r="AD74" i="51"/>
  <c r="AB74" i="51"/>
  <c r="AE74" i="51"/>
  <c r="AC74" i="51"/>
  <c r="AA74" i="51"/>
  <c r="AF76" i="51"/>
  <c r="AD76" i="51"/>
  <c r="AB76" i="51"/>
  <c r="AE76" i="51"/>
  <c r="AC76" i="51"/>
  <c r="AA76" i="51"/>
  <c r="AF77" i="51"/>
  <c r="AD77" i="51"/>
  <c r="AB77" i="51"/>
  <c r="AE77" i="51"/>
  <c r="AC77" i="51"/>
  <c r="AA77" i="51"/>
  <c r="AF80" i="51"/>
  <c r="AD80" i="51"/>
  <c r="AB80" i="51"/>
  <c r="AE80" i="51"/>
  <c r="AC80" i="51"/>
  <c r="AA80" i="51"/>
  <c r="AF81" i="51"/>
  <c r="AD81" i="51"/>
  <c r="AB81" i="51"/>
  <c r="AE81" i="51"/>
  <c r="AC81" i="51"/>
  <c r="AA81" i="51"/>
  <c r="AF83" i="51"/>
  <c r="AD83" i="51"/>
  <c r="AB83" i="51"/>
  <c r="AE83" i="51"/>
  <c r="AC83" i="51"/>
  <c r="AA83" i="51"/>
  <c r="AF84" i="51"/>
  <c r="AD84" i="51"/>
  <c r="AB84" i="51"/>
  <c r="AE84" i="51"/>
  <c r="AC84" i="51"/>
  <c r="AA84" i="51"/>
  <c r="AF85" i="51"/>
  <c r="AD85" i="51"/>
  <c r="AB85" i="51"/>
  <c r="AE85" i="51"/>
  <c r="AC85" i="51"/>
  <c r="AA85" i="51"/>
  <c r="AF86" i="51"/>
  <c r="AD86" i="51"/>
  <c r="AB86" i="51"/>
  <c r="AE86" i="51"/>
  <c r="AC86" i="51"/>
  <c r="AA86" i="51"/>
  <c r="AF87" i="51"/>
  <c r="AD87" i="51"/>
  <c r="AB87" i="51"/>
  <c r="AE87" i="51"/>
  <c r="AC87" i="51"/>
  <c r="AA87" i="51"/>
  <c r="AF88" i="51"/>
  <c r="AD88" i="51"/>
  <c r="AB88" i="51"/>
  <c r="AE88" i="51"/>
  <c r="AC88" i="51"/>
  <c r="AA88" i="51"/>
  <c r="AF89" i="51"/>
  <c r="AD89" i="51"/>
  <c r="AB89" i="51"/>
  <c r="AE89" i="51"/>
  <c r="AC89" i="51"/>
  <c r="AA89" i="51"/>
  <c r="AF90" i="51"/>
  <c r="AD90" i="51"/>
  <c r="AB90" i="51"/>
  <c r="AE90" i="51"/>
  <c r="AC90" i="51"/>
  <c r="AA90" i="51"/>
  <c r="AF92" i="51"/>
  <c r="AD92" i="51"/>
  <c r="AB92" i="51"/>
  <c r="AE92" i="51"/>
  <c r="AC92" i="51"/>
  <c r="AA92" i="51"/>
  <c r="AF94" i="51"/>
  <c r="AD94" i="51"/>
  <c r="AB94" i="51"/>
  <c r="AE94" i="51"/>
  <c r="AC94" i="51"/>
  <c r="AA94" i="51"/>
  <c r="AF95" i="51"/>
  <c r="AD95" i="51"/>
  <c r="AB95" i="51"/>
  <c r="AE95" i="51"/>
  <c r="AC95" i="51"/>
  <c r="AA95" i="51"/>
  <c r="AF96" i="51"/>
  <c r="AD96" i="51"/>
  <c r="AB96" i="51"/>
  <c r="AE96" i="51"/>
  <c r="AC96" i="51"/>
  <c r="AA96" i="51"/>
  <c r="AF97" i="51"/>
  <c r="AD97" i="51"/>
  <c r="AB97" i="51"/>
  <c r="AE97" i="51"/>
  <c r="AC97" i="51"/>
  <c r="AA97" i="51"/>
  <c r="AF99" i="51"/>
  <c r="AD99" i="51"/>
  <c r="AB99" i="51"/>
  <c r="AE99" i="51"/>
  <c r="AC99" i="51"/>
  <c r="AA99" i="51"/>
  <c r="AF100" i="51"/>
  <c r="AD100" i="51"/>
  <c r="AB100" i="51"/>
  <c r="AE100" i="51"/>
  <c r="AC100" i="51"/>
  <c r="AA100" i="51"/>
  <c r="AF102" i="51"/>
  <c r="AD102" i="51"/>
  <c r="AB102" i="51"/>
  <c r="AE102" i="51"/>
  <c r="AC102" i="51"/>
  <c r="AA102" i="51"/>
  <c r="AF103" i="51"/>
  <c r="AD103" i="51"/>
  <c r="AB103" i="51"/>
  <c r="AE103" i="51"/>
  <c r="AC103" i="51"/>
  <c r="AA103" i="51"/>
  <c r="AF104" i="51"/>
  <c r="AD104" i="51"/>
  <c r="AB104" i="51"/>
  <c r="AE104" i="51"/>
  <c r="AC104" i="51"/>
  <c r="AA104" i="51"/>
  <c r="AF105" i="51"/>
  <c r="AD105" i="51"/>
  <c r="AB105" i="51"/>
  <c r="AE105" i="51"/>
  <c r="AC105" i="51"/>
  <c r="AA105" i="51"/>
  <c r="AE107" i="51"/>
  <c r="AC107" i="51"/>
  <c r="AA107" i="51"/>
  <c r="AF107" i="51"/>
  <c r="AD107" i="51"/>
  <c r="AB107" i="51"/>
  <c r="AA62" i="51"/>
  <c r="AC62" i="51"/>
  <c r="AE62" i="51"/>
  <c r="AB62" i="51"/>
  <c r="AD62" i="51"/>
  <c r="AF62" i="51"/>
  <c r="Y82" i="51" l="1"/>
  <c r="F82" i="51"/>
  <c r="AB82" i="51"/>
  <c r="I82" i="51"/>
  <c r="AA82" i="51"/>
  <c r="M82" i="51"/>
  <c r="AC82" i="51"/>
  <c r="AF82" i="51"/>
  <c r="X82" i="51"/>
  <c r="Q82" i="51"/>
  <c r="P82" i="51"/>
  <c r="J82" i="51"/>
  <c r="W82" i="51"/>
  <c r="R82" i="51"/>
  <c r="K82" i="51"/>
  <c r="AD82" i="51"/>
  <c r="T82" i="51"/>
  <c r="O82" i="51"/>
  <c r="AE82" i="51"/>
  <c r="V82" i="51"/>
  <c r="U82" i="51"/>
  <c r="N82" i="51"/>
  <c r="H82" i="51"/>
  <c r="G82" i="51"/>
  <c r="F98" i="51"/>
  <c r="H98" i="51"/>
  <c r="K98" i="51"/>
  <c r="G98" i="51"/>
  <c r="T98" i="51"/>
  <c r="U98" i="51"/>
  <c r="M98" i="51"/>
  <c r="Q98" i="51"/>
  <c r="R98" i="51"/>
  <c r="O98" i="51"/>
  <c r="AB98" i="51"/>
  <c r="AD98" i="51"/>
  <c r="AC98" i="51"/>
  <c r="AE98" i="51"/>
  <c r="I98" i="51"/>
  <c r="X98" i="51"/>
  <c r="P98" i="51"/>
  <c r="W98" i="51"/>
  <c r="N98" i="51"/>
  <c r="AA98" i="51"/>
  <c r="AF98" i="51"/>
  <c r="J98" i="51"/>
  <c r="V98" i="51"/>
  <c r="G9" i="5"/>
  <c r="X86" i="53" l="1"/>
  <c r="Y86" i="53"/>
  <c r="Z86" i="53"/>
  <c r="AA86" i="53"/>
  <c r="AB86" i="53"/>
  <c r="AC86" i="53"/>
  <c r="AD86" i="53"/>
  <c r="Q83" i="53"/>
  <c r="W83" i="53" s="1"/>
  <c r="Q82" i="53"/>
  <c r="W82" i="53" s="1"/>
  <c r="Q81" i="53"/>
  <c r="W81" i="53" s="1"/>
  <c r="Q80" i="53"/>
  <c r="W80" i="53" s="1"/>
  <c r="Q78" i="53"/>
  <c r="W78" i="53" s="1"/>
  <c r="Q77" i="53"/>
  <c r="W77" i="53" s="1"/>
  <c r="Q76" i="53"/>
  <c r="W76" i="53" s="1"/>
  <c r="Q75" i="53"/>
  <c r="W75" i="53" s="1"/>
  <c r="Q74" i="53"/>
  <c r="W74" i="53" s="1"/>
  <c r="Q73" i="53"/>
  <c r="W73" i="53" s="1"/>
  <c r="Q71" i="53"/>
  <c r="W71" i="53" s="1"/>
  <c r="Q69" i="53"/>
  <c r="V69" i="53" s="1"/>
  <c r="Q68" i="53"/>
  <c r="W68" i="53" s="1"/>
  <c r="Q67" i="53"/>
  <c r="V67" i="53" s="1"/>
  <c r="Q65" i="53"/>
  <c r="W65" i="53" s="1"/>
  <c r="Q64" i="53"/>
  <c r="Q63" i="53"/>
  <c r="Q62" i="53"/>
  <c r="Q60" i="53"/>
  <c r="W60" i="53" s="1"/>
  <c r="Q59" i="53"/>
  <c r="Q58" i="53"/>
  <c r="Q52" i="53"/>
  <c r="W52" i="53" s="1"/>
  <c r="Q51" i="53"/>
  <c r="W51" i="53" s="1"/>
  <c r="Q50" i="53"/>
  <c r="W50" i="53" s="1"/>
  <c r="Q46" i="53"/>
  <c r="W46" i="53" s="1"/>
  <c r="Q45" i="53"/>
  <c r="W45" i="53" s="1"/>
  <c r="Q43" i="53"/>
  <c r="W43" i="53" s="1"/>
  <c r="Q42" i="53"/>
  <c r="W42" i="53" s="1"/>
  <c r="Q41" i="53"/>
  <c r="W41" i="53" s="1"/>
  <c r="Q40" i="53"/>
  <c r="W40" i="53" s="1"/>
  <c r="Q39" i="53"/>
  <c r="W39" i="53" s="1"/>
  <c r="Q38" i="53"/>
  <c r="W38" i="53" s="1"/>
  <c r="Q37" i="53"/>
  <c r="W37" i="53" s="1"/>
  <c r="Q35" i="53"/>
  <c r="W35" i="53" s="1"/>
  <c r="Q34" i="53"/>
  <c r="V34" i="53" s="1"/>
  <c r="Q33" i="53"/>
  <c r="W33" i="53" s="1"/>
  <c r="Q32" i="53"/>
  <c r="V32" i="53" s="1"/>
  <c r="Q31" i="53"/>
  <c r="W31" i="53" s="1"/>
  <c r="Q29" i="53"/>
  <c r="W29" i="53" s="1"/>
  <c r="Q27" i="53"/>
  <c r="W27" i="53" s="1"/>
  <c r="Q26" i="53"/>
  <c r="W26" i="53" s="1"/>
  <c r="Q25" i="53"/>
  <c r="W25" i="53" s="1"/>
  <c r="Q23" i="53"/>
  <c r="W23" i="53" s="1"/>
  <c r="Q22" i="53"/>
  <c r="V22" i="53" s="1"/>
  <c r="Q21" i="53"/>
  <c r="W21" i="53" s="1"/>
  <c r="Q20" i="53"/>
  <c r="V20" i="53" s="1"/>
  <c r="Q19" i="53"/>
  <c r="W19" i="53" s="1"/>
  <c r="Q14" i="53"/>
  <c r="Q15" i="53"/>
  <c r="Q16" i="53"/>
  <c r="Q47" i="53"/>
  <c r="D35" i="58" s="1"/>
  <c r="J83" i="53"/>
  <c r="P83" i="53" s="1"/>
  <c r="J82" i="53"/>
  <c r="P82" i="53" s="1"/>
  <c r="J81" i="53"/>
  <c r="P81" i="53" s="1"/>
  <c r="J80" i="53"/>
  <c r="P80" i="53" s="1"/>
  <c r="J78" i="53"/>
  <c r="P78" i="53" s="1"/>
  <c r="J77" i="53"/>
  <c r="O77" i="53" s="1"/>
  <c r="J76" i="53"/>
  <c r="P76" i="53" s="1"/>
  <c r="J75" i="53"/>
  <c r="O75" i="53" s="1"/>
  <c r="J74" i="53"/>
  <c r="P74" i="53" s="1"/>
  <c r="J73" i="53"/>
  <c r="O73" i="53" s="1"/>
  <c r="J71" i="53"/>
  <c r="P71" i="53" s="1"/>
  <c r="J70" i="53"/>
  <c r="P70" i="53" s="1"/>
  <c r="P69" i="53"/>
  <c r="J68" i="53"/>
  <c r="P68" i="53" s="1"/>
  <c r="J67" i="53"/>
  <c r="P67" i="53" s="1"/>
  <c r="J65" i="53"/>
  <c r="P65" i="53" s="1"/>
  <c r="J64" i="53"/>
  <c r="J63" i="53"/>
  <c r="P63" i="53" s="1"/>
  <c r="J62" i="53"/>
  <c r="J60" i="53"/>
  <c r="P60" i="53" s="1"/>
  <c r="J59" i="53"/>
  <c r="P59" i="53" s="1"/>
  <c r="J52" i="53"/>
  <c r="P52" i="53" s="1"/>
  <c r="J51" i="53"/>
  <c r="P51" i="53" s="1"/>
  <c r="J50" i="53"/>
  <c r="P50" i="53" s="1"/>
  <c r="J47" i="53"/>
  <c r="P47" i="53" s="1"/>
  <c r="J46" i="53"/>
  <c r="O46" i="53" s="1"/>
  <c r="J45" i="53"/>
  <c r="P45" i="53" s="1"/>
  <c r="J43" i="53"/>
  <c r="O43" i="53" s="1"/>
  <c r="J42" i="53"/>
  <c r="P42" i="53" s="1"/>
  <c r="J41" i="53"/>
  <c r="O41" i="53" s="1"/>
  <c r="J40" i="53"/>
  <c r="P40" i="53" s="1"/>
  <c r="J39" i="53"/>
  <c r="O39" i="53" s="1"/>
  <c r="J38" i="53"/>
  <c r="P38" i="53" s="1"/>
  <c r="J37" i="53"/>
  <c r="O37" i="53" s="1"/>
  <c r="J35" i="53"/>
  <c r="P35" i="53" s="1"/>
  <c r="J34" i="53"/>
  <c r="P34" i="53" s="1"/>
  <c r="J33" i="53"/>
  <c r="P33" i="53" s="1"/>
  <c r="J32" i="53"/>
  <c r="P32" i="53" s="1"/>
  <c r="J31" i="53"/>
  <c r="P31" i="53" s="1"/>
  <c r="J29" i="53"/>
  <c r="P29" i="53" s="1"/>
  <c r="J27" i="53"/>
  <c r="P27" i="53" s="1"/>
  <c r="J26" i="53"/>
  <c r="P26" i="53" s="1"/>
  <c r="J25" i="53"/>
  <c r="P25" i="53" s="1"/>
  <c r="J23" i="53"/>
  <c r="O23" i="53" s="1"/>
  <c r="J22" i="53"/>
  <c r="J21" i="53"/>
  <c r="J20" i="53"/>
  <c r="J19" i="53"/>
  <c r="O19" i="53" s="1"/>
  <c r="J14" i="53"/>
  <c r="J15" i="53"/>
  <c r="M15" i="53" s="1"/>
  <c r="J16" i="53"/>
  <c r="Q13" i="53"/>
  <c r="J13" i="53"/>
  <c r="C83" i="53"/>
  <c r="I83" i="53" s="1"/>
  <c r="C82" i="53"/>
  <c r="H82" i="53" s="1"/>
  <c r="C81" i="53"/>
  <c r="I81" i="53" s="1"/>
  <c r="C80" i="53"/>
  <c r="H80" i="53" s="1"/>
  <c r="C78" i="53"/>
  <c r="I78" i="53" s="1"/>
  <c r="C77" i="53"/>
  <c r="H77" i="53" s="1"/>
  <c r="C76" i="53"/>
  <c r="I76" i="53" s="1"/>
  <c r="C75" i="53"/>
  <c r="H75" i="53" s="1"/>
  <c r="C74" i="53"/>
  <c r="I74" i="53" s="1"/>
  <c r="C73" i="53"/>
  <c r="H73" i="53" s="1"/>
  <c r="C71" i="53"/>
  <c r="I71" i="53" s="1"/>
  <c r="C70" i="53"/>
  <c r="I70" i="53" s="1"/>
  <c r="C68" i="53"/>
  <c r="I68" i="53" s="1"/>
  <c r="C67" i="53"/>
  <c r="I67" i="53" s="1"/>
  <c r="C65" i="53"/>
  <c r="I65" i="53" s="1"/>
  <c r="C64" i="53"/>
  <c r="C63" i="53"/>
  <c r="C62" i="53"/>
  <c r="C60" i="53"/>
  <c r="I60" i="53" s="1"/>
  <c r="C59" i="53"/>
  <c r="C58" i="53"/>
  <c r="C52" i="53"/>
  <c r="I52" i="53" s="1"/>
  <c r="C51" i="53"/>
  <c r="I51" i="53" s="1"/>
  <c r="C50" i="53"/>
  <c r="I50" i="53" s="1"/>
  <c r="C46" i="53"/>
  <c r="H46" i="53" s="1"/>
  <c r="C45" i="53"/>
  <c r="I45" i="53" s="1"/>
  <c r="C43" i="53"/>
  <c r="H43" i="53" s="1"/>
  <c r="C42" i="53"/>
  <c r="I42" i="53" s="1"/>
  <c r="C41" i="53"/>
  <c r="H41" i="53" s="1"/>
  <c r="C40" i="53"/>
  <c r="I40" i="53" s="1"/>
  <c r="C39" i="53"/>
  <c r="H39" i="53" s="1"/>
  <c r="C38" i="53"/>
  <c r="I38" i="53" s="1"/>
  <c r="C37" i="53"/>
  <c r="H37" i="53" s="1"/>
  <c r="C35" i="53"/>
  <c r="I35" i="53" s="1"/>
  <c r="C34" i="53"/>
  <c r="H34" i="53" s="1"/>
  <c r="C33" i="53"/>
  <c r="I33" i="53" s="1"/>
  <c r="C32" i="53"/>
  <c r="H32" i="53" s="1"/>
  <c r="C31" i="53"/>
  <c r="I31" i="53" s="1"/>
  <c r="C29" i="53"/>
  <c r="I29" i="53" s="1"/>
  <c r="C47" i="53"/>
  <c r="I47" i="53" s="1"/>
  <c r="P20" i="53" l="1"/>
  <c r="O21" i="53"/>
  <c r="P22" i="53"/>
  <c r="J16" i="60"/>
  <c r="J30" i="60" s="1"/>
  <c r="Q17" i="60"/>
  <c r="Q31" i="60" s="1"/>
  <c r="C15" i="60"/>
  <c r="C28" i="60" s="1"/>
  <c r="Q15" i="60"/>
  <c r="J17" i="60"/>
  <c r="J31" i="60" s="1"/>
  <c r="Q16" i="60"/>
  <c r="C17" i="60"/>
  <c r="C16" i="60"/>
  <c r="P15" i="53"/>
  <c r="W15" i="53"/>
  <c r="N15" i="53"/>
  <c r="U15" i="53"/>
  <c r="L15" i="53"/>
  <c r="W64" i="53"/>
  <c r="O15" i="53"/>
  <c r="P62" i="53"/>
  <c r="T15" i="53"/>
  <c r="I64" i="53"/>
  <c r="I17" i="60" s="1"/>
  <c r="P64" i="53"/>
  <c r="P17" i="60" s="1"/>
  <c r="V15" i="53"/>
  <c r="W14" i="53"/>
  <c r="U14" i="53"/>
  <c r="U16" i="53"/>
  <c r="S15" i="53"/>
  <c r="S14" i="53"/>
  <c r="V33" i="53"/>
  <c r="V21" i="53"/>
  <c r="V26" i="53"/>
  <c r="V39" i="53"/>
  <c r="V43" i="53"/>
  <c r="V64" i="53"/>
  <c r="V75" i="53"/>
  <c r="V80" i="53"/>
  <c r="P16" i="53"/>
  <c r="T19" i="53"/>
  <c r="T23" i="53"/>
  <c r="T31" i="53"/>
  <c r="T35" i="53"/>
  <c r="T37" i="53"/>
  <c r="T41" i="53"/>
  <c r="T46" i="53"/>
  <c r="T51" i="53"/>
  <c r="T60" i="53"/>
  <c r="T71" i="53"/>
  <c r="T73" i="53"/>
  <c r="T77" i="53"/>
  <c r="T82" i="53"/>
  <c r="J86" i="53"/>
  <c r="W16" i="53"/>
  <c r="S16" i="53"/>
  <c r="V19" i="53"/>
  <c r="T21" i="53"/>
  <c r="V23" i="53"/>
  <c r="T26" i="53"/>
  <c r="V31" i="53"/>
  <c r="T33" i="53"/>
  <c r="V35" i="53"/>
  <c r="V37" i="53"/>
  <c r="T39" i="53"/>
  <c r="V41" i="53"/>
  <c r="T43" i="53"/>
  <c r="V46" i="53"/>
  <c r="V51" i="53"/>
  <c r="V60" i="53"/>
  <c r="T64" i="53"/>
  <c r="V71" i="53"/>
  <c r="V73" i="53"/>
  <c r="T75" i="53"/>
  <c r="V77" i="53"/>
  <c r="T80" i="53"/>
  <c r="V82" i="53"/>
  <c r="Q86" i="53"/>
  <c r="S80" i="53"/>
  <c r="U80" i="53"/>
  <c r="T81" i="53"/>
  <c r="V81" i="53"/>
  <c r="S82" i="53"/>
  <c r="U82" i="53"/>
  <c r="T83" i="53"/>
  <c r="V83" i="53"/>
  <c r="S81" i="53"/>
  <c r="U81" i="53"/>
  <c r="S83" i="53"/>
  <c r="U83" i="53"/>
  <c r="S73" i="53"/>
  <c r="U73" i="53"/>
  <c r="T74" i="53"/>
  <c r="V74" i="53"/>
  <c r="S75" i="53"/>
  <c r="U75" i="53"/>
  <c r="T76" i="53"/>
  <c r="V76" i="53"/>
  <c r="S77" i="53"/>
  <c r="U77" i="53"/>
  <c r="T78" i="53"/>
  <c r="V78" i="53"/>
  <c r="S74" i="53"/>
  <c r="U74" i="53"/>
  <c r="S76" i="53"/>
  <c r="U76" i="53"/>
  <c r="S78" i="53"/>
  <c r="U78" i="53"/>
  <c r="S67" i="53"/>
  <c r="U67" i="53"/>
  <c r="W67" i="53"/>
  <c r="T68" i="53"/>
  <c r="V68" i="53"/>
  <c r="S69" i="53"/>
  <c r="U69" i="53"/>
  <c r="W69" i="53"/>
  <c r="T67" i="53"/>
  <c r="S68" i="53"/>
  <c r="U68" i="53"/>
  <c r="T69" i="53"/>
  <c r="S71" i="53"/>
  <c r="U71" i="53"/>
  <c r="S64" i="53"/>
  <c r="U64" i="53"/>
  <c r="T65" i="53"/>
  <c r="V65" i="53"/>
  <c r="S65" i="53"/>
  <c r="U65" i="53"/>
  <c r="S60" i="53"/>
  <c r="U60" i="53"/>
  <c r="T50" i="53"/>
  <c r="V50" i="53"/>
  <c r="S51" i="53"/>
  <c r="U51" i="53"/>
  <c r="T52" i="53"/>
  <c r="V52" i="53"/>
  <c r="S50" i="53"/>
  <c r="U50" i="53"/>
  <c r="S52" i="53"/>
  <c r="U52" i="53"/>
  <c r="S37" i="53"/>
  <c r="U37" i="53"/>
  <c r="T38" i="53"/>
  <c r="V38" i="53"/>
  <c r="S39" i="53"/>
  <c r="U39" i="53"/>
  <c r="T40" i="53"/>
  <c r="V40" i="53"/>
  <c r="S41" i="53"/>
  <c r="U41" i="53"/>
  <c r="T42" i="53"/>
  <c r="V42" i="53"/>
  <c r="S43" i="53"/>
  <c r="U43" i="53"/>
  <c r="T45" i="53"/>
  <c r="V45" i="53"/>
  <c r="S46" i="53"/>
  <c r="U46" i="53"/>
  <c r="S38" i="53"/>
  <c r="U38" i="53"/>
  <c r="S40" i="53"/>
  <c r="U40" i="53"/>
  <c r="S42" i="53"/>
  <c r="U42" i="53"/>
  <c r="S45" i="53"/>
  <c r="U45" i="53"/>
  <c r="S32" i="53"/>
  <c r="U32" i="53"/>
  <c r="W32" i="53"/>
  <c r="S34" i="53"/>
  <c r="U34" i="53"/>
  <c r="W34" i="53"/>
  <c r="S31" i="53"/>
  <c r="U31" i="53"/>
  <c r="T32" i="53"/>
  <c r="S33" i="53"/>
  <c r="U33" i="53"/>
  <c r="T34" i="53"/>
  <c r="S35" i="53"/>
  <c r="U35" i="53"/>
  <c r="T29" i="53"/>
  <c r="V29" i="53"/>
  <c r="S29" i="53"/>
  <c r="U29" i="53"/>
  <c r="T25" i="53"/>
  <c r="V25" i="53"/>
  <c r="S26" i="53"/>
  <c r="U26" i="53"/>
  <c r="T27" i="53"/>
  <c r="V27" i="53"/>
  <c r="S25" i="53"/>
  <c r="U25" i="53"/>
  <c r="S27" i="53"/>
  <c r="U27" i="53"/>
  <c r="S20" i="53"/>
  <c r="U20" i="53"/>
  <c r="W20" i="53"/>
  <c r="S22" i="53"/>
  <c r="U22" i="53"/>
  <c r="W22" i="53"/>
  <c r="S19" i="53"/>
  <c r="U19" i="53"/>
  <c r="T20" i="53"/>
  <c r="S21" i="53"/>
  <c r="U21" i="53"/>
  <c r="T22" i="53"/>
  <c r="S23" i="53"/>
  <c r="U23" i="53"/>
  <c r="V16" i="53"/>
  <c r="T16" i="53"/>
  <c r="V14" i="53"/>
  <c r="T14" i="53"/>
  <c r="P14" i="53"/>
  <c r="N14" i="53"/>
  <c r="N16" i="53"/>
  <c r="O80" i="53"/>
  <c r="H31" i="53"/>
  <c r="H38" i="53"/>
  <c r="F40" i="53"/>
  <c r="H42" i="53"/>
  <c r="F45" i="53"/>
  <c r="H47" i="53"/>
  <c r="F51" i="53"/>
  <c r="H64" i="53"/>
  <c r="F67" i="53"/>
  <c r="F70" i="53"/>
  <c r="F74" i="53"/>
  <c r="H76" i="53"/>
  <c r="F78" i="53"/>
  <c r="H81" i="53"/>
  <c r="F83" i="53"/>
  <c r="M22" i="53"/>
  <c r="M26" i="53"/>
  <c r="M34" i="53"/>
  <c r="O42" i="53"/>
  <c r="M45" i="53"/>
  <c r="O47" i="53"/>
  <c r="M51" i="53"/>
  <c r="M59" i="53"/>
  <c r="O62" i="53"/>
  <c r="M64" i="53"/>
  <c r="O69" i="53"/>
  <c r="M70" i="53"/>
  <c r="M74" i="53"/>
  <c r="O76" i="53"/>
  <c r="M78" i="53"/>
  <c r="M80" i="53"/>
  <c r="O82" i="53"/>
  <c r="F31" i="53"/>
  <c r="F38" i="53"/>
  <c r="H40" i="53"/>
  <c r="F42" i="53"/>
  <c r="H45" i="53"/>
  <c r="F47" i="53"/>
  <c r="H51" i="53"/>
  <c r="F64" i="53"/>
  <c r="H67" i="53"/>
  <c r="H70" i="53"/>
  <c r="H74" i="53"/>
  <c r="F76" i="53"/>
  <c r="H78" i="53"/>
  <c r="F81" i="53"/>
  <c r="H83" i="53"/>
  <c r="L16" i="53"/>
  <c r="O22" i="53"/>
  <c r="O26" i="53"/>
  <c r="O34" i="53"/>
  <c r="M42" i="53"/>
  <c r="O45" i="53"/>
  <c r="M47" i="53"/>
  <c r="O51" i="53"/>
  <c r="O59" i="53"/>
  <c r="M62" i="53"/>
  <c r="O64" i="53"/>
  <c r="M69" i="53"/>
  <c r="O70" i="53"/>
  <c r="O74" i="53"/>
  <c r="M76" i="53"/>
  <c r="O78" i="53"/>
  <c r="M82" i="53"/>
  <c r="O32" i="53"/>
  <c r="M32" i="53"/>
  <c r="O38" i="53"/>
  <c r="M40" i="53"/>
  <c r="M38" i="53"/>
  <c r="O40" i="53"/>
  <c r="O20" i="53"/>
  <c r="M20" i="53"/>
  <c r="L14" i="53"/>
  <c r="M67" i="53"/>
  <c r="O67" i="53"/>
  <c r="L80" i="53"/>
  <c r="N80" i="53"/>
  <c r="M81" i="53"/>
  <c r="O81" i="53"/>
  <c r="L82" i="53"/>
  <c r="N82" i="53"/>
  <c r="M83" i="53"/>
  <c r="O83" i="53"/>
  <c r="L81" i="53"/>
  <c r="N81" i="53"/>
  <c r="L83" i="53"/>
  <c r="N83" i="53"/>
  <c r="L73" i="53"/>
  <c r="N73" i="53"/>
  <c r="P73" i="53"/>
  <c r="L75" i="53"/>
  <c r="N75" i="53"/>
  <c r="P75" i="53"/>
  <c r="L77" i="53"/>
  <c r="N77" i="53"/>
  <c r="P77" i="53"/>
  <c r="M73" i="53"/>
  <c r="L74" i="53"/>
  <c r="N74" i="53"/>
  <c r="M75" i="53"/>
  <c r="L76" i="53"/>
  <c r="N76" i="53"/>
  <c r="M77" i="53"/>
  <c r="L78" i="53"/>
  <c r="N78" i="53"/>
  <c r="L67" i="53"/>
  <c r="N67" i="53"/>
  <c r="M68" i="53"/>
  <c r="O68" i="53"/>
  <c r="L69" i="53"/>
  <c r="N69" i="53"/>
  <c r="L70" i="53"/>
  <c r="N70" i="53"/>
  <c r="M71" i="53"/>
  <c r="O71" i="53"/>
  <c r="L68" i="53"/>
  <c r="N68" i="53"/>
  <c r="L71" i="53"/>
  <c r="N71" i="53"/>
  <c r="L62" i="53"/>
  <c r="N62" i="53"/>
  <c r="M63" i="53"/>
  <c r="O63" i="53"/>
  <c r="L64" i="53"/>
  <c r="N64" i="53"/>
  <c r="M65" i="53"/>
  <c r="O65" i="53"/>
  <c r="L63" i="53"/>
  <c r="N63" i="53"/>
  <c r="L65" i="53"/>
  <c r="N65" i="53"/>
  <c r="L59" i="53"/>
  <c r="N59" i="53"/>
  <c r="M60" i="53"/>
  <c r="O60" i="53"/>
  <c r="L60" i="53"/>
  <c r="N60" i="53"/>
  <c r="M50" i="53"/>
  <c r="O50" i="53"/>
  <c r="L51" i="53"/>
  <c r="N51" i="53"/>
  <c r="M52" i="53"/>
  <c r="O52" i="53"/>
  <c r="L50" i="53"/>
  <c r="N50" i="53"/>
  <c r="L52" i="53"/>
  <c r="N52" i="53"/>
  <c r="L37" i="53"/>
  <c r="N37" i="53"/>
  <c r="P37" i="53"/>
  <c r="L39" i="53"/>
  <c r="N39" i="53"/>
  <c r="P39" i="53"/>
  <c r="L41" i="53"/>
  <c r="N41" i="53"/>
  <c r="P41" i="53"/>
  <c r="L43" i="53"/>
  <c r="N43" i="53"/>
  <c r="P43" i="53"/>
  <c r="L46" i="53"/>
  <c r="N46" i="53"/>
  <c r="P46" i="53"/>
  <c r="M37" i="53"/>
  <c r="L38" i="53"/>
  <c r="N38" i="53"/>
  <c r="M39" i="53"/>
  <c r="L40" i="53"/>
  <c r="N40" i="53"/>
  <c r="M41" i="53"/>
  <c r="L42" i="53"/>
  <c r="N42" i="53"/>
  <c r="M43" i="53"/>
  <c r="L45" i="53"/>
  <c r="N45" i="53"/>
  <c r="M46" i="53"/>
  <c r="L47" i="53"/>
  <c r="N47" i="53"/>
  <c r="M31" i="53"/>
  <c r="O31" i="53"/>
  <c r="L32" i="53"/>
  <c r="N32" i="53"/>
  <c r="M33" i="53"/>
  <c r="O33" i="53"/>
  <c r="L34" i="53"/>
  <c r="N34" i="53"/>
  <c r="M35" i="53"/>
  <c r="O35" i="53"/>
  <c r="L31" i="53"/>
  <c r="N31" i="53"/>
  <c r="L33" i="53"/>
  <c r="N33" i="53"/>
  <c r="L35" i="53"/>
  <c r="N35" i="53"/>
  <c r="M29" i="53"/>
  <c r="O29" i="53"/>
  <c r="L29" i="53"/>
  <c r="N29" i="53"/>
  <c r="M25" i="53"/>
  <c r="O25" i="53"/>
  <c r="L26" i="53"/>
  <c r="N26" i="53"/>
  <c r="M27" i="53"/>
  <c r="O27" i="53"/>
  <c r="L25" i="53"/>
  <c r="N25" i="53"/>
  <c r="L27" i="53"/>
  <c r="N27" i="53"/>
  <c r="L19" i="53"/>
  <c r="N19" i="53"/>
  <c r="P19" i="53"/>
  <c r="L21" i="53"/>
  <c r="N21" i="53"/>
  <c r="P21" i="53"/>
  <c r="L23" i="53"/>
  <c r="N23" i="53"/>
  <c r="P23" i="53"/>
  <c r="P86" i="53" s="1"/>
  <c r="M19" i="53"/>
  <c r="L20" i="53"/>
  <c r="N20" i="53"/>
  <c r="M21" i="53"/>
  <c r="L22" i="53"/>
  <c r="N22" i="53"/>
  <c r="M23" i="53"/>
  <c r="O16" i="53"/>
  <c r="M16" i="53"/>
  <c r="O14" i="53"/>
  <c r="M14" i="53"/>
  <c r="E80" i="53"/>
  <c r="G80" i="53"/>
  <c r="I80" i="53"/>
  <c r="E82" i="53"/>
  <c r="G82" i="53"/>
  <c r="I82" i="53"/>
  <c r="F80" i="53"/>
  <c r="E81" i="53"/>
  <c r="G81" i="53"/>
  <c r="F82" i="53"/>
  <c r="E83" i="53"/>
  <c r="G83" i="53"/>
  <c r="E73" i="53"/>
  <c r="G73" i="53"/>
  <c r="I73" i="53"/>
  <c r="E75" i="53"/>
  <c r="G75" i="53"/>
  <c r="I75" i="53"/>
  <c r="E77" i="53"/>
  <c r="G77" i="53"/>
  <c r="I77" i="53"/>
  <c r="F73" i="53"/>
  <c r="E74" i="53"/>
  <c r="G74" i="53"/>
  <c r="F75" i="53"/>
  <c r="E76" i="53"/>
  <c r="G76" i="53"/>
  <c r="F77" i="53"/>
  <c r="E78" i="53"/>
  <c r="G78" i="53"/>
  <c r="E67" i="53"/>
  <c r="G67" i="53"/>
  <c r="F68" i="53"/>
  <c r="H68" i="53"/>
  <c r="E70" i="53"/>
  <c r="G70" i="53"/>
  <c r="F71" i="53"/>
  <c r="H71" i="53"/>
  <c r="E68" i="53"/>
  <c r="G68" i="53"/>
  <c r="E71" i="53"/>
  <c r="G71" i="53"/>
  <c r="E64" i="53"/>
  <c r="G64" i="53"/>
  <c r="F65" i="53"/>
  <c r="H65" i="53"/>
  <c r="E65" i="53"/>
  <c r="G65" i="53"/>
  <c r="F60" i="53"/>
  <c r="H60" i="53"/>
  <c r="E60" i="53"/>
  <c r="G60" i="53"/>
  <c r="F50" i="53"/>
  <c r="H50" i="53"/>
  <c r="E51" i="53"/>
  <c r="G51" i="53"/>
  <c r="F52" i="53"/>
  <c r="H52" i="53"/>
  <c r="E50" i="53"/>
  <c r="G50" i="53"/>
  <c r="E52" i="53"/>
  <c r="G52" i="53"/>
  <c r="E37" i="53"/>
  <c r="G37" i="53"/>
  <c r="I37" i="53"/>
  <c r="E39" i="53"/>
  <c r="G39" i="53"/>
  <c r="I39" i="53"/>
  <c r="E41" i="53"/>
  <c r="G41" i="53"/>
  <c r="I41" i="53"/>
  <c r="E43" i="53"/>
  <c r="G43" i="53"/>
  <c r="I43" i="53"/>
  <c r="E46" i="53"/>
  <c r="G46" i="53"/>
  <c r="I46" i="53"/>
  <c r="F37" i="53"/>
  <c r="E38" i="53"/>
  <c r="G38" i="53"/>
  <c r="F39" i="53"/>
  <c r="E40" i="53"/>
  <c r="G40" i="53"/>
  <c r="F41" i="53"/>
  <c r="E42" i="53"/>
  <c r="G42" i="53"/>
  <c r="F43" i="53"/>
  <c r="E45" i="53"/>
  <c r="G45" i="53"/>
  <c r="F46" i="53"/>
  <c r="E47" i="53"/>
  <c r="G47" i="53"/>
  <c r="E32" i="53"/>
  <c r="G32" i="53"/>
  <c r="I32" i="53"/>
  <c r="F33" i="53"/>
  <c r="H33" i="53"/>
  <c r="E34" i="53"/>
  <c r="G34" i="53"/>
  <c r="I34" i="53"/>
  <c r="F35" i="53"/>
  <c r="H35" i="53"/>
  <c r="E31" i="53"/>
  <c r="G31" i="53"/>
  <c r="F32" i="53"/>
  <c r="E33" i="53"/>
  <c r="G33" i="53"/>
  <c r="F34" i="53"/>
  <c r="E35" i="53"/>
  <c r="G35" i="53"/>
  <c r="F29" i="53"/>
  <c r="H29" i="53"/>
  <c r="E29" i="53"/>
  <c r="G29" i="53"/>
  <c r="C27" i="53"/>
  <c r="I27" i="53" s="1"/>
  <c r="C26" i="53"/>
  <c r="I26" i="53" s="1"/>
  <c r="C25" i="53"/>
  <c r="G25" i="53" s="1"/>
  <c r="C23" i="53"/>
  <c r="C86" i="53" s="1"/>
  <c r="K24" i="46" s="1"/>
  <c r="C22" i="53"/>
  <c r="I22" i="53" s="1"/>
  <c r="C21" i="53"/>
  <c r="I21" i="53" s="1"/>
  <c r="C20" i="53"/>
  <c r="I20" i="53" s="1"/>
  <c r="C19" i="53"/>
  <c r="I19" i="53" s="1"/>
  <c r="C14" i="53"/>
  <c r="C15" i="53"/>
  <c r="C16" i="53"/>
  <c r="C13" i="53"/>
  <c r="E13" i="53" s="1"/>
  <c r="Q29" i="60" l="1"/>
  <c r="Q28" i="60"/>
  <c r="Q21" i="60" s="1"/>
  <c r="C21" i="60"/>
  <c r="AS19" i="60"/>
  <c r="C30" i="60"/>
  <c r="AS16" i="60"/>
  <c r="C93" i="53"/>
  <c r="C104" i="53" s="1"/>
  <c r="C31" i="60"/>
  <c r="AS31" i="60" s="1"/>
  <c r="AS17" i="60"/>
  <c r="C29" i="60"/>
  <c r="L17" i="60"/>
  <c r="L31" i="60" s="1"/>
  <c r="S17" i="60"/>
  <c r="S31" i="60" s="1"/>
  <c r="K49" i="46"/>
  <c r="Q93" i="53"/>
  <c r="K37" i="46"/>
  <c r="J93" i="53"/>
  <c r="Q37" i="46"/>
  <c r="P93" i="53"/>
  <c r="N17" i="60"/>
  <c r="N31" i="60" s="1"/>
  <c r="C26" i="48"/>
  <c r="N16" i="60"/>
  <c r="N30" i="60" s="1"/>
  <c r="M17" i="60"/>
  <c r="M31" i="60" s="1"/>
  <c r="T17" i="60"/>
  <c r="T31" i="60" s="1"/>
  <c r="O16" i="60"/>
  <c r="O30" i="60" s="1"/>
  <c r="C28" i="48"/>
  <c r="M16" i="60"/>
  <c r="M30" i="60" s="1"/>
  <c r="U17" i="60"/>
  <c r="U31" i="60" s="1"/>
  <c r="V17" i="60"/>
  <c r="V31" i="60" s="1"/>
  <c r="R17" i="60"/>
  <c r="R31" i="60" s="1"/>
  <c r="O17" i="60"/>
  <c r="O31" i="60" s="1"/>
  <c r="L16" i="60"/>
  <c r="L30" i="60" s="1"/>
  <c r="K17" i="60"/>
  <c r="K31" i="60" s="1"/>
  <c r="C27" i="48"/>
  <c r="K16" i="60"/>
  <c r="K30" i="60" s="1"/>
  <c r="R16" i="60"/>
  <c r="R30" i="60" s="1"/>
  <c r="P16" i="60"/>
  <c r="P30" i="60" s="1"/>
  <c r="P33" i="60" s="1"/>
  <c r="W17" i="60"/>
  <c r="W31" i="60" s="1"/>
  <c r="W34" i="60" s="1"/>
  <c r="E17" i="60"/>
  <c r="H17" i="60"/>
  <c r="G17" i="60"/>
  <c r="F17" i="60"/>
  <c r="D17" i="60"/>
  <c r="D16" i="60"/>
  <c r="L86" i="53"/>
  <c r="M86" i="53"/>
  <c r="J33" i="60"/>
  <c r="Q34" i="60"/>
  <c r="J34" i="60"/>
  <c r="N86" i="53"/>
  <c r="K86" i="53"/>
  <c r="P31" i="60"/>
  <c r="I31" i="60"/>
  <c r="O86" i="53"/>
  <c r="R86" i="53"/>
  <c r="I23" i="53"/>
  <c r="E16" i="53"/>
  <c r="G16" i="53"/>
  <c r="I16" i="53"/>
  <c r="F16" i="53"/>
  <c r="H16" i="53"/>
  <c r="E14" i="53"/>
  <c r="G14" i="53"/>
  <c r="I14" i="53"/>
  <c r="F14" i="53"/>
  <c r="H14" i="53"/>
  <c r="E15" i="53"/>
  <c r="G15" i="53"/>
  <c r="I15" i="53"/>
  <c r="F15" i="53"/>
  <c r="H15" i="53"/>
  <c r="C61" i="53"/>
  <c r="H22" i="53"/>
  <c r="H26" i="53"/>
  <c r="H20" i="53"/>
  <c r="F22" i="53"/>
  <c r="F26" i="53"/>
  <c r="F20" i="53"/>
  <c r="E25" i="53"/>
  <c r="I25" i="53"/>
  <c r="F25" i="53"/>
  <c r="H25" i="53"/>
  <c r="E26" i="53"/>
  <c r="G26" i="53"/>
  <c r="F27" i="53"/>
  <c r="H27" i="53"/>
  <c r="E27" i="53"/>
  <c r="G27" i="53"/>
  <c r="G19" i="53"/>
  <c r="F19" i="53"/>
  <c r="H19" i="53"/>
  <c r="E20" i="53"/>
  <c r="G20" i="53"/>
  <c r="F21" i="53"/>
  <c r="H21" i="53"/>
  <c r="E22" i="53"/>
  <c r="G22" i="53"/>
  <c r="D86" i="53"/>
  <c r="F23" i="53"/>
  <c r="H23" i="53"/>
  <c r="E19" i="53"/>
  <c r="E21" i="53"/>
  <c r="G21" i="53"/>
  <c r="E23" i="53"/>
  <c r="G23" i="53"/>
  <c r="Q104" i="53" l="1"/>
  <c r="J104" i="53"/>
  <c r="P104" i="53"/>
  <c r="Q30" i="60"/>
  <c r="Q33" i="60" s="1"/>
  <c r="AY31" i="60"/>
  <c r="C33" i="60"/>
  <c r="C34" i="60"/>
  <c r="D31" i="60"/>
  <c r="AT31" i="60" s="1"/>
  <c r="AT17" i="60"/>
  <c r="E31" i="60"/>
  <c r="AU31" i="60" s="1"/>
  <c r="AU17" i="60"/>
  <c r="F31" i="60"/>
  <c r="AV31" i="60" s="1"/>
  <c r="AV17" i="60"/>
  <c r="H31" i="60"/>
  <c r="AX31" i="60" s="1"/>
  <c r="AX17" i="60"/>
  <c r="D30" i="60"/>
  <c r="AT30" i="60" s="1"/>
  <c r="AT16" i="60"/>
  <c r="G31" i="60"/>
  <c r="AW31" i="60" s="1"/>
  <c r="AW17" i="60"/>
  <c r="AY17" i="60"/>
  <c r="L37" i="46"/>
  <c r="K93" i="53"/>
  <c r="O37" i="46"/>
  <c r="N93" i="53"/>
  <c r="L24" i="46"/>
  <c r="D93" i="53"/>
  <c r="N37" i="46"/>
  <c r="M93" i="53"/>
  <c r="L49" i="46"/>
  <c r="R93" i="53"/>
  <c r="M37" i="46"/>
  <c r="L93" i="53"/>
  <c r="P37" i="46"/>
  <c r="O93" i="53"/>
  <c r="O34" i="60"/>
  <c r="M33" i="60"/>
  <c r="K33" i="60"/>
  <c r="T34" i="60"/>
  <c r="V34" i="60"/>
  <c r="R33" i="60"/>
  <c r="L33" i="60"/>
  <c r="AS34" i="60"/>
  <c r="M34" i="60"/>
  <c r="K34" i="60"/>
  <c r="I34" i="60"/>
  <c r="U34" i="60"/>
  <c r="N33" i="60"/>
  <c r="N34" i="60"/>
  <c r="R34" i="60"/>
  <c r="S34" i="60"/>
  <c r="P34" i="60"/>
  <c r="O33" i="60"/>
  <c r="L34" i="60"/>
  <c r="D104" i="53" l="1"/>
  <c r="R104" i="53"/>
  <c r="K104" i="53"/>
  <c r="O104" i="53"/>
  <c r="N104" i="53"/>
  <c r="M104" i="53"/>
  <c r="L104" i="53"/>
  <c r="AS30" i="60"/>
  <c r="AS33" i="60" s="1"/>
  <c r="F34" i="60"/>
  <c r="D34" i="60"/>
  <c r="E34" i="60"/>
  <c r="H34" i="60"/>
  <c r="D33" i="60"/>
  <c r="G34" i="60"/>
  <c r="AW34" i="60"/>
  <c r="AV34" i="60"/>
  <c r="AY34" i="60"/>
  <c r="AU34" i="60"/>
  <c r="AX34" i="60"/>
  <c r="AT34" i="60"/>
  <c r="AT33" i="60"/>
  <c r="Y17" i="53"/>
  <c r="Z17" i="53"/>
  <c r="AA17" i="53"/>
  <c r="AB17" i="53"/>
  <c r="AC17" i="53"/>
  <c r="AD17" i="53"/>
  <c r="X17" i="53"/>
  <c r="E7" i="2"/>
  <c r="E35" i="58" l="1"/>
  <c r="V47" i="53"/>
  <c r="I35" i="58" s="1"/>
  <c r="S47" i="53"/>
  <c r="F35" i="58" s="1"/>
  <c r="U47" i="53"/>
  <c r="H35" i="58" s="1"/>
  <c r="T47" i="53"/>
  <c r="G35" i="58" s="1"/>
  <c r="W47" i="53"/>
  <c r="J35" i="58" s="1"/>
  <c r="H38" i="39" l="1"/>
  <c r="D38" i="39"/>
  <c r="M38" i="39"/>
  <c r="W38" i="39"/>
  <c r="E38" i="39"/>
  <c r="I38" i="39"/>
  <c r="N38" i="39"/>
  <c r="G38" i="39"/>
  <c r="L38" i="39"/>
  <c r="P38" i="39"/>
  <c r="F38" i="39"/>
  <c r="K38" i="39"/>
  <c r="O38" i="39"/>
  <c r="G80" i="1"/>
  <c r="H80" i="1"/>
  <c r="I80" i="1"/>
  <c r="J80" i="1"/>
  <c r="K80" i="1"/>
  <c r="G81" i="1"/>
  <c r="H81" i="1"/>
  <c r="I81" i="1"/>
  <c r="J81" i="1"/>
  <c r="K81" i="1"/>
  <c r="F81" i="1"/>
  <c r="F80" i="1"/>
  <c r="D27" i="58"/>
  <c r="E12" i="58" s="1"/>
  <c r="E27" i="58" s="1"/>
  <c r="F12" i="58" s="1"/>
  <c r="F27" i="58" s="1"/>
  <c r="G12" i="58" s="1"/>
  <c r="G27" i="58" s="1"/>
  <c r="H12" i="58" s="1"/>
  <c r="H27" i="58" s="1"/>
  <c r="I12" i="58" s="1"/>
  <c r="I27" i="58" s="1"/>
  <c r="J12" i="58" s="1"/>
  <c r="J27" i="58" s="1"/>
  <c r="D26" i="58"/>
  <c r="E11" i="58" s="1"/>
  <c r="D10" i="58"/>
  <c r="R38" i="39" l="1"/>
  <c r="G33" i="58"/>
  <c r="H33" i="58"/>
  <c r="D33" i="58"/>
  <c r="I33" i="58"/>
  <c r="D25" i="58"/>
  <c r="F33" i="58"/>
  <c r="J33" i="58"/>
  <c r="E33" i="58"/>
  <c r="U38" i="39"/>
  <c r="S38" i="39"/>
  <c r="T38" i="39"/>
  <c r="V38" i="39"/>
  <c r="E26" i="58"/>
  <c r="F11" i="58" s="1"/>
  <c r="E10" i="58"/>
  <c r="E25" i="58" s="1"/>
  <c r="F26" i="58" l="1"/>
  <c r="G11" i="58" s="1"/>
  <c r="F10" i="58"/>
  <c r="F25" i="58" s="1"/>
  <c r="G26" i="58" l="1"/>
  <c r="H11" i="58" s="1"/>
  <c r="G10" i="58"/>
  <c r="G25" i="58" s="1"/>
  <c r="H26" i="58" l="1"/>
  <c r="I11" i="58" s="1"/>
  <c r="H10" i="58"/>
  <c r="H25" i="58" s="1"/>
  <c r="I26" i="58" l="1"/>
  <c r="J11" i="58" s="1"/>
  <c r="I10" i="58"/>
  <c r="I25" i="58" s="1"/>
  <c r="J26" i="58" l="1"/>
  <c r="J10" i="58"/>
  <c r="J25" i="58" s="1"/>
  <c r="D14" i="16" l="1"/>
  <c r="J54" i="7"/>
  <c r="P53" i="7"/>
  <c r="O53" i="7"/>
  <c r="K53" i="7"/>
  <c r="J53" i="7"/>
  <c r="K48" i="7" l="1"/>
  <c r="J52" i="7"/>
  <c r="E14" i="16"/>
  <c r="D16" i="16"/>
  <c r="K54" i="7"/>
  <c r="L48" i="7" s="1"/>
  <c r="I13" i="39"/>
  <c r="E13" i="39"/>
  <c r="D13" i="39"/>
  <c r="F13" i="39"/>
  <c r="G13" i="39"/>
  <c r="H13" i="39"/>
  <c r="S23" i="7" l="1"/>
  <c r="E23" i="7"/>
  <c r="L23" i="7"/>
  <c r="L53" i="7"/>
  <c r="K52" i="7"/>
  <c r="F14" i="16"/>
  <c r="E16" i="16"/>
  <c r="L54" i="7"/>
  <c r="M48" i="7" s="1"/>
  <c r="T23" i="7" l="1"/>
  <c r="F23" i="7"/>
  <c r="M23" i="7"/>
  <c r="M53" i="7"/>
  <c r="L52" i="7"/>
  <c r="G14" i="16"/>
  <c r="F16" i="16"/>
  <c r="M54" i="7"/>
  <c r="N48" i="7" s="1"/>
  <c r="U23" i="7" l="1"/>
  <c r="G23" i="7"/>
  <c r="N23" i="7"/>
  <c r="N53" i="7"/>
  <c r="M52" i="7"/>
  <c r="H14" i="16"/>
  <c r="G16" i="16"/>
  <c r="N54" i="7"/>
  <c r="O48" i="7" s="1"/>
  <c r="N52" i="7" l="1"/>
  <c r="I14" i="16"/>
  <c r="I16" i="16" s="1"/>
  <c r="H16" i="16"/>
  <c r="O54" i="7"/>
  <c r="P48" i="7" s="1"/>
  <c r="O52" i="7" l="1"/>
  <c r="P54" i="7"/>
  <c r="P52" i="7" s="1"/>
  <c r="P65" i="7" l="1"/>
  <c r="O65" i="7"/>
  <c r="N65" i="7"/>
  <c r="M65" i="7"/>
  <c r="L65" i="7"/>
  <c r="K65" i="7"/>
  <c r="K60" i="7" l="1"/>
  <c r="K64" i="7" s="1"/>
  <c r="K66" i="7" l="1"/>
  <c r="L60" i="7" s="1"/>
  <c r="L66" i="7" l="1"/>
  <c r="M60" i="7" s="1"/>
  <c r="J15" i="49"/>
  <c r="Q15" i="49"/>
  <c r="C15" i="49"/>
  <c r="J12" i="49"/>
  <c r="Q12" i="49"/>
  <c r="W1" i="49"/>
  <c r="J1" i="20" s="1"/>
  <c r="J1" i="21" s="1"/>
  <c r="R1" i="22" s="1"/>
  <c r="M64" i="7" l="1"/>
  <c r="L64" i="7"/>
  <c r="M66" i="7"/>
  <c r="N60" i="7" s="1"/>
  <c r="H1" i="48"/>
  <c r="H27" i="48"/>
  <c r="E27" i="48"/>
  <c r="D27" i="48"/>
  <c r="H26" i="48"/>
  <c r="E26" i="48"/>
  <c r="D26" i="48"/>
  <c r="G28" i="48"/>
  <c r="F28" i="48"/>
  <c r="W13" i="53"/>
  <c r="V13" i="53"/>
  <c r="U13" i="53"/>
  <c r="T13" i="53"/>
  <c r="S13" i="53"/>
  <c r="P13" i="53"/>
  <c r="O13" i="53"/>
  <c r="N13" i="53"/>
  <c r="M13" i="53"/>
  <c r="L13" i="53"/>
  <c r="I13" i="53"/>
  <c r="H13" i="53"/>
  <c r="G13" i="53"/>
  <c r="F13" i="53"/>
  <c r="N66" i="7" l="1"/>
  <c r="O60" i="7" s="1"/>
  <c r="E28" i="48"/>
  <c r="G26" i="48"/>
  <c r="D28" i="48"/>
  <c r="H28" i="48"/>
  <c r="F26" i="48"/>
  <c r="F27" i="48"/>
  <c r="G27" i="48"/>
  <c r="T79" i="53"/>
  <c r="T72" i="53" s="1"/>
  <c r="G79" i="53"/>
  <c r="V79" i="53"/>
  <c r="S79" i="53"/>
  <c r="V66" i="53"/>
  <c r="E66" i="53"/>
  <c r="P66" i="53"/>
  <c r="O66" i="53"/>
  <c r="G66" i="53"/>
  <c r="K61" i="53"/>
  <c r="U49" i="53"/>
  <c r="T49" i="53"/>
  <c r="G49" i="53"/>
  <c r="V49" i="53"/>
  <c r="R49" i="53"/>
  <c r="N49" i="53"/>
  <c r="D49" i="53"/>
  <c r="R36" i="53"/>
  <c r="T36" i="53"/>
  <c r="O36" i="53"/>
  <c r="G36" i="53"/>
  <c r="G28" i="53" s="1"/>
  <c r="T24" i="53"/>
  <c r="V24" i="53"/>
  <c r="S24" i="53"/>
  <c r="I24" i="53"/>
  <c r="R18" i="53"/>
  <c r="M18" i="53"/>
  <c r="U18" i="53"/>
  <c r="L18" i="53"/>
  <c r="K18" i="53"/>
  <c r="U12" i="53"/>
  <c r="P12" i="53"/>
  <c r="V12" i="53"/>
  <c r="R12" i="53"/>
  <c r="N12" i="53"/>
  <c r="N87" i="53" s="1"/>
  <c r="F12" i="53"/>
  <c r="AL12" i="54"/>
  <c r="AL11" i="54" s="1"/>
  <c r="AL84" i="54" s="1"/>
  <c r="AK12" i="54"/>
  <c r="AK11" i="54" s="1"/>
  <c r="AJ12" i="54"/>
  <c r="AJ11" i="54" s="1"/>
  <c r="AJ84" i="54" s="1"/>
  <c r="AI12" i="54"/>
  <c r="AI11" i="54" s="1"/>
  <c r="AH12" i="54"/>
  <c r="AH11" i="54" s="1"/>
  <c r="AH84" i="54" s="1"/>
  <c r="AG12" i="54"/>
  <c r="AG11" i="54" s="1"/>
  <c r="AF12" i="54"/>
  <c r="AF11" i="54" s="1"/>
  <c r="AF84" i="54" s="1"/>
  <c r="AE12" i="54"/>
  <c r="AE11" i="54" s="1"/>
  <c r="AD12" i="54"/>
  <c r="AD11" i="54" s="1"/>
  <c r="AD84" i="54" s="1"/>
  <c r="AC12" i="54"/>
  <c r="AC11" i="54" s="1"/>
  <c r="AA12" i="54"/>
  <c r="Z12" i="54"/>
  <c r="Z11" i="54" s="1"/>
  <c r="Z84" i="54" s="1"/>
  <c r="Y12" i="54"/>
  <c r="Y11" i="54" s="1"/>
  <c r="Y84" i="54" s="1"/>
  <c r="X12" i="54"/>
  <c r="X11" i="54" s="1"/>
  <c r="X84" i="54" s="1"/>
  <c r="W12" i="54"/>
  <c r="W11" i="54" s="1"/>
  <c r="W84" i="54" s="1"/>
  <c r="V12" i="54"/>
  <c r="V11" i="54" s="1"/>
  <c r="V84" i="54" s="1"/>
  <c r="U12" i="54"/>
  <c r="U11" i="54" s="1"/>
  <c r="U84" i="54" s="1"/>
  <c r="T12" i="54"/>
  <c r="T11" i="54" s="1"/>
  <c r="T84" i="54" s="1"/>
  <c r="S12" i="54"/>
  <c r="S11" i="54" s="1"/>
  <c r="S84" i="54" s="1"/>
  <c r="R12" i="54"/>
  <c r="R11" i="54" s="1"/>
  <c r="R84" i="54" s="1"/>
  <c r="Q12" i="54"/>
  <c r="Q11" i="54" s="1"/>
  <c r="Q84" i="54" s="1"/>
  <c r="P12" i="54"/>
  <c r="O12" i="54"/>
  <c r="N12" i="54"/>
  <c r="N11" i="54" s="1"/>
  <c r="N84" i="54" s="1"/>
  <c r="M12" i="54"/>
  <c r="M11" i="54" s="1"/>
  <c r="L12" i="54"/>
  <c r="L11" i="54" s="1"/>
  <c r="L84" i="54" s="1"/>
  <c r="K12" i="54"/>
  <c r="K11" i="54" s="1"/>
  <c r="J12" i="54"/>
  <c r="J11" i="54" s="1"/>
  <c r="J84" i="54" s="1"/>
  <c r="I12" i="54"/>
  <c r="I11" i="54" s="1"/>
  <c r="H12" i="54"/>
  <c r="H11" i="54" s="1"/>
  <c r="H84" i="54" s="1"/>
  <c r="G12" i="54"/>
  <c r="G11" i="54" s="1"/>
  <c r="F12" i="54"/>
  <c r="F11" i="54" s="1"/>
  <c r="F84" i="54" s="1"/>
  <c r="D12" i="54"/>
  <c r="C12" i="54"/>
  <c r="M79" i="53"/>
  <c r="M72" i="53" s="1"/>
  <c r="AD79" i="53"/>
  <c r="AD72" i="53" s="1"/>
  <c r="AC79" i="53"/>
  <c r="AC72" i="53" s="1"/>
  <c r="AB79" i="53"/>
  <c r="AA79" i="53"/>
  <c r="AA72" i="53" s="1"/>
  <c r="Z79" i="53"/>
  <c r="Z72" i="53" s="1"/>
  <c r="Y79" i="53"/>
  <c r="Y72" i="53" s="1"/>
  <c r="X79" i="53"/>
  <c r="X72" i="53" s="1"/>
  <c r="Q79" i="53"/>
  <c r="Q72" i="53" s="1"/>
  <c r="J79" i="53"/>
  <c r="J72" i="53" s="1"/>
  <c r="C79" i="53"/>
  <c r="C72" i="53" s="1"/>
  <c r="AB72" i="53"/>
  <c r="U66" i="53"/>
  <c r="AD66" i="53"/>
  <c r="AC66" i="53"/>
  <c r="AB66" i="53"/>
  <c r="AA66" i="53"/>
  <c r="Z66" i="53"/>
  <c r="Y66" i="53"/>
  <c r="X66" i="53"/>
  <c r="Q66" i="53"/>
  <c r="J66" i="53"/>
  <c r="C66" i="53"/>
  <c r="AD61" i="53"/>
  <c r="AC61" i="53"/>
  <c r="AB61" i="53"/>
  <c r="AA61" i="53"/>
  <c r="Z61" i="53"/>
  <c r="Y61" i="53"/>
  <c r="X61" i="53"/>
  <c r="Q61" i="53"/>
  <c r="J61" i="53"/>
  <c r="AD57" i="53"/>
  <c r="AC57" i="53"/>
  <c r="AB57" i="53"/>
  <c r="AA57" i="53"/>
  <c r="Z57" i="53"/>
  <c r="Y57" i="53"/>
  <c r="X57" i="53"/>
  <c r="Q57" i="53"/>
  <c r="AD53" i="53"/>
  <c r="AC53" i="53"/>
  <c r="AB53" i="53"/>
  <c r="AA53" i="53"/>
  <c r="Z53" i="53"/>
  <c r="Y53" i="53"/>
  <c r="X53" i="53"/>
  <c r="F49" i="53"/>
  <c r="AD49" i="53"/>
  <c r="AC49" i="53"/>
  <c r="AB49" i="53"/>
  <c r="AA49" i="53"/>
  <c r="Z49" i="53"/>
  <c r="Y49" i="53"/>
  <c r="X49" i="53"/>
  <c r="Q49" i="53"/>
  <c r="J49" i="53"/>
  <c r="C49" i="53"/>
  <c r="M36" i="53"/>
  <c r="AD36" i="53"/>
  <c r="AC36" i="53"/>
  <c r="AB36" i="53"/>
  <c r="AA36" i="53"/>
  <c r="Z36" i="53"/>
  <c r="Y36" i="53"/>
  <c r="X36" i="53"/>
  <c r="Q36" i="53"/>
  <c r="J36" i="53"/>
  <c r="E36" i="53"/>
  <c r="C36" i="53"/>
  <c r="C28" i="53" s="1"/>
  <c r="AD24" i="53"/>
  <c r="AC24" i="53"/>
  <c r="AB24" i="53"/>
  <c r="AA24" i="53"/>
  <c r="Z24" i="53"/>
  <c r="Y24" i="53"/>
  <c r="X24" i="53"/>
  <c r="Q24" i="53"/>
  <c r="J24" i="53"/>
  <c r="C24" i="53"/>
  <c r="AD18" i="53"/>
  <c r="AC18" i="53"/>
  <c r="AB18" i="53"/>
  <c r="AA18" i="53"/>
  <c r="Z18" i="53"/>
  <c r="Y18" i="53"/>
  <c r="X18" i="53"/>
  <c r="Q18" i="53"/>
  <c r="J18" i="53"/>
  <c r="C18" i="53"/>
  <c r="K12" i="53"/>
  <c r="AD12" i="53"/>
  <c r="AD87" i="53" s="1"/>
  <c r="AC12" i="53"/>
  <c r="AC87" i="53" s="1"/>
  <c r="AB12" i="53"/>
  <c r="AB87" i="53" s="1"/>
  <c r="AA12" i="53"/>
  <c r="AA87" i="53" s="1"/>
  <c r="Z12" i="53"/>
  <c r="Z87" i="53" s="1"/>
  <c r="Y12" i="53"/>
  <c r="Y87" i="53" s="1"/>
  <c r="X12" i="53"/>
  <c r="X87" i="53" s="1"/>
  <c r="Q12" i="53"/>
  <c r="J12" i="53"/>
  <c r="C12" i="53"/>
  <c r="P10" i="53"/>
  <c r="O10" i="53"/>
  <c r="N10" i="53"/>
  <c r="M10" i="53"/>
  <c r="L10" i="53"/>
  <c r="K10" i="53"/>
  <c r="J10" i="53"/>
  <c r="AE44" i="51"/>
  <c r="V44" i="51"/>
  <c r="Q44" i="51"/>
  <c r="K44" i="51"/>
  <c r="H44" i="51"/>
  <c r="G44" i="51"/>
  <c r="AE30" i="51"/>
  <c r="AE29" i="51" s="1"/>
  <c r="AC30" i="51"/>
  <c r="AC29" i="51" s="1"/>
  <c r="AA30" i="51"/>
  <c r="AA29" i="51" s="1"/>
  <c r="X30" i="51"/>
  <c r="X29" i="51" s="1"/>
  <c r="V30" i="51"/>
  <c r="V29" i="51" s="1"/>
  <c r="Q30" i="51"/>
  <c r="Q29" i="51" s="1"/>
  <c r="K30" i="51"/>
  <c r="K29" i="51" s="1"/>
  <c r="J30" i="51"/>
  <c r="J29" i="51" s="1"/>
  <c r="H30" i="51"/>
  <c r="H29" i="51" s="1"/>
  <c r="G30" i="51"/>
  <c r="G29" i="51" s="1"/>
  <c r="AE24" i="51"/>
  <c r="AC24" i="51"/>
  <c r="X24" i="51"/>
  <c r="V24" i="51"/>
  <c r="Q24" i="51"/>
  <c r="O24" i="51"/>
  <c r="M24" i="51"/>
  <c r="J24" i="51"/>
  <c r="H24" i="51"/>
  <c r="AF21" i="51"/>
  <c r="AB21" i="51"/>
  <c r="X21" i="51"/>
  <c r="V21" i="51"/>
  <c r="Q21" i="51"/>
  <c r="J21" i="51"/>
  <c r="AE14" i="51"/>
  <c r="AC14" i="51"/>
  <c r="AA14" i="51"/>
  <c r="Y14" i="51"/>
  <c r="X14" i="51"/>
  <c r="V14" i="51"/>
  <c r="Q14" i="51"/>
  <c r="O14" i="51"/>
  <c r="M14" i="51"/>
  <c r="K14" i="51"/>
  <c r="J14" i="51"/>
  <c r="H14" i="51"/>
  <c r="G14" i="51"/>
  <c r="AF11" i="51"/>
  <c r="AE11" i="51"/>
  <c r="AC11" i="51"/>
  <c r="AB11" i="51"/>
  <c r="X11" i="51"/>
  <c r="V11" i="51"/>
  <c r="Q11" i="51"/>
  <c r="P11" i="51"/>
  <c r="O11" i="51"/>
  <c r="N11" i="51"/>
  <c r="J11" i="51"/>
  <c r="H11" i="51"/>
  <c r="Z93" i="51"/>
  <c r="S93" i="51"/>
  <c r="L93" i="51"/>
  <c r="E93" i="51"/>
  <c r="Z79" i="51"/>
  <c r="Z78" i="51" s="1"/>
  <c r="S79" i="51"/>
  <c r="S78" i="51" s="1"/>
  <c r="L79" i="51"/>
  <c r="L78" i="51" s="1"/>
  <c r="E79" i="51"/>
  <c r="E78" i="51" s="1"/>
  <c r="Z73" i="51"/>
  <c r="S73" i="51"/>
  <c r="L73" i="51"/>
  <c r="Z70" i="51"/>
  <c r="S70" i="51"/>
  <c r="L70" i="51"/>
  <c r="E70" i="51"/>
  <c r="E66" i="51" s="1"/>
  <c r="Z63" i="51"/>
  <c r="S63" i="51"/>
  <c r="L63" i="51"/>
  <c r="E63" i="51"/>
  <c r="Z60" i="51"/>
  <c r="S60" i="51"/>
  <c r="L60" i="51"/>
  <c r="E60" i="51"/>
  <c r="Y44" i="51"/>
  <c r="U44" i="51"/>
  <c r="Z44" i="51"/>
  <c r="S44" i="51"/>
  <c r="L44" i="51"/>
  <c r="E44" i="51"/>
  <c r="U30" i="51"/>
  <c r="U29" i="51" s="1"/>
  <c r="R30" i="51"/>
  <c r="R29" i="51" s="1"/>
  <c r="O30" i="51"/>
  <c r="O29" i="51" s="1"/>
  <c r="N30" i="51"/>
  <c r="N29" i="51" s="1"/>
  <c r="I30" i="51"/>
  <c r="I29" i="51" s="1"/>
  <c r="AF30" i="51"/>
  <c r="AF29" i="51" s="1"/>
  <c r="AD30" i="51"/>
  <c r="AD29" i="51" s="1"/>
  <c r="AB30" i="51"/>
  <c r="AB29" i="51" s="1"/>
  <c r="Z30" i="51"/>
  <c r="Z29" i="51" s="1"/>
  <c r="Y30" i="51"/>
  <c r="Y29" i="51" s="1"/>
  <c r="W30" i="51"/>
  <c r="W29" i="51" s="1"/>
  <c r="S30" i="51"/>
  <c r="S29" i="51" s="1"/>
  <c r="P30" i="51"/>
  <c r="P29" i="51" s="1"/>
  <c r="L30" i="51"/>
  <c r="L29" i="51" s="1"/>
  <c r="E30" i="51"/>
  <c r="E29" i="51" s="1"/>
  <c r="W24" i="51"/>
  <c r="U24" i="51"/>
  <c r="G24" i="51"/>
  <c r="Z24" i="51"/>
  <c r="S24" i="51"/>
  <c r="L24" i="51"/>
  <c r="W21" i="51"/>
  <c r="R21" i="51"/>
  <c r="Z21" i="51"/>
  <c r="S21" i="51"/>
  <c r="L21" i="51"/>
  <c r="E21" i="51"/>
  <c r="U14" i="51"/>
  <c r="Z14" i="51"/>
  <c r="S14" i="51"/>
  <c r="L14" i="51"/>
  <c r="E14" i="51"/>
  <c r="Z11" i="51"/>
  <c r="S11" i="51"/>
  <c r="R11" i="51"/>
  <c r="L11" i="51"/>
  <c r="AF9" i="51"/>
  <c r="AE9" i="51"/>
  <c r="AD9" i="51"/>
  <c r="AC9" i="51"/>
  <c r="AB9" i="51"/>
  <c r="AA9" i="51"/>
  <c r="L9" i="51"/>
  <c r="S9" i="51" s="1"/>
  <c r="Z9" i="51" s="1"/>
  <c r="S257" i="50"/>
  <c r="L257" i="50"/>
  <c r="T256" i="50"/>
  <c r="M256" i="50"/>
  <c r="T254" i="50"/>
  <c r="T276" i="50" s="1"/>
  <c r="M254" i="50"/>
  <c r="M276" i="50" s="1"/>
  <c r="T237" i="50"/>
  <c r="M237" i="50"/>
  <c r="T236" i="50"/>
  <c r="M236" i="50"/>
  <c r="S235" i="50"/>
  <c r="L235" i="50"/>
  <c r="F256" i="50"/>
  <c r="F278" i="50" s="1"/>
  <c r="R213" i="50"/>
  <c r="P29" i="7" s="1"/>
  <c r="Q213" i="50"/>
  <c r="O29" i="7" s="1"/>
  <c r="P213" i="50"/>
  <c r="N29" i="7" s="1"/>
  <c r="O213" i="50"/>
  <c r="M29" i="7" s="1"/>
  <c r="N213" i="50"/>
  <c r="L29" i="7" s="1"/>
  <c r="M213" i="50"/>
  <c r="K29" i="7" s="1"/>
  <c r="L213" i="50"/>
  <c r="J29" i="7" s="1"/>
  <c r="E213" i="50"/>
  <c r="C29" i="7" s="1"/>
  <c r="C30" i="7" s="1"/>
  <c r="Y191" i="50"/>
  <c r="X191" i="50"/>
  <c r="W191" i="50"/>
  <c r="V191" i="50"/>
  <c r="U191" i="50"/>
  <c r="T191" i="50"/>
  <c r="S191" i="50"/>
  <c r="R191" i="50"/>
  <c r="Q191" i="50"/>
  <c r="P191" i="50"/>
  <c r="O191" i="50"/>
  <c r="N191" i="50"/>
  <c r="M191" i="50"/>
  <c r="L191" i="50"/>
  <c r="K191" i="50"/>
  <c r="J191" i="50"/>
  <c r="I191" i="50"/>
  <c r="H191" i="50"/>
  <c r="E191" i="50"/>
  <c r="S170" i="50"/>
  <c r="L170" i="50"/>
  <c r="E170" i="50"/>
  <c r="S150" i="50"/>
  <c r="L150" i="50"/>
  <c r="E150" i="50"/>
  <c r="S130" i="50"/>
  <c r="L130" i="50"/>
  <c r="S110" i="50"/>
  <c r="L110" i="50"/>
  <c r="E110" i="50"/>
  <c r="R7" i="50"/>
  <c r="Y7" i="50" s="1"/>
  <c r="Q7" i="50"/>
  <c r="X7" i="50" s="1"/>
  <c r="P7" i="50"/>
  <c r="W7" i="50" s="1"/>
  <c r="O7" i="50"/>
  <c r="V7" i="50" s="1"/>
  <c r="N7" i="50"/>
  <c r="U7" i="50" s="1"/>
  <c r="M7" i="50"/>
  <c r="T7" i="50" s="1"/>
  <c r="L7" i="50"/>
  <c r="S7" i="50" s="1"/>
  <c r="Y28" i="53" l="1"/>
  <c r="AC28" i="53"/>
  <c r="J28" i="53"/>
  <c r="Z28" i="53"/>
  <c r="AD28" i="53"/>
  <c r="T28" i="53"/>
  <c r="T91" i="53" s="1"/>
  <c r="T102" i="53" s="1"/>
  <c r="N64" i="7"/>
  <c r="Q28" i="53"/>
  <c r="Q91" i="53" s="1"/>
  <c r="Q102" i="53" s="1"/>
  <c r="X28" i="53"/>
  <c r="AB28" i="53"/>
  <c r="AA28" i="53"/>
  <c r="R28" i="53"/>
  <c r="R91" i="53" s="1"/>
  <c r="R102" i="53" s="1"/>
  <c r="J87" i="53"/>
  <c r="J94" i="53" s="1"/>
  <c r="J105" i="53" s="1"/>
  <c r="Q87" i="53"/>
  <c r="Q94" i="53" s="1"/>
  <c r="Q105" i="53" s="1"/>
  <c r="E279" i="50"/>
  <c r="Q27" i="7"/>
  <c r="Q55" i="53"/>
  <c r="C55" i="53"/>
  <c r="C27" i="7"/>
  <c r="J27" i="7"/>
  <c r="J55" i="53"/>
  <c r="O66" i="7"/>
  <c r="P60" i="7" s="1"/>
  <c r="U10" i="53"/>
  <c r="N90" i="53"/>
  <c r="R10" i="53"/>
  <c r="K90" i="53"/>
  <c r="V10" i="53"/>
  <c r="O90" i="53"/>
  <c r="T10" i="53"/>
  <c r="M90" i="53"/>
  <c r="Q10" i="53"/>
  <c r="J90" i="53"/>
  <c r="S10" i="53"/>
  <c r="L90" i="53"/>
  <c r="W10" i="53"/>
  <c r="P90" i="53"/>
  <c r="Q92" i="53"/>
  <c r="Q103" i="53" s="1"/>
  <c r="B27" i="47"/>
  <c r="B31" i="47"/>
  <c r="B32" i="47"/>
  <c r="Z32" i="60"/>
  <c r="Z35" i="60"/>
  <c r="Z36" i="60"/>
  <c r="Q32" i="60"/>
  <c r="Q36" i="60"/>
  <c r="Q35" i="60"/>
  <c r="AA32" i="60"/>
  <c r="AA35" i="60"/>
  <c r="AA36" i="60"/>
  <c r="AD32" i="60"/>
  <c r="AD36" i="60"/>
  <c r="AD35" i="60"/>
  <c r="X32" i="60"/>
  <c r="X36" i="60"/>
  <c r="X35" i="60"/>
  <c r="AB32" i="60"/>
  <c r="AB36" i="60"/>
  <c r="AB35" i="60"/>
  <c r="Y32" i="60"/>
  <c r="Y35" i="60"/>
  <c r="Y36" i="60"/>
  <c r="AC32" i="60"/>
  <c r="AC35" i="60"/>
  <c r="AC36" i="60"/>
  <c r="S66" i="51"/>
  <c r="S59" i="51" s="1"/>
  <c r="N94" i="53"/>
  <c r="N105" i="53" s="1"/>
  <c r="E59" i="51"/>
  <c r="L84" i="50"/>
  <c r="L282" i="50" s="1"/>
  <c r="F236" i="50"/>
  <c r="F258" i="50" s="1"/>
  <c r="F213" i="50"/>
  <c r="D29" i="7" s="1"/>
  <c r="D30" i="7" s="1"/>
  <c r="S84" i="50"/>
  <c r="S282" i="50" s="1"/>
  <c r="K213" i="50"/>
  <c r="I29" i="7" s="1"/>
  <c r="E282" i="50"/>
  <c r="G213" i="50"/>
  <c r="E29" i="7" s="1"/>
  <c r="C11" i="49"/>
  <c r="E59" i="50"/>
  <c r="C14" i="49" s="1"/>
  <c r="I213" i="50"/>
  <c r="G29" i="7" s="1"/>
  <c r="Q11" i="53"/>
  <c r="Z11" i="53"/>
  <c r="S17" i="51"/>
  <c r="L17" i="51"/>
  <c r="Z17" i="51"/>
  <c r="E17" i="51"/>
  <c r="L66" i="51"/>
  <c r="L59" i="51" s="1"/>
  <c r="Z66" i="51"/>
  <c r="D11" i="54"/>
  <c r="P11" i="54"/>
  <c r="AA11" i="54"/>
  <c r="O12" i="53"/>
  <c r="T12" i="53"/>
  <c r="M12" i="53"/>
  <c r="H18" i="53"/>
  <c r="V18" i="53"/>
  <c r="V11" i="53" s="1"/>
  <c r="O18" i="53"/>
  <c r="T18" i="53"/>
  <c r="F24" i="53"/>
  <c r="K24" i="53"/>
  <c r="O24" i="53"/>
  <c r="M24" i="53"/>
  <c r="R24" i="53"/>
  <c r="R11" i="53" s="1"/>
  <c r="K87" i="53"/>
  <c r="D87" i="53"/>
  <c r="D36" i="53"/>
  <c r="D28" i="53" s="1"/>
  <c r="H36" i="53"/>
  <c r="V36" i="53"/>
  <c r="V28" i="53" s="1"/>
  <c r="F36" i="53"/>
  <c r="K36" i="53"/>
  <c r="K49" i="53"/>
  <c r="O49" i="53"/>
  <c r="H49" i="53"/>
  <c r="M49" i="53"/>
  <c r="M61" i="53"/>
  <c r="R61" i="53"/>
  <c r="O61" i="53"/>
  <c r="D66" i="53"/>
  <c r="H66" i="53"/>
  <c r="G31" i="47" s="1"/>
  <c r="M66" i="53"/>
  <c r="R66" i="53"/>
  <c r="F66" i="53"/>
  <c r="K66" i="53"/>
  <c r="T66" i="53"/>
  <c r="F79" i="53"/>
  <c r="F72" i="53" s="1"/>
  <c r="E32" i="47" s="1"/>
  <c r="K79" i="53"/>
  <c r="K72" i="53" s="1"/>
  <c r="O79" i="53"/>
  <c r="O72" i="53" s="1"/>
  <c r="D79" i="53"/>
  <c r="D72" i="53" s="1"/>
  <c r="H79" i="53"/>
  <c r="H72" i="53" s="1"/>
  <c r="R79" i="53"/>
  <c r="R72" i="53" s="1"/>
  <c r="AA11" i="53"/>
  <c r="X11" i="53"/>
  <c r="AB11" i="53"/>
  <c r="Y11" i="53"/>
  <c r="AC11" i="53"/>
  <c r="J91" i="53"/>
  <c r="J102" i="53" s="1"/>
  <c r="G12" i="53"/>
  <c r="L12" i="53"/>
  <c r="E12" i="53"/>
  <c r="I12" i="53"/>
  <c r="S12" i="53"/>
  <c r="W12" i="53"/>
  <c r="E18" i="53"/>
  <c r="I18" i="53"/>
  <c r="N18" i="53"/>
  <c r="S18" i="53"/>
  <c r="W18" i="53"/>
  <c r="G18" i="53"/>
  <c r="P18" i="53"/>
  <c r="G24" i="53"/>
  <c r="L24" i="53"/>
  <c r="P24" i="53"/>
  <c r="U24" i="53"/>
  <c r="U11" i="53" s="1"/>
  <c r="E24" i="53"/>
  <c r="S36" i="53"/>
  <c r="N66" i="53"/>
  <c r="F31" i="47" s="1"/>
  <c r="N24" i="53"/>
  <c r="W24" i="53"/>
  <c r="G91" i="53"/>
  <c r="G102" i="53" s="1"/>
  <c r="P87" i="53"/>
  <c r="I36" i="53"/>
  <c r="N36" i="53"/>
  <c r="W36" i="53"/>
  <c r="L36" i="53"/>
  <c r="P36" i="53"/>
  <c r="U36" i="53"/>
  <c r="U28" i="53" s="1"/>
  <c r="L49" i="53"/>
  <c r="P49" i="53"/>
  <c r="E49" i="53"/>
  <c r="E28" i="53" s="1"/>
  <c r="I49" i="53"/>
  <c r="S49" i="53"/>
  <c r="W49" i="53"/>
  <c r="N61" i="53"/>
  <c r="L61" i="53"/>
  <c r="P61" i="53"/>
  <c r="I66" i="53"/>
  <c r="S66" i="53"/>
  <c r="W66" i="53"/>
  <c r="L66" i="53"/>
  <c r="S72" i="53"/>
  <c r="G72" i="53"/>
  <c r="L79" i="53"/>
  <c r="L72" i="53" s="1"/>
  <c r="P79" i="53"/>
  <c r="P72" i="53" s="1"/>
  <c r="U79" i="53"/>
  <c r="U72" i="53" s="1"/>
  <c r="E79" i="53"/>
  <c r="E72" i="53" s="1"/>
  <c r="I79" i="53"/>
  <c r="I72" i="53" s="1"/>
  <c r="N79" i="53"/>
  <c r="N72" i="53" s="1"/>
  <c r="W79" i="53"/>
  <c r="W72" i="53" s="1"/>
  <c r="AD11" i="53"/>
  <c r="C91" i="53"/>
  <c r="C102" i="53" s="1"/>
  <c r="D24" i="53"/>
  <c r="H24" i="53"/>
  <c r="H12" i="53"/>
  <c r="F18" i="53"/>
  <c r="V72" i="53"/>
  <c r="W17" i="51"/>
  <c r="AA24" i="51"/>
  <c r="I24" i="51"/>
  <c r="O21" i="51"/>
  <c r="O17" i="51" s="1"/>
  <c r="AC21" i="51"/>
  <c r="AC17" i="51" s="1"/>
  <c r="K11" i="51"/>
  <c r="AD11" i="51"/>
  <c r="P14" i="51"/>
  <c r="AD14" i="51"/>
  <c r="V17" i="51"/>
  <c r="M44" i="51"/>
  <c r="P21" i="51"/>
  <c r="AD21" i="51"/>
  <c r="AA44" i="51"/>
  <c r="AF24" i="51"/>
  <c r="AF17" i="51" s="1"/>
  <c r="W44" i="51"/>
  <c r="I14" i="51"/>
  <c r="Q17" i="51"/>
  <c r="H21" i="51"/>
  <c r="H17" i="51" s="1"/>
  <c r="AE21" i="51"/>
  <c r="AE17" i="51" s="1"/>
  <c r="O44" i="51"/>
  <c r="AC44" i="51"/>
  <c r="AB24" i="51"/>
  <c r="AB17" i="51" s="1"/>
  <c r="I44" i="51"/>
  <c r="I11" i="51"/>
  <c r="W11" i="51"/>
  <c r="W14" i="51"/>
  <c r="AF14" i="51"/>
  <c r="S34" i="50"/>
  <c r="K24" i="51"/>
  <c r="P24" i="51"/>
  <c r="Y24" i="51"/>
  <c r="AD24" i="51"/>
  <c r="P44" i="51"/>
  <c r="AD44" i="51"/>
  <c r="L34" i="50"/>
  <c r="S59" i="50"/>
  <c r="Q14" i="49" s="1"/>
  <c r="R14" i="49" s="1"/>
  <c r="H213" i="50"/>
  <c r="F29" i="7" s="1"/>
  <c r="J213" i="50"/>
  <c r="H29" i="7" s="1"/>
  <c r="F237" i="50"/>
  <c r="F259" i="50" s="1"/>
  <c r="L59" i="50"/>
  <c r="J14" i="49" s="1"/>
  <c r="K14" i="49" s="1"/>
  <c r="N254" i="50"/>
  <c r="N276" i="50" s="1"/>
  <c r="J17" i="51"/>
  <c r="T278" i="50"/>
  <c r="U256" i="50"/>
  <c r="U254" i="50"/>
  <c r="U276" i="50" s="1"/>
  <c r="M30" i="51"/>
  <c r="M29" i="51" s="1"/>
  <c r="G11" i="51"/>
  <c r="F14" i="51"/>
  <c r="T14" i="51"/>
  <c r="AB14" i="51"/>
  <c r="AA21" i="51"/>
  <c r="M259" i="50"/>
  <c r="N237" i="50"/>
  <c r="M11" i="51"/>
  <c r="AA60" i="51"/>
  <c r="AA11" i="51"/>
  <c r="I21" i="51"/>
  <c r="N21" i="51"/>
  <c r="F24" i="51"/>
  <c r="T24" i="51"/>
  <c r="T258" i="50"/>
  <c r="U236" i="50"/>
  <c r="M278" i="50"/>
  <c r="N256" i="50"/>
  <c r="AA63" i="51"/>
  <c r="X17" i="51"/>
  <c r="F21" i="51"/>
  <c r="T21" i="51"/>
  <c r="AA73" i="51"/>
  <c r="M258" i="50"/>
  <c r="N236" i="50"/>
  <c r="M235" i="50"/>
  <c r="T259" i="50"/>
  <c r="U237" i="50"/>
  <c r="G256" i="50"/>
  <c r="G278" i="50" s="1"/>
  <c r="F11" i="51"/>
  <c r="T11" i="51"/>
  <c r="U11" i="51"/>
  <c r="Y11" i="51"/>
  <c r="N14" i="51"/>
  <c r="R14" i="51"/>
  <c r="F30" i="51"/>
  <c r="F29" i="51" s="1"/>
  <c r="T30" i="51"/>
  <c r="T29" i="51" s="1"/>
  <c r="G21" i="51"/>
  <c r="G17" i="51" s="1"/>
  <c r="K21" i="51"/>
  <c r="U21" i="51"/>
  <c r="U17" i="51" s="1"/>
  <c r="Y21" i="51"/>
  <c r="N24" i="51"/>
  <c r="R24" i="51"/>
  <c r="R17" i="51" s="1"/>
  <c r="F44" i="51"/>
  <c r="J44" i="51"/>
  <c r="T44" i="51"/>
  <c r="X44" i="51"/>
  <c r="N44" i="51"/>
  <c r="R44" i="51"/>
  <c r="AB44" i="51"/>
  <c r="AF44" i="51"/>
  <c r="M21" i="51"/>
  <c r="T70" i="51"/>
  <c r="AA84" i="53" l="1"/>
  <c r="E33" i="47" s="1"/>
  <c r="E30" i="48" s="1"/>
  <c r="L28" i="53"/>
  <c r="L91" i="53" s="1"/>
  <c r="L102" i="53" s="1"/>
  <c r="H28" i="53"/>
  <c r="O64" i="7"/>
  <c r="O28" i="53"/>
  <c r="O91" i="53" s="1"/>
  <c r="O102" i="53" s="1"/>
  <c r="N28" i="53"/>
  <c r="N91" i="53" s="1"/>
  <c r="N102" i="53" s="1"/>
  <c r="K28" i="53"/>
  <c r="M28" i="53"/>
  <c r="M91" i="53" s="1"/>
  <c r="M102" i="53" s="1"/>
  <c r="W28" i="53"/>
  <c r="W91" i="53" s="1"/>
  <c r="W102" i="53" s="1"/>
  <c r="E91" i="53"/>
  <c r="E102" i="53" s="1"/>
  <c r="P28" i="53"/>
  <c r="P91" i="53" s="1"/>
  <c r="P102" i="53" s="1"/>
  <c r="I28" i="53"/>
  <c r="S28" i="53"/>
  <c r="S91" i="53" s="1"/>
  <c r="S102" i="53" s="1"/>
  <c r="F28" i="53"/>
  <c r="F91" i="53" s="1"/>
  <c r="F102" i="53" s="1"/>
  <c r="Z10" i="51"/>
  <c r="Z59" i="51"/>
  <c r="T87" i="53"/>
  <c r="T94" i="53" s="1"/>
  <c r="T105" i="53" s="1"/>
  <c r="P94" i="53"/>
  <c r="P105" i="53" s="1"/>
  <c r="W87" i="53"/>
  <c r="W94" i="53" s="1"/>
  <c r="W105" i="53" s="1"/>
  <c r="L87" i="53"/>
  <c r="L94" i="53" s="1"/>
  <c r="L105" i="53" s="1"/>
  <c r="R87" i="53"/>
  <c r="R94" i="53" s="1"/>
  <c r="R105" i="53" s="1"/>
  <c r="K94" i="53"/>
  <c r="K105" i="53" s="1"/>
  <c r="V87" i="53"/>
  <c r="V94" i="53" s="1"/>
  <c r="V105" i="53" s="1"/>
  <c r="U87" i="53"/>
  <c r="U94" i="53" s="1"/>
  <c r="U105" i="53" s="1"/>
  <c r="S87" i="53"/>
  <c r="S94" i="53" s="1"/>
  <c r="S105" i="53" s="1"/>
  <c r="M87" i="53"/>
  <c r="M94" i="53" s="1"/>
  <c r="M105" i="53" s="1"/>
  <c r="O87" i="53"/>
  <c r="O94" i="53" s="1"/>
  <c r="O105" i="53" s="1"/>
  <c r="J54" i="53"/>
  <c r="J25" i="7"/>
  <c r="Q25" i="7"/>
  <c r="Q54" i="53"/>
  <c r="C54" i="53"/>
  <c r="C25" i="7"/>
  <c r="P66" i="7"/>
  <c r="P64" i="7" s="1"/>
  <c r="Y84" i="53"/>
  <c r="C33" i="47" s="1"/>
  <c r="C30" i="48" s="1"/>
  <c r="AC84" i="53"/>
  <c r="G33" i="47" s="1"/>
  <c r="G30" i="48" s="1"/>
  <c r="AD10" i="53"/>
  <c r="W90" i="53"/>
  <c r="X10" i="53"/>
  <c r="Q90" i="53"/>
  <c r="AC10" i="53"/>
  <c r="V90" i="53"/>
  <c r="AB10" i="53"/>
  <c r="U90" i="53"/>
  <c r="Z10" i="53"/>
  <c r="S90" i="53"/>
  <c r="AA10" i="53"/>
  <c r="T90" i="53"/>
  <c r="Y10" i="53"/>
  <c r="R90" i="53"/>
  <c r="B25" i="47"/>
  <c r="C31" i="47"/>
  <c r="C32" i="47"/>
  <c r="G236" i="50"/>
  <c r="G258" i="50" s="1"/>
  <c r="H91" i="53"/>
  <c r="H102" i="53" s="1"/>
  <c r="T11" i="53"/>
  <c r="Y17" i="51"/>
  <c r="Y10" i="51" s="1"/>
  <c r="AE10" i="51"/>
  <c r="Q10" i="51"/>
  <c r="X10" i="51"/>
  <c r="H10" i="51"/>
  <c r="AC10" i="51"/>
  <c r="AB10" i="51"/>
  <c r="AF10" i="51"/>
  <c r="D14" i="49"/>
  <c r="C13" i="49"/>
  <c r="O10" i="51"/>
  <c r="C10" i="49"/>
  <c r="D11" i="49"/>
  <c r="J10" i="51"/>
  <c r="W10" i="51"/>
  <c r="L10" i="51"/>
  <c r="R10" i="51"/>
  <c r="V10" i="51"/>
  <c r="S10" i="51"/>
  <c r="E10" i="51"/>
  <c r="U10" i="51"/>
  <c r="G10" i="51"/>
  <c r="Q11" i="49"/>
  <c r="R11" i="49" s="1"/>
  <c r="J11" i="49"/>
  <c r="K11" i="49" s="1"/>
  <c r="G237" i="50"/>
  <c r="G259" i="50" s="1"/>
  <c r="F257" i="50"/>
  <c r="L280" i="50"/>
  <c r="F235" i="50"/>
  <c r="E280" i="50"/>
  <c r="Z84" i="53"/>
  <c r="D33" i="47" s="1"/>
  <c r="D30" i="48" s="1"/>
  <c r="D32" i="47"/>
  <c r="F32" i="47"/>
  <c r="F29" i="48" s="1"/>
  <c r="H32" i="47"/>
  <c r="G32" i="47"/>
  <c r="G29" i="48" s="1"/>
  <c r="L281" i="50"/>
  <c r="S281" i="50"/>
  <c r="E281" i="50"/>
  <c r="E284" i="50" s="1"/>
  <c r="X84" i="53"/>
  <c r="B33" i="47" s="1"/>
  <c r="S279" i="50"/>
  <c r="L279" i="50"/>
  <c r="AB84" i="53"/>
  <c r="F33" i="47" s="1"/>
  <c r="F30" i="48" s="1"/>
  <c r="H31" i="47"/>
  <c r="D91" i="53"/>
  <c r="D102" i="53" s="1"/>
  <c r="D31" i="47"/>
  <c r="E31" i="47"/>
  <c r="E29" i="48" s="1"/>
  <c r="V91" i="53"/>
  <c r="V102" i="53" s="1"/>
  <c r="K91" i="53"/>
  <c r="K102" i="53" s="1"/>
  <c r="I91" i="53"/>
  <c r="I102" i="53" s="1"/>
  <c r="S11" i="53"/>
  <c r="AD84" i="53"/>
  <c r="H33" i="47" s="1"/>
  <c r="H30" i="48" s="1"/>
  <c r="W11" i="53"/>
  <c r="W70" i="51"/>
  <c r="K17" i="51"/>
  <c r="K10" i="51" s="1"/>
  <c r="AA70" i="51"/>
  <c r="AA66" i="51" s="1"/>
  <c r="AA17" i="51"/>
  <c r="AA10" i="51" s="1"/>
  <c r="AF60" i="51"/>
  <c r="AC60" i="51"/>
  <c r="AE70" i="51"/>
  <c r="O70" i="51"/>
  <c r="I17" i="51"/>
  <c r="I10" i="51" s="1"/>
  <c r="P17" i="51"/>
  <c r="P10" i="51" s="1"/>
  <c r="V70" i="51"/>
  <c r="M70" i="51"/>
  <c r="U70" i="51"/>
  <c r="K70" i="51"/>
  <c r="AD17" i="51"/>
  <c r="AD10" i="51" s="1"/>
  <c r="F70" i="51"/>
  <c r="Y70" i="51"/>
  <c r="I70" i="51"/>
  <c r="Q70" i="51"/>
  <c r="K79" i="51"/>
  <c r="K78" i="51" s="1"/>
  <c r="H70" i="51"/>
  <c r="AD79" i="51"/>
  <c r="AD78" i="51" s="1"/>
  <c r="AF70" i="51"/>
  <c r="AC93" i="51"/>
  <c r="AB70" i="51"/>
  <c r="R70" i="51"/>
  <c r="X93" i="51"/>
  <c r="J93" i="51"/>
  <c r="I93" i="51"/>
  <c r="AA93" i="51"/>
  <c r="AF93" i="51"/>
  <c r="Q93" i="51"/>
  <c r="V93" i="51"/>
  <c r="AD60" i="51"/>
  <c r="M60" i="51"/>
  <c r="P79" i="51"/>
  <c r="P78" i="51" s="1"/>
  <c r="G93" i="51"/>
  <c r="W93" i="51"/>
  <c r="O93" i="51"/>
  <c r="N93" i="51"/>
  <c r="V73" i="51"/>
  <c r="G70" i="51"/>
  <c r="P70" i="51"/>
  <c r="Y93" i="51"/>
  <c r="F93" i="51"/>
  <c r="AD93" i="51"/>
  <c r="P93" i="51"/>
  <c r="R93" i="51"/>
  <c r="T79" i="51"/>
  <c r="T78" i="51" s="1"/>
  <c r="F79" i="51"/>
  <c r="F78" i="51" s="1"/>
  <c r="U259" i="50"/>
  <c r="V237" i="50"/>
  <c r="M257" i="50"/>
  <c r="AE73" i="51"/>
  <c r="AC73" i="51"/>
  <c r="P73" i="51"/>
  <c r="F17" i="51"/>
  <c r="AC63" i="51"/>
  <c r="R63" i="51"/>
  <c r="Q63" i="51"/>
  <c r="T60" i="51"/>
  <c r="K60" i="51"/>
  <c r="V254" i="50"/>
  <c r="V276" i="50" s="1"/>
  <c r="M17" i="51"/>
  <c r="T93" i="51"/>
  <c r="H93" i="51"/>
  <c r="N258" i="50"/>
  <c r="O236" i="50"/>
  <c r="N235" i="50"/>
  <c r="F73" i="51"/>
  <c r="G73" i="51"/>
  <c r="AD70" i="51"/>
  <c r="N70" i="51"/>
  <c r="AB63" i="51"/>
  <c r="X70" i="51"/>
  <c r="U93" i="51"/>
  <c r="K93" i="51"/>
  <c r="AE93" i="51"/>
  <c r="AB93" i="51"/>
  <c r="M93" i="51"/>
  <c r="W79" i="51"/>
  <c r="W78" i="51" s="1"/>
  <c r="X79" i="51"/>
  <c r="X78" i="51" s="1"/>
  <c r="J79" i="51"/>
  <c r="J78" i="51" s="1"/>
  <c r="Y63" i="51"/>
  <c r="V63" i="51"/>
  <c r="F63" i="51"/>
  <c r="AF73" i="51"/>
  <c r="Q73" i="51"/>
  <c r="AD63" i="51"/>
  <c r="N63" i="51"/>
  <c r="M63" i="51"/>
  <c r="V60" i="51"/>
  <c r="I60" i="51"/>
  <c r="J60" i="51"/>
  <c r="N79" i="51"/>
  <c r="N78" i="51" s="1"/>
  <c r="Y73" i="51"/>
  <c r="H73" i="51"/>
  <c r="AB60" i="51"/>
  <c r="AE60" i="51"/>
  <c r="R60" i="51"/>
  <c r="O60" i="51"/>
  <c r="N259" i="50"/>
  <c r="O237" i="50"/>
  <c r="I63" i="51"/>
  <c r="X63" i="51"/>
  <c r="K63" i="51"/>
  <c r="AF79" i="51"/>
  <c r="AF78" i="51" s="1"/>
  <c r="AC79" i="51"/>
  <c r="AC78" i="51" s="1"/>
  <c r="R79" i="51"/>
  <c r="R78" i="51" s="1"/>
  <c r="O254" i="50"/>
  <c r="O276" i="50" s="1"/>
  <c r="Y79" i="51"/>
  <c r="Y78" i="51" s="1"/>
  <c r="G79" i="51"/>
  <c r="G78" i="51" s="1"/>
  <c r="O73" i="51"/>
  <c r="AB73" i="51"/>
  <c r="AD73" i="51"/>
  <c r="N73" i="51"/>
  <c r="P63" i="51"/>
  <c r="Y60" i="51"/>
  <c r="X60" i="51"/>
  <c r="H60" i="51"/>
  <c r="O256" i="50"/>
  <c r="N278" i="50"/>
  <c r="V236" i="50"/>
  <c r="U258" i="50"/>
  <c r="AC70" i="51"/>
  <c r="T73" i="51"/>
  <c r="T66" i="51" s="1"/>
  <c r="U73" i="51"/>
  <c r="J73" i="51"/>
  <c r="K73" i="51"/>
  <c r="N17" i="51"/>
  <c r="N10" i="51" s="1"/>
  <c r="N60" i="51"/>
  <c r="Q60" i="51"/>
  <c r="U63" i="51"/>
  <c r="G63" i="51"/>
  <c r="J63" i="51"/>
  <c r="AE79" i="51"/>
  <c r="AE78" i="51" s="1"/>
  <c r="Q79" i="51"/>
  <c r="Q78" i="51" s="1"/>
  <c r="O79" i="51"/>
  <c r="O78" i="51" s="1"/>
  <c r="W60" i="51"/>
  <c r="U79" i="51"/>
  <c r="U78" i="51" s="1"/>
  <c r="V79" i="51"/>
  <c r="V78" i="51" s="1"/>
  <c r="H79" i="51"/>
  <c r="H78" i="51" s="1"/>
  <c r="I79" i="51"/>
  <c r="I78" i="51" s="1"/>
  <c r="H256" i="50"/>
  <c r="H278" i="50" s="1"/>
  <c r="M73" i="51"/>
  <c r="R73" i="51"/>
  <c r="T17" i="51"/>
  <c r="AF63" i="51"/>
  <c r="AE63" i="51"/>
  <c r="O63" i="51"/>
  <c r="U60" i="51"/>
  <c r="G60" i="51"/>
  <c r="F60" i="51"/>
  <c r="X73" i="51"/>
  <c r="W73" i="51"/>
  <c r="I73" i="51"/>
  <c r="J70" i="51"/>
  <c r="P60" i="51"/>
  <c r="W63" i="51"/>
  <c r="T63" i="51"/>
  <c r="H63" i="51"/>
  <c r="AA79" i="51"/>
  <c r="AA78" i="51" s="1"/>
  <c r="AB79" i="51"/>
  <c r="AB78" i="51" s="1"/>
  <c r="M79" i="51"/>
  <c r="M78" i="51" s="1"/>
  <c r="V256" i="50"/>
  <c r="U278" i="50"/>
  <c r="L1" i="2"/>
  <c r="G10" i="5"/>
  <c r="H57" i="5"/>
  <c r="F118" i="1" s="1"/>
  <c r="A3" i="35"/>
  <c r="A3" i="5" s="1"/>
  <c r="A3" i="7" s="1"/>
  <c r="H53" i="5"/>
  <c r="E115" i="1" s="1"/>
  <c r="E25" i="47" l="1"/>
  <c r="E23" i="48" s="1"/>
  <c r="L284" i="50"/>
  <c r="S284" i="50"/>
  <c r="A3" i="1"/>
  <c r="A5" i="58"/>
  <c r="A3" i="2"/>
  <c r="A5" i="65"/>
  <c r="E42" i="2"/>
  <c r="E74" i="65"/>
  <c r="F46" i="2"/>
  <c r="E78" i="65"/>
  <c r="A4" i="62"/>
  <c r="A3" i="46"/>
  <c r="F25" i="47"/>
  <c r="F23" i="48" s="1"/>
  <c r="U91" i="53"/>
  <c r="U102" i="53" s="1"/>
  <c r="C25" i="47"/>
  <c r="C23" i="48" s="1"/>
  <c r="C29" i="48"/>
  <c r="H236" i="50"/>
  <c r="I236" i="50" s="1"/>
  <c r="G25" i="47"/>
  <c r="G23" i="48" s="1"/>
  <c r="D25" i="47"/>
  <c r="D23" i="48" s="1"/>
  <c r="D38" i="58"/>
  <c r="B52" i="46" s="1"/>
  <c r="E42" i="58"/>
  <c r="B56" i="46" s="1"/>
  <c r="H237" i="50"/>
  <c r="G235" i="50"/>
  <c r="T10" i="51"/>
  <c r="M10" i="51"/>
  <c r="F10" i="51"/>
  <c r="H29" i="48"/>
  <c r="A4" i="22"/>
  <c r="A4" i="20"/>
  <c r="A4" i="17"/>
  <c r="A3" i="47"/>
  <c r="A3" i="54"/>
  <c r="A3" i="51"/>
  <c r="A4" i="21"/>
  <c r="A4" i="49"/>
  <c r="A3" i="48"/>
  <c r="A3" i="16"/>
  <c r="A3" i="53"/>
  <c r="A3" i="50"/>
  <c r="A4" i="41"/>
  <c r="W66" i="51"/>
  <c r="A3" i="39"/>
  <c r="A4" i="60"/>
  <c r="U66" i="51"/>
  <c r="F66" i="51"/>
  <c r="D29" i="48"/>
  <c r="H25" i="47"/>
  <c r="H23" i="48" s="1"/>
  <c r="AE66" i="51"/>
  <c r="K66" i="51"/>
  <c r="AC66" i="51"/>
  <c r="Y66" i="51"/>
  <c r="I66" i="51"/>
  <c r="O66" i="51"/>
  <c r="AA59" i="51"/>
  <c r="Q66" i="51"/>
  <c r="H66" i="51"/>
  <c r="M66" i="51"/>
  <c r="V66" i="51"/>
  <c r="G257" i="50"/>
  <c r="V258" i="50"/>
  <c r="W236" i="50"/>
  <c r="O259" i="50"/>
  <c r="P237" i="50"/>
  <c r="AD66" i="51"/>
  <c r="O258" i="50"/>
  <c r="P236" i="50"/>
  <c r="O235" i="50"/>
  <c r="T59" i="51"/>
  <c r="G66" i="51"/>
  <c r="AB66" i="51"/>
  <c r="O278" i="50"/>
  <c r="P256" i="50"/>
  <c r="P254" i="50"/>
  <c r="P276" i="50" s="1"/>
  <c r="X66" i="51"/>
  <c r="N257" i="50"/>
  <c r="W254" i="50"/>
  <c r="W276" i="50" s="1"/>
  <c r="P66" i="51"/>
  <c r="AF66" i="51"/>
  <c r="V278" i="50"/>
  <c r="W256" i="50"/>
  <c r="R66" i="51"/>
  <c r="J66" i="51"/>
  <c r="I256" i="50"/>
  <c r="I278" i="50" s="1"/>
  <c r="N66" i="51"/>
  <c r="V259" i="50"/>
  <c r="W237" i="50"/>
  <c r="D26" i="39"/>
  <c r="F26" i="39"/>
  <c r="H26" i="39"/>
  <c r="L26" i="39"/>
  <c r="N26" i="39"/>
  <c r="P26" i="39"/>
  <c r="Q13" i="49"/>
  <c r="J13" i="49"/>
  <c r="J10" i="49"/>
  <c r="Q10" i="49"/>
  <c r="M9" i="49"/>
  <c r="T9" i="49" s="1"/>
  <c r="P9" i="49"/>
  <c r="W9" i="49" s="1"/>
  <c r="O9" i="49"/>
  <c r="V9" i="49" s="1"/>
  <c r="N9" i="49"/>
  <c r="U9" i="49" s="1"/>
  <c r="L9" i="49"/>
  <c r="S9" i="49" s="1"/>
  <c r="K9" i="49"/>
  <c r="R9" i="49" s="1"/>
  <c r="J9" i="49"/>
  <c r="Q9" i="49" s="1"/>
  <c r="H17" i="47"/>
  <c r="G17" i="47"/>
  <c r="F17" i="47"/>
  <c r="E17" i="47"/>
  <c r="D17" i="47"/>
  <c r="Z56" i="41"/>
  <c r="Z70" i="41" s="1"/>
  <c r="Y56" i="41"/>
  <c r="Y70" i="41" s="1"/>
  <c r="X56" i="41"/>
  <c r="X70" i="41" s="1"/>
  <c r="W56" i="41"/>
  <c r="W70" i="41" s="1"/>
  <c r="V56" i="41"/>
  <c r="V70" i="41" s="1"/>
  <c r="U56" i="41"/>
  <c r="U70" i="41" s="1"/>
  <c r="T56" i="41"/>
  <c r="T70" i="41" s="1"/>
  <c r="S56" i="41"/>
  <c r="S70" i="41" s="1"/>
  <c r="R56" i="41"/>
  <c r="R70" i="41" s="1"/>
  <c r="Q56" i="41"/>
  <c r="Q70" i="41" s="1"/>
  <c r="P56" i="41"/>
  <c r="P70" i="41" s="1"/>
  <c r="O56" i="41"/>
  <c r="O70" i="41" s="1"/>
  <c r="N56" i="41"/>
  <c r="N70" i="41" s="1"/>
  <c r="M56" i="41"/>
  <c r="M70" i="41" s="1"/>
  <c r="Z47" i="41"/>
  <c r="Z76" i="41" s="1"/>
  <c r="Y47" i="41"/>
  <c r="Y76" i="41" s="1"/>
  <c r="X47" i="41"/>
  <c r="X76" i="41" s="1"/>
  <c r="W47" i="41"/>
  <c r="W76" i="41" s="1"/>
  <c r="V47" i="41"/>
  <c r="V76" i="41" s="1"/>
  <c r="U47" i="41"/>
  <c r="U76" i="41" s="1"/>
  <c r="T47" i="41"/>
  <c r="T76" i="41" s="1"/>
  <c r="S47" i="41"/>
  <c r="S76" i="41" s="1"/>
  <c r="R47" i="41"/>
  <c r="R76" i="41" s="1"/>
  <c r="Q47" i="41"/>
  <c r="Q76" i="41" s="1"/>
  <c r="P47" i="41"/>
  <c r="P76" i="41" s="1"/>
  <c r="O47" i="41"/>
  <c r="O76" i="41" s="1"/>
  <c r="N47" i="41"/>
  <c r="N76" i="41" s="1"/>
  <c r="M47" i="41"/>
  <c r="M76" i="41" s="1"/>
  <c r="F76" i="41"/>
  <c r="Z35" i="41"/>
  <c r="Z75" i="41" s="1"/>
  <c r="Y35" i="41"/>
  <c r="Y75" i="41" s="1"/>
  <c r="X35" i="41"/>
  <c r="X75" i="41" s="1"/>
  <c r="W35" i="41"/>
  <c r="V35" i="41"/>
  <c r="V75" i="41" s="1"/>
  <c r="U35" i="41"/>
  <c r="U75" i="41" s="1"/>
  <c r="T35" i="41"/>
  <c r="T75" i="41" s="1"/>
  <c r="S35" i="41"/>
  <c r="S75" i="41" s="1"/>
  <c r="R35" i="41"/>
  <c r="Q35" i="41"/>
  <c r="P35" i="41"/>
  <c r="O35" i="41"/>
  <c r="N35" i="41"/>
  <c r="M35" i="41"/>
  <c r="M75" i="41" s="1"/>
  <c r="Z10" i="41"/>
  <c r="Z74" i="41" s="1"/>
  <c r="Y10" i="41"/>
  <c r="X10" i="41"/>
  <c r="X74" i="41" s="1"/>
  <c r="W10" i="41"/>
  <c r="W74" i="41" s="1"/>
  <c r="V10" i="41"/>
  <c r="V74" i="41" s="1"/>
  <c r="U10" i="41"/>
  <c r="U74" i="41" s="1"/>
  <c r="T10" i="41"/>
  <c r="T74" i="41" s="1"/>
  <c r="S10" i="41"/>
  <c r="S74" i="41" s="1"/>
  <c r="R10" i="41"/>
  <c r="R74" i="41" s="1"/>
  <c r="Q10" i="41"/>
  <c r="Q74" i="41" s="1"/>
  <c r="P10" i="41"/>
  <c r="P74" i="41" s="1"/>
  <c r="O10" i="41"/>
  <c r="N10" i="41"/>
  <c r="M10" i="41"/>
  <c r="AC99" i="41" l="1"/>
  <c r="F72" i="7" s="1"/>
  <c r="P286" i="50" s="1"/>
  <c r="U112" i="51" s="1"/>
  <c r="AC105" i="41"/>
  <c r="F76" i="7" s="1"/>
  <c r="O290" i="50" s="1"/>
  <c r="V118" i="51" s="1"/>
  <c r="I237" i="50"/>
  <c r="I235" i="50" s="1"/>
  <c r="H259" i="50"/>
  <c r="H258" i="50"/>
  <c r="O74" i="41"/>
  <c r="AA10" i="41"/>
  <c r="AA69" i="41"/>
  <c r="N74" i="41"/>
  <c r="N59" i="51"/>
  <c r="H235" i="50"/>
  <c r="R59" i="51"/>
  <c r="AF59" i="51"/>
  <c r="E68" i="41"/>
  <c r="AD59" i="51"/>
  <c r="K59" i="51"/>
  <c r="X59" i="51"/>
  <c r="G59" i="51"/>
  <c r="H59" i="51"/>
  <c r="J59" i="51"/>
  <c r="P59" i="51"/>
  <c r="AB59" i="51"/>
  <c r="V59" i="51"/>
  <c r="M59" i="51"/>
  <c r="Q59" i="51"/>
  <c r="Y59" i="51"/>
  <c r="AE59" i="51"/>
  <c r="F59" i="51"/>
  <c r="F109" i="51" s="1"/>
  <c r="F134" i="50" s="1"/>
  <c r="F154" i="50" s="1"/>
  <c r="W59" i="51"/>
  <c r="O59" i="51"/>
  <c r="I59" i="51"/>
  <c r="AC59" i="51"/>
  <c r="U59" i="51"/>
  <c r="L56" i="41"/>
  <c r="L70" i="41" s="1"/>
  <c r="F35" i="48"/>
  <c r="F34" i="48" s="1"/>
  <c r="S73" i="41"/>
  <c r="S77" i="41" s="1"/>
  <c r="S92" i="41" s="1"/>
  <c r="U73" i="41"/>
  <c r="U79" i="41" s="1"/>
  <c r="U94" i="41" s="1"/>
  <c r="R15" i="7" s="1"/>
  <c r="T73" i="41"/>
  <c r="T77" i="41" s="1"/>
  <c r="T92" i="41" s="1"/>
  <c r="V73" i="41"/>
  <c r="V77" i="41" s="1"/>
  <c r="V92" i="41" s="1"/>
  <c r="X73" i="41"/>
  <c r="X77" i="41" s="1"/>
  <c r="X92" i="41" s="1"/>
  <c r="Z73" i="41"/>
  <c r="Z77" i="41" s="1"/>
  <c r="Z92" i="41" s="1"/>
  <c r="L47" i="41"/>
  <c r="AA47" i="41" s="1"/>
  <c r="N81" i="41"/>
  <c r="M81" i="41"/>
  <c r="P81" i="41"/>
  <c r="R81" i="41"/>
  <c r="T81" i="41"/>
  <c r="V81" i="41"/>
  <c r="X81" i="41"/>
  <c r="Z81" i="41"/>
  <c r="Y74" i="41"/>
  <c r="W75" i="41"/>
  <c r="Y81" i="41"/>
  <c r="W81" i="41"/>
  <c r="U81" i="41"/>
  <c r="S81" i="41"/>
  <c r="Q81" i="41"/>
  <c r="O81" i="41"/>
  <c r="R75" i="41"/>
  <c r="Q75" i="41"/>
  <c r="P75" i="41"/>
  <c r="O75" i="41"/>
  <c r="N75" i="41"/>
  <c r="M74" i="41"/>
  <c r="E74" i="41"/>
  <c r="F75" i="41"/>
  <c r="H75" i="41"/>
  <c r="J75" i="41"/>
  <c r="E76" i="41"/>
  <c r="G76" i="41"/>
  <c r="I76" i="41"/>
  <c r="K76" i="41"/>
  <c r="I81" i="41"/>
  <c r="E75" i="41"/>
  <c r="I75" i="41"/>
  <c r="K75" i="41"/>
  <c r="L35" i="41"/>
  <c r="AA35" i="41" s="1"/>
  <c r="H76" i="41"/>
  <c r="J81" i="41"/>
  <c r="G75" i="41"/>
  <c r="F81" i="41"/>
  <c r="E35" i="48"/>
  <c r="E34" i="48" s="1"/>
  <c r="M26" i="39"/>
  <c r="I26" i="39"/>
  <c r="E26" i="39"/>
  <c r="O26" i="39"/>
  <c r="K26" i="39"/>
  <c r="G26" i="39"/>
  <c r="J74" i="41"/>
  <c r="G35" i="48"/>
  <c r="G34" i="48" s="1"/>
  <c r="H74" i="41"/>
  <c r="F74" i="41"/>
  <c r="G74" i="41"/>
  <c r="K74" i="41"/>
  <c r="I74" i="41"/>
  <c r="J236" i="50"/>
  <c r="I258" i="50"/>
  <c r="P278" i="50"/>
  <c r="Q256" i="50"/>
  <c r="W259" i="50"/>
  <c r="X237" i="50"/>
  <c r="P235" i="50"/>
  <c r="Q236" i="50"/>
  <c r="P258" i="50"/>
  <c r="W258" i="50"/>
  <c r="X236" i="50"/>
  <c r="J256" i="50"/>
  <c r="J278" i="50" s="1"/>
  <c r="Q254" i="50"/>
  <c r="Q276" i="50" s="1"/>
  <c r="O257" i="50"/>
  <c r="Q237" i="50"/>
  <c r="P259" i="50"/>
  <c r="X254" i="50"/>
  <c r="X276" i="50" s="1"/>
  <c r="X256" i="50"/>
  <c r="W278" i="50"/>
  <c r="H35" i="48"/>
  <c r="H34" i="48" s="1"/>
  <c r="K81" i="41"/>
  <c r="J76" i="41"/>
  <c r="H81" i="41"/>
  <c r="D35" i="48"/>
  <c r="D34" i="48" s="1"/>
  <c r="S59" i="53" l="1"/>
  <c r="J237" i="50"/>
  <c r="K237" i="50" s="1"/>
  <c r="K259" i="50" s="1"/>
  <c r="W186" i="62"/>
  <c r="X114" i="53"/>
  <c r="AF124" i="54" s="1"/>
  <c r="F27" i="16" s="1"/>
  <c r="E54" i="47" s="1"/>
  <c r="E30" i="20" s="1"/>
  <c r="W181" i="62"/>
  <c r="X109" i="53"/>
  <c r="AE118" i="54" s="1"/>
  <c r="E22" i="16" s="1"/>
  <c r="D49" i="47" s="1"/>
  <c r="F36" i="21" s="1"/>
  <c r="AA56" i="41"/>
  <c r="AA70" i="41"/>
  <c r="F39" i="50"/>
  <c r="F64" i="50" s="1"/>
  <c r="F42" i="50"/>
  <c r="F67" i="50" s="1"/>
  <c r="G15" i="7"/>
  <c r="C15" i="7"/>
  <c r="I14" i="7"/>
  <c r="I15" i="7"/>
  <c r="E15" i="7"/>
  <c r="M73" i="41"/>
  <c r="M77" i="41" s="1"/>
  <c r="M92" i="41" s="1"/>
  <c r="Q73" i="41"/>
  <c r="Q78" i="41" s="1"/>
  <c r="Q93" i="41" s="1"/>
  <c r="N14" i="7" s="1"/>
  <c r="W73" i="41"/>
  <c r="W78" i="41" s="1"/>
  <c r="W93" i="41" s="1"/>
  <c r="M15" i="7" s="1"/>
  <c r="Z79" i="41"/>
  <c r="Z94" i="41" s="1"/>
  <c r="W15" i="7" s="1"/>
  <c r="V79" i="41"/>
  <c r="V94" i="41" s="1"/>
  <c r="S15" i="7" s="1"/>
  <c r="U78" i="41"/>
  <c r="U93" i="41" s="1"/>
  <c r="K15" i="7" s="1"/>
  <c r="U77" i="41"/>
  <c r="U92" i="41" s="1"/>
  <c r="S79" i="41"/>
  <c r="S94" i="41" s="1"/>
  <c r="W14" i="7" s="1"/>
  <c r="Z78" i="41"/>
  <c r="Z93" i="41" s="1"/>
  <c r="P15" i="7" s="1"/>
  <c r="V78" i="41"/>
  <c r="V93" i="41" s="1"/>
  <c r="L15" i="7" s="1"/>
  <c r="P73" i="41"/>
  <c r="P78" i="41" s="1"/>
  <c r="P93" i="41" s="1"/>
  <c r="M14" i="7" s="1"/>
  <c r="R73" i="41"/>
  <c r="R78" i="41" s="1"/>
  <c r="R93" i="41" s="1"/>
  <c r="O14" i="7" s="1"/>
  <c r="Y73" i="41"/>
  <c r="Y77" i="41" s="1"/>
  <c r="Y92" i="41" s="1"/>
  <c r="X79" i="41"/>
  <c r="X94" i="41" s="1"/>
  <c r="U15" i="7" s="1"/>
  <c r="T79" i="41"/>
  <c r="T94" i="41" s="1"/>
  <c r="Q15" i="7" s="1"/>
  <c r="S78" i="41"/>
  <c r="S93" i="41" s="1"/>
  <c r="P14" i="7" s="1"/>
  <c r="X78" i="41"/>
  <c r="X93" i="41" s="1"/>
  <c r="N15" i="7" s="1"/>
  <c r="T78" i="41"/>
  <c r="T93" i="41" s="1"/>
  <c r="J15" i="7" s="1"/>
  <c r="F48" i="50"/>
  <c r="F50" i="50"/>
  <c r="F75" i="50" s="1"/>
  <c r="F52" i="50"/>
  <c r="F77" i="50" s="1"/>
  <c r="F49" i="50"/>
  <c r="F74" i="50" s="1"/>
  <c r="F51" i="50"/>
  <c r="F76" i="50" s="1"/>
  <c r="F53" i="50"/>
  <c r="F139" i="50"/>
  <c r="F159" i="50" s="1"/>
  <c r="I259" i="50"/>
  <c r="I257" i="50" s="1"/>
  <c r="H257" i="50"/>
  <c r="F38" i="50"/>
  <c r="F36" i="50"/>
  <c r="F40" i="21"/>
  <c r="L22" i="22" s="1"/>
  <c r="C35" i="48"/>
  <c r="C8" i="47"/>
  <c r="L74" i="41"/>
  <c r="AA74" i="41" s="1"/>
  <c r="O73" i="41"/>
  <c r="O79" i="41" s="1"/>
  <c r="O94" i="41" s="1"/>
  <c r="S14" i="7" s="1"/>
  <c r="L81" i="41"/>
  <c r="AA81" i="41" s="1"/>
  <c r="L76" i="41"/>
  <c r="AA76" i="41" s="1"/>
  <c r="L75" i="41"/>
  <c r="AA75" i="41" s="1"/>
  <c r="N73" i="41"/>
  <c r="N79" i="41" s="1"/>
  <c r="N94" i="41" s="1"/>
  <c r="R14" i="7" s="1"/>
  <c r="R13" i="7" s="1"/>
  <c r="F136" i="50"/>
  <c r="F156" i="50" s="1"/>
  <c r="F146" i="50"/>
  <c r="F166" i="50" s="1"/>
  <c r="F135" i="50"/>
  <c r="F155" i="50" s="1"/>
  <c r="F148" i="50"/>
  <c r="F168" i="50" s="1"/>
  <c r="F144" i="50"/>
  <c r="F164" i="50" s="1"/>
  <c r="F142" i="50"/>
  <c r="F162" i="50" s="1"/>
  <c r="F137" i="50"/>
  <c r="F157" i="50" s="1"/>
  <c r="F149" i="50"/>
  <c r="F131" i="50"/>
  <c r="F132" i="50"/>
  <c r="F152" i="50" s="1"/>
  <c r="F147" i="50"/>
  <c r="F167" i="50" s="1"/>
  <c r="F145" i="50"/>
  <c r="F165" i="50" s="1"/>
  <c r="F143" i="50"/>
  <c r="F163" i="50" s="1"/>
  <c r="F141" i="50"/>
  <c r="F161" i="50" s="1"/>
  <c r="F140" i="50"/>
  <c r="F160" i="50" s="1"/>
  <c r="F138" i="50"/>
  <c r="F158" i="50" s="1"/>
  <c r="F133" i="50"/>
  <c r="F153" i="50" s="1"/>
  <c r="F57" i="50"/>
  <c r="F82" i="50" s="1"/>
  <c r="F56" i="50"/>
  <c r="F54" i="50"/>
  <c r="F79" i="50" s="1"/>
  <c r="F46" i="50"/>
  <c r="F40" i="50"/>
  <c r="F44" i="50"/>
  <c r="F45" i="50"/>
  <c r="F55" i="50"/>
  <c r="F47" i="50"/>
  <c r="F41" i="50"/>
  <c r="F35" i="50"/>
  <c r="F58" i="50"/>
  <c r="L68" i="41"/>
  <c r="J111" i="51"/>
  <c r="X134" i="50" s="1"/>
  <c r="I110" i="51"/>
  <c r="P134" i="50" s="1"/>
  <c r="H110" i="51"/>
  <c r="O134" i="50" s="1"/>
  <c r="K110" i="51"/>
  <c r="R134" i="50" s="1"/>
  <c r="F110" i="51"/>
  <c r="M134" i="50" s="1"/>
  <c r="M154" i="50" s="1"/>
  <c r="G110" i="51"/>
  <c r="N134" i="50" s="1"/>
  <c r="H109" i="51"/>
  <c r="H134" i="50" s="1"/>
  <c r="I109" i="51"/>
  <c r="I134" i="50" s="1"/>
  <c r="F111" i="51"/>
  <c r="T134" i="50" s="1"/>
  <c r="T154" i="50" s="1"/>
  <c r="G109" i="51"/>
  <c r="G134" i="50" s="1"/>
  <c r="G154" i="50" s="1"/>
  <c r="K111" i="51"/>
  <c r="Y134" i="50" s="1"/>
  <c r="J110" i="51"/>
  <c r="Q134" i="50" s="1"/>
  <c r="J109" i="51"/>
  <c r="J134" i="50" s="1"/>
  <c r="H111" i="51"/>
  <c r="V134" i="50" s="1"/>
  <c r="G111" i="51"/>
  <c r="U134" i="50" s="1"/>
  <c r="K109" i="51"/>
  <c r="K134" i="50" s="1"/>
  <c r="I111" i="51"/>
  <c r="W134" i="50" s="1"/>
  <c r="I73" i="41"/>
  <c r="I77" i="41" s="1"/>
  <c r="G73" i="41"/>
  <c r="J73" i="41"/>
  <c r="J79" i="41" s="1"/>
  <c r="K73" i="41"/>
  <c r="K78" i="41" s="1"/>
  <c r="F73" i="41"/>
  <c r="F79" i="41" s="1"/>
  <c r="T114" i="50" s="1"/>
  <c r="H73" i="41"/>
  <c r="H79" i="41" s="1"/>
  <c r="E73" i="41"/>
  <c r="E78" i="41" s="1"/>
  <c r="E93" i="41" s="1"/>
  <c r="Y254" i="50"/>
  <c r="Y276" i="50" s="1"/>
  <c r="Q259" i="50"/>
  <c r="R237" i="50"/>
  <c r="R259" i="50" s="1"/>
  <c r="Q258" i="50"/>
  <c r="R236" i="50"/>
  <c r="Q235" i="50"/>
  <c r="J259" i="50"/>
  <c r="P257" i="50"/>
  <c r="J258" i="50"/>
  <c r="K236" i="50"/>
  <c r="R254" i="50"/>
  <c r="R276" i="50" s="1"/>
  <c r="X259" i="50"/>
  <c r="Y237" i="50"/>
  <c r="Y259" i="50" s="1"/>
  <c r="X278" i="50"/>
  <c r="Y256" i="50"/>
  <c r="Y278" i="50" s="1"/>
  <c r="K256" i="50"/>
  <c r="K278" i="50" s="1"/>
  <c r="X258" i="50"/>
  <c r="Y236" i="50"/>
  <c r="Q278" i="50"/>
  <c r="R256" i="50"/>
  <c r="R278" i="50" s="1"/>
  <c r="AC57" i="54" l="1"/>
  <c r="K17" i="22"/>
  <c r="E29" i="17"/>
  <c r="Q29" i="49"/>
  <c r="E34" i="17"/>
  <c r="E57" i="48"/>
  <c r="J235" i="50"/>
  <c r="D52" i="48"/>
  <c r="P24" i="49"/>
  <c r="E25" i="20"/>
  <c r="F151" i="50"/>
  <c r="F130" i="50"/>
  <c r="W13" i="7"/>
  <c r="H154" i="50"/>
  <c r="I154" i="50" s="1"/>
  <c r="J154" i="50" s="1"/>
  <c r="K154" i="50" s="1"/>
  <c r="U154" i="50"/>
  <c r="V154" i="50" s="1"/>
  <c r="W154" i="50" s="1"/>
  <c r="X154" i="50" s="1"/>
  <c r="Y154" i="50" s="1"/>
  <c r="T174" i="50"/>
  <c r="N154" i="50"/>
  <c r="O154" i="50" s="1"/>
  <c r="P154" i="50" s="1"/>
  <c r="Q154" i="50" s="1"/>
  <c r="R154" i="50" s="1"/>
  <c r="P13" i="7"/>
  <c r="T14" i="50"/>
  <c r="T17" i="50"/>
  <c r="K39" i="50"/>
  <c r="K42" i="50"/>
  <c r="V39" i="50"/>
  <c r="V42" i="50"/>
  <c r="Q39" i="50"/>
  <c r="Q42" i="50"/>
  <c r="G39" i="50"/>
  <c r="G64" i="50" s="1"/>
  <c r="G42" i="50"/>
  <c r="G67" i="50" s="1"/>
  <c r="I39" i="50"/>
  <c r="I42" i="50"/>
  <c r="N39" i="50"/>
  <c r="N42" i="50"/>
  <c r="R39" i="50"/>
  <c r="R42" i="50"/>
  <c r="O39" i="50"/>
  <c r="O42" i="50"/>
  <c r="X39" i="50"/>
  <c r="X42" i="50"/>
  <c r="W39" i="50"/>
  <c r="W42" i="50"/>
  <c r="U39" i="50"/>
  <c r="U42" i="50"/>
  <c r="J39" i="50"/>
  <c r="J42" i="50"/>
  <c r="Y39" i="50"/>
  <c r="Y42" i="50"/>
  <c r="T39" i="50"/>
  <c r="T64" i="50" s="1"/>
  <c r="T42" i="50"/>
  <c r="T67" i="50" s="1"/>
  <c r="H39" i="50"/>
  <c r="H42" i="50"/>
  <c r="M39" i="50"/>
  <c r="M64" i="50" s="1"/>
  <c r="N64" i="50" s="1"/>
  <c r="M42" i="50"/>
  <c r="M67" i="50" s="1"/>
  <c r="P39" i="50"/>
  <c r="P42" i="50"/>
  <c r="S13" i="7"/>
  <c r="N13" i="7"/>
  <c r="C14" i="7"/>
  <c r="H15" i="7"/>
  <c r="M13" i="7"/>
  <c r="N78" i="41"/>
  <c r="N93" i="41" s="1"/>
  <c r="K14" i="7" s="1"/>
  <c r="K13" i="7" s="1"/>
  <c r="O78" i="41"/>
  <c r="O93" i="41" s="1"/>
  <c r="L14" i="7" s="1"/>
  <c r="L13" i="7" s="1"/>
  <c r="V91" i="41"/>
  <c r="Z91" i="41"/>
  <c r="S91" i="41"/>
  <c r="T91" i="41"/>
  <c r="X91" i="41"/>
  <c r="N77" i="41"/>
  <c r="N92" i="41" s="1"/>
  <c r="Y79" i="41"/>
  <c r="Y94" i="41" s="1"/>
  <c r="V15" i="7" s="1"/>
  <c r="Y78" i="41"/>
  <c r="Y93" i="41" s="1"/>
  <c r="O15" i="7" s="1"/>
  <c r="O13" i="7" s="1"/>
  <c r="R77" i="41"/>
  <c r="R92" i="41" s="1"/>
  <c r="R79" i="41"/>
  <c r="R94" i="41" s="1"/>
  <c r="V14" i="7" s="1"/>
  <c r="P77" i="41"/>
  <c r="P92" i="41" s="1"/>
  <c r="P79" i="41"/>
  <c r="P94" i="41" s="1"/>
  <c r="T14" i="7" s="1"/>
  <c r="E77" i="41"/>
  <c r="E82" i="41" s="1"/>
  <c r="E87" i="41" s="1"/>
  <c r="E79" i="41"/>
  <c r="D15" i="7"/>
  <c r="U91" i="41"/>
  <c r="O77" i="41"/>
  <c r="O92" i="41" s="1"/>
  <c r="W77" i="41"/>
  <c r="W92" i="41" s="1"/>
  <c r="W79" i="41"/>
  <c r="W94" i="41" s="1"/>
  <c r="T15" i="7" s="1"/>
  <c r="Q79" i="41"/>
  <c r="Q94" i="41" s="1"/>
  <c r="U14" i="7" s="1"/>
  <c r="U13" i="7" s="1"/>
  <c r="Q77" i="41"/>
  <c r="Q92" i="41" s="1"/>
  <c r="M79" i="41"/>
  <c r="M94" i="41" s="1"/>
  <c r="Q14" i="7" s="1"/>
  <c r="M78" i="41"/>
  <c r="M93" i="41" s="1"/>
  <c r="J14" i="7" s="1"/>
  <c r="I13" i="7"/>
  <c r="Q47" i="50"/>
  <c r="Q49" i="50"/>
  <c r="Q51" i="50"/>
  <c r="Q53" i="50"/>
  <c r="Q48" i="50"/>
  <c r="Q50" i="50"/>
  <c r="Q52" i="50"/>
  <c r="Q139" i="50"/>
  <c r="I51" i="50"/>
  <c r="I50" i="50"/>
  <c r="I49" i="50"/>
  <c r="I53" i="50"/>
  <c r="I48" i="50"/>
  <c r="I52" i="50"/>
  <c r="I139" i="50"/>
  <c r="R49" i="50"/>
  <c r="R53" i="50"/>
  <c r="R48" i="50"/>
  <c r="R52" i="50"/>
  <c r="R47" i="50"/>
  <c r="R51" i="50"/>
  <c r="R50" i="50"/>
  <c r="R139" i="50"/>
  <c r="X48" i="50"/>
  <c r="X50" i="50"/>
  <c r="X52" i="50"/>
  <c r="X47" i="50"/>
  <c r="X49" i="50"/>
  <c r="X51" i="50"/>
  <c r="X53" i="50"/>
  <c r="X139" i="50"/>
  <c r="T28" i="50"/>
  <c r="T26" i="50"/>
  <c r="T25" i="50"/>
  <c r="T27" i="50"/>
  <c r="T119" i="50"/>
  <c r="V47" i="50"/>
  <c r="V49" i="50"/>
  <c r="V51" i="50"/>
  <c r="V53" i="50"/>
  <c r="V48" i="50"/>
  <c r="V50" i="50"/>
  <c r="V52" i="50"/>
  <c r="V139" i="50"/>
  <c r="G50" i="50"/>
  <c r="G75" i="50" s="1"/>
  <c r="G49" i="50"/>
  <c r="G74" i="50" s="1"/>
  <c r="G53" i="50"/>
  <c r="G48" i="50"/>
  <c r="G52" i="50"/>
  <c r="G51" i="50"/>
  <c r="G76" i="50" s="1"/>
  <c r="G139" i="50"/>
  <c r="G159" i="50" s="1"/>
  <c r="N47" i="50"/>
  <c r="N51" i="50"/>
  <c r="N50" i="50"/>
  <c r="N49" i="50"/>
  <c r="N53" i="50"/>
  <c r="N48" i="50"/>
  <c r="N52" i="50"/>
  <c r="N139" i="50"/>
  <c r="O48" i="50"/>
  <c r="O50" i="50"/>
  <c r="O52" i="50"/>
  <c r="O47" i="50"/>
  <c r="O49" i="50"/>
  <c r="O51" i="50"/>
  <c r="O53" i="50"/>
  <c r="O139" i="50"/>
  <c r="W49" i="50"/>
  <c r="W53" i="50"/>
  <c r="W48" i="50"/>
  <c r="W52" i="50"/>
  <c r="W47" i="50"/>
  <c r="W51" i="50"/>
  <c r="W50" i="50"/>
  <c r="W139" i="50"/>
  <c r="J48" i="50"/>
  <c r="J50" i="50"/>
  <c r="J52" i="50"/>
  <c r="J49" i="50"/>
  <c r="J51" i="50"/>
  <c r="J53" i="50"/>
  <c r="J139" i="50"/>
  <c r="T48" i="50"/>
  <c r="T50" i="50"/>
  <c r="T75" i="50" s="1"/>
  <c r="T52" i="50"/>
  <c r="T77" i="50" s="1"/>
  <c r="T47" i="50"/>
  <c r="T49" i="50"/>
  <c r="T51" i="50"/>
  <c r="T76" i="50" s="1"/>
  <c r="T53" i="50"/>
  <c r="T78" i="50" s="1"/>
  <c r="T139" i="50"/>
  <c r="T159" i="50" s="1"/>
  <c r="M47" i="50"/>
  <c r="M49" i="50"/>
  <c r="M74" i="50" s="1"/>
  <c r="M51" i="50"/>
  <c r="M76" i="50" s="1"/>
  <c r="N76" i="50" s="1"/>
  <c r="O76" i="50" s="1"/>
  <c r="M53" i="50"/>
  <c r="M78" i="50" s="1"/>
  <c r="M48" i="50"/>
  <c r="M50" i="50"/>
  <c r="M75" i="50" s="1"/>
  <c r="M52" i="50"/>
  <c r="M77" i="50" s="1"/>
  <c r="M139" i="50"/>
  <c r="M159" i="50" s="1"/>
  <c r="P48" i="50"/>
  <c r="P52" i="50"/>
  <c r="P47" i="50"/>
  <c r="P51" i="50"/>
  <c r="P50" i="50"/>
  <c r="P49" i="50"/>
  <c r="P53" i="50"/>
  <c r="P139" i="50"/>
  <c r="U48" i="50"/>
  <c r="U52" i="50"/>
  <c r="U47" i="50"/>
  <c r="U51" i="50"/>
  <c r="U50" i="50"/>
  <c r="U49" i="50"/>
  <c r="U53" i="50"/>
  <c r="U139" i="50"/>
  <c r="H49" i="50"/>
  <c r="H51" i="50"/>
  <c r="H53" i="50"/>
  <c r="H48" i="50"/>
  <c r="H50" i="50"/>
  <c r="H52" i="50"/>
  <c r="H139" i="50"/>
  <c r="K48" i="50"/>
  <c r="K52" i="50"/>
  <c r="K51" i="50"/>
  <c r="K50" i="50"/>
  <c r="K49" i="50"/>
  <c r="K53" i="50"/>
  <c r="K139" i="50"/>
  <c r="Y50" i="50"/>
  <c r="Y49" i="50"/>
  <c r="Y48" i="50"/>
  <c r="Y52" i="50"/>
  <c r="Y47" i="50"/>
  <c r="Y51" i="50"/>
  <c r="Y53" i="50"/>
  <c r="Y139" i="50"/>
  <c r="C7" i="47"/>
  <c r="M83" i="41"/>
  <c r="M88" i="41" s="1"/>
  <c r="T83" i="41"/>
  <c r="Q82" i="41"/>
  <c r="X82" i="41"/>
  <c r="I92" i="41"/>
  <c r="R84" i="41"/>
  <c r="Y84" i="41"/>
  <c r="J94" i="41"/>
  <c r="V9" i="7" s="1"/>
  <c r="N84" i="41"/>
  <c r="U84" i="41"/>
  <c r="F94" i="41"/>
  <c r="R9" i="7" s="1"/>
  <c r="S83" i="41"/>
  <c r="Z83" i="41"/>
  <c r="Z88" i="41" s="1"/>
  <c r="K93" i="41"/>
  <c r="P9" i="7" s="1"/>
  <c r="W84" i="41"/>
  <c r="W89" i="41" s="1"/>
  <c r="H94" i="41"/>
  <c r="T9" i="7" s="1"/>
  <c r="P84" i="41"/>
  <c r="P89" i="41" s="1"/>
  <c r="C34" i="48"/>
  <c r="G79" i="41"/>
  <c r="L73" i="41"/>
  <c r="AA73" i="41" s="1"/>
  <c r="T116" i="50"/>
  <c r="T124" i="50"/>
  <c r="T115" i="50"/>
  <c r="U115" i="50" s="1"/>
  <c r="V115" i="50" s="1"/>
  <c r="T127" i="50"/>
  <c r="T128" i="50"/>
  <c r="T111" i="50"/>
  <c r="T120" i="50"/>
  <c r="U120" i="50" s="1"/>
  <c r="V120" i="50" s="1"/>
  <c r="T112" i="50"/>
  <c r="T126" i="50"/>
  <c r="T121" i="50"/>
  <c r="T123" i="50"/>
  <c r="U123" i="50" s="1"/>
  <c r="V123" i="50" s="1"/>
  <c r="T117" i="50"/>
  <c r="T125" i="50"/>
  <c r="T122" i="50"/>
  <c r="T118" i="50"/>
  <c r="U118" i="50" s="1"/>
  <c r="V118" i="50" s="1"/>
  <c r="T113" i="50"/>
  <c r="W131" i="50"/>
  <c r="W136" i="50"/>
  <c r="W145" i="50"/>
  <c r="W135" i="50"/>
  <c r="W146" i="50"/>
  <c r="W142" i="50"/>
  <c r="W137" i="50"/>
  <c r="W149" i="50"/>
  <c r="W147" i="50"/>
  <c r="W143" i="50"/>
  <c r="W141" i="50"/>
  <c r="W132" i="50"/>
  <c r="W148" i="50"/>
  <c r="W144" i="50"/>
  <c r="W140" i="50"/>
  <c r="W133" i="50"/>
  <c r="W138" i="50"/>
  <c r="U149" i="50"/>
  <c r="U132" i="50"/>
  <c r="U148" i="50"/>
  <c r="U144" i="50"/>
  <c r="U131" i="50"/>
  <c r="U145" i="50"/>
  <c r="U140" i="50"/>
  <c r="U136" i="50"/>
  <c r="U146" i="50"/>
  <c r="U142" i="50"/>
  <c r="U147" i="50"/>
  <c r="U143" i="50"/>
  <c r="U141" i="50"/>
  <c r="U135" i="50"/>
  <c r="U137" i="50"/>
  <c r="U133" i="50"/>
  <c r="U138" i="50"/>
  <c r="J149" i="50"/>
  <c r="J136" i="50"/>
  <c r="J141" i="50"/>
  <c r="J140" i="50"/>
  <c r="J145" i="50"/>
  <c r="J131" i="50"/>
  <c r="J135" i="50"/>
  <c r="J132" i="50"/>
  <c r="J147" i="50"/>
  <c r="J143" i="50"/>
  <c r="J142" i="50"/>
  <c r="J137" i="50"/>
  <c r="J148" i="50"/>
  <c r="J146" i="50"/>
  <c r="J144" i="50"/>
  <c r="J133" i="50"/>
  <c r="J138" i="50"/>
  <c r="Y147" i="50"/>
  <c r="Y143" i="50"/>
  <c r="Y141" i="50"/>
  <c r="Y135" i="50"/>
  <c r="Y137" i="50"/>
  <c r="Y149" i="50"/>
  <c r="Y132" i="50"/>
  <c r="Y148" i="50"/>
  <c r="Y144" i="50"/>
  <c r="Y136" i="50"/>
  <c r="Y145" i="50"/>
  <c r="Y140" i="50"/>
  <c r="Y131" i="50"/>
  <c r="Y146" i="50"/>
  <c r="Y142" i="50"/>
  <c r="Y133" i="50"/>
  <c r="Y138" i="50"/>
  <c r="T135" i="50"/>
  <c r="T155" i="50" s="1"/>
  <c r="T132" i="50"/>
  <c r="T152" i="50" s="1"/>
  <c r="T137" i="50"/>
  <c r="T157" i="50" s="1"/>
  <c r="T149" i="50"/>
  <c r="T169" i="50" s="1"/>
  <c r="T136" i="50"/>
  <c r="T156" i="50" s="1"/>
  <c r="T141" i="50"/>
  <c r="T161" i="50" s="1"/>
  <c r="T148" i="50"/>
  <c r="T168" i="50" s="1"/>
  <c r="T144" i="50"/>
  <c r="T164" i="50" s="1"/>
  <c r="T131" i="50"/>
  <c r="T151" i="50" s="1"/>
  <c r="T147" i="50"/>
  <c r="T167" i="50" s="1"/>
  <c r="T145" i="50"/>
  <c r="T165" i="50" s="1"/>
  <c r="T143" i="50"/>
  <c r="T163" i="50" s="1"/>
  <c r="T146" i="50"/>
  <c r="T166" i="50" s="1"/>
  <c r="T142" i="50"/>
  <c r="T162" i="50" s="1"/>
  <c r="T140" i="50"/>
  <c r="T160" i="50" s="1"/>
  <c r="T133" i="50"/>
  <c r="T153" i="50" s="1"/>
  <c r="T138" i="50"/>
  <c r="T158" i="50" s="1"/>
  <c r="H131" i="50"/>
  <c r="H145" i="50"/>
  <c r="H149" i="50"/>
  <c r="H136" i="50"/>
  <c r="H132" i="50"/>
  <c r="H147" i="50"/>
  <c r="H143" i="50"/>
  <c r="H146" i="50"/>
  <c r="H140" i="50"/>
  <c r="H148" i="50"/>
  <c r="H144" i="50"/>
  <c r="H135" i="50"/>
  <c r="H141" i="50"/>
  <c r="H142" i="50"/>
  <c r="H137" i="50"/>
  <c r="H138" i="50"/>
  <c r="H133" i="50"/>
  <c r="M149" i="50"/>
  <c r="M169" i="50" s="1"/>
  <c r="M136" i="50"/>
  <c r="M156" i="50" s="1"/>
  <c r="M147" i="50"/>
  <c r="M167" i="50" s="1"/>
  <c r="M143" i="50"/>
  <c r="M163" i="50" s="1"/>
  <c r="M137" i="50"/>
  <c r="M157" i="50" s="1"/>
  <c r="M145" i="50"/>
  <c r="M165" i="50" s="1"/>
  <c r="M140" i="50"/>
  <c r="M160" i="50" s="1"/>
  <c r="M131" i="50"/>
  <c r="M132" i="50"/>
  <c r="M152" i="50" s="1"/>
  <c r="M141" i="50"/>
  <c r="M161" i="50" s="1"/>
  <c r="M135" i="50"/>
  <c r="M155" i="50" s="1"/>
  <c r="M148" i="50"/>
  <c r="M168" i="50" s="1"/>
  <c r="M146" i="50"/>
  <c r="M166" i="50" s="1"/>
  <c r="M144" i="50"/>
  <c r="M164" i="50" s="1"/>
  <c r="M142" i="50"/>
  <c r="M162" i="50" s="1"/>
  <c r="M133" i="50"/>
  <c r="M153" i="50" s="1"/>
  <c r="M138" i="50"/>
  <c r="M158" i="50" s="1"/>
  <c r="P149" i="50"/>
  <c r="P132" i="50"/>
  <c r="P147" i="50"/>
  <c r="P143" i="50"/>
  <c r="P135" i="50"/>
  <c r="P148" i="50"/>
  <c r="P144" i="50"/>
  <c r="P137" i="50"/>
  <c r="P131" i="50"/>
  <c r="P145" i="50"/>
  <c r="P141" i="50"/>
  <c r="P146" i="50"/>
  <c r="P140" i="50"/>
  <c r="P136" i="50"/>
  <c r="P142" i="50"/>
  <c r="P133" i="50"/>
  <c r="P138" i="50"/>
  <c r="K135" i="50"/>
  <c r="K145" i="50"/>
  <c r="K142" i="50"/>
  <c r="K137" i="50"/>
  <c r="K131" i="50"/>
  <c r="K132" i="50"/>
  <c r="K141" i="50"/>
  <c r="K148" i="50"/>
  <c r="K144" i="50"/>
  <c r="K149" i="50"/>
  <c r="K147" i="50"/>
  <c r="K143" i="50"/>
  <c r="K140" i="50"/>
  <c r="K136" i="50"/>
  <c r="K146" i="50"/>
  <c r="K138" i="50"/>
  <c r="K133" i="50"/>
  <c r="V131" i="50"/>
  <c r="V147" i="50"/>
  <c r="V143" i="50"/>
  <c r="V146" i="50"/>
  <c r="V142" i="50"/>
  <c r="V145" i="50"/>
  <c r="V141" i="50"/>
  <c r="V140" i="50"/>
  <c r="V132" i="50"/>
  <c r="V149" i="50"/>
  <c r="V136" i="50"/>
  <c r="V135" i="50"/>
  <c r="V148" i="50"/>
  <c r="V144" i="50"/>
  <c r="V137" i="50"/>
  <c r="V133" i="50"/>
  <c r="V138" i="50"/>
  <c r="Q141" i="50"/>
  <c r="Q135" i="50"/>
  <c r="Q131" i="50"/>
  <c r="Q132" i="50"/>
  <c r="Q146" i="50"/>
  <c r="Q149" i="50"/>
  <c r="Q136" i="50"/>
  <c r="Q148" i="50"/>
  <c r="Q144" i="50"/>
  <c r="Q142" i="50"/>
  <c r="Q140" i="50"/>
  <c r="Q147" i="50"/>
  <c r="Q145" i="50"/>
  <c r="Q143" i="50"/>
  <c r="Q137" i="50"/>
  <c r="Q133" i="50"/>
  <c r="Q138" i="50"/>
  <c r="G131" i="50"/>
  <c r="G132" i="50"/>
  <c r="G152" i="50" s="1"/>
  <c r="G148" i="50"/>
  <c r="G168" i="50" s="1"/>
  <c r="G144" i="50"/>
  <c r="G164" i="50" s="1"/>
  <c r="G136" i="50"/>
  <c r="G156" i="50" s="1"/>
  <c r="G147" i="50"/>
  <c r="G167" i="50" s="1"/>
  <c r="G143" i="50"/>
  <c r="G163" i="50" s="1"/>
  <c r="G140" i="50"/>
  <c r="G160" i="50" s="1"/>
  <c r="G141" i="50"/>
  <c r="G161" i="50" s="1"/>
  <c r="G146" i="50"/>
  <c r="G166" i="50" s="1"/>
  <c r="G149" i="50"/>
  <c r="G135" i="50"/>
  <c r="G155" i="50" s="1"/>
  <c r="G145" i="50"/>
  <c r="G165" i="50" s="1"/>
  <c r="G142" i="50"/>
  <c r="G162" i="50" s="1"/>
  <c r="G137" i="50"/>
  <c r="G157" i="50" s="1"/>
  <c r="G133" i="50"/>
  <c r="G153" i="50" s="1"/>
  <c r="G138" i="50"/>
  <c r="G158" i="50" s="1"/>
  <c r="I135" i="50"/>
  <c r="I147" i="50"/>
  <c r="I143" i="50"/>
  <c r="I141" i="50"/>
  <c r="I146" i="50"/>
  <c r="I142" i="50"/>
  <c r="I137" i="50"/>
  <c r="I136" i="50"/>
  <c r="I149" i="50"/>
  <c r="I132" i="50"/>
  <c r="I145" i="50"/>
  <c r="I148" i="50"/>
  <c r="I144" i="50"/>
  <c r="I140" i="50"/>
  <c r="I131" i="50"/>
  <c r="I138" i="50"/>
  <c r="I133" i="50"/>
  <c r="N136" i="50"/>
  <c r="N145" i="50"/>
  <c r="N142" i="50"/>
  <c r="N149" i="50"/>
  <c r="N132" i="50"/>
  <c r="N141" i="50"/>
  <c r="N148" i="50"/>
  <c r="N144" i="50"/>
  <c r="N137" i="50"/>
  <c r="N147" i="50"/>
  <c r="N143" i="50"/>
  <c r="N135" i="50"/>
  <c r="N131" i="50"/>
  <c r="N146" i="50"/>
  <c r="N140" i="50"/>
  <c r="N133" i="50"/>
  <c r="N138" i="50"/>
  <c r="R136" i="50"/>
  <c r="R146" i="50"/>
  <c r="R142" i="50"/>
  <c r="R140" i="50"/>
  <c r="R131" i="50"/>
  <c r="R145" i="50"/>
  <c r="R135" i="50"/>
  <c r="R132" i="50"/>
  <c r="R141" i="50"/>
  <c r="R148" i="50"/>
  <c r="R144" i="50"/>
  <c r="R137" i="50"/>
  <c r="R149" i="50"/>
  <c r="R147" i="50"/>
  <c r="R143" i="50"/>
  <c r="R138" i="50"/>
  <c r="R133" i="50"/>
  <c r="O131" i="50"/>
  <c r="O149" i="50"/>
  <c r="O146" i="50"/>
  <c r="O147" i="50"/>
  <c r="O143" i="50"/>
  <c r="O141" i="50"/>
  <c r="O148" i="50"/>
  <c r="O144" i="50"/>
  <c r="O142" i="50"/>
  <c r="O140" i="50"/>
  <c r="O145" i="50"/>
  <c r="O136" i="50"/>
  <c r="O132" i="50"/>
  <c r="O135" i="50"/>
  <c r="O137" i="50"/>
  <c r="O138" i="50"/>
  <c r="O133" i="50"/>
  <c r="X140" i="50"/>
  <c r="X149" i="50"/>
  <c r="X147" i="50"/>
  <c r="X143" i="50"/>
  <c r="X141" i="50"/>
  <c r="X148" i="50"/>
  <c r="X146" i="50"/>
  <c r="X144" i="50"/>
  <c r="X142" i="50"/>
  <c r="X131" i="50"/>
  <c r="X136" i="50"/>
  <c r="X145" i="50"/>
  <c r="X135" i="50"/>
  <c r="X137" i="50"/>
  <c r="X132" i="50"/>
  <c r="X133" i="50"/>
  <c r="X138" i="50"/>
  <c r="F112" i="51"/>
  <c r="U57" i="50"/>
  <c r="U56" i="50"/>
  <c r="U58" i="50"/>
  <c r="U45" i="50"/>
  <c r="U38" i="50"/>
  <c r="U41" i="50"/>
  <c r="U40" i="50"/>
  <c r="U44" i="50"/>
  <c r="U36" i="50"/>
  <c r="U54" i="50"/>
  <c r="U46" i="50"/>
  <c r="U35" i="50"/>
  <c r="U55" i="50"/>
  <c r="Y57" i="50"/>
  <c r="Y56" i="50"/>
  <c r="Y44" i="50"/>
  <c r="Y36" i="50"/>
  <c r="Y55" i="50"/>
  <c r="Y41" i="50"/>
  <c r="Y54" i="50"/>
  <c r="Y58" i="50"/>
  <c r="Y45" i="50"/>
  <c r="Y38" i="50"/>
  <c r="Y40" i="50"/>
  <c r="Y46" i="50"/>
  <c r="Y35" i="50"/>
  <c r="H56" i="50"/>
  <c r="H57" i="50"/>
  <c r="H112" i="51"/>
  <c r="H58" i="50"/>
  <c r="H44" i="50"/>
  <c r="H36" i="50"/>
  <c r="H40" i="50"/>
  <c r="H46" i="50"/>
  <c r="H55" i="50"/>
  <c r="H47" i="50"/>
  <c r="H41" i="50"/>
  <c r="H35" i="50"/>
  <c r="H45" i="50"/>
  <c r="H38" i="50"/>
  <c r="H54" i="50"/>
  <c r="K57" i="50"/>
  <c r="K56" i="50"/>
  <c r="K112" i="51"/>
  <c r="K40" i="50"/>
  <c r="K54" i="50"/>
  <c r="K46" i="50"/>
  <c r="K58" i="50"/>
  <c r="K45" i="50"/>
  <c r="K38" i="50"/>
  <c r="K55" i="50"/>
  <c r="K47" i="50"/>
  <c r="K41" i="50"/>
  <c r="K35" i="50"/>
  <c r="K44" i="50"/>
  <c r="K36" i="50"/>
  <c r="Q57" i="50"/>
  <c r="Q56" i="50"/>
  <c r="Q44" i="50"/>
  <c r="Q40" i="50"/>
  <c r="Q54" i="50"/>
  <c r="Q55" i="50"/>
  <c r="Q41" i="50"/>
  <c r="Q35" i="50"/>
  <c r="Q58" i="50"/>
  <c r="Q45" i="50"/>
  <c r="Q38" i="50"/>
  <c r="Q36" i="50"/>
  <c r="Q46" i="50"/>
  <c r="I56" i="50"/>
  <c r="I57" i="50"/>
  <c r="I112" i="51"/>
  <c r="I44" i="50"/>
  <c r="I36" i="50"/>
  <c r="I58" i="50"/>
  <c r="I46" i="50"/>
  <c r="I55" i="50"/>
  <c r="I47" i="50"/>
  <c r="I41" i="50"/>
  <c r="I35" i="50"/>
  <c r="I54" i="50"/>
  <c r="I40" i="50"/>
  <c r="I45" i="50"/>
  <c r="I38" i="50"/>
  <c r="R57" i="50"/>
  <c r="R56" i="50"/>
  <c r="R58" i="50"/>
  <c r="R45" i="50"/>
  <c r="R38" i="50"/>
  <c r="R55" i="50"/>
  <c r="R44" i="50"/>
  <c r="R36" i="50"/>
  <c r="R35" i="50"/>
  <c r="R40" i="50"/>
  <c r="R54" i="50"/>
  <c r="R46" i="50"/>
  <c r="R41" i="50"/>
  <c r="X56" i="50"/>
  <c r="X57" i="50"/>
  <c r="X55" i="50"/>
  <c r="X41" i="50"/>
  <c r="X36" i="50"/>
  <c r="X35" i="50"/>
  <c r="X58" i="50"/>
  <c r="X54" i="50"/>
  <c r="X46" i="50"/>
  <c r="X44" i="50"/>
  <c r="X40" i="50"/>
  <c r="X45" i="50"/>
  <c r="X38" i="50"/>
  <c r="V57" i="50"/>
  <c r="V56" i="50"/>
  <c r="V40" i="50"/>
  <c r="V54" i="50"/>
  <c r="V46" i="50"/>
  <c r="V36" i="50"/>
  <c r="V45" i="50"/>
  <c r="V38" i="50"/>
  <c r="V58" i="50"/>
  <c r="V55" i="50"/>
  <c r="V41" i="50"/>
  <c r="V35" i="50"/>
  <c r="V44" i="50"/>
  <c r="G57" i="50"/>
  <c r="G56" i="50"/>
  <c r="G112" i="51"/>
  <c r="G55" i="50"/>
  <c r="G47" i="50"/>
  <c r="G41" i="50"/>
  <c r="G35" i="50"/>
  <c r="G58" i="50"/>
  <c r="G45" i="50"/>
  <c r="G54" i="50"/>
  <c r="G46" i="50"/>
  <c r="G38" i="50"/>
  <c r="G40" i="50"/>
  <c r="G44" i="50"/>
  <c r="G36" i="50"/>
  <c r="N56" i="50"/>
  <c r="N57" i="50"/>
  <c r="N54" i="50"/>
  <c r="N46" i="50"/>
  <c r="N58" i="50"/>
  <c r="N45" i="50"/>
  <c r="N38" i="50"/>
  <c r="N40" i="50"/>
  <c r="N44" i="50"/>
  <c r="N55" i="50"/>
  <c r="N41" i="50"/>
  <c r="N36" i="50"/>
  <c r="N35" i="50"/>
  <c r="O56" i="50"/>
  <c r="O57" i="50"/>
  <c r="O55" i="50"/>
  <c r="O41" i="50"/>
  <c r="O35" i="50"/>
  <c r="O40" i="50"/>
  <c r="O54" i="50"/>
  <c r="O46" i="50"/>
  <c r="O45" i="50"/>
  <c r="O58" i="50"/>
  <c r="O44" i="50"/>
  <c r="O36" i="50"/>
  <c r="O38" i="50"/>
  <c r="W56" i="50"/>
  <c r="W57" i="50"/>
  <c r="W54" i="50"/>
  <c r="W46" i="50"/>
  <c r="W35" i="50"/>
  <c r="W40" i="50"/>
  <c r="W36" i="50"/>
  <c r="W58" i="50"/>
  <c r="W45" i="50"/>
  <c r="W38" i="50"/>
  <c r="W55" i="50"/>
  <c r="W41" i="50"/>
  <c r="W44" i="50"/>
  <c r="J56" i="50"/>
  <c r="J57" i="50"/>
  <c r="J112" i="51"/>
  <c r="J45" i="50"/>
  <c r="J38" i="50"/>
  <c r="J55" i="50"/>
  <c r="J41" i="50"/>
  <c r="J44" i="50"/>
  <c r="J36" i="50"/>
  <c r="J40" i="50"/>
  <c r="J35" i="50"/>
  <c r="J58" i="50"/>
  <c r="J54" i="50"/>
  <c r="J46" i="50"/>
  <c r="J47" i="50"/>
  <c r="T56" i="50"/>
  <c r="T57" i="50"/>
  <c r="T82" i="50" s="1"/>
  <c r="T44" i="50"/>
  <c r="T36" i="50"/>
  <c r="T40" i="50"/>
  <c r="T55" i="50"/>
  <c r="T41" i="50"/>
  <c r="T58" i="50"/>
  <c r="T54" i="50"/>
  <c r="T46" i="50"/>
  <c r="T45" i="50"/>
  <c r="T38" i="50"/>
  <c r="T35" i="50"/>
  <c r="M57" i="50"/>
  <c r="M82" i="50" s="1"/>
  <c r="M56" i="50"/>
  <c r="M45" i="50"/>
  <c r="M38" i="50"/>
  <c r="M44" i="50"/>
  <c r="M36" i="50"/>
  <c r="M35" i="50"/>
  <c r="M41" i="50"/>
  <c r="M54" i="50"/>
  <c r="M46" i="50"/>
  <c r="M40" i="50"/>
  <c r="M55" i="50"/>
  <c r="M58" i="50"/>
  <c r="P57" i="50"/>
  <c r="P56" i="50"/>
  <c r="P55" i="50"/>
  <c r="P41" i="50"/>
  <c r="P54" i="50"/>
  <c r="P46" i="50"/>
  <c r="P40" i="50"/>
  <c r="P45" i="50"/>
  <c r="P44" i="50"/>
  <c r="P36" i="50"/>
  <c r="P35" i="50"/>
  <c r="P58" i="50"/>
  <c r="P38" i="50"/>
  <c r="F84" i="41"/>
  <c r="F89" i="41" s="1"/>
  <c r="T129" i="50"/>
  <c r="I78" i="41"/>
  <c r="I82" i="41"/>
  <c r="I87" i="41" s="1"/>
  <c r="F78" i="41"/>
  <c r="M114" i="50" s="1"/>
  <c r="G78" i="41"/>
  <c r="F77" i="41"/>
  <c r="F114" i="50" s="1"/>
  <c r="G77" i="41"/>
  <c r="J78" i="41"/>
  <c r="I79" i="41"/>
  <c r="H77" i="41"/>
  <c r="P82" i="41" s="1"/>
  <c r="N89" i="41"/>
  <c r="K79" i="41"/>
  <c r="K77" i="41"/>
  <c r="K83" i="41"/>
  <c r="K88" i="41" s="1"/>
  <c r="H84" i="41"/>
  <c r="H89" i="41" s="1"/>
  <c r="J84" i="41"/>
  <c r="J89" i="41" s="1"/>
  <c r="J77" i="41"/>
  <c r="H78" i="41"/>
  <c r="E83" i="41"/>
  <c r="E88" i="41" s="1"/>
  <c r="T33" i="50"/>
  <c r="T29" i="50"/>
  <c r="T23" i="50"/>
  <c r="T19" i="50"/>
  <c r="T15" i="50"/>
  <c r="T30" i="50"/>
  <c r="T22" i="50"/>
  <c r="T10" i="50"/>
  <c r="T32" i="50"/>
  <c r="T24" i="50"/>
  <c r="T11" i="50"/>
  <c r="T16" i="50"/>
  <c r="T31" i="50"/>
  <c r="T21" i="50"/>
  <c r="T13" i="50"/>
  <c r="T20" i="50"/>
  <c r="J257" i="50"/>
  <c r="R235" i="50"/>
  <c r="R258" i="50"/>
  <c r="R257" i="50" s="1"/>
  <c r="Y258" i="50"/>
  <c r="Q257" i="50"/>
  <c r="K235" i="50"/>
  <c r="K258" i="50"/>
  <c r="K257" i="50" s="1"/>
  <c r="S63" i="53" l="1"/>
  <c r="S86" i="53" s="1"/>
  <c r="T59" i="53"/>
  <c r="U59" i="53"/>
  <c r="M97" i="41"/>
  <c r="U14" i="50"/>
  <c r="N78" i="50"/>
  <c r="O78" i="50" s="1"/>
  <c r="P78" i="50" s="1"/>
  <c r="Q78" i="50" s="1"/>
  <c r="R78" i="50" s="1"/>
  <c r="O64" i="50"/>
  <c r="P64" i="50" s="1"/>
  <c r="Q64" i="50" s="1"/>
  <c r="R64" i="50" s="1"/>
  <c r="I130" i="50"/>
  <c r="H130" i="50"/>
  <c r="K130" i="50"/>
  <c r="G130" i="50"/>
  <c r="J130" i="50"/>
  <c r="V13" i="7"/>
  <c r="U114" i="50"/>
  <c r="V114" i="50" s="1"/>
  <c r="U67" i="50"/>
  <c r="V67" i="50" s="1"/>
  <c r="W67" i="50" s="1"/>
  <c r="X67" i="50" s="1"/>
  <c r="Y67" i="50" s="1"/>
  <c r="N114" i="50"/>
  <c r="M174" i="50"/>
  <c r="G114" i="50"/>
  <c r="F174" i="50"/>
  <c r="U64" i="50"/>
  <c r="V64" i="50" s="1"/>
  <c r="W64" i="50" s="1"/>
  <c r="X64" i="50" s="1"/>
  <c r="Y64" i="50" s="1"/>
  <c r="H67" i="50"/>
  <c r="I67" i="50" s="1"/>
  <c r="J67" i="50" s="1"/>
  <c r="K67" i="50" s="1"/>
  <c r="N159" i="50"/>
  <c r="O159" i="50" s="1"/>
  <c r="P159" i="50" s="1"/>
  <c r="Q159" i="50" s="1"/>
  <c r="R159" i="50" s="1"/>
  <c r="U17" i="50"/>
  <c r="T92" i="50"/>
  <c r="F14" i="50"/>
  <c r="F89" i="50" s="1"/>
  <c r="F17" i="50"/>
  <c r="M14" i="50"/>
  <c r="N14" i="50" s="1"/>
  <c r="M17" i="50"/>
  <c r="T89" i="50"/>
  <c r="N67" i="50"/>
  <c r="O67" i="50" s="1"/>
  <c r="P67" i="50" s="1"/>
  <c r="Q67" i="50" s="1"/>
  <c r="R67" i="50" s="1"/>
  <c r="H64" i="50"/>
  <c r="I64" i="50" s="1"/>
  <c r="J64" i="50" s="1"/>
  <c r="K64" i="50" s="1"/>
  <c r="T13" i="7"/>
  <c r="V14" i="50"/>
  <c r="Q13" i="7"/>
  <c r="Q26" i="7"/>
  <c r="F15" i="7"/>
  <c r="W91" i="41"/>
  <c r="M84" i="41"/>
  <c r="M89" i="41" s="1"/>
  <c r="M98" i="41" s="1"/>
  <c r="Q17" i="7" s="1"/>
  <c r="Q28" i="7" s="1"/>
  <c r="Q30" i="7" s="1"/>
  <c r="E94" i="41"/>
  <c r="Q9" i="7" s="1"/>
  <c r="T84" i="41"/>
  <c r="T89" i="41" s="1"/>
  <c r="T98" i="41" s="1"/>
  <c r="Q18" i="7" s="1"/>
  <c r="Q21" i="7" s="1"/>
  <c r="E84" i="41"/>
  <c r="E89" i="41" s="1"/>
  <c r="E86" i="41" s="1"/>
  <c r="N91" i="41"/>
  <c r="D14" i="7"/>
  <c r="D13" i="7" s="1"/>
  <c r="Y91" i="41"/>
  <c r="C13" i="7"/>
  <c r="C26" i="7"/>
  <c r="J13" i="7"/>
  <c r="J26" i="7"/>
  <c r="Q91" i="41"/>
  <c r="G14" i="7"/>
  <c r="G13" i="7" s="1"/>
  <c r="E14" i="7"/>
  <c r="E13" i="7" s="1"/>
  <c r="O91" i="41"/>
  <c r="M82" i="41"/>
  <c r="M87" i="41" s="1"/>
  <c r="M96" i="41" s="1"/>
  <c r="T82" i="41"/>
  <c r="T87" i="41" s="1"/>
  <c r="E92" i="41"/>
  <c r="C9" i="7" s="1"/>
  <c r="F14" i="7"/>
  <c r="F13" i="7" s="1"/>
  <c r="P91" i="41"/>
  <c r="R91" i="41"/>
  <c r="H14" i="7"/>
  <c r="H13" i="7" s="1"/>
  <c r="M91" i="41"/>
  <c r="U159" i="50"/>
  <c r="V159" i="50" s="1"/>
  <c r="W159" i="50" s="1"/>
  <c r="X159" i="50" s="1"/>
  <c r="Y159" i="50" s="1"/>
  <c r="U76" i="50"/>
  <c r="V76" i="50" s="1"/>
  <c r="W76" i="50" s="1"/>
  <c r="X76" i="50" s="1"/>
  <c r="Y76" i="50" s="1"/>
  <c r="H76" i="50"/>
  <c r="I76" i="50" s="1"/>
  <c r="J76" i="50" s="1"/>
  <c r="K76" i="50" s="1"/>
  <c r="H74" i="50"/>
  <c r="I74" i="50" s="1"/>
  <c r="J74" i="50" s="1"/>
  <c r="K74" i="50" s="1"/>
  <c r="H159" i="50"/>
  <c r="I159" i="50" s="1"/>
  <c r="J159" i="50" s="1"/>
  <c r="K159" i="50" s="1"/>
  <c r="M27" i="50"/>
  <c r="M25" i="50"/>
  <c r="M24" i="50"/>
  <c r="M26" i="50"/>
  <c r="M28" i="50"/>
  <c r="M119" i="50"/>
  <c r="U25" i="50"/>
  <c r="T100" i="50"/>
  <c r="F26" i="50"/>
  <c r="F24" i="50"/>
  <c r="F28" i="50"/>
  <c r="F27" i="50"/>
  <c r="F29" i="50"/>
  <c r="F25" i="50"/>
  <c r="F118" i="50"/>
  <c r="F119" i="50"/>
  <c r="H75" i="50"/>
  <c r="I75" i="50" s="1"/>
  <c r="J75" i="50" s="1"/>
  <c r="K75" i="50" s="1"/>
  <c r="U27" i="50"/>
  <c r="T102" i="50"/>
  <c r="N77" i="50"/>
  <c r="O77" i="50" s="1"/>
  <c r="P77" i="50" s="1"/>
  <c r="Q77" i="50" s="1"/>
  <c r="R77" i="50" s="1"/>
  <c r="P76" i="50"/>
  <c r="Q76" i="50" s="1"/>
  <c r="R76" i="50" s="1"/>
  <c r="U78" i="50"/>
  <c r="V78" i="50" s="1"/>
  <c r="W78" i="50" s="1"/>
  <c r="X78" i="50" s="1"/>
  <c r="Y78" i="50" s="1"/>
  <c r="U77" i="50"/>
  <c r="V77" i="50" s="1"/>
  <c r="W77" i="50" s="1"/>
  <c r="X77" i="50" s="1"/>
  <c r="Y77" i="50" s="1"/>
  <c r="U26" i="50"/>
  <c r="T101" i="50"/>
  <c r="N75" i="50"/>
  <c r="O75" i="50" s="1"/>
  <c r="P75" i="50" s="1"/>
  <c r="Q75" i="50" s="1"/>
  <c r="R75" i="50" s="1"/>
  <c r="U75" i="50"/>
  <c r="V75" i="50" s="1"/>
  <c r="W75" i="50" s="1"/>
  <c r="X75" i="50" s="1"/>
  <c r="Y75" i="50" s="1"/>
  <c r="U119" i="50"/>
  <c r="T179" i="50"/>
  <c r="U28" i="50"/>
  <c r="T103" i="50"/>
  <c r="C8" i="7"/>
  <c r="J17" i="7"/>
  <c r="J9" i="7"/>
  <c r="J8" i="7"/>
  <c r="E97" i="41"/>
  <c r="J92" i="41"/>
  <c r="Y82" i="41"/>
  <c r="Y87" i="41" s="1"/>
  <c r="R82" i="41"/>
  <c r="R87" i="41" s="1"/>
  <c r="W82" i="41"/>
  <c r="W87" i="41" s="1"/>
  <c r="H92" i="41"/>
  <c r="V82" i="41"/>
  <c r="V87" i="41" s="1"/>
  <c r="V96" i="41" s="1"/>
  <c r="E18" i="7" s="1"/>
  <c r="O82" i="41"/>
  <c r="O87" i="41" s="1"/>
  <c r="G92" i="41"/>
  <c r="Z84" i="41"/>
  <c r="Z89" i="41" s="1"/>
  <c r="S84" i="41"/>
  <c r="S89" i="41" s="1"/>
  <c r="S98" i="41" s="1"/>
  <c r="W17" i="7" s="1"/>
  <c r="K94" i="41"/>
  <c r="W9" i="7" s="1"/>
  <c r="X84" i="41"/>
  <c r="X89" i="41" s="1"/>
  <c r="X98" i="41" s="1"/>
  <c r="U18" i="7" s="1"/>
  <c r="U21" i="7" s="1"/>
  <c r="I94" i="41"/>
  <c r="U9" i="7" s="1"/>
  <c r="Q84" i="41"/>
  <c r="Q89" i="41" s="1"/>
  <c r="Q98" i="41" s="1"/>
  <c r="U17" i="7" s="1"/>
  <c r="F92" i="41"/>
  <c r="U82" i="41"/>
  <c r="U87" i="41" s="1"/>
  <c r="U96" i="41" s="1"/>
  <c r="D18" i="7" s="1"/>
  <c r="D21" i="7" s="1"/>
  <c r="N82" i="41"/>
  <c r="N87" i="41" s="1"/>
  <c r="N96" i="41" s="1"/>
  <c r="G19" i="49"/>
  <c r="G8" i="7"/>
  <c r="I96" i="41"/>
  <c r="G10" i="7" s="1"/>
  <c r="R19" i="49"/>
  <c r="R8" i="7"/>
  <c r="F98" i="41"/>
  <c r="R10" i="7" s="1"/>
  <c r="V19" i="49"/>
  <c r="V8" i="7"/>
  <c r="J98" i="41"/>
  <c r="V10" i="7" s="1"/>
  <c r="T19" i="49"/>
  <c r="H98" i="41"/>
  <c r="T10" i="7" s="1"/>
  <c r="T8" i="7"/>
  <c r="P19" i="49"/>
  <c r="P8" i="7"/>
  <c r="K97" i="41"/>
  <c r="P10" i="7" s="1"/>
  <c r="Y83" i="41"/>
  <c r="Y88" i="41" s="1"/>
  <c r="Y97" i="41" s="1"/>
  <c r="O18" i="7" s="1"/>
  <c r="O21" i="7" s="1"/>
  <c r="J93" i="41"/>
  <c r="O9" i="7" s="1"/>
  <c r="R83" i="41"/>
  <c r="R88" i="41" s="1"/>
  <c r="O83" i="41"/>
  <c r="O88" i="41" s="1"/>
  <c r="V83" i="41"/>
  <c r="V88" i="41" s="1"/>
  <c r="G93" i="41"/>
  <c r="X83" i="41"/>
  <c r="X88" i="41" s="1"/>
  <c r="I93" i="41"/>
  <c r="N9" i="7" s="1"/>
  <c r="Q83" i="41"/>
  <c r="Q88" i="41" s="1"/>
  <c r="G9" i="7"/>
  <c r="H93" i="41"/>
  <c r="M9" i="7" s="1"/>
  <c r="W83" i="41"/>
  <c r="W88" i="41" s="1"/>
  <c r="P83" i="41"/>
  <c r="P88" i="41" s="1"/>
  <c r="Z82" i="41"/>
  <c r="Z87" i="41" s="1"/>
  <c r="S82" i="41"/>
  <c r="S87" i="41" s="1"/>
  <c r="S96" i="41" s="1"/>
  <c r="I17" i="7" s="1"/>
  <c r="K92" i="41"/>
  <c r="M15" i="50"/>
  <c r="N15" i="50" s="1"/>
  <c r="O15" i="50" s="1"/>
  <c r="U83" i="41"/>
  <c r="U88" i="41" s="1"/>
  <c r="U97" i="41" s="1"/>
  <c r="K18" i="7" s="1"/>
  <c r="K21" i="7" s="1"/>
  <c r="N83" i="41"/>
  <c r="N88" i="41" s="1"/>
  <c r="N97" i="41" s="1"/>
  <c r="K17" i="7" s="1"/>
  <c r="F93" i="41"/>
  <c r="K9" i="7" s="1"/>
  <c r="V84" i="41"/>
  <c r="V89" i="41" s="1"/>
  <c r="G94" i="41"/>
  <c r="O84" i="41"/>
  <c r="O89" i="41" s="1"/>
  <c r="O98" i="41" s="1"/>
  <c r="S17" i="7" s="1"/>
  <c r="D27" i="7"/>
  <c r="D55" i="53"/>
  <c r="W98" i="41"/>
  <c r="T18" i="7" s="1"/>
  <c r="T21" i="7" s="1"/>
  <c r="Z97" i="41"/>
  <c r="P18" i="7" s="1"/>
  <c r="P21" i="7" s="1"/>
  <c r="N98" i="41"/>
  <c r="R17" i="7" s="1"/>
  <c r="P98" i="41"/>
  <c r="T17" i="7" s="1"/>
  <c r="G84" i="41"/>
  <c r="G89" i="41" s="1"/>
  <c r="U15" i="50"/>
  <c r="V15" i="50" s="1"/>
  <c r="R89" i="41"/>
  <c r="U122" i="50"/>
  <c r="V122" i="50" s="1"/>
  <c r="W122" i="50" s="1"/>
  <c r="X122" i="50" s="1"/>
  <c r="Y122" i="50" s="1"/>
  <c r="U121" i="50"/>
  <c r="V121" i="50" s="1"/>
  <c r="W121" i="50" s="1"/>
  <c r="X121" i="50" s="1"/>
  <c r="Y121" i="50" s="1"/>
  <c r="U111" i="50"/>
  <c r="V111" i="50" s="1"/>
  <c r="W111" i="50" s="1"/>
  <c r="X111" i="50" s="1"/>
  <c r="Y111" i="50" s="1"/>
  <c r="U124" i="50"/>
  <c r="V124" i="50" s="1"/>
  <c r="W124" i="50" s="1"/>
  <c r="X124" i="50" s="1"/>
  <c r="Y124" i="50" s="1"/>
  <c r="U125" i="50"/>
  <c r="V125" i="50" s="1"/>
  <c r="W125" i="50" s="1"/>
  <c r="X125" i="50" s="1"/>
  <c r="Y125" i="50" s="1"/>
  <c r="U126" i="50"/>
  <c r="V126" i="50" s="1"/>
  <c r="W126" i="50" s="1"/>
  <c r="X126" i="50" s="1"/>
  <c r="Y126" i="50" s="1"/>
  <c r="U128" i="50"/>
  <c r="V128" i="50" s="1"/>
  <c r="W128" i="50" s="1"/>
  <c r="X128" i="50" s="1"/>
  <c r="Y128" i="50" s="1"/>
  <c r="U116" i="50"/>
  <c r="V116" i="50" s="1"/>
  <c r="W116" i="50" s="1"/>
  <c r="X116" i="50" s="1"/>
  <c r="Y116" i="50" s="1"/>
  <c r="U113" i="50"/>
  <c r="V113" i="50" s="1"/>
  <c r="W113" i="50" s="1"/>
  <c r="X113" i="50" s="1"/>
  <c r="Y113" i="50" s="1"/>
  <c r="U117" i="50"/>
  <c r="V117" i="50" s="1"/>
  <c r="W117" i="50" s="1"/>
  <c r="X117" i="50" s="1"/>
  <c r="Y117" i="50" s="1"/>
  <c r="U112" i="50"/>
  <c r="V112" i="50" s="1"/>
  <c r="W112" i="50" s="1"/>
  <c r="X112" i="50" s="1"/>
  <c r="Y112" i="50" s="1"/>
  <c r="U127" i="50"/>
  <c r="V127" i="50" s="1"/>
  <c r="W127" i="50" s="1"/>
  <c r="X127" i="50" s="1"/>
  <c r="Y127" i="50" s="1"/>
  <c r="G83" i="41"/>
  <c r="L78" i="41"/>
  <c r="Q87" i="41"/>
  <c r="L77" i="41"/>
  <c r="L79" i="41"/>
  <c r="H158" i="50"/>
  <c r="I158" i="50" s="1"/>
  <c r="T130" i="50"/>
  <c r="Y130" i="50"/>
  <c r="W130" i="50"/>
  <c r="W118" i="50"/>
  <c r="X118" i="50" s="1"/>
  <c r="Y118" i="50" s="1"/>
  <c r="W123" i="50"/>
  <c r="X123" i="50" s="1"/>
  <c r="Y123" i="50" s="1"/>
  <c r="W120" i="50"/>
  <c r="X120" i="50" s="1"/>
  <c r="Y120" i="50" s="1"/>
  <c r="W115" i="50"/>
  <c r="X115" i="50" s="1"/>
  <c r="Y115" i="50" s="1"/>
  <c r="G151" i="50"/>
  <c r="H151" i="50" s="1"/>
  <c r="X130" i="50"/>
  <c r="V130" i="50"/>
  <c r="U130" i="50"/>
  <c r="F116" i="50"/>
  <c r="F117" i="50"/>
  <c r="F125" i="50"/>
  <c r="F111" i="50"/>
  <c r="G111" i="50" s="1"/>
  <c r="F112" i="50"/>
  <c r="F126" i="50"/>
  <c r="F123" i="50"/>
  <c r="F127" i="50"/>
  <c r="F120" i="50"/>
  <c r="F122" i="50"/>
  <c r="F115" i="50"/>
  <c r="F124" i="50"/>
  <c r="F128" i="50"/>
  <c r="F121" i="50"/>
  <c r="F113" i="50"/>
  <c r="M116" i="50"/>
  <c r="N116" i="50" s="1"/>
  <c r="O116" i="50" s="1"/>
  <c r="P116" i="50" s="1"/>
  <c r="Q116" i="50" s="1"/>
  <c r="R116" i="50" s="1"/>
  <c r="M120" i="50"/>
  <c r="N120" i="50" s="1"/>
  <c r="O120" i="50" s="1"/>
  <c r="P120" i="50" s="1"/>
  <c r="Q120" i="50" s="1"/>
  <c r="R120" i="50" s="1"/>
  <c r="M123" i="50"/>
  <c r="N123" i="50" s="1"/>
  <c r="O123" i="50" s="1"/>
  <c r="P123" i="50" s="1"/>
  <c r="Q123" i="50" s="1"/>
  <c r="R123" i="50" s="1"/>
  <c r="M122" i="50"/>
  <c r="N122" i="50" s="1"/>
  <c r="O122" i="50" s="1"/>
  <c r="P122" i="50" s="1"/>
  <c r="Q122" i="50" s="1"/>
  <c r="R122" i="50" s="1"/>
  <c r="M128" i="50"/>
  <c r="N128" i="50" s="1"/>
  <c r="O128" i="50" s="1"/>
  <c r="P128" i="50" s="1"/>
  <c r="Q128" i="50" s="1"/>
  <c r="R128" i="50" s="1"/>
  <c r="M127" i="50"/>
  <c r="N127" i="50" s="1"/>
  <c r="O127" i="50" s="1"/>
  <c r="P127" i="50" s="1"/>
  <c r="Q127" i="50" s="1"/>
  <c r="R127" i="50" s="1"/>
  <c r="M117" i="50"/>
  <c r="N117" i="50" s="1"/>
  <c r="O117" i="50" s="1"/>
  <c r="P117" i="50" s="1"/>
  <c r="Q117" i="50" s="1"/>
  <c r="R117" i="50" s="1"/>
  <c r="M124" i="50"/>
  <c r="N124" i="50" s="1"/>
  <c r="O124" i="50" s="1"/>
  <c r="P124" i="50" s="1"/>
  <c r="Q124" i="50" s="1"/>
  <c r="R124" i="50" s="1"/>
  <c r="M112" i="50"/>
  <c r="N112" i="50" s="1"/>
  <c r="O112" i="50" s="1"/>
  <c r="P112" i="50" s="1"/>
  <c r="Q112" i="50" s="1"/>
  <c r="R112" i="50" s="1"/>
  <c r="M125" i="50"/>
  <c r="N125" i="50" s="1"/>
  <c r="O125" i="50" s="1"/>
  <c r="P125" i="50" s="1"/>
  <c r="Q125" i="50" s="1"/>
  <c r="R125" i="50" s="1"/>
  <c r="M126" i="50"/>
  <c r="N126" i="50" s="1"/>
  <c r="O126" i="50" s="1"/>
  <c r="P126" i="50" s="1"/>
  <c r="Q126" i="50" s="1"/>
  <c r="R126" i="50" s="1"/>
  <c r="M111" i="50"/>
  <c r="N111" i="50" s="1"/>
  <c r="O111" i="50" s="1"/>
  <c r="P111" i="50" s="1"/>
  <c r="Q111" i="50" s="1"/>
  <c r="R111" i="50" s="1"/>
  <c r="M115" i="50"/>
  <c r="N115" i="50" s="1"/>
  <c r="O115" i="50" s="1"/>
  <c r="P115" i="50" s="1"/>
  <c r="Q115" i="50" s="1"/>
  <c r="R115" i="50" s="1"/>
  <c r="M121" i="50"/>
  <c r="N121" i="50" s="1"/>
  <c r="O121" i="50" s="1"/>
  <c r="P121" i="50" s="1"/>
  <c r="Q121" i="50" s="1"/>
  <c r="R121" i="50" s="1"/>
  <c r="M113" i="50"/>
  <c r="N113" i="50" s="1"/>
  <c r="O113" i="50" s="1"/>
  <c r="P113" i="50" s="1"/>
  <c r="Q113" i="50" s="1"/>
  <c r="R113" i="50" s="1"/>
  <c r="M118" i="50"/>
  <c r="N118" i="50" s="1"/>
  <c r="O118" i="50" s="1"/>
  <c r="P118" i="50" s="1"/>
  <c r="Q118" i="50" s="1"/>
  <c r="R118" i="50" s="1"/>
  <c r="H165" i="50"/>
  <c r="H161" i="50"/>
  <c r="H168" i="50"/>
  <c r="H162" i="50"/>
  <c r="H166" i="50"/>
  <c r="H152" i="50"/>
  <c r="H156" i="50"/>
  <c r="H155" i="50"/>
  <c r="H163" i="50"/>
  <c r="H160" i="50"/>
  <c r="H153" i="50"/>
  <c r="T173" i="50"/>
  <c r="U153" i="50"/>
  <c r="T182" i="50"/>
  <c r="U162" i="50"/>
  <c r="T183" i="50"/>
  <c r="U163" i="50"/>
  <c r="U167" i="50"/>
  <c r="T187" i="50"/>
  <c r="T184" i="50"/>
  <c r="U164" i="50"/>
  <c r="U161" i="50"/>
  <c r="T181" i="50"/>
  <c r="T172" i="50"/>
  <c r="U152" i="50"/>
  <c r="H164" i="50"/>
  <c r="H157" i="50"/>
  <c r="H167" i="50"/>
  <c r="T178" i="50"/>
  <c r="U158" i="50"/>
  <c r="T180" i="50"/>
  <c r="U160" i="50"/>
  <c r="T186" i="50"/>
  <c r="U166" i="50"/>
  <c r="T185" i="50"/>
  <c r="U165" i="50"/>
  <c r="U151" i="50"/>
  <c r="T171" i="50"/>
  <c r="T188" i="50"/>
  <c r="U168" i="50"/>
  <c r="U156" i="50"/>
  <c r="T176" i="50"/>
  <c r="T177" i="50"/>
  <c r="U157" i="50"/>
  <c r="U155" i="50"/>
  <c r="T175" i="50"/>
  <c r="F10" i="50"/>
  <c r="G10" i="50" s="1"/>
  <c r="F169" i="50"/>
  <c r="F150" i="50" s="1"/>
  <c r="N153" i="50"/>
  <c r="N168" i="50"/>
  <c r="N155" i="50"/>
  <c r="N156" i="50"/>
  <c r="N157" i="50"/>
  <c r="F20" i="50"/>
  <c r="G20" i="50" s="1"/>
  <c r="F11" i="50"/>
  <c r="G11" i="50" s="1"/>
  <c r="F82" i="41"/>
  <c r="F87" i="41" s="1"/>
  <c r="F129" i="50"/>
  <c r="M129" i="50"/>
  <c r="U129" i="50"/>
  <c r="T110" i="50"/>
  <c r="U89" i="41"/>
  <c r="R12" i="49"/>
  <c r="U169" i="50"/>
  <c r="T189" i="50"/>
  <c r="T150" i="50"/>
  <c r="M10" i="50"/>
  <c r="N10" i="50" s="1"/>
  <c r="O10" i="50" s="1"/>
  <c r="F19" i="50"/>
  <c r="G19" i="50" s="1"/>
  <c r="F33" i="50"/>
  <c r="G33" i="50" s="1"/>
  <c r="F21" i="50"/>
  <c r="G21" i="50" s="1"/>
  <c r="P87" i="41"/>
  <c r="M31" i="50"/>
  <c r="N130" i="50"/>
  <c r="I83" i="41"/>
  <c r="I88" i="41" s="1"/>
  <c r="F22" i="50"/>
  <c r="F31" i="50"/>
  <c r="M33" i="50"/>
  <c r="N33" i="50" s="1"/>
  <c r="O33" i="50" s="1"/>
  <c r="M11" i="50"/>
  <c r="N11" i="50" s="1"/>
  <c r="O11" i="50" s="1"/>
  <c r="I84" i="41"/>
  <c r="I89" i="41" s="1"/>
  <c r="F23" i="50"/>
  <c r="F16" i="50"/>
  <c r="G16" i="50" s="1"/>
  <c r="M21" i="50"/>
  <c r="N21" i="50" s="1"/>
  <c r="O21" i="50" s="1"/>
  <c r="M30" i="50"/>
  <c r="H82" i="41"/>
  <c r="H87" i="41" s="1"/>
  <c r="F83" i="41"/>
  <c r="F88" i="41" s="1"/>
  <c r="M29" i="50"/>
  <c r="M22" i="50"/>
  <c r="M16" i="50"/>
  <c r="N16" i="50" s="1"/>
  <c r="O16" i="50" s="1"/>
  <c r="M19" i="50"/>
  <c r="M20" i="50"/>
  <c r="N20" i="50" s="1"/>
  <c r="O20" i="50" s="1"/>
  <c r="F15" i="50"/>
  <c r="G15" i="50" s="1"/>
  <c r="F13" i="50"/>
  <c r="F30" i="50"/>
  <c r="F32" i="50"/>
  <c r="G32" i="50" s="1"/>
  <c r="M23" i="50"/>
  <c r="M13" i="50"/>
  <c r="M32" i="50"/>
  <c r="N32" i="50" s="1"/>
  <c r="O32" i="50" s="1"/>
  <c r="J83" i="41"/>
  <c r="J88" i="41" s="1"/>
  <c r="G82" i="41"/>
  <c r="K82" i="41"/>
  <c r="K87" i="41" s="1"/>
  <c r="Y89" i="41"/>
  <c r="K84" i="41"/>
  <c r="K89" i="41" s="1"/>
  <c r="O130" i="50"/>
  <c r="M81" i="50"/>
  <c r="M80" i="50"/>
  <c r="M83" i="50"/>
  <c r="M72" i="50"/>
  <c r="M65" i="50"/>
  <c r="M71" i="50"/>
  <c r="M66" i="50"/>
  <c r="M79" i="50"/>
  <c r="M70" i="50"/>
  <c r="M73" i="50"/>
  <c r="M61" i="50"/>
  <c r="M60" i="50"/>
  <c r="F81" i="50"/>
  <c r="F78" i="50"/>
  <c r="F72" i="50"/>
  <c r="G72" i="50" s="1"/>
  <c r="F69" i="50"/>
  <c r="F60" i="50"/>
  <c r="F65" i="50"/>
  <c r="F61" i="50"/>
  <c r="F70" i="50"/>
  <c r="F73" i="50"/>
  <c r="F71" i="50"/>
  <c r="F80" i="50"/>
  <c r="F63" i="50"/>
  <c r="F83" i="50"/>
  <c r="F66" i="50"/>
  <c r="G66" i="50" s="1"/>
  <c r="S88" i="41"/>
  <c r="T88" i="41"/>
  <c r="H83" i="41"/>
  <c r="H88" i="41" s="1"/>
  <c r="T81" i="50"/>
  <c r="T65" i="50"/>
  <c r="T90" i="50" s="1"/>
  <c r="T72" i="50"/>
  <c r="T97" i="50" s="1"/>
  <c r="T61" i="50"/>
  <c r="T86" i="50" s="1"/>
  <c r="T69" i="50"/>
  <c r="T94" i="50" s="1"/>
  <c r="T60" i="50"/>
  <c r="T83" i="50"/>
  <c r="T108" i="50" s="1"/>
  <c r="T80" i="50"/>
  <c r="U80" i="50" s="1"/>
  <c r="J82" i="41"/>
  <c r="J87" i="41" s="1"/>
  <c r="X87" i="41"/>
  <c r="N152" i="50"/>
  <c r="N163" i="50"/>
  <c r="U23" i="50"/>
  <c r="N160" i="50"/>
  <c r="U29" i="50"/>
  <c r="Q130" i="50"/>
  <c r="N167" i="50"/>
  <c r="N164" i="50"/>
  <c r="M151" i="50"/>
  <c r="M130" i="50"/>
  <c r="K27" i="7" s="1"/>
  <c r="U20" i="50"/>
  <c r="U31" i="50"/>
  <c r="U11" i="50"/>
  <c r="U24" i="50"/>
  <c r="U10" i="50"/>
  <c r="U33" i="50"/>
  <c r="N162" i="50"/>
  <c r="N166" i="50"/>
  <c r="U13" i="50"/>
  <c r="T12" i="50"/>
  <c r="U16" i="50"/>
  <c r="U22" i="50"/>
  <c r="V22" i="50" s="1"/>
  <c r="W22" i="50" s="1"/>
  <c r="N165" i="50"/>
  <c r="U21" i="50"/>
  <c r="U30" i="50"/>
  <c r="N158" i="50"/>
  <c r="N161" i="50"/>
  <c r="N169" i="50"/>
  <c r="U32" i="50"/>
  <c r="U19" i="50"/>
  <c r="T18" i="50"/>
  <c r="AE57" i="54" l="1"/>
  <c r="T63" i="53"/>
  <c r="T86" i="53" s="1"/>
  <c r="S93" i="53"/>
  <c r="M49" i="46"/>
  <c r="AG57" i="54"/>
  <c r="AC61" i="54"/>
  <c r="AC84" i="54" s="1"/>
  <c r="S62" i="53"/>
  <c r="Q56" i="53"/>
  <c r="E21" i="7"/>
  <c r="U174" i="50"/>
  <c r="G14" i="50"/>
  <c r="G89" i="50" s="1"/>
  <c r="O114" i="50"/>
  <c r="N174" i="50"/>
  <c r="U89" i="50"/>
  <c r="H114" i="50"/>
  <c r="G174" i="50"/>
  <c r="W114" i="50"/>
  <c r="V174" i="50"/>
  <c r="U105" i="50"/>
  <c r="N86" i="41"/>
  <c r="N68" i="41" s="1"/>
  <c r="E96" i="41"/>
  <c r="C10" i="7" s="1"/>
  <c r="M89" i="50"/>
  <c r="N17" i="50"/>
  <c r="M92" i="50"/>
  <c r="G17" i="50"/>
  <c r="F92" i="50"/>
  <c r="E91" i="41"/>
  <c r="V17" i="50"/>
  <c r="U92" i="50"/>
  <c r="G13" i="50"/>
  <c r="H13" i="50" s="1"/>
  <c r="F12" i="50"/>
  <c r="O14" i="50"/>
  <c r="N89" i="50"/>
  <c r="Q8" i="7"/>
  <c r="E98" i="41"/>
  <c r="Q10" i="7" s="1"/>
  <c r="W14" i="50"/>
  <c r="V89" i="50"/>
  <c r="T105" i="50"/>
  <c r="V28" i="50"/>
  <c r="U103" i="50"/>
  <c r="G25" i="50"/>
  <c r="F100" i="50"/>
  <c r="G24" i="50"/>
  <c r="F99" i="50"/>
  <c r="N119" i="50"/>
  <c r="M179" i="50"/>
  <c r="N25" i="50"/>
  <c r="M100" i="50"/>
  <c r="N22" i="50"/>
  <c r="M97" i="50"/>
  <c r="V26" i="50"/>
  <c r="U101" i="50"/>
  <c r="V27" i="50"/>
  <c r="U102" i="50"/>
  <c r="G29" i="50"/>
  <c r="F104" i="50"/>
  <c r="G26" i="50"/>
  <c r="F101" i="50"/>
  <c r="N28" i="50"/>
  <c r="M103" i="50"/>
  <c r="N27" i="50"/>
  <c r="M102" i="50"/>
  <c r="G23" i="50"/>
  <c r="H23" i="50" s="1"/>
  <c r="F98" i="50"/>
  <c r="V119" i="50"/>
  <c r="U179" i="50"/>
  <c r="G119" i="50"/>
  <c r="F179" i="50"/>
  <c r="G27" i="50"/>
  <c r="F102" i="50"/>
  <c r="N26" i="50"/>
  <c r="M101" i="50"/>
  <c r="N23" i="50"/>
  <c r="M98" i="50"/>
  <c r="N29" i="50"/>
  <c r="M104" i="50"/>
  <c r="G30" i="50"/>
  <c r="H30" i="50" s="1"/>
  <c r="F105" i="50"/>
  <c r="N30" i="50"/>
  <c r="M105" i="50"/>
  <c r="G22" i="50"/>
  <c r="G18" i="50" s="1"/>
  <c r="F97" i="50"/>
  <c r="M95" i="41"/>
  <c r="G28" i="50"/>
  <c r="F103" i="50"/>
  <c r="V25" i="50"/>
  <c r="U100" i="50"/>
  <c r="N24" i="50"/>
  <c r="M99" i="50"/>
  <c r="Q16" i="7"/>
  <c r="Q12" i="7" s="1"/>
  <c r="Q20" i="7" s="1"/>
  <c r="U16" i="7"/>
  <c r="U12" i="7" s="1"/>
  <c r="J10" i="7"/>
  <c r="J28" i="7"/>
  <c r="J30" i="7" s="1"/>
  <c r="T16" i="7"/>
  <c r="T12" i="7" s="1"/>
  <c r="T20" i="7" s="1"/>
  <c r="K16" i="7"/>
  <c r="K12" i="7" s="1"/>
  <c r="W19" i="49"/>
  <c r="W8" i="7"/>
  <c r="K98" i="41"/>
  <c r="W10" i="7" s="1"/>
  <c r="O19" i="49"/>
  <c r="J97" i="41"/>
  <c r="O10" i="7" s="1"/>
  <c r="O8" i="7"/>
  <c r="N8" i="7"/>
  <c r="I97" i="41"/>
  <c r="D8" i="7"/>
  <c r="F96" i="41"/>
  <c r="S19" i="49"/>
  <c r="S8" i="7"/>
  <c r="G98" i="41"/>
  <c r="K91" i="41"/>
  <c r="I9" i="7"/>
  <c r="L93" i="41"/>
  <c r="AA93" i="41" s="1"/>
  <c r="L9" i="7"/>
  <c r="M8" i="7"/>
  <c r="H97" i="41"/>
  <c r="M10" i="7" s="1"/>
  <c r="N95" i="41"/>
  <c r="D17" i="7"/>
  <c r="D16" i="7" s="1"/>
  <c r="D12" i="7" s="1"/>
  <c r="D20" i="7" s="1"/>
  <c r="S9" i="7"/>
  <c r="L94" i="41"/>
  <c r="AA94" i="41" s="1"/>
  <c r="H91" i="41"/>
  <c r="F9" i="7"/>
  <c r="U19" i="49"/>
  <c r="I98" i="41"/>
  <c r="U10" i="7" s="1"/>
  <c r="U8" i="7"/>
  <c r="I91" i="41"/>
  <c r="L92" i="41"/>
  <c r="AA92" i="41" s="1"/>
  <c r="G91" i="41"/>
  <c r="E9" i="7"/>
  <c r="H8" i="7"/>
  <c r="J96" i="41"/>
  <c r="K96" i="41"/>
  <c r="I8" i="7"/>
  <c r="F97" i="41"/>
  <c r="K10" i="7" s="1"/>
  <c r="K8" i="7"/>
  <c r="F8" i="7"/>
  <c r="H96" i="41"/>
  <c r="D9" i="7"/>
  <c r="F91" i="41"/>
  <c r="J91" i="41"/>
  <c r="H9" i="7"/>
  <c r="S55" i="53"/>
  <c r="S27" i="7"/>
  <c r="R27" i="7"/>
  <c r="R55" i="53"/>
  <c r="V55" i="53"/>
  <c r="V27" i="7"/>
  <c r="K55" i="53"/>
  <c r="O55" i="53"/>
  <c r="O27" i="7"/>
  <c r="M55" i="53"/>
  <c r="M27" i="7"/>
  <c r="I55" i="53"/>
  <c r="I27" i="7"/>
  <c r="W55" i="53"/>
  <c r="W27" i="7"/>
  <c r="G55" i="53"/>
  <c r="G27" i="7"/>
  <c r="L55" i="53"/>
  <c r="L27" i="7"/>
  <c r="F55" i="53"/>
  <c r="F27" i="7"/>
  <c r="U55" i="53"/>
  <c r="U27" i="7"/>
  <c r="T55" i="53"/>
  <c r="T27" i="7"/>
  <c r="H55" i="53"/>
  <c r="H27" i="7"/>
  <c r="E55" i="53"/>
  <c r="E27" i="7"/>
  <c r="Z98" i="41"/>
  <c r="X97" i="41"/>
  <c r="N18" i="7" s="1"/>
  <c r="N21" i="7" s="1"/>
  <c r="V97" i="41"/>
  <c r="L18" i="7" s="1"/>
  <c r="L21" i="7" s="1"/>
  <c r="Z96" i="41"/>
  <c r="I18" i="7" s="1"/>
  <c r="W96" i="41"/>
  <c r="F18" i="7" s="1"/>
  <c r="F21" i="7" s="1"/>
  <c r="Y98" i="41"/>
  <c r="V18" i="7" s="1"/>
  <c r="V21" i="7" s="1"/>
  <c r="W97" i="41"/>
  <c r="M18" i="7" s="1"/>
  <c r="M21" i="7" s="1"/>
  <c r="X96" i="41"/>
  <c r="Y96" i="41"/>
  <c r="V98" i="41"/>
  <c r="S18" i="7" s="1"/>
  <c r="S21" i="7" s="1"/>
  <c r="U98" i="41"/>
  <c r="T97" i="41"/>
  <c r="J18" i="7" s="1"/>
  <c r="J21" i="7" s="1"/>
  <c r="T96" i="41"/>
  <c r="C18" i="7" s="1"/>
  <c r="R98" i="41"/>
  <c r="V17" i="7" s="1"/>
  <c r="P97" i="41"/>
  <c r="M17" i="7" s="1"/>
  <c r="M16" i="7" s="1"/>
  <c r="R97" i="41"/>
  <c r="O17" i="7" s="1"/>
  <c r="O16" i="7" s="1"/>
  <c r="O12" i="7" s="1"/>
  <c r="Q97" i="41"/>
  <c r="N17" i="7" s="1"/>
  <c r="O97" i="41"/>
  <c r="L17" i="7" s="1"/>
  <c r="S97" i="41"/>
  <c r="R96" i="41"/>
  <c r="Q96" i="41"/>
  <c r="G17" i="7" s="1"/>
  <c r="P96" i="41"/>
  <c r="F17" i="7" s="1"/>
  <c r="O96" i="41"/>
  <c r="L84" i="41"/>
  <c r="AA84" i="41" s="1"/>
  <c r="G87" i="41"/>
  <c r="L82" i="41"/>
  <c r="AA82" i="41" s="1"/>
  <c r="L89" i="41"/>
  <c r="AA89" i="41" s="1"/>
  <c r="G88" i="41"/>
  <c r="L83" i="41"/>
  <c r="AA83" i="41" s="1"/>
  <c r="M86" i="41"/>
  <c r="M68" i="41" s="1"/>
  <c r="M182" i="50"/>
  <c r="M181" i="50"/>
  <c r="M187" i="50"/>
  <c r="M183" i="50"/>
  <c r="M177" i="50"/>
  <c r="M184" i="50"/>
  <c r="M178" i="50"/>
  <c r="M185" i="50"/>
  <c r="M180" i="50"/>
  <c r="N172" i="50"/>
  <c r="M188" i="50"/>
  <c r="M186" i="50"/>
  <c r="G113" i="50"/>
  <c r="F173" i="50"/>
  <c r="G124" i="50"/>
  <c r="F184" i="50"/>
  <c r="G127" i="50"/>
  <c r="F187" i="50"/>
  <c r="F171" i="50"/>
  <c r="F95" i="50"/>
  <c r="M176" i="50"/>
  <c r="G118" i="50"/>
  <c r="F178" i="50"/>
  <c r="G115" i="50"/>
  <c r="F175" i="50"/>
  <c r="G123" i="50"/>
  <c r="F183" i="50"/>
  <c r="G125" i="50"/>
  <c r="F185" i="50"/>
  <c r="G121" i="50"/>
  <c r="F181" i="50"/>
  <c r="G122" i="50"/>
  <c r="F182" i="50"/>
  <c r="G126" i="50"/>
  <c r="F186" i="50"/>
  <c r="G117" i="50"/>
  <c r="F177" i="50"/>
  <c r="M175" i="50"/>
  <c r="M173" i="50"/>
  <c r="M172" i="50"/>
  <c r="G128" i="50"/>
  <c r="F188" i="50"/>
  <c r="G120" i="50"/>
  <c r="F180" i="50"/>
  <c r="G112" i="50"/>
  <c r="F172" i="50"/>
  <c r="G116" i="50"/>
  <c r="F176" i="50"/>
  <c r="T170" i="50"/>
  <c r="U177" i="50"/>
  <c r="V157" i="50"/>
  <c r="V168" i="50"/>
  <c r="U188" i="50"/>
  <c r="V165" i="50"/>
  <c r="U185" i="50"/>
  <c r="V166" i="50"/>
  <c r="U186" i="50"/>
  <c r="U180" i="50"/>
  <c r="V160" i="50"/>
  <c r="U178" i="50"/>
  <c r="V158" i="50"/>
  <c r="I157" i="50"/>
  <c r="I164" i="50"/>
  <c r="V152" i="50"/>
  <c r="U172" i="50"/>
  <c r="U184" i="50"/>
  <c r="V164" i="50"/>
  <c r="U183" i="50"/>
  <c r="V163" i="50"/>
  <c r="V162" i="50"/>
  <c r="U182" i="50"/>
  <c r="V153" i="50"/>
  <c r="U173" i="50"/>
  <c r="I160" i="50"/>
  <c r="I161" i="50"/>
  <c r="V155" i="50"/>
  <c r="U175" i="50"/>
  <c r="V156" i="50"/>
  <c r="U176" i="50"/>
  <c r="V151" i="50"/>
  <c r="U171" i="50"/>
  <c r="I167" i="50"/>
  <c r="V161" i="50"/>
  <c r="U181" i="50"/>
  <c r="V167" i="50"/>
  <c r="U187" i="50"/>
  <c r="I153" i="50"/>
  <c r="I163" i="50"/>
  <c r="I151" i="50"/>
  <c r="I155" i="50"/>
  <c r="I156" i="50"/>
  <c r="I152" i="50"/>
  <c r="I166" i="50"/>
  <c r="I162" i="50"/>
  <c r="I168" i="50"/>
  <c r="I165" i="50"/>
  <c r="G169" i="50"/>
  <c r="G150" i="50" s="1"/>
  <c r="F189" i="50"/>
  <c r="O157" i="50"/>
  <c r="N177" i="50"/>
  <c r="O156" i="50"/>
  <c r="N176" i="50"/>
  <c r="O155" i="50"/>
  <c r="N175" i="50"/>
  <c r="O168" i="50"/>
  <c r="N188" i="50"/>
  <c r="F62" i="50"/>
  <c r="N173" i="50"/>
  <c r="O153" i="50"/>
  <c r="M85" i="50"/>
  <c r="F86" i="50"/>
  <c r="N19" i="49"/>
  <c r="I86" i="41"/>
  <c r="D19" i="49"/>
  <c r="O86" i="41"/>
  <c r="O68" i="41" s="1"/>
  <c r="U86" i="41"/>
  <c r="U68" i="41" s="1"/>
  <c r="F90" i="50"/>
  <c r="N129" i="50"/>
  <c r="N189" i="50" s="1"/>
  <c r="M110" i="50"/>
  <c r="F86" i="41"/>
  <c r="M189" i="50"/>
  <c r="V129" i="50"/>
  <c r="U110" i="50"/>
  <c r="G129" i="50"/>
  <c r="F110" i="50"/>
  <c r="S12" i="49"/>
  <c r="D15" i="49"/>
  <c r="V169" i="50"/>
  <c r="U189" i="50"/>
  <c r="U150" i="50"/>
  <c r="T106" i="50"/>
  <c r="D12" i="49"/>
  <c r="K12" i="49"/>
  <c r="R15" i="49"/>
  <c r="F94" i="50"/>
  <c r="V86" i="41"/>
  <c r="V68" i="41" s="1"/>
  <c r="P130" i="50"/>
  <c r="N31" i="50"/>
  <c r="F18" i="50"/>
  <c r="R130" i="50"/>
  <c r="G31" i="50"/>
  <c r="J86" i="41"/>
  <c r="K86" i="41"/>
  <c r="F96" i="50"/>
  <c r="F107" i="50"/>
  <c r="R86" i="41"/>
  <c r="R68" i="41" s="1"/>
  <c r="Q86" i="41"/>
  <c r="Q68" i="41" s="1"/>
  <c r="N19" i="50"/>
  <c r="M18" i="50"/>
  <c r="G71" i="50"/>
  <c r="H71" i="50" s="1"/>
  <c r="I71" i="50" s="1"/>
  <c r="J71" i="50" s="1"/>
  <c r="K71" i="50" s="1"/>
  <c r="F88" i="50"/>
  <c r="K19" i="49"/>
  <c r="F19" i="49"/>
  <c r="P86" i="41"/>
  <c r="P68" i="41" s="1"/>
  <c r="N13" i="50"/>
  <c r="M12" i="50"/>
  <c r="I19" i="49"/>
  <c r="Z86" i="41"/>
  <c r="Z68" i="41" s="1"/>
  <c r="Y86" i="41"/>
  <c r="Y68" i="41" s="1"/>
  <c r="W43" i="50"/>
  <c r="G83" i="50"/>
  <c r="G108" i="50" s="1"/>
  <c r="G80" i="50"/>
  <c r="G43" i="50"/>
  <c r="G81" i="50"/>
  <c r="X37" i="50"/>
  <c r="P37" i="50"/>
  <c r="P43" i="50"/>
  <c r="G77" i="50"/>
  <c r="F91" i="50"/>
  <c r="K43" i="50"/>
  <c r="K37" i="50"/>
  <c r="X43" i="50"/>
  <c r="Q43" i="50"/>
  <c r="F108" i="50"/>
  <c r="F43" i="50"/>
  <c r="G61" i="50"/>
  <c r="G86" i="50" s="1"/>
  <c r="F37" i="50"/>
  <c r="G70" i="50"/>
  <c r="G95" i="50" s="1"/>
  <c r="G37" i="50"/>
  <c r="G79" i="50"/>
  <c r="G78" i="50"/>
  <c r="G82" i="50"/>
  <c r="G107" i="50" s="1"/>
  <c r="F106" i="50"/>
  <c r="T74" i="50"/>
  <c r="T99" i="50" s="1"/>
  <c r="T66" i="50"/>
  <c r="T91" i="50" s="1"/>
  <c r="T71" i="50"/>
  <c r="T96" i="50" s="1"/>
  <c r="T63" i="50"/>
  <c r="T73" i="50"/>
  <c r="T98" i="50" s="1"/>
  <c r="T79" i="50"/>
  <c r="T104" i="50" s="1"/>
  <c r="T70" i="50"/>
  <c r="T95" i="50" s="1"/>
  <c r="T107" i="50"/>
  <c r="W37" i="50"/>
  <c r="W34" i="50" s="1"/>
  <c r="Q37" i="50"/>
  <c r="G65" i="50"/>
  <c r="G90" i="50" s="1"/>
  <c r="G73" i="50"/>
  <c r="V43" i="50"/>
  <c r="X86" i="41"/>
  <c r="X68" i="41" s="1"/>
  <c r="T86" i="41"/>
  <c r="T68" i="41" s="1"/>
  <c r="J37" i="50"/>
  <c r="M95" i="50"/>
  <c r="M63" i="50"/>
  <c r="M37" i="50"/>
  <c r="M96" i="50"/>
  <c r="K15" i="49"/>
  <c r="M106" i="50"/>
  <c r="N81" i="50"/>
  <c r="N60" i="50"/>
  <c r="N85" i="50" s="1"/>
  <c r="N61" i="50"/>
  <c r="N72" i="50"/>
  <c r="N70" i="50"/>
  <c r="N71" i="50"/>
  <c r="N80" i="50"/>
  <c r="N79" i="50"/>
  <c r="N73" i="50"/>
  <c r="N66" i="50"/>
  <c r="N74" i="50"/>
  <c r="H66" i="50"/>
  <c r="H72" i="50"/>
  <c r="U81" i="50"/>
  <c r="U69" i="50"/>
  <c r="U61" i="50"/>
  <c r="U65" i="50"/>
  <c r="V65" i="50" s="1"/>
  <c r="W65" i="50" s="1"/>
  <c r="X65" i="50" s="1"/>
  <c r="U72" i="50"/>
  <c r="U83" i="50"/>
  <c r="W86" i="41"/>
  <c r="W68" i="41" s="1"/>
  <c r="H19" i="49"/>
  <c r="V37" i="50"/>
  <c r="M19" i="49"/>
  <c r="H86" i="41"/>
  <c r="S86" i="41"/>
  <c r="S68" i="41" s="1"/>
  <c r="J43" i="50"/>
  <c r="M86" i="50"/>
  <c r="M91" i="50"/>
  <c r="M90" i="50"/>
  <c r="N65" i="50"/>
  <c r="N83" i="50"/>
  <c r="M108" i="50"/>
  <c r="M43" i="50"/>
  <c r="M69" i="50"/>
  <c r="M107" i="50"/>
  <c r="N82" i="50"/>
  <c r="O152" i="50"/>
  <c r="O172" i="50" s="1"/>
  <c r="H33" i="50"/>
  <c r="V32" i="50"/>
  <c r="V16" i="50"/>
  <c r="W15" i="50"/>
  <c r="V29" i="50"/>
  <c r="O161" i="50"/>
  <c r="N181" i="50"/>
  <c r="P32" i="50"/>
  <c r="G60" i="50"/>
  <c r="G85" i="50" s="1"/>
  <c r="P16" i="50"/>
  <c r="P20" i="50"/>
  <c r="P10" i="50"/>
  <c r="V19" i="50"/>
  <c r="U18" i="50"/>
  <c r="O169" i="50"/>
  <c r="H19" i="50"/>
  <c r="V30" i="50"/>
  <c r="X22" i="50"/>
  <c r="T9" i="50"/>
  <c r="S11" i="49" s="1"/>
  <c r="H11" i="50"/>
  <c r="V33" i="50"/>
  <c r="T85" i="50"/>
  <c r="V31" i="50"/>
  <c r="N151" i="50"/>
  <c r="M171" i="50"/>
  <c r="M150" i="50"/>
  <c r="H16" i="50"/>
  <c r="G91" i="50"/>
  <c r="N183" i="50"/>
  <c r="O163" i="50"/>
  <c r="P15" i="50"/>
  <c r="H10" i="50"/>
  <c r="V20" i="50"/>
  <c r="N184" i="50"/>
  <c r="O164" i="50"/>
  <c r="H20" i="50"/>
  <c r="G69" i="50"/>
  <c r="F68" i="50"/>
  <c r="P33" i="50"/>
  <c r="P11" i="50"/>
  <c r="O165" i="50"/>
  <c r="N185" i="50"/>
  <c r="N186" i="50"/>
  <c r="O166" i="50"/>
  <c r="V24" i="50"/>
  <c r="N187" i="50"/>
  <c r="O167" i="50"/>
  <c r="H21" i="50"/>
  <c r="V23" i="50"/>
  <c r="H32" i="50"/>
  <c r="O158" i="50"/>
  <c r="N178" i="50"/>
  <c r="P21" i="50"/>
  <c r="V21" i="50"/>
  <c r="V13" i="50"/>
  <c r="U12" i="50"/>
  <c r="N182" i="50"/>
  <c r="O162" i="50"/>
  <c r="F85" i="50"/>
  <c r="H15" i="50"/>
  <c r="G63" i="50"/>
  <c r="V10" i="50"/>
  <c r="V11" i="50"/>
  <c r="N180" i="50"/>
  <c r="O160" i="50"/>
  <c r="J158" i="50"/>
  <c r="P49" i="39"/>
  <c r="O49" i="39"/>
  <c r="N49" i="39"/>
  <c r="M49" i="39"/>
  <c r="L49" i="39"/>
  <c r="K49" i="39"/>
  <c r="J49" i="39"/>
  <c r="I49" i="39"/>
  <c r="H49" i="39"/>
  <c r="G49" i="39"/>
  <c r="F49" i="39"/>
  <c r="E49" i="39"/>
  <c r="D49" i="39"/>
  <c r="C49" i="39"/>
  <c r="P48" i="39"/>
  <c r="O48" i="39"/>
  <c r="N48" i="39"/>
  <c r="M48" i="39"/>
  <c r="L48" i="39"/>
  <c r="K48" i="39"/>
  <c r="J48" i="39"/>
  <c r="I48" i="39"/>
  <c r="H48" i="39"/>
  <c r="G48" i="39"/>
  <c r="F48" i="39"/>
  <c r="E48" i="39"/>
  <c r="D48" i="39"/>
  <c r="C48" i="39"/>
  <c r="P47" i="39"/>
  <c r="O47" i="39"/>
  <c r="N47" i="39"/>
  <c r="M47" i="39"/>
  <c r="L47" i="39"/>
  <c r="K47" i="39"/>
  <c r="I47" i="39"/>
  <c r="H47" i="39"/>
  <c r="G47" i="39"/>
  <c r="F47" i="39"/>
  <c r="E47" i="39"/>
  <c r="D47" i="39"/>
  <c r="C47" i="39"/>
  <c r="J47" i="39"/>
  <c r="I21" i="39"/>
  <c r="P21" i="39" s="1"/>
  <c r="W21" i="39" s="1"/>
  <c r="H21" i="39"/>
  <c r="O21" i="39" s="1"/>
  <c r="V21" i="39" s="1"/>
  <c r="G21" i="39"/>
  <c r="N21" i="39" s="1"/>
  <c r="U21" i="39" s="1"/>
  <c r="F21" i="39"/>
  <c r="M21" i="39" s="1"/>
  <c r="T21" i="39" s="1"/>
  <c r="E21" i="39"/>
  <c r="L21" i="39" s="1"/>
  <c r="S21" i="39" s="1"/>
  <c r="D21" i="39"/>
  <c r="D33" i="39" s="1"/>
  <c r="D46" i="39" s="1"/>
  <c r="K46" i="39" s="1"/>
  <c r="R46" i="39" s="1"/>
  <c r="C21" i="39"/>
  <c r="J21" i="39" s="1"/>
  <c r="Q21" i="39" s="1"/>
  <c r="S104" i="53" l="1"/>
  <c r="V59" i="53"/>
  <c r="N49" i="46"/>
  <c r="T93" i="53"/>
  <c r="S16" i="60"/>
  <c r="S30" i="60" s="1"/>
  <c r="S33" i="60" s="1"/>
  <c r="S61" i="53"/>
  <c r="U63" i="53"/>
  <c r="U86" i="53" s="1"/>
  <c r="AE61" i="54"/>
  <c r="AE84" i="54" s="1"/>
  <c r="T62" i="53"/>
  <c r="Q32" i="7"/>
  <c r="K55" i="39"/>
  <c r="O55" i="39"/>
  <c r="D17" i="48"/>
  <c r="C21" i="7"/>
  <c r="B17" i="48"/>
  <c r="B15" i="48" s="1"/>
  <c r="I21" i="7"/>
  <c r="E17" i="48"/>
  <c r="J55" i="39"/>
  <c r="F55" i="39"/>
  <c r="L55" i="39"/>
  <c r="P55" i="39"/>
  <c r="H14" i="50"/>
  <c r="I14" i="50" s="1"/>
  <c r="O20" i="7"/>
  <c r="K20" i="7"/>
  <c r="C55" i="39"/>
  <c r="D55" i="39"/>
  <c r="H55" i="39"/>
  <c r="M55" i="39"/>
  <c r="G55" i="39"/>
  <c r="E55" i="39"/>
  <c r="I55" i="39"/>
  <c r="N55" i="39"/>
  <c r="S49" i="39"/>
  <c r="W49" i="39"/>
  <c r="Q49" i="39"/>
  <c r="U20" i="7"/>
  <c r="I114" i="50"/>
  <c r="H174" i="50"/>
  <c r="X114" i="50"/>
  <c r="W174" i="50"/>
  <c r="P114" i="50"/>
  <c r="O174" i="50"/>
  <c r="E95" i="41"/>
  <c r="G12" i="50"/>
  <c r="G9" i="50" s="1"/>
  <c r="H17" i="50"/>
  <c r="G92" i="50"/>
  <c r="O17" i="50"/>
  <c r="N92" i="50"/>
  <c r="W17" i="50"/>
  <c r="V92" i="50"/>
  <c r="X14" i="50"/>
  <c r="W89" i="50"/>
  <c r="P14" i="50"/>
  <c r="O89" i="50"/>
  <c r="C17" i="7"/>
  <c r="C28" i="7" s="1"/>
  <c r="C31" i="7" s="1"/>
  <c r="O26" i="50"/>
  <c r="N101" i="50"/>
  <c r="H119" i="50"/>
  <c r="G179" i="50"/>
  <c r="O119" i="50"/>
  <c r="N179" i="50"/>
  <c r="H25" i="50"/>
  <c r="G100" i="50"/>
  <c r="W25" i="50"/>
  <c r="V100" i="50"/>
  <c r="H22" i="50"/>
  <c r="H18" i="50" s="1"/>
  <c r="G97" i="50"/>
  <c r="G105" i="50"/>
  <c r="O23" i="50"/>
  <c r="N98" i="50"/>
  <c r="G98" i="50"/>
  <c r="O28" i="50"/>
  <c r="N103" i="50"/>
  <c r="H29" i="50"/>
  <c r="G104" i="50"/>
  <c r="W26" i="50"/>
  <c r="V101" i="50"/>
  <c r="H27" i="50"/>
  <c r="G102" i="50"/>
  <c r="W119" i="50"/>
  <c r="V179" i="50"/>
  <c r="O25" i="50"/>
  <c r="N100" i="50"/>
  <c r="H24" i="50"/>
  <c r="G99" i="50"/>
  <c r="W28" i="50"/>
  <c r="V103" i="50"/>
  <c r="O24" i="50"/>
  <c r="N99" i="50"/>
  <c r="H28" i="50"/>
  <c r="G103" i="50"/>
  <c r="O30" i="50"/>
  <c r="N105" i="50"/>
  <c r="O29" i="50"/>
  <c r="N104" i="50"/>
  <c r="O27" i="50"/>
  <c r="N102" i="50"/>
  <c r="H26" i="50"/>
  <c r="G101" i="50"/>
  <c r="W27" i="50"/>
  <c r="V102" i="50"/>
  <c r="O22" i="50"/>
  <c r="N97" i="50"/>
  <c r="G50" i="39"/>
  <c r="C50" i="39"/>
  <c r="J16" i="7"/>
  <c r="J12" i="7" s="1"/>
  <c r="J20" i="7" s="1"/>
  <c r="N16" i="7"/>
  <c r="N12" i="7" s="1"/>
  <c r="N20" i="7" s="1"/>
  <c r="L16" i="7"/>
  <c r="L12" i="7" s="1"/>
  <c r="V16" i="7"/>
  <c r="V12" i="7" s="1"/>
  <c r="V20" i="7" s="1"/>
  <c r="E19" i="49"/>
  <c r="G96" i="41"/>
  <c r="E8" i="7"/>
  <c r="F16" i="7"/>
  <c r="X95" i="41"/>
  <c r="G18" i="7"/>
  <c r="V95" i="41"/>
  <c r="J95" i="41"/>
  <c r="H10" i="7"/>
  <c r="S10" i="7"/>
  <c r="L98" i="41"/>
  <c r="AA98" i="41" s="1"/>
  <c r="L8" i="7"/>
  <c r="G97" i="41"/>
  <c r="G16" i="7"/>
  <c r="G12" i="7" s="1"/>
  <c r="G20" i="7" s="1"/>
  <c r="Z95" i="41"/>
  <c r="W18" i="7"/>
  <c r="W21" i="7" s="1"/>
  <c r="I95" i="41"/>
  <c r="N10" i="7"/>
  <c r="I16" i="7"/>
  <c r="I12" i="7" s="1"/>
  <c r="I20" i="7" s="1"/>
  <c r="O95" i="41"/>
  <c r="E17" i="7"/>
  <c r="E16" i="7" s="1"/>
  <c r="E12" i="7" s="1"/>
  <c r="R95" i="41"/>
  <c r="H17" i="7"/>
  <c r="H95" i="41"/>
  <c r="F10" i="7"/>
  <c r="S16" i="7"/>
  <c r="S12" i="7" s="1"/>
  <c r="S20" i="7" s="1"/>
  <c r="S95" i="41"/>
  <c r="P17" i="7"/>
  <c r="P16" i="7" s="1"/>
  <c r="P12" i="7" s="1"/>
  <c r="P20" i="7" s="1"/>
  <c r="U95" i="41"/>
  <c r="R18" i="7"/>
  <c r="Y95" i="41"/>
  <c r="H18" i="7"/>
  <c r="I10" i="7"/>
  <c r="K95" i="41"/>
  <c r="L91" i="41"/>
  <c r="AA91" i="41" s="1"/>
  <c r="F95" i="41"/>
  <c r="D10" i="7"/>
  <c r="S48" i="39"/>
  <c r="W48" i="39"/>
  <c r="Q48" i="39"/>
  <c r="U48" i="39"/>
  <c r="N55" i="53"/>
  <c r="N27" i="7"/>
  <c r="U54" i="53"/>
  <c r="U25" i="7"/>
  <c r="U26" i="7" s="1"/>
  <c r="P55" i="53"/>
  <c r="P27" i="7"/>
  <c r="M12" i="7"/>
  <c r="M20" i="7" s="1"/>
  <c r="W95" i="41"/>
  <c r="T95" i="41"/>
  <c r="Q95" i="41"/>
  <c r="P95" i="41"/>
  <c r="G86" i="41"/>
  <c r="L86" i="41" s="1"/>
  <c r="H169" i="50"/>
  <c r="H150" i="50" s="1"/>
  <c r="L88" i="41"/>
  <c r="AA88" i="41" s="1"/>
  <c r="L19" i="49"/>
  <c r="L87" i="41"/>
  <c r="AA87" i="41" s="1"/>
  <c r="AA68" i="41"/>
  <c r="F170" i="50"/>
  <c r="H116" i="50"/>
  <c r="G176" i="50"/>
  <c r="H120" i="50"/>
  <c r="G180" i="50"/>
  <c r="H126" i="50"/>
  <c r="G186" i="50"/>
  <c r="H121" i="50"/>
  <c r="G181" i="50"/>
  <c r="H123" i="50"/>
  <c r="G183" i="50"/>
  <c r="H118" i="50"/>
  <c r="G178" i="50"/>
  <c r="H111" i="50"/>
  <c r="G171" i="50"/>
  <c r="H124" i="50"/>
  <c r="G184" i="50"/>
  <c r="H112" i="50"/>
  <c r="G172" i="50"/>
  <c r="H128" i="50"/>
  <c r="G188" i="50"/>
  <c r="H117" i="50"/>
  <c r="G177" i="50"/>
  <c r="H122" i="50"/>
  <c r="G182" i="50"/>
  <c r="H125" i="50"/>
  <c r="G185" i="50"/>
  <c r="H115" i="50"/>
  <c r="G175" i="50"/>
  <c r="H127" i="50"/>
  <c r="G187" i="50"/>
  <c r="H113" i="50"/>
  <c r="G173" i="50"/>
  <c r="E50" i="39"/>
  <c r="I50" i="39"/>
  <c r="U49" i="39"/>
  <c r="P50" i="39"/>
  <c r="W47" i="39"/>
  <c r="D50" i="39"/>
  <c r="H50" i="39"/>
  <c r="T47" i="39"/>
  <c r="M50" i="39"/>
  <c r="R48" i="39"/>
  <c r="V48" i="39"/>
  <c r="T49" i="39"/>
  <c r="L50" i="39"/>
  <c r="S47" i="39"/>
  <c r="U47" i="39"/>
  <c r="N50" i="39"/>
  <c r="Q47" i="39"/>
  <c r="J50" i="39"/>
  <c r="F50" i="39"/>
  <c r="K50" i="39"/>
  <c r="R47" i="39"/>
  <c r="O50" i="39"/>
  <c r="V47" i="39"/>
  <c r="T48" i="39"/>
  <c r="R49" i="39"/>
  <c r="V49" i="39"/>
  <c r="U170" i="50"/>
  <c r="J151" i="50"/>
  <c r="W163" i="50"/>
  <c r="V183" i="50"/>
  <c r="V184" i="50"/>
  <c r="W164" i="50"/>
  <c r="J164" i="50"/>
  <c r="J157" i="50"/>
  <c r="W158" i="50"/>
  <c r="V178" i="50"/>
  <c r="W160" i="50"/>
  <c r="V180" i="50"/>
  <c r="V177" i="50"/>
  <c r="W157" i="50"/>
  <c r="J165" i="50"/>
  <c r="J168" i="50"/>
  <c r="J162" i="50"/>
  <c r="J166" i="50"/>
  <c r="J152" i="50"/>
  <c r="J156" i="50"/>
  <c r="J155" i="50"/>
  <c r="J163" i="50"/>
  <c r="J153" i="50"/>
  <c r="W167" i="50"/>
  <c r="V187" i="50"/>
  <c r="W161" i="50"/>
  <c r="V181" i="50"/>
  <c r="J167" i="50"/>
  <c r="V171" i="50"/>
  <c r="W151" i="50"/>
  <c r="V176" i="50"/>
  <c r="W156" i="50"/>
  <c r="V175" i="50"/>
  <c r="W155" i="50"/>
  <c r="J161" i="50"/>
  <c r="J160" i="50"/>
  <c r="V173" i="50"/>
  <c r="W153" i="50"/>
  <c r="W162" i="50"/>
  <c r="V182" i="50"/>
  <c r="V172" i="50"/>
  <c r="W152" i="50"/>
  <c r="W166" i="50"/>
  <c r="V186" i="50"/>
  <c r="W165" i="50"/>
  <c r="V185" i="50"/>
  <c r="V188" i="50"/>
  <c r="W168" i="50"/>
  <c r="P153" i="50"/>
  <c r="O173" i="50"/>
  <c r="P168" i="50"/>
  <c r="O188" i="50"/>
  <c r="P156" i="50"/>
  <c r="O176" i="50"/>
  <c r="P155" i="50"/>
  <c r="O175" i="50"/>
  <c r="P157" i="50"/>
  <c r="O177" i="50"/>
  <c r="M170" i="50"/>
  <c r="W129" i="50"/>
  <c r="V110" i="50"/>
  <c r="F9" i="50"/>
  <c r="E11" i="49" s="1"/>
  <c r="H129" i="50"/>
  <c r="G110" i="50"/>
  <c r="G189" i="50"/>
  <c r="O129" i="50"/>
  <c r="O189" i="50" s="1"/>
  <c r="N110" i="50"/>
  <c r="E15" i="49"/>
  <c r="E12" i="49"/>
  <c r="T12" i="49"/>
  <c r="V81" i="50"/>
  <c r="T15" i="49" s="1"/>
  <c r="W169" i="50"/>
  <c r="V189" i="50"/>
  <c r="V150" i="50"/>
  <c r="H31" i="50"/>
  <c r="I31" i="50" s="1"/>
  <c r="L12" i="49"/>
  <c r="O31" i="50"/>
  <c r="G96" i="50"/>
  <c r="F93" i="50"/>
  <c r="N18" i="50"/>
  <c r="O19" i="50"/>
  <c r="M9" i="50"/>
  <c r="L11" i="49" s="1"/>
  <c r="O13" i="50"/>
  <c r="N12" i="50"/>
  <c r="G106" i="50"/>
  <c r="H81" i="50"/>
  <c r="H80" i="50"/>
  <c r="I80" i="50" s="1"/>
  <c r="J80" i="50" s="1"/>
  <c r="K80" i="50" s="1"/>
  <c r="P34" i="50"/>
  <c r="N25" i="7" s="1"/>
  <c r="N26" i="7" s="1"/>
  <c r="H83" i="50"/>
  <c r="I83" i="50" s="1"/>
  <c r="J83" i="50" s="1"/>
  <c r="K83" i="50" s="1"/>
  <c r="G34" i="50"/>
  <c r="H77" i="50"/>
  <c r="H82" i="50"/>
  <c r="I82" i="50" s="1"/>
  <c r="J82" i="50" s="1"/>
  <c r="K82" i="50" s="1"/>
  <c r="K34" i="50"/>
  <c r="I25" i="7" s="1"/>
  <c r="I26" i="7" s="1"/>
  <c r="U74" i="50"/>
  <c r="U99" i="50" s="1"/>
  <c r="U71" i="50"/>
  <c r="I66" i="50"/>
  <c r="J66" i="50" s="1"/>
  <c r="K66" i="50" s="1"/>
  <c r="F87" i="50"/>
  <c r="V90" i="50"/>
  <c r="V34" i="50"/>
  <c r="T25" i="7" s="1"/>
  <c r="T26" i="7" s="1"/>
  <c r="U73" i="50"/>
  <c r="V73" i="50" s="1"/>
  <c r="W73" i="50" s="1"/>
  <c r="X73" i="50" s="1"/>
  <c r="Y73" i="50" s="1"/>
  <c r="T43" i="50"/>
  <c r="T37" i="50"/>
  <c r="Q34" i="50"/>
  <c r="O25" i="7" s="1"/>
  <c r="O26" i="7" s="1"/>
  <c r="T93" i="50"/>
  <c r="X34" i="50"/>
  <c r="T62" i="50"/>
  <c r="T88" i="50"/>
  <c r="T87" i="50" s="1"/>
  <c r="U106" i="50"/>
  <c r="T68" i="50"/>
  <c r="S15" i="49"/>
  <c r="U70" i="50"/>
  <c r="V70" i="50" s="1"/>
  <c r="W70" i="50" s="1"/>
  <c r="X70" i="50" s="1"/>
  <c r="Y70" i="50" s="1"/>
  <c r="U82" i="50"/>
  <c r="V82" i="50" s="1"/>
  <c r="W82" i="50" s="1"/>
  <c r="P152" i="50"/>
  <c r="Q152" i="50" s="1"/>
  <c r="H79" i="50"/>
  <c r="I79" i="50" s="1"/>
  <c r="J79" i="50" s="1"/>
  <c r="K79" i="50" s="1"/>
  <c r="F34" i="50"/>
  <c r="H61" i="50"/>
  <c r="I61" i="50" s="1"/>
  <c r="J61" i="50" s="1"/>
  <c r="K61" i="50" s="1"/>
  <c r="H70" i="50"/>
  <c r="H95" i="50" s="1"/>
  <c r="I43" i="50"/>
  <c r="I37" i="50"/>
  <c r="H73" i="50"/>
  <c r="I73" i="50" s="1"/>
  <c r="J73" i="50" s="1"/>
  <c r="K73" i="50" s="1"/>
  <c r="H78" i="50"/>
  <c r="I78" i="50" s="1"/>
  <c r="J78" i="50" s="1"/>
  <c r="K78" i="50" s="1"/>
  <c r="U79" i="50"/>
  <c r="U66" i="50"/>
  <c r="V66" i="50" s="1"/>
  <c r="W66" i="50" s="1"/>
  <c r="X66" i="50" s="1"/>
  <c r="Y66" i="50" s="1"/>
  <c r="U63" i="50"/>
  <c r="U88" i="50" s="1"/>
  <c r="Y65" i="50"/>
  <c r="H65" i="50"/>
  <c r="I65" i="50" s="1"/>
  <c r="J65" i="50" s="1"/>
  <c r="K65" i="50" s="1"/>
  <c r="U90" i="50"/>
  <c r="O43" i="50"/>
  <c r="N43" i="50"/>
  <c r="V80" i="50"/>
  <c r="W80" i="50" s="1"/>
  <c r="X80" i="50" s="1"/>
  <c r="Y80" i="50" s="1"/>
  <c r="V72" i="50"/>
  <c r="U97" i="50"/>
  <c r="V61" i="50"/>
  <c r="W61" i="50" s="1"/>
  <c r="X61" i="50" s="1"/>
  <c r="Y61" i="50" s="1"/>
  <c r="U86" i="50"/>
  <c r="O71" i="50"/>
  <c r="N96" i="50"/>
  <c r="O72" i="50"/>
  <c r="V83" i="50"/>
  <c r="W83" i="50" s="1"/>
  <c r="X83" i="50" s="1"/>
  <c r="Y83" i="50" s="1"/>
  <c r="U108" i="50"/>
  <c r="O74" i="50"/>
  <c r="O80" i="50"/>
  <c r="O70" i="50"/>
  <c r="N95" i="50"/>
  <c r="L15" i="49"/>
  <c r="O81" i="50"/>
  <c r="N106" i="50"/>
  <c r="O82" i="50"/>
  <c r="N107" i="50"/>
  <c r="M68" i="50"/>
  <c r="M94" i="50"/>
  <c r="M93" i="50" s="1"/>
  <c r="N69" i="50"/>
  <c r="O65" i="50"/>
  <c r="N90" i="50"/>
  <c r="U37" i="50"/>
  <c r="H37" i="50"/>
  <c r="O60" i="50"/>
  <c r="M88" i="50"/>
  <c r="M87" i="50" s="1"/>
  <c r="N63" i="50"/>
  <c r="M62" i="50"/>
  <c r="J34" i="50"/>
  <c r="Y43" i="50"/>
  <c r="U60" i="50"/>
  <c r="O83" i="50"/>
  <c r="N108" i="50"/>
  <c r="O66" i="50"/>
  <c r="N91" i="50"/>
  <c r="O79" i="50"/>
  <c r="O73" i="50"/>
  <c r="O61" i="50"/>
  <c r="N86" i="50"/>
  <c r="U43" i="50"/>
  <c r="H43" i="50"/>
  <c r="O37" i="50"/>
  <c r="N37" i="50"/>
  <c r="M34" i="50"/>
  <c r="Y37" i="50"/>
  <c r="R43" i="50"/>
  <c r="R37" i="50"/>
  <c r="T279" i="50"/>
  <c r="R10" i="49"/>
  <c r="D10" i="49"/>
  <c r="V26" i="39"/>
  <c r="R26" i="39"/>
  <c r="T26" i="39"/>
  <c r="F59" i="50"/>
  <c r="E14" i="49" s="1"/>
  <c r="O180" i="50"/>
  <c r="P160" i="50"/>
  <c r="W24" i="50"/>
  <c r="H69" i="50"/>
  <c r="H94" i="50" s="1"/>
  <c r="G68" i="50"/>
  <c r="N171" i="50"/>
  <c r="O151" i="50"/>
  <c r="N150" i="50"/>
  <c r="W30" i="50"/>
  <c r="W105" i="50" s="1"/>
  <c r="V69" i="50"/>
  <c r="V94" i="50" s="1"/>
  <c r="Q16" i="50"/>
  <c r="I33" i="50"/>
  <c r="I23" i="50"/>
  <c r="I15" i="50"/>
  <c r="P162" i="50"/>
  <c r="O182" i="50"/>
  <c r="W13" i="50"/>
  <c r="V12" i="50"/>
  <c r="W21" i="50"/>
  <c r="P158" i="50"/>
  <c r="O178" i="50"/>
  <c r="W23" i="50"/>
  <c r="P167" i="50"/>
  <c r="O187" i="50"/>
  <c r="P166" i="50"/>
  <c r="O186" i="50"/>
  <c r="P165" i="50"/>
  <c r="O185" i="50"/>
  <c r="Q33" i="50"/>
  <c r="I20" i="50"/>
  <c r="W20" i="50"/>
  <c r="I10" i="50"/>
  <c r="P163" i="50"/>
  <c r="O183" i="50"/>
  <c r="I16" i="50"/>
  <c r="H91" i="50"/>
  <c r="W33" i="50"/>
  <c r="Y22" i="50"/>
  <c r="I19" i="50"/>
  <c r="U94" i="50"/>
  <c r="Q10" i="50"/>
  <c r="I13" i="50"/>
  <c r="H12" i="50"/>
  <c r="Q32" i="50"/>
  <c r="W10" i="50"/>
  <c r="W11" i="50"/>
  <c r="I72" i="50"/>
  <c r="O184" i="50"/>
  <c r="P164" i="50"/>
  <c r="I30" i="50"/>
  <c r="W31" i="50"/>
  <c r="P169" i="50"/>
  <c r="Q20" i="50"/>
  <c r="H60" i="50"/>
  <c r="W29" i="50"/>
  <c r="X15" i="50"/>
  <c r="W90" i="50"/>
  <c r="W16" i="50"/>
  <c r="W32" i="50"/>
  <c r="H63" i="50"/>
  <c r="G62" i="50"/>
  <c r="U9" i="50"/>
  <c r="T11" i="49" s="1"/>
  <c r="Q21" i="50"/>
  <c r="I32" i="50"/>
  <c r="I21" i="50"/>
  <c r="H96" i="50"/>
  <c r="Q11" i="50"/>
  <c r="Q15" i="50"/>
  <c r="I11" i="50"/>
  <c r="G94" i="50"/>
  <c r="W19" i="50"/>
  <c r="V18" i="50"/>
  <c r="G88" i="50"/>
  <c r="G87" i="50" s="1"/>
  <c r="P161" i="50"/>
  <c r="O181" i="50"/>
  <c r="K158" i="50"/>
  <c r="D59" i="39"/>
  <c r="H33" i="39"/>
  <c r="H46" i="39" s="1"/>
  <c r="K21" i="39"/>
  <c r="R21" i="39" s="1"/>
  <c r="K33" i="39"/>
  <c r="R33" i="39" s="1"/>
  <c r="E33" i="39"/>
  <c r="I33" i="39"/>
  <c r="F33" i="39"/>
  <c r="C33" i="39"/>
  <c r="G33" i="39"/>
  <c r="T104" i="53" l="1"/>
  <c r="AI57" i="54"/>
  <c r="T16" i="60"/>
  <c r="T30" i="60" s="1"/>
  <c r="T33" i="60" s="1"/>
  <c r="T61" i="53"/>
  <c r="V63" i="53"/>
  <c r="V86" i="53" s="1"/>
  <c r="AG61" i="54"/>
  <c r="AG84" i="54" s="1"/>
  <c r="U62" i="53"/>
  <c r="O49" i="46"/>
  <c r="U93" i="53"/>
  <c r="W59" i="53"/>
  <c r="R55" i="39"/>
  <c r="J56" i="53"/>
  <c r="J53" i="53" s="1"/>
  <c r="D15" i="20" s="1"/>
  <c r="J31" i="7"/>
  <c r="J32" i="7"/>
  <c r="V55" i="39"/>
  <c r="F15" i="21"/>
  <c r="C56" i="53"/>
  <c r="C53" i="53" s="1"/>
  <c r="D12" i="20" s="1"/>
  <c r="C32" i="7"/>
  <c r="H17" i="48"/>
  <c r="AA86" i="41"/>
  <c r="AH10" i="51"/>
  <c r="R21" i="7"/>
  <c r="C17" i="48"/>
  <c r="C15" i="48" s="1"/>
  <c r="G21" i="7"/>
  <c r="F17" i="48"/>
  <c r="H21" i="7"/>
  <c r="G17" i="48"/>
  <c r="S50" i="39"/>
  <c r="H89" i="50"/>
  <c r="L20" i="7"/>
  <c r="E20" i="7"/>
  <c r="K59" i="39"/>
  <c r="D65" i="39"/>
  <c r="U50" i="39"/>
  <c r="Y114" i="50"/>
  <c r="Y174" i="50" s="1"/>
  <c r="X174" i="50"/>
  <c r="Q114" i="50"/>
  <c r="P174" i="50"/>
  <c r="J114" i="50"/>
  <c r="I174" i="50"/>
  <c r="I98" i="50"/>
  <c r="N170" i="50"/>
  <c r="X17" i="50"/>
  <c r="W92" i="50"/>
  <c r="P17" i="50"/>
  <c r="O92" i="50"/>
  <c r="I17" i="50"/>
  <c r="H92" i="50"/>
  <c r="Q14" i="50"/>
  <c r="P89" i="50"/>
  <c r="J14" i="50"/>
  <c r="I89" i="50"/>
  <c r="Y14" i="50"/>
  <c r="Y89" i="50" s="1"/>
  <c r="X89" i="50"/>
  <c r="I105" i="50"/>
  <c r="F13" i="21"/>
  <c r="C16" i="7"/>
  <c r="C12" i="7" s="1"/>
  <c r="C20" i="7" s="1"/>
  <c r="Q55" i="39"/>
  <c r="P29" i="50"/>
  <c r="O104" i="50"/>
  <c r="P24" i="50"/>
  <c r="O99" i="50"/>
  <c r="X26" i="50"/>
  <c r="W101" i="50"/>
  <c r="P28" i="50"/>
  <c r="O103" i="50"/>
  <c r="X25" i="50"/>
  <c r="W100" i="50"/>
  <c r="V79" i="50"/>
  <c r="U104" i="50"/>
  <c r="X27" i="50"/>
  <c r="W102" i="50"/>
  <c r="P27" i="50"/>
  <c r="O102" i="50"/>
  <c r="X28" i="50"/>
  <c r="W103" i="50"/>
  <c r="P25" i="50"/>
  <c r="O100" i="50"/>
  <c r="I27" i="50"/>
  <c r="H102" i="50"/>
  <c r="P119" i="50"/>
  <c r="O179" i="50"/>
  <c r="P26" i="50"/>
  <c r="O101" i="50"/>
  <c r="P30" i="50"/>
  <c r="O105" i="50"/>
  <c r="I28" i="50"/>
  <c r="H103" i="50"/>
  <c r="V105" i="50"/>
  <c r="H98" i="50"/>
  <c r="I29" i="50"/>
  <c r="H104" i="50"/>
  <c r="I22" i="50"/>
  <c r="I18" i="50" s="1"/>
  <c r="H97" i="50"/>
  <c r="H93" i="50" s="1"/>
  <c r="P22" i="50"/>
  <c r="O97" i="50"/>
  <c r="I26" i="50"/>
  <c r="H101" i="50"/>
  <c r="H105" i="50"/>
  <c r="I24" i="50"/>
  <c r="H99" i="50"/>
  <c r="X119" i="50"/>
  <c r="W179" i="50"/>
  <c r="O98" i="50"/>
  <c r="P23" i="50"/>
  <c r="I25" i="50"/>
  <c r="H100" i="50"/>
  <c r="I119" i="50"/>
  <c r="H179" i="50"/>
  <c r="S55" i="39"/>
  <c r="Q50" i="39"/>
  <c r="H16" i="7"/>
  <c r="F12" i="7"/>
  <c r="F20" i="7" s="1"/>
  <c r="R16" i="7"/>
  <c r="L97" i="41"/>
  <c r="AA97" i="41" s="1"/>
  <c r="L10" i="7"/>
  <c r="E10" i="7"/>
  <c r="L96" i="41"/>
  <c r="AA96" i="41" s="1"/>
  <c r="G95" i="41"/>
  <c r="L95" i="41" s="1"/>
  <c r="AA95" i="41" s="1"/>
  <c r="W16" i="7"/>
  <c r="T50" i="39"/>
  <c r="D25" i="7"/>
  <c r="D26" i="7" s="1"/>
  <c r="D54" i="53"/>
  <c r="K25" i="7"/>
  <c r="K26" i="7" s="1"/>
  <c r="K54" i="53"/>
  <c r="H54" i="53"/>
  <c r="H25" i="7"/>
  <c r="H26" i="7" s="1"/>
  <c r="V54" i="53"/>
  <c r="V25" i="7"/>
  <c r="V26" i="7" s="1"/>
  <c r="E54" i="53"/>
  <c r="E25" i="7"/>
  <c r="E26" i="7" s="1"/>
  <c r="I169" i="50"/>
  <c r="J169" i="50" s="1"/>
  <c r="H189" i="50"/>
  <c r="G170" i="50"/>
  <c r="I127" i="50"/>
  <c r="H187" i="50"/>
  <c r="I125" i="50"/>
  <c r="H185" i="50"/>
  <c r="I117" i="50"/>
  <c r="H177" i="50"/>
  <c r="I112" i="50"/>
  <c r="H172" i="50"/>
  <c r="I111" i="50"/>
  <c r="H171" i="50"/>
  <c r="I123" i="50"/>
  <c r="H183" i="50"/>
  <c r="I126" i="50"/>
  <c r="H186" i="50"/>
  <c r="I116" i="50"/>
  <c r="H176" i="50"/>
  <c r="I113" i="50"/>
  <c r="H173" i="50"/>
  <c r="I115" i="50"/>
  <c r="H175" i="50"/>
  <c r="I122" i="50"/>
  <c r="H182" i="50"/>
  <c r="I128" i="50"/>
  <c r="H188" i="50"/>
  <c r="I124" i="50"/>
  <c r="H184" i="50"/>
  <c r="I118" i="50"/>
  <c r="H178" i="50"/>
  <c r="I121" i="50"/>
  <c r="H181" i="50"/>
  <c r="I120" i="50"/>
  <c r="H180" i="50"/>
  <c r="V170" i="50"/>
  <c r="R50" i="39"/>
  <c r="W50" i="39"/>
  <c r="U55" i="39"/>
  <c r="W55" i="39"/>
  <c r="T55" i="39"/>
  <c r="V50" i="39"/>
  <c r="X168" i="50"/>
  <c r="W188" i="50"/>
  <c r="W172" i="50"/>
  <c r="X152" i="50"/>
  <c r="X153" i="50"/>
  <c r="W173" i="50"/>
  <c r="K160" i="50"/>
  <c r="X155" i="50"/>
  <c r="W175" i="50"/>
  <c r="X156" i="50"/>
  <c r="W176" i="50"/>
  <c r="W171" i="50"/>
  <c r="X151" i="50"/>
  <c r="X157" i="50"/>
  <c r="W177" i="50"/>
  <c r="W184" i="50"/>
  <c r="X164" i="50"/>
  <c r="K151" i="50"/>
  <c r="X165" i="50"/>
  <c r="W185" i="50"/>
  <c r="X166" i="50"/>
  <c r="W186" i="50"/>
  <c r="X162" i="50"/>
  <c r="W182" i="50"/>
  <c r="K161" i="50"/>
  <c r="K167" i="50"/>
  <c r="X161" i="50"/>
  <c r="W181" i="50"/>
  <c r="X167" i="50"/>
  <c r="W187" i="50"/>
  <c r="K153" i="50"/>
  <c r="K163" i="50"/>
  <c r="K155" i="50"/>
  <c r="K156" i="50"/>
  <c r="K152" i="50"/>
  <c r="K166" i="50"/>
  <c r="K162" i="50"/>
  <c r="K168" i="50"/>
  <c r="K165" i="50"/>
  <c r="W180" i="50"/>
  <c r="X160" i="50"/>
  <c r="W178" i="50"/>
  <c r="X158" i="50"/>
  <c r="K157" i="50"/>
  <c r="K164" i="50"/>
  <c r="X163" i="50"/>
  <c r="W183" i="50"/>
  <c r="Q155" i="50"/>
  <c r="P175" i="50"/>
  <c r="Q168" i="50"/>
  <c r="P188" i="50"/>
  <c r="Q157" i="50"/>
  <c r="P177" i="50"/>
  <c r="Q156" i="50"/>
  <c r="P176" i="50"/>
  <c r="Q153" i="50"/>
  <c r="P173" i="50"/>
  <c r="F11" i="49"/>
  <c r="F279" i="50"/>
  <c r="P129" i="50"/>
  <c r="P189" i="50" s="1"/>
  <c r="O110" i="50"/>
  <c r="I129" i="50"/>
  <c r="H110" i="50"/>
  <c r="F84" i="50"/>
  <c r="F282" i="50" s="1"/>
  <c r="X129" i="50"/>
  <c r="W110" i="50"/>
  <c r="V106" i="50"/>
  <c r="W81" i="50"/>
  <c r="X81" i="50" s="1"/>
  <c r="G12" i="49"/>
  <c r="U12" i="49"/>
  <c r="X169" i="50"/>
  <c r="W189" i="50"/>
  <c r="W150" i="50"/>
  <c r="F15" i="49"/>
  <c r="F12" i="49"/>
  <c r="T54" i="53"/>
  <c r="U96" i="50"/>
  <c r="V71" i="50"/>
  <c r="W71" i="50" s="1"/>
  <c r="X71" i="50" s="1"/>
  <c r="Y71" i="50" s="1"/>
  <c r="Q280" i="50"/>
  <c r="O54" i="53"/>
  <c r="P280" i="50"/>
  <c r="N54" i="53"/>
  <c r="I54" i="53"/>
  <c r="N9" i="50"/>
  <c r="M11" i="49" s="1"/>
  <c r="P172" i="50"/>
  <c r="M12" i="49"/>
  <c r="P31" i="50"/>
  <c r="G93" i="50"/>
  <c r="G84" i="50" s="1"/>
  <c r="O12" i="50"/>
  <c r="P13" i="50"/>
  <c r="O18" i="50"/>
  <c r="P19" i="50"/>
  <c r="H106" i="50"/>
  <c r="I81" i="50"/>
  <c r="G15" i="49" s="1"/>
  <c r="M279" i="50"/>
  <c r="K10" i="49"/>
  <c r="V98" i="50"/>
  <c r="I70" i="50"/>
  <c r="J70" i="50" s="1"/>
  <c r="K70" i="50" s="1"/>
  <c r="I77" i="50"/>
  <c r="J77" i="50" s="1"/>
  <c r="K77" i="50" s="1"/>
  <c r="G280" i="50"/>
  <c r="V63" i="50"/>
  <c r="V88" i="50" s="1"/>
  <c r="H108" i="50"/>
  <c r="M59" i="50"/>
  <c r="L14" i="49" s="1"/>
  <c r="U107" i="50"/>
  <c r="U91" i="50"/>
  <c r="V74" i="50"/>
  <c r="U95" i="50"/>
  <c r="T84" i="50"/>
  <c r="T34" i="50"/>
  <c r="U68" i="50"/>
  <c r="U62" i="50"/>
  <c r="U98" i="50"/>
  <c r="T59" i="50"/>
  <c r="S14" i="49" s="1"/>
  <c r="H86" i="50"/>
  <c r="H107" i="50"/>
  <c r="K280" i="50"/>
  <c r="Y34" i="50"/>
  <c r="W25" i="7" s="1"/>
  <c r="W26" i="7" s="1"/>
  <c r="X82" i="50"/>
  <c r="Y82" i="50" s="1"/>
  <c r="V107" i="50"/>
  <c r="V91" i="50"/>
  <c r="F280" i="50"/>
  <c r="I34" i="50"/>
  <c r="G25" i="7" s="1"/>
  <c r="G26" i="7" s="1"/>
  <c r="H34" i="50"/>
  <c r="H90" i="50"/>
  <c r="V108" i="50"/>
  <c r="V86" i="50"/>
  <c r="N34" i="50"/>
  <c r="M84" i="50"/>
  <c r="V95" i="50"/>
  <c r="O34" i="50"/>
  <c r="R34" i="50"/>
  <c r="U34" i="50"/>
  <c r="M280" i="50"/>
  <c r="P79" i="50"/>
  <c r="J280" i="50"/>
  <c r="N88" i="50"/>
  <c r="N87" i="50" s="1"/>
  <c r="N62" i="50"/>
  <c r="O63" i="50"/>
  <c r="P60" i="50"/>
  <c r="O85" i="50"/>
  <c r="P65" i="50"/>
  <c r="O90" i="50"/>
  <c r="P70" i="50"/>
  <c r="O95" i="50"/>
  <c r="P74" i="50"/>
  <c r="P71" i="50"/>
  <c r="O96" i="50"/>
  <c r="P61" i="50"/>
  <c r="O86" i="50"/>
  <c r="P73" i="50"/>
  <c r="P66" i="50"/>
  <c r="O91" i="50"/>
  <c r="P83" i="50"/>
  <c r="O108" i="50"/>
  <c r="V60" i="50"/>
  <c r="U85" i="50"/>
  <c r="N68" i="50"/>
  <c r="O69" i="50"/>
  <c r="N94" i="50"/>
  <c r="N93" i="50" s="1"/>
  <c r="P82" i="50"/>
  <c r="P107" i="50" s="1"/>
  <c r="O107" i="50"/>
  <c r="M15" i="49"/>
  <c r="P81" i="50"/>
  <c r="O106" i="50"/>
  <c r="P80" i="50"/>
  <c r="P72" i="50"/>
  <c r="V97" i="50"/>
  <c r="W72" i="50"/>
  <c r="U279" i="50"/>
  <c r="S10" i="49"/>
  <c r="S26" i="39"/>
  <c r="U26" i="39"/>
  <c r="W26" i="39"/>
  <c r="F281" i="50"/>
  <c r="D13" i="49"/>
  <c r="G279" i="50"/>
  <c r="E10" i="49"/>
  <c r="G59" i="50"/>
  <c r="F14" i="49" s="1"/>
  <c r="V9" i="50"/>
  <c r="U11" i="49" s="1"/>
  <c r="P181" i="50"/>
  <c r="Q161" i="50"/>
  <c r="J11" i="50"/>
  <c r="I86" i="50"/>
  <c r="J21" i="50"/>
  <c r="I96" i="50"/>
  <c r="R20" i="50"/>
  <c r="Q169" i="50"/>
  <c r="J72" i="50"/>
  <c r="R33" i="50"/>
  <c r="Q166" i="50"/>
  <c r="P186" i="50"/>
  <c r="R15" i="50"/>
  <c r="R32" i="50"/>
  <c r="J23" i="50"/>
  <c r="J98" i="50" s="1"/>
  <c r="I69" i="50"/>
  <c r="H68" i="50"/>
  <c r="J32" i="50"/>
  <c r="I107" i="50"/>
  <c r="J31" i="50"/>
  <c r="I63" i="50"/>
  <c r="H62" i="50"/>
  <c r="X32" i="50"/>
  <c r="Y15" i="50"/>
  <c r="Y90" i="50" s="1"/>
  <c r="X90" i="50"/>
  <c r="I60" i="50"/>
  <c r="X31" i="50"/>
  <c r="J30" i="50"/>
  <c r="J105" i="50" s="1"/>
  <c r="Q164" i="50"/>
  <c r="P184" i="50"/>
  <c r="H88" i="50"/>
  <c r="R10" i="50"/>
  <c r="J19" i="50"/>
  <c r="X33" i="50"/>
  <c r="W108" i="50"/>
  <c r="H85" i="50"/>
  <c r="Q165" i="50"/>
  <c r="P185" i="50"/>
  <c r="Q167" i="50"/>
  <c r="P187" i="50"/>
  <c r="P178" i="50"/>
  <c r="Q158" i="50"/>
  <c r="X21" i="50"/>
  <c r="R16" i="50"/>
  <c r="W69" i="50"/>
  <c r="W94" i="50" s="1"/>
  <c r="X19" i="50"/>
  <c r="W18" i="50"/>
  <c r="R11" i="50"/>
  <c r="X16" i="50"/>
  <c r="W91" i="50"/>
  <c r="X29" i="50"/>
  <c r="J13" i="50"/>
  <c r="I12" i="50"/>
  <c r="J16" i="50"/>
  <c r="I91" i="50"/>
  <c r="P183" i="50"/>
  <c r="Q163" i="50"/>
  <c r="X23" i="50"/>
  <c r="W98" i="50"/>
  <c r="P151" i="50"/>
  <c r="O171" i="50"/>
  <c r="O150" i="50"/>
  <c r="X10" i="50"/>
  <c r="X20" i="50"/>
  <c r="W95" i="50"/>
  <c r="Q162" i="50"/>
  <c r="P182" i="50"/>
  <c r="X30" i="50"/>
  <c r="X105" i="50" s="1"/>
  <c r="Q160" i="50"/>
  <c r="P180" i="50"/>
  <c r="R152" i="50"/>
  <c r="R172" i="50" s="1"/>
  <c r="Q172" i="50"/>
  <c r="R21" i="50"/>
  <c r="X11" i="50"/>
  <c r="W86" i="50"/>
  <c r="H9" i="50"/>
  <c r="J10" i="50"/>
  <c r="J20" i="50"/>
  <c r="X13" i="50"/>
  <c r="W12" i="50"/>
  <c r="J15" i="50"/>
  <c r="I90" i="50"/>
  <c r="J33" i="50"/>
  <c r="I108" i="50"/>
  <c r="X24" i="50"/>
  <c r="O46" i="39"/>
  <c r="V46" i="39" s="1"/>
  <c r="H59" i="39"/>
  <c r="O33" i="39"/>
  <c r="V33" i="39" s="1"/>
  <c r="M33" i="39"/>
  <c r="T33" i="39" s="1"/>
  <c r="F46" i="39"/>
  <c r="G46" i="39"/>
  <c r="N33" i="39"/>
  <c r="U33" i="39" s="1"/>
  <c r="I46" i="39"/>
  <c r="P33" i="39"/>
  <c r="W33" i="39" s="1"/>
  <c r="J33" i="39"/>
  <c r="Q33" i="39" s="1"/>
  <c r="C46" i="39"/>
  <c r="E46" i="39"/>
  <c r="L33" i="39"/>
  <c r="S33" i="39" s="1"/>
  <c r="U104" i="53" l="1"/>
  <c r="U16" i="60"/>
  <c r="U30" i="60" s="1"/>
  <c r="U33" i="60" s="1"/>
  <c r="U61" i="53"/>
  <c r="AK57" i="54"/>
  <c r="V93" i="53"/>
  <c r="P49" i="46"/>
  <c r="AI61" i="54"/>
  <c r="AI84" i="54" s="1"/>
  <c r="V62" i="53"/>
  <c r="W63" i="53"/>
  <c r="W86" i="53" s="1"/>
  <c r="G15" i="21"/>
  <c r="F284" i="50"/>
  <c r="O59" i="39"/>
  <c r="H65" i="39"/>
  <c r="R114" i="50"/>
  <c r="R174" i="50" s="1"/>
  <c r="Q174" i="50"/>
  <c r="K114" i="50"/>
  <c r="K174" i="50" s="1"/>
  <c r="J174" i="50"/>
  <c r="B47" i="48"/>
  <c r="B49" i="48" s="1"/>
  <c r="J17" i="50"/>
  <c r="I92" i="50"/>
  <c r="Q17" i="50"/>
  <c r="P92" i="50"/>
  <c r="Y17" i="50"/>
  <c r="Y92" i="50" s="1"/>
  <c r="X92" i="50"/>
  <c r="K14" i="50"/>
  <c r="K89" i="50" s="1"/>
  <c r="J89" i="50"/>
  <c r="R14" i="50"/>
  <c r="R89" i="50" s="1"/>
  <c r="Q89" i="50"/>
  <c r="O170" i="50"/>
  <c r="G13" i="21"/>
  <c r="J119" i="50"/>
  <c r="I179" i="50"/>
  <c r="J24" i="50"/>
  <c r="I99" i="50"/>
  <c r="P97" i="50"/>
  <c r="Q22" i="50"/>
  <c r="J22" i="50"/>
  <c r="J18" i="50" s="1"/>
  <c r="I97" i="50"/>
  <c r="P105" i="50"/>
  <c r="Q30" i="50"/>
  <c r="Q119" i="50"/>
  <c r="P179" i="50"/>
  <c r="Q25" i="50"/>
  <c r="P100" i="50"/>
  <c r="Q27" i="50"/>
  <c r="P102" i="50"/>
  <c r="W79" i="50"/>
  <c r="V104" i="50"/>
  <c r="Q28" i="50"/>
  <c r="P103" i="50"/>
  <c r="Q24" i="50"/>
  <c r="P99" i="50"/>
  <c r="W74" i="50"/>
  <c r="V99" i="50"/>
  <c r="J25" i="50"/>
  <c r="I100" i="50"/>
  <c r="Y119" i="50"/>
  <c r="Y179" i="50" s="1"/>
  <c r="X179" i="50"/>
  <c r="P98" i="50"/>
  <c r="Q23" i="50"/>
  <c r="J26" i="50"/>
  <c r="I101" i="50"/>
  <c r="J29" i="50"/>
  <c r="I104" i="50"/>
  <c r="J28" i="50"/>
  <c r="I103" i="50"/>
  <c r="Q26" i="50"/>
  <c r="P101" i="50"/>
  <c r="J27" i="50"/>
  <c r="I102" i="50"/>
  <c r="Y28" i="50"/>
  <c r="Y103" i="50" s="1"/>
  <c r="X103" i="50"/>
  <c r="Y27" i="50"/>
  <c r="Y102" i="50" s="1"/>
  <c r="X102" i="50"/>
  <c r="Y25" i="50"/>
  <c r="Y100" i="50" s="1"/>
  <c r="X100" i="50"/>
  <c r="Y26" i="50"/>
  <c r="Y101" i="50" s="1"/>
  <c r="X101" i="50"/>
  <c r="Q29" i="50"/>
  <c r="P104" i="50"/>
  <c r="H12" i="7"/>
  <c r="H20" i="7" s="1"/>
  <c r="W12" i="7"/>
  <c r="W20" i="7" s="1"/>
  <c r="C7" i="48"/>
  <c r="R12" i="7"/>
  <c r="R20" i="7" s="1"/>
  <c r="L54" i="53"/>
  <c r="L25" i="7"/>
  <c r="L26" i="7" s="1"/>
  <c r="F54" i="53"/>
  <c r="F25" i="7"/>
  <c r="F26" i="7" s="1"/>
  <c r="I150" i="50"/>
  <c r="P54" i="53"/>
  <c r="P25" i="7"/>
  <c r="P26" i="7" s="1"/>
  <c r="M54" i="53"/>
  <c r="M25" i="7"/>
  <c r="M26" i="7" s="1"/>
  <c r="R25" i="7"/>
  <c r="R26" i="7" s="1"/>
  <c r="R54" i="53"/>
  <c r="S54" i="53"/>
  <c r="S25" i="7"/>
  <c r="S26" i="7" s="1"/>
  <c r="I189" i="50"/>
  <c r="G282" i="50"/>
  <c r="H170" i="50"/>
  <c r="J121" i="50"/>
  <c r="I181" i="50"/>
  <c r="J124" i="50"/>
  <c r="I184" i="50"/>
  <c r="J122" i="50"/>
  <c r="I182" i="50"/>
  <c r="J113" i="50"/>
  <c r="I173" i="50"/>
  <c r="J126" i="50"/>
  <c r="I186" i="50"/>
  <c r="J111" i="50"/>
  <c r="I171" i="50"/>
  <c r="J117" i="50"/>
  <c r="I177" i="50"/>
  <c r="J127" i="50"/>
  <c r="I187" i="50"/>
  <c r="W170" i="50"/>
  <c r="J120" i="50"/>
  <c r="I180" i="50"/>
  <c r="J118" i="50"/>
  <c r="I178" i="50"/>
  <c r="J128" i="50"/>
  <c r="I188" i="50"/>
  <c r="J115" i="50"/>
  <c r="I175" i="50"/>
  <c r="J116" i="50"/>
  <c r="I176" i="50"/>
  <c r="J123" i="50"/>
  <c r="I183" i="50"/>
  <c r="J112" i="50"/>
  <c r="I172" i="50"/>
  <c r="J125" i="50"/>
  <c r="I185" i="50"/>
  <c r="X178" i="50"/>
  <c r="Y158" i="50"/>
  <c r="Y178" i="50" s="1"/>
  <c r="Y160" i="50"/>
  <c r="Y180" i="50" s="1"/>
  <c r="X180" i="50"/>
  <c r="Y164" i="50"/>
  <c r="Y184" i="50" s="1"/>
  <c r="X184" i="50"/>
  <c r="Y151" i="50"/>
  <c r="Y171" i="50" s="1"/>
  <c r="X171" i="50"/>
  <c r="Y152" i="50"/>
  <c r="Y172" i="50" s="1"/>
  <c r="X172" i="50"/>
  <c r="Y163" i="50"/>
  <c r="Y183" i="50" s="1"/>
  <c r="X183" i="50"/>
  <c r="Y167" i="50"/>
  <c r="Y187" i="50" s="1"/>
  <c r="X187" i="50"/>
  <c r="Y161" i="50"/>
  <c r="Y181" i="50" s="1"/>
  <c r="X181" i="50"/>
  <c r="Y162" i="50"/>
  <c r="Y182" i="50" s="1"/>
  <c r="X182" i="50"/>
  <c r="Y166" i="50"/>
  <c r="Y186" i="50" s="1"/>
  <c r="X186" i="50"/>
  <c r="Y165" i="50"/>
  <c r="Y185" i="50" s="1"/>
  <c r="X185" i="50"/>
  <c r="Y157" i="50"/>
  <c r="Y177" i="50" s="1"/>
  <c r="X177" i="50"/>
  <c r="X176" i="50"/>
  <c r="Y156" i="50"/>
  <c r="Y176" i="50" s="1"/>
  <c r="X175" i="50"/>
  <c r="Y155" i="50"/>
  <c r="Y175" i="50" s="1"/>
  <c r="X173" i="50"/>
  <c r="Y153" i="50"/>
  <c r="Y173" i="50" s="1"/>
  <c r="X188" i="50"/>
  <c r="Y168" i="50"/>
  <c r="Y188" i="50" s="1"/>
  <c r="R156" i="50"/>
  <c r="R176" i="50" s="1"/>
  <c r="Q176" i="50"/>
  <c r="R168" i="50"/>
  <c r="R188" i="50" s="1"/>
  <c r="Q188" i="50"/>
  <c r="R153" i="50"/>
  <c r="R173" i="50" s="1"/>
  <c r="Q173" i="50"/>
  <c r="Q177" i="50"/>
  <c r="R157" i="50"/>
  <c r="R177" i="50" s="1"/>
  <c r="R155" i="50"/>
  <c r="R175" i="50" s="1"/>
  <c r="Q175" i="50"/>
  <c r="G11" i="49"/>
  <c r="I95" i="50"/>
  <c r="H87" i="50"/>
  <c r="H84" i="50" s="1"/>
  <c r="U93" i="50"/>
  <c r="Y129" i="50"/>
  <c r="X110" i="50"/>
  <c r="J129" i="50"/>
  <c r="J189" i="50" s="1"/>
  <c r="I110" i="50"/>
  <c r="Q129" i="50"/>
  <c r="Q189" i="50" s="1"/>
  <c r="P110" i="50"/>
  <c r="W106" i="50"/>
  <c r="U15" i="49"/>
  <c r="H12" i="49"/>
  <c r="K169" i="50"/>
  <c r="J150" i="50"/>
  <c r="V12" i="49"/>
  <c r="J81" i="50"/>
  <c r="J106" i="50" s="1"/>
  <c r="N279" i="50"/>
  <c r="Y169" i="50"/>
  <c r="X189" i="50"/>
  <c r="X150" i="50"/>
  <c r="W54" i="53"/>
  <c r="I280" i="50"/>
  <c r="G54" i="53"/>
  <c r="L10" i="49"/>
  <c r="I106" i="50"/>
  <c r="N12" i="49"/>
  <c r="Q31" i="50"/>
  <c r="V87" i="50"/>
  <c r="V62" i="50"/>
  <c r="P12" i="50"/>
  <c r="Q13" i="50"/>
  <c r="O9" i="50"/>
  <c r="N11" i="49" s="1"/>
  <c r="Q19" i="50"/>
  <c r="P18" i="50"/>
  <c r="W63" i="50"/>
  <c r="W88" i="50" s="1"/>
  <c r="W87" i="50" s="1"/>
  <c r="R13" i="49"/>
  <c r="U87" i="50"/>
  <c r="M281" i="50"/>
  <c r="K13" i="49"/>
  <c r="U59" i="50"/>
  <c r="T14" i="49" s="1"/>
  <c r="N280" i="50"/>
  <c r="V68" i="50"/>
  <c r="W96" i="50"/>
  <c r="W107" i="50"/>
  <c r="V96" i="50"/>
  <c r="V93" i="50" s="1"/>
  <c r="W9" i="50"/>
  <c r="V11" i="49" s="1"/>
  <c r="H280" i="50"/>
  <c r="O280" i="50"/>
  <c r="R280" i="50"/>
  <c r="M282" i="50"/>
  <c r="Q72" i="50"/>
  <c r="Q80" i="50"/>
  <c r="Q81" i="50"/>
  <c r="N15" i="49"/>
  <c r="P106" i="50"/>
  <c r="W60" i="50"/>
  <c r="V85" i="50"/>
  <c r="Q83" i="50"/>
  <c r="P108" i="50"/>
  <c r="Q66" i="50"/>
  <c r="P91" i="50"/>
  <c r="Q73" i="50"/>
  <c r="Q61" i="50"/>
  <c r="P86" i="50"/>
  <c r="O88" i="50"/>
  <c r="O87" i="50" s="1"/>
  <c r="P63" i="50"/>
  <c r="O62" i="50"/>
  <c r="N84" i="50"/>
  <c r="N282" i="50" s="1"/>
  <c r="Q79" i="50"/>
  <c r="X72" i="50"/>
  <c r="W97" i="50"/>
  <c r="Q82" i="50"/>
  <c r="O68" i="50"/>
  <c r="O94" i="50"/>
  <c r="O93" i="50" s="1"/>
  <c r="P69" i="50"/>
  <c r="Q71" i="50"/>
  <c r="P96" i="50"/>
  <c r="Q74" i="50"/>
  <c r="Q70" i="50"/>
  <c r="P95" i="50"/>
  <c r="Q65" i="50"/>
  <c r="P90" i="50"/>
  <c r="Q60" i="50"/>
  <c r="P85" i="50"/>
  <c r="N59" i="50"/>
  <c r="M14" i="49" s="1"/>
  <c r="Y81" i="50"/>
  <c r="W15" i="49" s="1"/>
  <c r="V15" i="49"/>
  <c r="V279" i="50"/>
  <c r="T10" i="49"/>
  <c r="H279" i="50"/>
  <c r="F10" i="49"/>
  <c r="G281" i="50"/>
  <c r="E13" i="49"/>
  <c r="H59" i="50"/>
  <c r="G14" i="49" s="1"/>
  <c r="I9" i="50"/>
  <c r="Y13" i="50"/>
  <c r="X12" i="50"/>
  <c r="Y23" i="50"/>
  <c r="Y98" i="50" s="1"/>
  <c r="X98" i="50"/>
  <c r="K16" i="50"/>
  <c r="K91" i="50" s="1"/>
  <c r="J91" i="50"/>
  <c r="Y19" i="50"/>
  <c r="X18" i="50"/>
  <c r="R165" i="50"/>
  <c r="R185" i="50" s="1"/>
  <c r="Q185" i="50"/>
  <c r="K30" i="50"/>
  <c r="K105" i="50" s="1"/>
  <c r="K31" i="50"/>
  <c r="J69" i="50"/>
  <c r="J94" i="50" s="1"/>
  <c r="I68" i="50"/>
  <c r="K23" i="50"/>
  <c r="K98" i="50" s="1"/>
  <c r="R169" i="50"/>
  <c r="K21" i="50"/>
  <c r="K96" i="50" s="1"/>
  <c r="J96" i="50"/>
  <c r="K11" i="50"/>
  <c r="K86" i="50" s="1"/>
  <c r="J86" i="50"/>
  <c r="K15" i="50"/>
  <c r="K90" i="50" s="1"/>
  <c r="J90" i="50"/>
  <c r="Y11" i="50"/>
  <c r="Y86" i="50" s="1"/>
  <c r="X86" i="50"/>
  <c r="Y20" i="50"/>
  <c r="Y95" i="50" s="1"/>
  <c r="X95" i="50"/>
  <c r="R163" i="50"/>
  <c r="R183" i="50" s="1"/>
  <c r="Q183" i="50"/>
  <c r="K13" i="50"/>
  <c r="J12" i="50"/>
  <c r="Y16" i="50"/>
  <c r="Y91" i="50" s="1"/>
  <c r="X91" i="50"/>
  <c r="K19" i="50"/>
  <c r="R161" i="50"/>
  <c r="R181" i="50" s="1"/>
  <c r="Q181" i="50"/>
  <c r="K10" i="50"/>
  <c r="Y24" i="50"/>
  <c r="K20" i="50"/>
  <c r="K95" i="50" s="1"/>
  <c r="J95" i="50"/>
  <c r="R160" i="50"/>
  <c r="R180" i="50" s="1"/>
  <c r="Q180" i="50"/>
  <c r="Y30" i="50"/>
  <c r="Y105" i="50" s="1"/>
  <c r="R162" i="50"/>
  <c r="R182" i="50" s="1"/>
  <c r="Q182" i="50"/>
  <c r="P171" i="50"/>
  <c r="Q151" i="50"/>
  <c r="P150" i="50"/>
  <c r="W68" i="50"/>
  <c r="X69" i="50"/>
  <c r="X94" i="50" s="1"/>
  <c r="Y21" i="50"/>
  <c r="Y96" i="50" s="1"/>
  <c r="X96" i="50"/>
  <c r="Q187" i="50"/>
  <c r="R167" i="50"/>
  <c r="R187" i="50" s="1"/>
  <c r="Y33" i="50"/>
  <c r="Y108" i="50" s="1"/>
  <c r="X108" i="50"/>
  <c r="R164" i="50"/>
  <c r="R184" i="50" s="1"/>
  <c r="Q184" i="50"/>
  <c r="Y31" i="50"/>
  <c r="X106" i="50"/>
  <c r="J60" i="50"/>
  <c r="Y32" i="50"/>
  <c r="Y107" i="50" s="1"/>
  <c r="X107" i="50"/>
  <c r="I62" i="50"/>
  <c r="J63" i="50"/>
  <c r="K32" i="50"/>
  <c r="K107" i="50" s="1"/>
  <c r="J107" i="50"/>
  <c r="K72" i="50"/>
  <c r="K33" i="50"/>
  <c r="K108" i="50" s="1"/>
  <c r="J108" i="50"/>
  <c r="I85" i="50"/>
  <c r="Y10" i="50"/>
  <c r="I88" i="50"/>
  <c r="I87" i="50" s="1"/>
  <c r="Y29" i="50"/>
  <c r="Q178" i="50"/>
  <c r="R158" i="50"/>
  <c r="R178" i="50" s="1"/>
  <c r="I94" i="50"/>
  <c r="R166" i="50"/>
  <c r="R186" i="50" s="1"/>
  <c r="Q186" i="50"/>
  <c r="L46" i="39"/>
  <c r="S46" i="39" s="1"/>
  <c r="E59" i="39"/>
  <c r="P46" i="39"/>
  <c r="W46" i="39" s="1"/>
  <c r="I59" i="39"/>
  <c r="J46" i="39"/>
  <c r="Q46" i="39" s="1"/>
  <c r="C59" i="39"/>
  <c r="N46" i="39"/>
  <c r="U46" i="39" s="1"/>
  <c r="G59" i="39"/>
  <c r="M46" i="39"/>
  <c r="T46" i="39" s="1"/>
  <c r="F59" i="39"/>
  <c r="C48" i="48" l="1"/>
  <c r="V104" i="53"/>
  <c r="W93" i="53"/>
  <c r="W104" i="53" s="1"/>
  <c r="Q49" i="46"/>
  <c r="AK61" i="54"/>
  <c r="W62" i="53"/>
  <c r="V16" i="60"/>
  <c r="V30" i="60" s="1"/>
  <c r="V33" i="60" s="1"/>
  <c r="V61" i="53"/>
  <c r="AK84" i="54"/>
  <c r="H15" i="21"/>
  <c r="H13" i="21" s="1"/>
  <c r="M284" i="50"/>
  <c r="G284" i="50"/>
  <c r="B7" i="48"/>
  <c r="M59" i="39"/>
  <c r="F65" i="39"/>
  <c r="L59" i="39"/>
  <c r="E65" i="39"/>
  <c r="J59" i="39"/>
  <c r="C65" i="39"/>
  <c r="N59" i="39"/>
  <c r="G65" i="39"/>
  <c r="P59" i="39"/>
  <c r="I65" i="39"/>
  <c r="Y110" i="50"/>
  <c r="P170" i="50"/>
  <c r="Y106" i="50"/>
  <c r="R17" i="50"/>
  <c r="R92" i="50" s="1"/>
  <c r="Q92" i="50"/>
  <c r="K17" i="50"/>
  <c r="K92" i="50" s="1"/>
  <c r="J92" i="50"/>
  <c r="Q104" i="50"/>
  <c r="R29" i="50"/>
  <c r="R26" i="50"/>
  <c r="R101" i="50" s="1"/>
  <c r="Q101" i="50"/>
  <c r="K29" i="50"/>
  <c r="K104" i="50" s="1"/>
  <c r="J104" i="50"/>
  <c r="X74" i="50"/>
  <c r="W99" i="50"/>
  <c r="R28" i="50"/>
  <c r="R103" i="50" s="1"/>
  <c r="Q103" i="50"/>
  <c r="R27" i="50"/>
  <c r="R102" i="50" s="1"/>
  <c r="Q102" i="50"/>
  <c r="R119" i="50"/>
  <c r="R179" i="50" s="1"/>
  <c r="Q179" i="50"/>
  <c r="J97" i="50"/>
  <c r="J93" i="50" s="1"/>
  <c r="K22" i="50"/>
  <c r="K97" i="50" s="1"/>
  <c r="Q105" i="50"/>
  <c r="R30" i="50"/>
  <c r="Q97" i="50"/>
  <c r="R22" i="50"/>
  <c r="K24" i="50"/>
  <c r="K99" i="50" s="1"/>
  <c r="J99" i="50"/>
  <c r="K27" i="50"/>
  <c r="K102" i="50" s="1"/>
  <c r="J102" i="50"/>
  <c r="K28" i="50"/>
  <c r="K103" i="50" s="1"/>
  <c r="J103" i="50"/>
  <c r="K26" i="50"/>
  <c r="K101" i="50" s="1"/>
  <c r="J101" i="50"/>
  <c r="K25" i="50"/>
  <c r="K100" i="50" s="1"/>
  <c r="J100" i="50"/>
  <c r="R24" i="50"/>
  <c r="Q99" i="50"/>
  <c r="X79" i="50"/>
  <c r="W104" i="50"/>
  <c r="R25" i="50"/>
  <c r="R100" i="50" s="1"/>
  <c r="Q100" i="50"/>
  <c r="Q98" i="50"/>
  <c r="R23" i="50"/>
  <c r="K119" i="50"/>
  <c r="K179" i="50" s="1"/>
  <c r="J179" i="50"/>
  <c r="H282" i="50"/>
  <c r="I170" i="50"/>
  <c r="K112" i="50"/>
  <c r="K172" i="50" s="1"/>
  <c r="J172" i="50"/>
  <c r="K116" i="50"/>
  <c r="K176" i="50" s="1"/>
  <c r="J176" i="50"/>
  <c r="K128" i="50"/>
  <c r="K188" i="50" s="1"/>
  <c r="J188" i="50"/>
  <c r="K120" i="50"/>
  <c r="K180" i="50" s="1"/>
  <c r="J180" i="50"/>
  <c r="K127" i="50"/>
  <c r="K187" i="50" s="1"/>
  <c r="J187" i="50"/>
  <c r="K111" i="50"/>
  <c r="K171" i="50" s="1"/>
  <c r="J171" i="50"/>
  <c r="K113" i="50"/>
  <c r="K173" i="50" s="1"/>
  <c r="J173" i="50"/>
  <c r="K124" i="50"/>
  <c r="K184" i="50" s="1"/>
  <c r="J184" i="50"/>
  <c r="X170" i="50"/>
  <c r="I93" i="50"/>
  <c r="I84" i="50" s="1"/>
  <c r="K125" i="50"/>
  <c r="K185" i="50" s="1"/>
  <c r="J185" i="50"/>
  <c r="K123" i="50"/>
  <c r="K183" i="50" s="1"/>
  <c r="J183" i="50"/>
  <c r="K115" i="50"/>
  <c r="K175" i="50" s="1"/>
  <c r="J175" i="50"/>
  <c r="K118" i="50"/>
  <c r="K178" i="50" s="1"/>
  <c r="J178" i="50"/>
  <c r="K117" i="50"/>
  <c r="K177" i="50" s="1"/>
  <c r="J177" i="50"/>
  <c r="K126" i="50"/>
  <c r="K186" i="50" s="1"/>
  <c r="J186" i="50"/>
  <c r="K122" i="50"/>
  <c r="K182" i="50" s="1"/>
  <c r="J182" i="50"/>
  <c r="K121" i="50"/>
  <c r="K181" i="50" s="1"/>
  <c r="J181" i="50"/>
  <c r="U84" i="50"/>
  <c r="K129" i="50"/>
  <c r="J110" i="50"/>
  <c r="H11" i="49"/>
  <c r="R129" i="50"/>
  <c r="R110" i="50" s="1"/>
  <c r="Q110" i="50"/>
  <c r="H15" i="49"/>
  <c r="K81" i="50"/>
  <c r="I15" i="49" s="1"/>
  <c r="G10" i="49"/>
  <c r="U10" i="49"/>
  <c r="S13" i="49"/>
  <c r="Y189" i="50"/>
  <c r="Y170" i="50" s="1"/>
  <c r="Y150" i="50"/>
  <c r="K150" i="50"/>
  <c r="W62" i="50"/>
  <c r="W59" i="50" s="1"/>
  <c r="V14" i="49" s="1"/>
  <c r="V59" i="50"/>
  <c r="U14" i="49" s="1"/>
  <c r="O12" i="49"/>
  <c r="R31" i="50"/>
  <c r="P12" i="49" s="1"/>
  <c r="X63" i="50"/>
  <c r="X88" i="50" s="1"/>
  <c r="X87" i="50" s="1"/>
  <c r="R13" i="50"/>
  <c r="R12" i="50" s="1"/>
  <c r="Q12" i="50"/>
  <c r="R19" i="50"/>
  <c r="Q18" i="50"/>
  <c r="M10" i="49"/>
  <c r="O279" i="50"/>
  <c r="P9" i="50"/>
  <c r="O11" i="49" s="1"/>
  <c r="W93" i="50"/>
  <c r="W279" i="50"/>
  <c r="V84" i="50"/>
  <c r="P94" i="50"/>
  <c r="P93" i="50" s="1"/>
  <c r="Q69" i="50"/>
  <c r="P68" i="50"/>
  <c r="R82" i="50"/>
  <c r="R107" i="50" s="1"/>
  <c r="Q107" i="50"/>
  <c r="Y72" i="50"/>
  <c r="Y97" i="50" s="1"/>
  <c r="X97" i="50"/>
  <c r="X93" i="50" s="1"/>
  <c r="Q63" i="50"/>
  <c r="P62" i="50"/>
  <c r="P88" i="50"/>
  <c r="P87" i="50" s="1"/>
  <c r="R81" i="50"/>
  <c r="O15" i="49"/>
  <c r="Q106" i="50"/>
  <c r="R80" i="50"/>
  <c r="R72" i="50"/>
  <c r="N281" i="50"/>
  <c r="N284" i="50" s="1"/>
  <c r="L13" i="49"/>
  <c r="R60" i="50"/>
  <c r="R85" i="50" s="1"/>
  <c r="Q85" i="50"/>
  <c r="R65" i="50"/>
  <c r="R90" i="50" s="1"/>
  <c r="Q90" i="50"/>
  <c r="R70" i="50"/>
  <c r="R95" i="50" s="1"/>
  <c r="Q95" i="50"/>
  <c r="R74" i="50"/>
  <c r="R71" i="50"/>
  <c r="R96" i="50" s="1"/>
  <c r="Q96" i="50"/>
  <c r="R79" i="50"/>
  <c r="O59" i="50"/>
  <c r="N14" i="49" s="1"/>
  <c r="O84" i="50"/>
  <c r="O282" i="50" s="1"/>
  <c r="R61" i="50"/>
  <c r="R86" i="50" s="1"/>
  <c r="Q86" i="50"/>
  <c r="R73" i="50"/>
  <c r="R66" i="50"/>
  <c r="R91" i="50" s="1"/>
  <c r="Q91" i="50"/>
  <c r="R83" i="50"/>
  <c r="R108" i="50" s="1"/>
  <c r="Q108" i="50"/>
  <c r="X60" i="50"/>
  <c r="W85" i="50"/>
  <c r="I59" i="50"/>
  <c r="H14" i="49" s="1"/>
  <c r="W12" i="49"/>
  <c r="I12" i="49"/>
  <c r="H281" i="50"/>
  <c r="F13" i="49"/>
  <c r="I279" i="50"/>
  <c r="X9" i="50"/>
  <c r="W11" i="49" s="1"/>
  <c r="J9" i="50"/>
  <c r="K60" i="50"/>
  <c r="J85" i="50"/>
  <c r="Y69" i="50"/>
  <c r="X68" i="50"/>
  <c r="R151" i="50"/>
  <c r="Q171" i="50"/>
  <c r="Q150" i="50"/>
  <c r="Y12" i="50"/>
  <c r="K12" i="50"/>
  <c r="J62" i="50"/>
  <c r="K63" i="50"/>
  <c r="K62" i="50" s="1"/>
  <c r="J88" i="50"/>
  <c r="J87" i="50" s="1"/>
  <c r="K69" i="50"/>
  <c r="K68" i="50" s="1"/>
  <c r="J68" i="50"/>
  <c r="Y18" i="50"/>
  <c r="I8" i="39"/>
  <c r="P8" i="39" s="1"/>
  <c r="W8" i="39" s="1"/>
  <c r="H8" i="39"/>
  <c r="G8" i="39"/>
  <c r="N8" i="39" s="1"/>
  <c r="U8" i="39" s="1"/>
  <c r="F8" i="39"/>
  <c r="M8" i="39" s="1"/>
  <c r="T8" i="39" s="1"/>
  <c r="E8" i="39"/>
  <c r="L8" i="39" s="1"/>
  <c r="S8" i="39" s="1"/>
  <c r="D8" i="39"/>
  <c r="C8" i="39"/>
  <c r="J8" i="39" s="1"/>
  <c r="Q8" i="39" s="1"/>
  <c r="W16" i="60" l="1"/>
  <c r="W30" i="60" s="1"/>
  <c r="W33" i="60" s="1"/>
  <c r="W61" i="53"/>
  <c r="I15" i="21"/>
  <c r="I13" i="21" s="1"/>
  <c r="H284" i="50"/>
  <c r="P59" i="50"/>
  <c r="O14" i="49" s="1"/>
  <c r="K18" i="50"/>
  <c r="K9" i="50" s="1"/>
  <c r="Q170" i="50"/>
  <c r="R97" i="50"/>
  <c r="Y74" i="50"/>
  <c r="Y99" i="50" s="1"/>
  <c r="X99" i="50"/>
  <c r="R99" i="50"/>
  <c r="R104" i="50"/>
  <c r="R98" i="50"/>
  <c r="R105" i="50"/>
  <c r="R18" i="50"/>
  <c r="R9" i="50" s="1"/>
  <c r="Y79" i="50"/>
  <c r="Y104" i="50" s="1"/>
  <c r="X104" i="50"/>
  <c r="I282" i="50"/>
  <c r="K110" i="50"/>
  <c r="J170" i="50"/>
  <c r="I11" i="49"/>
  <c r="K106" i="50"/>
  <c r="K189" i="50"/>
  <c r="K170" i="50" s="1"/>
  <c r="R189" i="50"/>
  <c r="N13" i="49"/>
  <c r="I281" i="50"/>
  <c r="X62" i="50"/>
  <c r="X59" i="50" s="1"/>
  <c r="W14" i="49" s="1"/>
  <c r="T13" i="49"/>
  <c r="W84" i="50"/>
  <c r="Y63" i="50"/>
  <c r="Y62" i="50" s="1"/>
  <c r="N10" i="49"/>
  <c r="P279" i="50"/>
  <c r="Q9" i="50"/>
  <c r="P11" i="49" s="1"/>
  <c r="P84" i="50"/>
  <c r="P282" i="50" s="1"/>
  <c r="Y68" i="50"/>
  <c r="P15" i="49"/>
  <c r="R106" i="50"/>
  <c r="Y60" i="50"/>
  <c r="Y85" i="50" s="1"/>
  <c r="X85" i="50"/>
  <c r="M13" i="49"/>
  <c r="O281" i="50"/>
  <c r="O284" i="50" s="1"/>
  <c r="Q88" i="50"/>
  <c r="Q87" i="50" s="1"/>
  <c r="R63" i="50"/>
  <c r="Q62" i="50"/>
  <c r="Q94" i="50"/>
  <c r="Q93" i="50" s="1"/>
  <c r="Q68" i="50"/>
  <c r="R69" i="50"/>
  <c r="G13" i="49"/>
  <c r="X279" i="50"/>
  <c r="V10" i="49"/>
  <c r="U13" i="49"/>
  <c r="J279" i="50"/>
  <c r="H10" i="49"/>
  <c r="Y94" i="50"/>
  <c r="Y93" i="50" s="1"/>
  <c r="J59" i="50"/>
  <c r="I14" i="49" s="1"/>
  <c r="K88" i="50"/>
  <c r="K87" i="50" s="1"/>
  <c r="J84" i="50"/>
  <c r="R171" i="50"/>
  <c r="R150" i="50"/>
  <c r="Y9" i="50"/>
  <c r="K85" i="50"/>
  <c r="K59" i="50"/>
  <c r="K94" i="50"/>
  <c r="K93" i="50" s="1"/>
  <c r="K8" i="39"/>
  <c r="R8" i="39" s="1"/>
  <c r="O8" i="39"/>
  <c r="V8" i="39" s="1"/>
  <c r="J15" i="21" l="1"/>
  <c r="J13" i="21" s="1"/>
  <c r="AA9" i="50"/>
  <c r="I284" i="50"/>
  <c r="P281" i="50"/>
  <c r="P284" i="50" s="1"/>
  <c r="X84" i="50"/>
  <c r="J282" i="50"/>
  <c r="R170" i="50"/>
  <c r="Y88" i="50"/>
  <c r="Y87" i="50" s="1"/>
  <c r="Y84" i="50" s="1"/>
  <c r="P10" i="49"/>
  <c r="R279" i="50"/>
  <c r="Q279" i="50"/>
  <c r="O10" i="49"/>
  <c r="Q84" i="50"/>
  <c r="Q282" i="50" s="1"/>
  <c r="Y59" i="50"/>
  <c r="R68" i="50"/>
  <c r="R94" i="50"/>
  <c r="R93" i="50" s="1"/>
  <c r="R62" i="50"/>
  <c r="R88" i="50"/>
  <c r="R87" i="50" s="1"/>
  <c r="Q59" i="50"/>
  <c r="P14" i="49" s="1"/>
  <c r="Y279" i="50"/>
  <c r="W10" i="49"/>
  <c r="V13" i="49"/>
  <c r="K281" i="50"/>
  <c r="I13" i="49"/>
  <c r="J281" i="50"/>
  <c r="H13" i="49"/>
  <c r="K279" i="50"/>
  <c r="I10" i="49"/>
  <c r="K84" i="50"/>
  <c r="J284" i="50" l="1"/>
  <c r="W13" i="49"/>
  <c r="R59" i="50"/>
  <c r="R84" i="50"/>
  <c r="R282" i="50" s="1"/>
  <c r="O13" i="49"/>
  <c r="Q281" i="50"/>
  <c r="Q284" i="50" s="1"/>
  <c r="K282" i="50"/>
  <c r="K284" i="50" s="1"/>
  <c r="R281" i="50" l="1"/>
  <c r="R284" i="50" s="1"/>
  <c r="P13" i="49"/>
  <c r="J12" i="21"/>
  <c r="I12" i="21"/>
  <c r="H12" i="21"/>
  <c r="G12" i="21"/>
  <c r="F12" i="21"/>
  <c r="J7" i="20"/>
  <c r="I7" i="20"/>
  <c r="H7" i="20"/>
  <c r="G7" i="20"/>
  <c r="F7" i="20"/>
  <c r="J8" i="17"/>
  <c r="Q8" i="17" s="1"/>
  <c r="X8" i="17" s="1"/>
  <c r="I8" i="17"/>
  <c r="P8" i="17" s="1"/>
  <c r="W8" i="17" s="1"/>
  <c r="H8" i="17"/>
  <c r="O8" i="17" s="1"/>
  <c r="V8" i="17" s="1"/>
  <c r="G8" i="17"/>
  <c r="N8" i="17" s="1"/>
  <c r="U8" i="17" s="1"/>
  <c r="F8" i="17"/>
  <c r="M8" i="17" s="1"/>
  <c r="T8" i="17" s="1"/>
  <c r="I7" i="16"/>
  <c r="H7" i="16"/>
  <c r="G7" i="16"/>
  <c r="F7" i="16"/>
  <c r="E7" i="16"/>
  <c r="D7" i="16"/>
  <c r="C7" i="16"/>
  <c r="I7" i="7"/>
  <c r="I59" i="7" s="1"/>
  <c r="H7" i="7"/>
  <c r="H59" i="7" s="1"/>
  <c r="G7" i="7"/>
  <c r="G59" i="7" s="1"/>
  <c r="F7" i="7"/>
  <c r="F59" i="7" s="1"/>
  <c r="E7" i="7"/>
  <c r="E59" i="7" s="1"/>
  <c r="D7" i="7"/>
  <c r="D59" i="7" s="1"/>
  <c r="C7" i="7"/>
  <c r="C59" i="7" s="1"/>
  <c r="L6" i="2"/>
  <c r="K6" i="2"/>
  <c r="J6" i="2"/>
  <c r="I6" i="2"/>
  <c r="H6" i="2"/>
  <c r="G6" i="2"/>
  <c r="F6" i="2"/>
  <c r="E6" i="2"/>
  <c r="J7" i="7" l="1"/>
  <c r="J59" i="7" s="1"/>
  <c r="C35" i="7"/>
  <c r="C47" i="7" s="1"/>
  <c r="N7" i="7"/>
  <c r="N59" i="7" s="1"/>
  <c r="G35" i="7"/>
  <c r="G47" i="7" s="1"/>
  <c r="K7" i="7"/>
  <c r="K59" i="7" s="1"/>
  <c r="D35" i="7"/>
  <c r="D47" i="7" s="1"/>
  <c r="O7" i="7"/>
  <c r="O59" i="7" s="1"/>
  <c r="H35" i="7"/>
  <c r="H47" i="7" s="1"/>
  <c r="M7" i="7"/>
  <c r="M59" i="7" s="1"/>
  <c r="F35" i="7"/>
  <c r="F47" i="7" s="1"/>
  <c r="L7" i="7"/>
  <c r="L59" i="7" s="1"/>
  <c r="E35" i="7"/>
  <c r="E47" i="7" s="1"/>
  <c r="P7" i="7"/>
  <c r="P59" i="7" s="1"/>
  <c r="I35" i="7"/>
  <c r="I47" i="7" s="1"/>
  <c r="G22" i="17"/>
  <c r="H22" i="17"/>
  <c r="I22" i="17"/>
  <c r="F22" i="17"/>
  <c r="J22" i="17"/>
  <c r="B56" i="35"/>
  <c r="B116" i="54" s="1"/>
  <c r="A23" i="16" s="1"/>
  <c r="A50" i="47" s="1"/>
  <c r="A53" i="48" s="1"/>
  <c r="B29" i="17" s="1"/>
  <c r="B25" i="49" s="1"/>
  <c r="B24" i="20" s="1"/>
  <c r="B35" i="21" s="1"/>
  <c r="B15" i="22" s="1"/>
  <c r="A4" i="35"/>
  <c r="A4" i="5" s="1"/>
  <c r="A4" i="7" s="1"/>
  <c r="A4" i="46" l="1"/>
  <c r="A6" i="65"/>
  <c r="A4" i="1"/>
  <c r="B43" i="60"/>
  <c r="B71" i="39" s="1"/>
  <c r="B37" i="58" s="1"/>
  <c r="A51" i="46" s="1"/>
  <c r="B101" i="41" s="1"/>
  <c r="B71" i="7" s="1"/>
  <c r="C286" i="50" s="1"/>
  <c r="C115" i="51" s="1"/>
  <c r="B108" i="53" s="1"/>
  <c r="B54" i="5"/>
  <c r="C117" i="1" s="1"/>
  <c r="B73" i="65" s="1"/>
  <c r="S7" i="7"/>
  <c r="S35" i="7" s="1"/>
  <c r="L35" i="7"/>
  <c r="L47" i="7" s="1"/>
  <c r="V7" i="7"/>
  <c r="V35" i="7" s="1"/>
  <c r="O35" i="7"/>
  <c r="O47" i="7" s="1"/>
  <c r="U7" i="7"/>
  <c r="U35" i="7" s="1"/>
  <c r="N35" i="7"/>
  <c r="N47" i="7" s="1"/>
  <c r="W7" i="7"/>
  <c r="W35" i="7" s="1"/>
  <c r="P35" i="7"/>
  <c r="P47" i="7" s="1"/>
  <c r="T7" i="7"/>
  <c r="T35" i="7" s="1"/>
  <c r="M35" i="7"/>
  <c r="M47" i="7" s="1"/>
  <c r="R7" i="7"/>
  <c r="R35" i="7" s="1"/>
  <c r="K35" i="7"/>
  <c r="K47" i="7" s="1"/>
  <c r="Q7" i="7"/>
  <c r="Q35" i="7" s="1"/>
  <c r="J35" i="7"/>
  <c r="J47" i="7" s="1"/>
  <c r="A5" i="62"/>
  <c r="A5" i="22"/>
  <c r="A5" i="20"/>
  <c r="A5" i="17"/>
  <c r="A4" i="47"/>
  <c r="A4" i="54"/>
  <c r="A4" i="51"/>
  <c r="A4" i="39"/>
  <c r="A5" i="60"/>
  <c r="A5" i="21"/>
  <c r="A5" i="49"/>
  <c r="A4" i="48"/>
  <c r="A4" i="16"/>
  <c r="A4" i="53"/>
  <c r="A4" i="50"/>
  <c r="A5" i="41"/>
  <c r="A6" i="58"/>
  <c r="A4" i="2"/>
  <c r="E101" i="1"/>
  <c r="E91" i="1"/>
  <c r="E47" i="1"/>
  <c r="E42" i="1"/>
  <c r="E37" i="1"/>
  <c r="C41" i="2" l="1"/>
  <c r="E95" i="1"/>
  <c r="C179" i="62"/>
  <c r="J91" i="1"/>
  <c r="R47" i="1"/>
  <c r="Q47" i="1"/>
  <c r="P47" i="1"/>
  <c r="O47" i="1"/>
  <c r="N47" i="1"/>
  <c r="M47" i="1"/>
  <c r="R42" i="1"/>
  <c r="Q42" i="1"/>
  <c r="P42" i="1"/>
  <c r="O42" i="1"/>
  <c r="N42" i="1"/>
  <c r="M42" i="1"/>
  <c r="R37" i="1"/>
  <c r="Q37" i="1"/>
  <c r="P37" i="1"/>
  <c r="O37" i="1"/>
  <c r="N37" i="1"/>
  <c r="M37" i="1"/>
  <c r="R32" i="1"/>
  <c r="Q32" i="1"/>
  <c r="P32" i="1"/>
  <c r="O32" i="1"/>
  <c r="N32" i="1"/>
  <c r="M32" i="1"/>
  <c r="L47" i="1" l="1"/>
  <c r="L42" i="1"/>
  <c r="L37" i="1"/>
  <c r="L32" i="1"/>
  <c r="J9" i="20" l="1"/>
  <c r="I65" i="7"/>
  <c r="H65" i="7"/>
  <c r="G65" i="7"/>
  <c r="F65" i="7"/>
  <c r="E65" i="7"/>
  <c r="D65" i="7"/>
  <c r="D60" i="7" l="1"/>
  <c r="D66" i="7" l="1"/>
  <c r="D64" i="7" s="1"/>
  <c r="E60" i="7" l="1"/>
  <c r="E66" i="7" l="1"/>
  <c r="E64" i="7" s="1"/>
  <c r="F60" i="7" l="1"/>
  <c r="F66" i="7" l="1"/>
  <c r="G60" i="7" s="1"/>
  <c r="F64" i="7" l="1"/>
  <c r="G66" i="7"/>
  <c r="H60" i="7" s="1"/>
  <c r="O13" i="17"/>
  <c r="N13" i="17"/>
  <c r="Q13" i="17"/>
  <c r="M13" i="17"/>
  <c r="P13" i="17"/>
  <c r="G64" i="7" l="1"/>
  <c r="H66" i="7"/>
  <c r="I60" i="7" s="1"/>
  <c r="I9" i="20"/>
  <c r="H9" i="20"/>
  <c r="G9" i="20"/>
  <c r="F9" i="20"/>
  <c r="I66" i="7" l="1"/>
  <c r="I64" i="7" s="1"/>
  <c r="H64" i="7"/>
  <c r="F11" i="2"/>
  <c r="G11" i="2"/>
  <c r="H11" i="2"/>
  <c r="I11" i="2"/>
  <c r="J11" i="2"/>
  <c r="K11" i="2"/>
  <c r="E11" i="2"/>
  <c r="F33" i="2" l="1"/>
  <c r="G33" i="2"/>
  <c r="H33" i="2"/>
  <c r="I33" i="2"/>
  <c r="J33" i="2"/>
  <c r="K33" i="2"/>
  <c r="F34" i="2"/>
  <c r="G34" i="2"/>
  <c r="H34" i="2"/>
  <c r="I34" i="2"/>
  <c r="J34" i="2"/>
  <c r="K34" i="2"/>
  <c r="F35" i="2"/>
  <c r="G35" i="2"/>
  <c r="F36" i="2"/>
  <c r="G36" i="2"/>
  <c r="H36" i="2"/>
  <c r="I36" i="2"/>
  <c r="J36" i="2"/>
  <c r="K36" i="2"/>
  <c r="E36" i="2"/>
  <c r="E35" i="2"/>
  <c r="E34" i="2"/>
  <c r="E33" i="2"/>
  <c r="F91" i="1"/>
  <c r="G91" i="1"/>
  <c r="H91" i="1"/>
  <c r="I91" i="1"/>
  <c r="K91" i="1"/>
  <c r="F101" i="1"/>
  <c r="G101" i="1"/>
  <c r="H101" i="1"/>
  <c r="I101" i="1"/>
  <c r="J101" i="1"/>
  <c r="K101" i="1"/>
  <c r="F22" i="2"/>
  <c r="G22" i="2"/>
  <c r="H22" i="2"/>
  <c r="I22" i="2"/>
  <c r="J22" i="2"/>
  <c r="K22" i="2"/>
  <c r="F23" i="2"/>
  <c r="G23" i="2"/>
  <c r="H23" i="2"/>
  <c r="I23" i="2"/>
  <c r="J23" i="2"/>
  <c r="K23" i="2"/>
  <c r="F24" i="2"/>
  <c r="G24" i="2"/>
  <c r="H24" i="2"/>
  <c r="I24" i="2"/>
  <c r="J24" i="2"/>
  <c r="K24" i="2"/>
  <c r="E24" i="2"/>
  <c r="E23" i="2"/>
  <c r="E22" i="2"/>
  <c r="F16" i="2"/>
  <c r="G16" i="2"/>
  <c r="H16" i="2"/>
  <c r="I16" i="2"/>
  <c r="J16" i="2"/>
  <c r="K16" i="2"/>
  <c r="F17" i="2"/>
  <c r="G17" i="2"/>
  <c r="H17" i="2"/>
  <c r="I17" i="2"/>
  <c r="J17" i="2"/>
  <c r="K17" i="2"/>
  <c r="F18" i="2"/>
  <c r="G18" i="2"/>
  <c r="H18" i="2"/>
  <c r="I18" i="2"/>
  <c r="J18" i="2"/>
  <c r="K18" i="2"/>
  <c r="F20" i="2"/>
  <c r="G20" i="2"/>
  <c r="H20" i="2"/>
  <c r="I20" i="2"/>
  <c r="J20" i="2"/>
  <c r="K20" i="2"/>
  <c r="E20" i="2"/>
  <c r="E18" i="2"/>
  <c r="E17" i="2"/>
  <c r="E16" i="2"/>
  <c r="H95" i="1" l="1"/>
  <c r="H32" i="2" s="1"/>
  <c r="E32" i="2"/>
  <c r="I95" i="1"/>
  <c r="I32" i="2" s="1"/>
  <c r="K95" i="1"/>
  <c r="K32" i="2" s="1"/>
  <c r="G95" i="1"/>
  <c r="G32" i="2" s="1"/>
  <c r="J95" i="1"/>
  <c r="J32" i="2" s="1"/>
  <c r="F95" i="1"/>
  <c r="F32" i="2" s="1"/>
  <c r="F10" i="2"/>
  <c r="G10" i="2"/>
  <c r="H10" i="2"/>
  <c r="I10" i="2"/>
  <c r="J10" i="2"/>
  <c r="K10" i="2"/>
  <c r="E10" i="2"/>
  <c r="H32" i="1"/>
  <c r="I32" i="1"/>
  <c r="J32" i="1"/>
  <c r="K32" i="1"/>
  <c r="F37" i="1"/>
  <c r="G37" i="1"/>
  <c r="H37" i="1"/>
  <c r="I37" i="1"/>
  <c r="J37" i="1"/>
  <c r="K37" i="1"/>
  <c r="F42" i="1"/>
  <c r="G42" i="1"/>
  <c r="H42" i="1"/>
  <c r="I42" i="1"/>
  <c r="J42" i="1"/>
  <c r="K42" i="1"/>
  <c r="F47" i="1"/>
  <c r="G47" i="1"/>
  <c r="H47" i="1"/>
  <c r="I47" i="1"/>
  <c r="J47" i="1"/>
  <c r="K47" i="1"/>
  <c r="I17" i="16"/>
  <c r="H17" i="16"/>
  <c r="G17" i="16"/>
  <c r="F17" i="16"/>
  <c r="E17" i="16"/>
  <c r="D17" i="16"/>
  <c r="C17" i="16"/>
  <c r="C54" i="7"/>
  <c r="D53" i="7"/>
  <c r="C53" i="7"/>
  <c r="X13" i="17"/>
  <c r="W13" i="17"/>
  <c r="V13" i="17"/>
  <c r="U13" i="17"/>
  <c r="T13" i="17"/>
  <c r="C52" i="7" l="1"/>
  <c r="D17" i="21"/>
  <c r="D18" i="21" s="1"/>
  <c r="C18" i="49"/>
  <c r="C16" i="49" s="1"/>
  <c r="Q18" i="49"/>
  <c r="Q16" i="49" s="1"/>
  <c r="J18" i="49"/>
  <c r="J16" i="49" s="1"/>
  <c r="K8" i="2"/>
  <c r="G8" i="2"/>
  <c r="I9" i="2"/>
  <c r="K9" i="2"/>
  <c r="G9" i="2"/>
  <c r="D48" i="7"/>
  <c r="I8" i="2"/>
  <c r="E8" i="2"/>
  <c r="J9" i="2"/>
  <c r="F9" i="2"/>
  <c r="H9" i="2"/>
  <c r="J8" i="2"/>
  <c r="F8" i="2"/>
  <c r="H8" i="2"/>
  <c r="E9" i="2"/>
  <c r="F7" i="2"/>
  <c r="G7" i="2"/>
  <c r="H7" i="2"/>
  <c r="I7" i="2"/>
  <c r="J7" i="2"/>
  <c r="K7" i="2"/>
  <c r="K17" i="49" l="1"/>
  <c r="D28" i="7"/>
  <c r="K28" i="7"/>
  <c r="K30" i="7" s="1"/>
  <c r="R28" i="7"/>
  <c r="R30" i="7" s="1"/>
  <c r="R17" i="49"/>
  <c r="D17" i="49"/>
  <c r="D16" i="21"/>
  <c r="D28" i="21" s="1"/>
  <c r="D54" i="7"/>
  <c r="D52" i="7" s="1"/>
  <c r="J21" i="2"/>
  <c r="F21" i="2"/>
  <c r="D31" i="7" l="1"/>
  <c r="E17" i="21"/>
  <c r="D56" i="53"/>
  <c r="D53" i="53" s="1"/>
  <c r="E12" i="20" s="1"/>
  <c r="R18" i="49"/>
  <c r="R16" i="49" s="1"/>
  <c r="D18" i="49"/>
  <c r="D16" i="49" s="1"/>
  <c r="K18" i="49"/>
  <c r="K16" i="49" s="1"/>
  <c r="D25" i="21"/>
  <c r="D27" i="21"/>
  <c r="E48" i="7"/>
  <c r="H21" i="2"/>
  <c r="G21" i="2"/>
  <c r="I21" i="2"/>
  <c r="K21" i="2"/>
  <c r="D38" i="47" l="1"/>
  <c r="E53" i="7"/>
  <c r="K31" i="7"/>
  <c r="K56" i="53"/>
  <c r="K53" i="53" s="1"/>
  <c r="E15" i="20" s="1"/>
  <c r="K32" i="7"/>
  <c r="D32" i="7"/>
  <c r="D29" i="21"/>
  <c r="E17" i="49"/>
  <c r="E28" i="7"/>
  <c r="E30" i="7" s="1"/>
  <c r="S17" i="49"/>
  <c r="L28" i="7"/>
  <c r="L30" i="7" s="1"/>
  <c r="L17" i="49"/>
  <c r="S28" i="7"/>
  <c r="S30" i="7" s="1"/>
  <c r="E18" i="21"/>
  <c r="E16" i="21"/>
  <c r="E54" i="7"/>
  <c r="E52" i="7" s="1"/>
  <c r="D38" i="48" l="1"/>
  <c r="D37" i="47"/>
  <c r="E31" i="7"/>
  <c r="F17" i="21"/>
  <c r="F18" i="21" s="1"/>
  <c r="L18" i="49"/>
  <c r="L16" i="49" s="1"/>
  <c r="S18" i="49"/>
  <c r="S16" i="49" s="1"/>
  <c r="E18" i="49"/>
  <c r="E16" i="49" s="1"/>
  <c r="E25" i="21"/>
  <c r="E27" i="21"/>
  <c r="E28" i="21"/>
  <c r="F48" i="7"/>
  <c r="E38" i="47" l="1"/>
  <c r="F53" i="7"/>
  <c r="L56" i="53"/>
  <c r="L53" i="53" s="1"/>
  <c r="L31" i="7"/>
  <c r="L32" i="7"/>
  <c r="E32" i="7"/>
  <c r="E56" i="53"/>
  <c r="E53" i="53" s="1"/>
  <c r="E29" i="21"/>
  <c r="T28" i="7"/>
  <c r="T30" i="7" s="1"/>
  <c r="F17" i="49"/>
  <c r="M17" i="49"/>
  <c r="M28" i="7"/>
  <c r="M30" i="7" s="1"/>
  <c r="T17" i="49"/>
  <c r="F16" i="21"/>
  <c r="F25" i="21" s="1"/>
  <c r="F54" i="7"/>
  <c r="F52" i="7" s="1"/>
  <c r="F12" i="20" l="1"/>
  <c r="F15" i="20"/>
  <c r="E38" i="48"/>
  <c r="E37" i="47"/>
  <c r="G17" i="21"/>
  <c r="G16" i="21" s="1"/>
  <c r="F28" i="7"/>
  <c r="F18" i="49"/>
  <c r="F16" i="49" s="1"/>
  <c r="T18" i="49"/>
  <c r="T16" i="49" s="1"/>
  <c r="M18" i="49"/>
  <c r="M16" i="49" s="1"/>
  <c r="F27" i="21"/>
  <c r="F28" i="21"/>
  <c r="G48" i="7"/>
  <c r="F29" i="2"/>
  <c r="J29" i="2"/>
  <c r="I29" i="2"/>
  <c r="K29" i="2"/>
  <c r="H29" i="2"/>
  <c r="E21" i="2"/>
  <c r="F30" i="7" l="1"/>
  <c r="F31" i="7" s="1"/>
  <c r="F38" i="47"/>
  <c r="G53" i="7"/>
  <c r="M56" i="53"/>
  <c r="M53" i="53" s="1"/>
  <c r="M31" i="7"/>
  <c r="M32" i="7"/>
  <c r="U17" i="49"/>
  <c r="N28" i="7"/>
  <c r="N30" i="7" s="1"/>
  <c r="U28" i="7"/>
  <c r="U30" i="7" s="1"/>
  <c r="G17" i="49"/>
  <c r="N17" i="49"/>
  <c r="G28" i="7"/>
  <c r="G30" i="7" s="1"/>
  <c r="F29" i="21"/>
  <c r="G18" i="21"/>
  <c r="G25" i="21" s="1"/>
  <c r="G27" i="21"/>
  <c r="G28" i="21"/>
  <c r="G54" i="7"/>
  <c r="G52" i="7" s="1"/>
  <c r="E29" i="2"/>
  <c r="G15" i="20" l="1"/>
  <c r="F37" i="47"/>
  <c r="F38" i="48"/>
  <c r="F56" i="53"/>
  <c r="F53" i="53" s="1"/>
  <c r="F32" i="7"/>
  <c r="G31" i="7"/>
  <c r="H17" i="21"/>
  <c r="H18" i="21" s="1"/>
  <c r="N18" i="49"/>
  <c r="N16" i="49" s="1"/>
  <c r="G18" i="49"/>
  <c r="G16" i="49" s="1"/>
  <c r="U18" i="49"/>
  <c r="U16" i="49" s="1"/>
  <c r="G29" i="21"/>
  <c r="H48" i="7"/>
  <c r="G12" i="20" l="1"/>
  <c r="G38" i="47"/>
  <c r="H53" i="7"/>
  <c r="G32" i="7"/>
  <c r="N56" i="53"/>
  <c r="N53" i="53" s="1"/>
  <c r="N31" i="7"/>
  <c r="N32" i="7"/>
  <c r="G56" i="53"/>
  <c r="G53" i="53" s="1"/>
  <c r="O17" i="49"/>
  <c r="H28" i="7"/>
  <c r="H30" i="7" s="1"/>
  <c r="O28" i="7"/>
  <c r="O30" i="7" s="1"/>
  <c r="V17" i="49"/>
  <c r="V28" i="7"/>
  <c r="V30" i="7" s="1"/>
  <c r="H17" i="49"/>
  <c r="H16" i="21"/>
  <c r="H25" i="21" s="1"/>
  <c r="H54" i="7"/>
  <c r="H52" i="7" s="1"/>
  <c r="H12" i="20" l="1"/>
  <c r="H15" i="20"/>
  <c r="G37" i="47"/>
  <c r="G38" i="48"/>
  <c r="H31" i="7"/>
  <c r="I17" i="21"/>
  <c r="I18" i="21" s="1"/>
  <c r="V18" i="49"/>
  <c r="V16" i="49" s="1"/>
  <c r="H18" i="49"/>
  <c r="H16" i="49" s="1"/>
  <c r="O18" i="49"/>
  <c r="O16" i="49" s="1"/>
  <c r="H28" i="21"/>
  <c r="H27" i="21"/>
  <c r="I48" i="7"/>
  <c r="H38" i="47" l="1"/>
  <c r="I53" i="7"/>
  <c r="H32" i="7"/>
  <c r="O56" i="53"/>
  <c r="O53" i="53" s="1"/>
  <c r="I15" i="20" s="1"/>
  <c r="O31" i="7"/>
  <c r="O32" i="7"/>
  <c r="H56" i="53"/>
  <c r="H53" i="53" s="1"/>
  <c r="I17" i="49"/>
  <c r="I28" i="7"/>
  <c r="I30" i="7" s="1"/>
  <c r="W17" i="49"/>
  <c r="P17" i="49"/>
  <c r="P28" i="7"/>
  <c r="P30" i="7" s="1"/>
  <c r="W28" i="7"/>
  <c r="W30" i="7" s="1"/>
  <c r="H29" i="21"/>
  <c r="I16" i="21"/>
  <c r="I54" i="7"/>
  <c r="I52" i="7" s="1"/>
  <c r="I12" i="20" l="1"/>
  <c r="H38" i="48"/>
  <c r="H37" i="47"/>
  <c r="I31" i="7"/>
  <c r="J17" i="21"/>
  <c r="J18" i="21" s="1"/>
  <c r="P18" i="49"/>
  <c r="P16" i="49" s="1"/>
  <c r="W18" i="49"/>
  <c r="W16" i="49" s="1"/>
  <c r="I18" i="49"/>
  <c r="I16" i="49" s="1"/>
  <c r="I25" i="21"/>
  <c r="I28" i="21"/>
  <c r="I27" i="21"/>
  <c r="P56" i="53" l="1"/>
  <c r="P53" i="53" s="1"/>
  <c r="J15" i="20" s="1"/>
  <c r="P31" i="7"/>
  <c r="P32" i="7"/>
  <c r="I32" i="7"/>
  <c r="I56" i="53"/>
  <c r="I53" i="53" s="1"/>
  <c r="I29" i="21"/>
  <c r="J16" i="21"/>
  <c r="J25" i="21" s="1"/>
  <c r="J12" i="20" l="1"/>
  <c r="J27" i="21"/>
  <c r="J28" i="21"/>
  <c r="J29" i="21" l="1"/>
  <c r="D61" i="53"/>
  <c r="C27" i="47" s="1"/>
  <c r="C25" i="48" s="1"/>
  <c r="C57" i="53" l="1"/>
  <c r="C92" i="53" s="1"/>
  <c r="C103" i="53" s="1"/>
  <c r="C32" i="60" l="1"/>
  <c r="C35" i="60"/>
  <c r="C36" i="60"/>
  <c r="J11" i="53" l="1"/>
  <c r="K11" i="53"/>
  <c r="N11" i="53"/>
  <c r="M11" i="53"/>
  <c r="L11" i="53"/>
  <c r="P11" i="53"/>
  <c r="O11" i="54"/>
  <c r="O11" i="53"/>
  <c r="J58" i="53" l="1"/>
  <c r="J15" i="60" s="1"/>
  <c r="J28" i="60" s="1"/>
  <c r="J21" i="60" l="1"/>
  <c r="AS28" i="60"/>
  <c r="AS21" i="60" s="1"/>
  <c r="J29" i="60"/>
  <c r="AS29" i="60" s="1"/>
  <c r="AS15" i="60"/>
  <c r="J57" i="53"/>
  <c r="B26" i="47" l="1"/>
  <c r="J92" i="53"/>
  <c r="J103" i="53" s="1"/>
  <c r="J32" i="60"/>
  <c r="J35" i="60"/>
  <c r="J36" i="60"/>
  <c r="J84" i="53"/>
  <c r="E85" i="1" l="1"/>
  <c r="D14" i="20"/>
  <c r="D13" i="20" s="1"/>
  <c r="D20" i="20" s="1"/>
  <c r="J20" i="49" s="1"/>
  <c r="J21" i="49" s="1"/>
  <c r="AS32" i="60"/>
  <c r="AS36" i="60"/>
  <c r="AS35" i="60"/>
  <c r="C11" i="16" l="1"/>
  <c r="C13" i="16" s="1"/>
  <c r="C19" i="16" s="1"/>
  <c r="E27" i="2" l="1"/>
  <c r="U58" i="53"/>
  <c r="S58" i="53"/>
  <c r="L58" i="53"/>
  <c r="T58" i="53"/>
  <c r="W58" i="53"/>
  <c r="O58" i="53"/>
  <c r="P58" i="53"/>
  <c r="V58" i="53"/>
  <c r="M58" i="53"/>
  <c r="N58" i="53"/>
  <c r="P57" i="53" l="1"/>
  <c r="P15" i="60"/>
  <c r="P29" i="60" s="1"/>
  <c r="K57" i="53"/>
  <c r="K15" i="60"/>
  <c r="K29" i="60" s="1"/>
  <c r="N57" i="53"/>
  <c r="N15" i="60"/>
  <c r="N29" i="60" s="1"/>
  <c r="N32" i="60" s="1"/>
  <c r="U57" i="53"/>
  <c r="U92" i="53" s="1"/>
  <c r="U103" i="53" s="1"/>
  <c r="U15" i="60"/>
  <c r="U29" i="60" s="1"/>
  <c r="M57" i="53"/>
  <c r="M15" i="60"/>
  <c r="M29" i="60" s="1"/>
  <c r="L57" i="53"/>
  <c r="L15" i="60"/>
  <c r="L29" i="60" s="1"/>
  <c r="R57" i="53"/>
  <c r="R92" i="53" s="1"/>
  <c r="R103" i="53" s="1"/>
  <c r="R15" i="60"/>
  <c r="R29" i="60" s="1"/>
  <c r="O57" i="53"/>
  <c r="O92" i="53" s="1"/>
  <c r="O103" i="53" s="1"/>
  <c r="O15" i="60"/>
  <c r="O29" i="60" s="1"/>
  <c r="V57" i="53"/>
  <c r="V92" i="53" s="1"/>
  <c r="V103" i="53" s="1"/>
  <c r="V15" i="60"/>
  <c r="V29" i="60" s="1"/>
  <c r="W57" i="53"/>
  <c r="W92" i="53" s="1"/>
  <c r="W103" i="53" s="1"/>
  <c r="W15" i="60"/>
  <c r="W29" i="60" s="1"/>
  <c r="T57" i="53"/>
  <c r="T92" i="53" s="1"/>
  <c r="T103" i="53" s="1"/>
  <c r="T15" i="60"/>
  <c r="T29" i="60" s="1"/>
  <c r="S57" i="53"/>
  <c r="S92" i="53" s="1"/>
  <c r="S103" i="53" s="1"/>
  <c r="S15" i="60"/>
  <c r="S29" i="60" s="1"/>
  <c r="D57" i="53"/>
  <c r="D92" i="53" s="1"/>
  <c r="D103" i="53" s="1"/>
  <c r="D15" i="60"/>
  <c r="P85" i="53"/>
  <c r="L85" i="53"/>
  <c r="S85" i="53"/>
  <c r="O85" i="53"/>
  <c r="W85" i="53"/>
  <c r="T85" i="53"/>
  <c r="N85" i="53"/>
  <c r="M85" i="53"/>
  <c r="V85" i="53"/>
  <c r="U85" i="53"/>
  <c r="S32" i="60" l="1"/>
  <c r="W35" i="60"/>
  <c r="N35" i="60"/>
  <c r="AT15" i="60"/>
  <c r="N36" i="60"/>
  <c r="M84" i="53"/>
  <c r="H85" i="1" s="1"/>
  <c r="M92" i="53"/>
  <c r="M103" i="53" s="1"/>
  <c r="N84" i="53"/>
  <c r="I85" i="1" s="1"/>
  <c r="N92" i="53"/>
  <c r="N103" i="53" s="1"/>
  <c r="P84" i="53"/>
  <c r="K85" i="1" s="1"/>
  <c r="P92" i="53"/>
  <c r="P103" i="53" s="1"/>
  <c r="O84" i="53"/>
  <c r="J85" i="1" s="1"/>
  <c r="L84" i="53"/>
  <c r="G85" i="1" s="1"/>
  <c r="L92" i="53"/>
  <c r="L103" i="53" s="1"/>
  <c r="K84" i="53"/>
  <c r="F85" i="1" s="1"/>
  <c r="K92" i="53"/>
  <c r="K103" i="53" s="1"/>
  <c r="W36" i="60"/>
  <c r="S35" i="60"/>
  <c r="S36" i="60"/>
  <c r="W32" i="60"/>
  <c r="C26" i="47"/>
  <c r="C24" i="48" s="1"/>
  <c r="D29" i="60"/>
  <c r="AT29" i="60" s="1"/>
  <c r="L32" i="60"/>
  <c r="L35" i="60"/>
  <c r="L36" i="60"/>
  <c r="P32" i="60"/>
  <c r="P35" i="60"/>
  <c r="P36" i="60"/>
  <c r="K32" i="60"/>
  <c r="K36" i="60"/>
  <c r="K35" i="60"/>
  <c r="M32" i="60"/>
  <c r="M36" i="60"/>
  <c r="M35" i="60"/>
  <c r="U32" i="60"/>
  <c r="U36" i="60"/>
  <c r="U35" i="60"/>
  <c r="T32" i="60"/>
  <c r="T36" i="60"/>
  <c r="T35" i="60"/>
  <c r="O32" i="60"/>
  <c r="O35" i="60"/>
  <c r="O36" i="60"/>
  <c r="R32" i="60"/>
  <c r="R35" i="60"/>
  <c r="R36" i="60"/>
  <c r="V32" i="60"/>
  <c r="V36" i="60"/>
  <c r="V35" i="60"/>
  <c r="G14" i="20" l="1"/>
  <c r="G13" i="20" s="1"/>
  <c r="G20" i="20" s="1"/>
  <c r="M20" i="49" s="1"/>
  <c r="M21" i="49" s="1"/>
  <c r="G31" i="21" s="1"/>
  <c r="N9" i="17" s="1"/>
  <c r="M10" i="17"/>
  <c r="Q10" i="17"/>
  <c r="F14" i="20"/>
  <c r="F13" i="20" s="1"/>
  <c r="F20" i="20" s="1"/>
  <c r="L20" i="49" s="1"/>
  <c r="L21" i="49" s="1"/>
  <c r="F31" i="21" s="1"/>
  <c r="M9" i="17" s="1"/>
  <c r="H14" i="20"/>
  <c r="H13" i="20" s="1"/>
  <c r="H20" i="20" s="1"/>
  <c r="N20" i="49" s="1"/>
  <c r="N21" i="49" s="1"/>
  <c r="H31" i="21" s="1"/>
  <c r="O9" i="17" s="1"/>
  <c r="N10" i="17"/>
  <c r="O10" i="17"/>
  <c r="P10" i="17"/>
  <c r="E14" i="20"/>
  <c r="E13" i="20" s="1"/>
  <c r="E20" i="20" s="1"/>
  <c r="K20" i="49" s="1"/>
  <c r="K21" i="49" s="1"/>
  <c r="J14" i="20"/>
  <c r="J13" i="20" s="1"/>
  <c r="J20" i="20" s="1"/>
  <c r="P20" i="49" s="1"/>
  <c r="P21" i="49" s="1"/>
  <c r="J31" i="21" s="1"/>
  <c r="Q9" i="17" s="1"/>
  <c r="I14" i="20"/>
  <c r="I13" i="20" s="1"/>
  <c r="I20" i="20" s="1"/>
  <c r="O20" i="49" s="1"/>
  <c r="O21" i="49" s="1"/>
  <c r="I31" i="21" s="1"/>
  <c r="P9" i="17" s="1"/>
  <c r="D36" i="60"/>
  <c r="D35" i="60"/>
  <c r="D32" i="60"/>
  <c r="AT32" i="60"/>
  <c r="AT36" i="60"/>
  <c r="AT35" i="60"/>
  <c r="M11" i="17" l="1"/>
  <c r="Q11" i="17"/>
  <c r="O11" i="17"/>
  <c r="N11" i="17"/>
  <c r="P11" i="17"/>
  <c r="F27" i="2"/>
  <c r="L9" i="22" l="1"/>
  <c r="J84" i="1"/>
  <c r="J27" i="2" s="1"/>
  <c r="H84" i="1"/>
  <c r="H27" i="2" s="1"/>
  <c r="K9" i="22"/>
  <c r="I84" i="1"/>
  <c r="I27" i="2" s="1"/>
  <c r="M9" i="22"/>
  <c r="K84" i="1"/>
  <c r="K27" i="2" s="1"/>
  <c r="I9" i="22"/>
  <c r="G84" i="1"/>
  <c r="G27" i="2" s="1"/>
  <c r="J9" i="22"/>
  <c r="D11" i="16"/>
  <c r="D13" i="16" s="1"/>
  <c r="D19" i="16" s="1"/>
  <c r="I9" i="16" l="1"/>
  <c r="H9" i="16"/>
  <c r="G9" i="16"/>
  <c r="F9" i="16"/>
  <c r="E9" i="16"/>
  <c r="T233" i="50"/>
  <c r="T213" i="50" s="1"/>
  <c r="R29" i="7" s="1"/>
  <c r="Y233" i="50"/>
  <c r="Y213" i="50" s="1"/>
  <c r="W233" i="50"/>
  <c r="W213" i="50" s="1"/>
  <c r="U29" i="7" s="1"/>
  <c r="U233" i="50"/>
  <c r="U213" i="50" s="1"/>
  <c r="S29" i="7" s="1"/>
  <c r="V233" i="50"/>
  <c r="V213" i="50" s="1"/>
  <c r="S213" i="50"/>
  <c r="X233" i="50"/>
  <c r="X213" i="50" s="1"/>
  <c r="Y280" i="50" l="1"/>
  <c r="W29" i="7"/>
  <c r="T29" i="7"/>
  <c r="X280" i="50"/>
  <c r="V29" i="7"/>
  <c r="Q53" i="53"/>
  <c r="D18" i="20" s="1"/>
  <c r="Q29" i="7"/>
  <c r="Q31" i="7" s="1"/>
  <c r="W280" i="50"/>
  <c r="T255" i="50"/>
  <c r="T280" i="50"/>
  <c r="U280" i="50"/>
  <c r="V280" i="50"/>
  <c r="S280" i="50"/>
  <c r="V31" i="7" l="1"/>
  <c r="R32" i="7"/>
  <c r="R56" i="53"/>
  <c r="R53" i="53" s="1"/>
  <c r="E18" i="20" s="1"/>
  <c r="R31" i="7"/>
  <c r="S32" i="7"/>
  <c r="S56" i="53"/>
  <c r="S53" i="53" s="1"/>
  <c r="U56" i="53"/>
  <c r="U53" i="53" s="1"/>
  <c r="U32" i="7"/>
  <c r="S31" i="7"/>
  <c r="U31" i="7"/>
  <c r="B28" i="47"/>
  <c r="U255" i="50"/>
  <c r="V255" i="50" s="1"/>
  <c r="V235" i="50" s="1"/>
  <c r="V281" i="50" s="1"/>
  <c r="T277" i="50"/>
  <c r="T257" i="50" s="1"/>
  <c r="T282" i="50" s="1"/>
  <c r="Q84" i="53"/>
  <c r="T235" i="50"/>
  <c r="T281" i="50" s="1"/>
  <c r="C28" i="47" l="1"/>
  <c r="D28" i="47"/>
  <c r="U84" i="53"/>
  <c r="I87" i="1" s="1"/>
  <c r="F18" i="20"/>
  <c r="S84" i="53"/>
  <c r="G87" i="1" s="1"/>
  <c r="R84" i="53"/>
  <c r="F87" i="1" s="1"/>
  <c r="H18" i="20"/>
  <c r="F28" i="47"/>
  <c r="T32" i="7"/>
  <c r="T56" i="53"/>
  <c r="T53" i="53" s="1"/>
  <c r="T31" i="7"/>
  <c r="W32" i="7"/>
  <c r="W56" i="53"/>
  <c r="W53" i="53" s="1"/>
  <c r="W31" i="7"/>
  <c r="V56" i="53"/>
  <c r="V53" i="53" s="1"/>
  <c r="V32" i="7"/>
  <c r="U235" i="50"/>
  <c r="U281" i="50" s="1"/>
  <c r="T284" i="50"/>
  <c r="E87" i="1"/>
  <c r="E28" i="2" s="1"/>
  <c r="D17" i="20"/>
  <c r="D16" i="20" s="1"/>
  <c r="D21" i="20" s="1"/>
  <c r="Q20" i="49" s="1"/>
  <c r="Q21" i="49" s="1"/>
  <c r="W255" i="50"/>
  <c r="W277" i="50" s="1"/>
  <c r="W257" i="50" s="1"/>
  <c r="W282" i="50" s="1"/>
  <c r="V277" i="50"/>
  <c r="V257" i="50" s="1"/>
  <c r="V282" i="50" s="1"/>
  <c r="V284" i="50" s="1"/>
  <c r="U277" i="50"/>
  <c r="U257" i="50" s="1"/>
  <c r="U282" i="50" s="1"/>
  <c r="F28" i="2"/>
  <c r="H17" i="20" l="1"/>
  <c r="H16" i="20" s="1"/>
  <c r="H21" i="20" s="1"/>
  <c r="U20" i="49" s="1"/>
  <c r="U21" i="49" s="1"/>
  <c r="H32" i="21" s="1"/>
  <c r="V9" i="17" s="1"/>
  <c r="T10" i="17"/>
  <c r="V10" i="17"/>
  <c r="F17" i="20"/>
  <c r="F16" i="20" s="1"/>
  <c r="F21" i="20" s="1"/>
  <c r="S20" i="49" s="1"/>
  <c r="S21" i="49" s="1"/>
  <c r="F32" i="21" s="1"/>
  <c r="T9" i="17" s="1"/>
  <c r="E17" i="20"/>
  <c r="E16" i="20" s="1"/>
  <c r="E21" i="20" s="1"/>
  <c r="R20" i="49" s="1"/>
  <c r="R21" i="49" s="1"/>
  <c r="G28" i="47"/>
  <c r="V84" i="53"/>
  <c r="I18" i="20"/>
  <c r="T84" i="53"/>
  <c r="E28" i="47"/>
  <c r="G18" i="20"/>
  <c r="W84" i="53"/>
  <c r="J18" i="20"/>
  <c r="H28" i="47"/>
  <c r="U284" i="50"/>
  <c r="W235" i="50"/>
  <c r="W281" i="50" s="1"/>
  <c r="W284" i="50" s="1"/>
  <c r="X255" i="50"/>
  <c r="X277" i="50" s="1"/>
  <c r="X257" i="50" s="1"/>
  <c r="X282" i="50" s="1"/>
  <c r="T11" i="17" l="1"/>
  <c r="V11" i="17"/>
  <c r="J87" i="1"/>
  <c r="I17" i="20"/>
  <c r="I16" i="20" s="1"/>
  <c r="I21" i="20" s="1"/>
  <c r="V20" i="49" s="1"/>
  <c r="V21" i="49" s="1"/>
  <c r="I32" i="21" s="1"/>
  <c r="W9" i="17" s="1"/>
  <c r="W10" i="17"/>
  <c r="H87" i="1"/>
  <c r="U10" i="17"/>
  <c r="G17" i="20"/>
  <c r="G16" i="20" s="1"/>
  <c r="G21" i="20" s="1"/>
  <c r="T20" i="49" s="1"/>
  <c r="T21" i="49" s="1"/>
  <c r="G32" i="21" s="1"/>
  <c r="U9" i="17" s="1"/>
  <c r="K87" i="1"/>
  <c r="X10" i="17"/>
  <c r="J17" i="20"/>
  <c r="J16" i="20" s="1"/>
  <c r="J21" i="20" s="1"/>
  <c r="W20" i="49" s="1"/>
  <c r="W21" i="49" s="1"/>
  <c r="J32" i="21" s="1"/>
  <c r="X9" i="17" s="1"/>
  <c r="X235" i="50"/>
  <c r="X281" i="50" s="1"/>
  <c r="X284" i="50" s="1"/>
  <c r="Y255" i="50"/>
  <c r="Y277" i="50" s="1"/>
  <c r="Y257" i="50" s="1"/>
  <c r="P9" i="22" l="1"/>
  <c r="G10" i="16" s="1"/>
  <c r="G86" i="1"/>
  <c r="G28" i="2" s="1"/>
  <c r="N9" i="22"/>
  <c r="N12" i="22" s="1"/>
  <c r="I86" i="1"/>
  <c r="I28" i="2" s="1"/>
  <c r="P13" i="22"/>
  <c r="U11" i="17"/>
  <c r="W11" i="17"/>
  <c r="X11" i="17"/>
  <c r="Y235" i="50"/>
  <c r="Y281" i="50" s="1"/>
  <c r="Y282" i="50"/>
  <c r="C11" i="54"/>
  <c r="Q12" i="39"/>
  <c r="C17" i="53"/>
  <c r="P12" i="22" l="1"/>
  <c r="P11" i="22"/>
  <c r="AA84" i="50"/>
  <c r="N11" i="22"/>
  <c r="E10" i="16"/>
  <c r="N13" i="22"/>
  <c r="J86" i="1"/>
  <c r="J28" i="2" s="1"/>
  <c r="K86" i="1"/>
  <c r="K28" i="2" s="1"/>
  <c r="H86" i="1"/>
  <c r="H28" i="2" s="1"/>
  <c r="O9" i="22"/>
  <c r="Q9" i="22"/>
  <c r="R9" i="22"/>
  <c r="AA34" i="50"/>
  <c r="J17" i="39"/>
  <c r="C87" i="53"/>
  <c r="C94" i="53" s="1"/>
  <c r="C105" i="53" s="1"/>
  <c r="Y284" i="50"/>
  <c r="H17" i="53"/>
  <c r="E17" i="53"/>
  <c r="G17" i="53"/>
  <c r="C11" i="53"/>
  <c r="I17" i="53"/>
  <c r="F17" i="53"/>
  <c r="O12" i="22" l="1"/>
  <c r="Q11" i="22"/>
  <c r="F10" i="16"/>
  <c r="O13" i="22"/>
  <c r="O11" i="22"/>
  <c r="Q12" i="22"/>
  <c r="H10" i="16"/>
  <c r="Q13" i="22"/>
  <c r="R12" i="22"/>
  <c r="I10" i="16"/>
  <c r="R13" i="22"/>
  <c r="R11" i="22"/>
  <c r="N17" i="39"/>
  <c r="G87" i="53"/>
  <c r="G94" i="53" s="1"/>
  <c r="G105" i="53" s="1"/>
  <c r="M17" i="39"/>
  <c r="F87" i="53"/>
  <c r="F94" i="53" s="1"/>
  <c r="F105" i="53" s="1"/>
  <c r="L17" i="39"/>
  <c r="E87" i="53"/>
  <c r="E94" i="53" s="1"/>
  <c r="E105" i="53" s="1"/>
  <c r="P17" i="39"/>
  <c r="I87" i="53"/>
  <c r="I94" i="53" s="1"/>
  <c r="I105" i="53" s="1"/>
  <c r="O17" i="39"/>
  <c r="H87" i="53"/>
  <c r="H94" i="53" s="1"/>
  <c r="H105" i="53" s="1"/>
  <c r="R12" i="39"/>
  <c r="R13" i="39" s="1"/>
  <c r="K13" i="39"/>
  <c r="S12" i="39"/>
  <c r="L13" i="39"/>
  <c r="V12" i="39"/>
  <c r="O13" i="39"/>
  <c r="T12" i="39"/>
  <c r="M13" i="39"/>
  <c r="W12" i="39"/>
  <c r="P13" i="39"/>
  <c r="U12" i="39"/>
  <c r="N13" i="39"/>
  <c r="C84" i="53"/>
  <c r="B24" i="47"/>
  <c r="B23" i="47" s="1"/>
  <c r="E11" i="53"/>
  <c r="I11" i="53"/>
  <c r="D11" i="53"/>
  <c r="D94" i="53"/>
  <c r="D105" i="53" s="1"/>
  <c r="H11" i="53"/>
  <c r="G11" i="53"/>
  <c r="F11" i="53"/>
  <c r="E83" i="1" l="1"/>
  <c r="E26" i="2" s="1"/>
  <c r="W13" i="39"/>
  <c r="U13" i="39"/>
  <c r="T13" i="39"/>
  <c r="D11" i="20"/>
  <c r="D10" i="20" s="1"/>
  <c r="S13" i="39"/>
  <c r="V13" i="39"/>
  <c r="E24" i="47"/>
  <c r="H24" i="47"/>
  <c r="D84" i="53"/>
  <c r="F83" i="1" s="1"/>
  <c r="C24" i="47"/>
  <c r="C23" i="47" s="1"/>
  <c r="B42" i="47"/>
  <c r="B22" i="47"/>
  <c r="B43" i="47" s="1"/>
  <c r="B46" i="47" s="1"/>
  <c r="F24" i="47"/>
  <c r="G24" i="47"/>
  <c r="D24" i="47"/>
  <c r="D19" i="20" l="1"/>
  <c r="C20" i="49" s="1"/>
  <c r="C21" i="49" s="1"/>
  <c r="F26" i="2"/>
  <c r="E11" i="20"/>
  <c r="E10" i="20" s="1"/>
  <c r="E19" i="20" s="1"/>
  <c r="D20" i="49" s="1"/>
  <c r="D21" i="49" s="1"/>
  <c r="C22" i="48"/>
  <c r="C42" i="48" s="1"/>
  <c r="D22" i="48"/>
  <c r="D42" i="48" s="1"/>
  <c r="H22" i="48"/>
  <c r="H42" i="48" s="1"/>
  <c r="G22" i="48"/>
  <c r="G42" i="48" s="1"/>
  <c r="E22" i="48"/>
  <c r="E42" i="48" s="1"/>
  <c r="F22" i="48"/>
  <c r="F42" i="48" s="1"/>
  <c r="C21" i="48" l="1"/>
  <c r="C43" i="48"/>
  <c r="C37" i="48" s="1"/>
  <c r="C22" i="47"/>
  <c r="C43" i="47" s="1"/>
  <c r="C42" i="47"/>
  <c r="C45" i="48" l="1"/>
  <c r="C46" i="48" s="1"/>
  <c r="C47" i="48" s="1"/>
  <c r="C49" i="48" s="1"/>
  <c r="D48" i="48" s="1"/>
  <c r="C20" i="48"/>
  <c r="C44" i="47"/>
  <c r="D41" i="48" s="1"/>
  <c r="C46" i="47" l="1"/>
  <c r="F63" i="53"/>
  <c r="F59" i="53"/>
  <c r="G59" i="53"/>
  <c r="I59" i="53"/>
  <c r="H59" i="53"/>
  <c r="F58" i="53"/>
  <c r="I58" i="53"/>
  <c r="H58" i="53"/>
  <c r="H15" i="60" l="1"/>
  <c r="G61" i="54"/>
  <c r="F86" i="53"/>
  <c r="F93" i="53" s="1"/>
  <c r="I57" i="53"/>
  <c r="I15" i="60"/>
  <c r="F57" i="53"/>
  <c r="N24" i="46"/>
  <c r="F15" i="60"/>
  <c r="K57" i="54"/>
  <c r="M57" i="54"/>
  <c r="I63" i="53"/>
  <c r="I86" i="53" s="1"/>
  <c r="I57" i="54"/>
  <c r="G58" i="53"/>
  <c r="G63" i="53"/>
  <c r="G86" i="53" s="1"/>
  <c r="H57" i="53"/>
  <c r="G57" i="54"/>
  <c r="H62" i="53"/>
  <c r="F62" i="53"/>
  <c r="H63" i="53"/>
  <c r="H86" i="53" s="1"/>
  <c r="F104" i="53" l="1"/>
  <c r="AX15" i="60"/>
  <c r="G84" i="54"/>
  <c r="F85" i="53" s="1"/>
  <c r="H29" i="60"/>
  <c r="AX29" i="60" s="1"/>
  <c r="G93" i="53"/>
  <c r="O24" i="46"/>
  <c r="Q24" i="46"/>
  <c r="I93" i="53"/>
  <c r="P24" i="46"/>
  <c r="H93" i="53"/>
  <c r="F16" i="60"/>
  <c r="F61" i="53"/>
  <c r="E27" i="47" s="1"/>
  <c r="E25" i="48" s="1"/>
  <c r="H61" i="53"/>
  <c r="G27" i="47" s="1"/>
  <c r="G25" i="48" s="1"/>
  <c r="H16" i="60"/>
  <c r="I61" i="54"/>
  <c r="I84" i="54" s="1"/>
  <c r="G85" i="53" s="1"/>
  <c r="G62" i="53"/>
  <c r="G15" i="60"/>
  <c r="G57" i="53"/>
  <c r="AV15" i="60"/>
  <c r="F29" i="60"/>
  <c r="M61" i="54"/>
  <c r="M84" i="54" s="1"/>
  <c r="I85" i="53" s="1"/>
  <c r="I62" i="53"/>
  <c r="H26" i="47"/>
  <c r="K61" i="54"/>
  <c r="K84" i="54" s="1"/>
  <c r="H85" i="53" s="1"/>
  <c r="H92" i="53"/>
  <c r="H103" i="53" s="1"/>
  <c r="G26" i="47"/>
  <c r="E26" i="47"/>
  <c r="I29" i="60"/>
  <c r="AY15" i="60"/>
  <c r="I104" i="53" l="1"/>
  <c r="H104" i="53"/>
  <c r="G104" i="53"/>
  <c r="F84" i="53"/>
  <c r="H32" i="60"/>
  <c r="H84" i="53"/>
  <c r="F92" i="53"/>
  <c r="F103" i="53" s="1"/>
  <c r="H36" i="60"/>
  <c r="AX36" i="60"/>
  <c r="AX32" i="60"/>
  <c r="H24" i="48"/>
  <c r="I36" i="60"/>
  <c r="AY29" i="60"/>
  <c r="I32" i="60"/>
  <c r="G24" i="48"/>
  <c r="G21" i="48" s="1"/>
  <c r="G23" i="47"/>
  <c r="G22" i="47" s="1"/>
  <c r="AW15" i="60"/>
  <c r="G29" i="60"/>
  <c r="AV16" i="60"/>
  <c r="F30" i="60"/>
  <c r="E23" i="47"/>
  <c r="E22" i="47" s="1"/>
  <c r="E24" i="48"/>
  <c r="E21" i="48" s="1"/>
  <c r="I16" i="60"/>
  <c r="I61" i="53"/>
  <c r="AV29" i="60"/>
  <c r="F32" i="60"/>
  <c r="F36" i="60"/>
  <c r="F26" i="47"/>
  <c r="G16" i="60"/>
  <c r="G61" i="53"/>
  <c r="F27" i="47" s="1"/>
  <c r="F25" i="48" s="1"/>
  <c r="AX16" i="60"/>
  <c r="H30" i="60"/>
  <c r="J83" i="1" l="1"/>
  <c r="H83" i="1"/>
  <c r="I10" i="17"/>
  <c r="G11" i="20"/>
  <c r="G10" i="20" s="1"/>
  <c r="G19" i="20" s="1"/>
  <c r="F20" i="49" s="1"/>
  <c r="F21" i="49" s="1"/>
  <c r="G10" i="17"/>
  <c r="I11" i="20"/>
  <c r="I10" i="20" s="1"/>
  <c r="I19" i="20" s="1"/>
  <c r="H20" i="49" s="1"/>
  <c r="H21" i="49" s="1"/>
  <c r="G30" i="60"/>
  <c r="AW16" i="60"/>
  <c r="H27" i="47"/>
  <c r="I92" i="53"/>
  <c r="I103" i="53" s="1"/>
  <c r="I84" i="53"/>
  <c r="G36" i="60"/>
  <c r="AW29" i="60"/>
  <c r="G32" i="60"/>
  <c r="AY32" i="60"/>
  <c r="AY36" i="60"/>
  <c r="G84" i="53"/>
  <c r="H35" i="60"/>
  <c r="AX30" i="60"/>
  <c r="H33" i="60"/>
  <c r="F23" i="47"/>
  <c r="F22" i="47" s="1"/>
  <c r="F24" i="48"/>
  <c r="F21" i="48" s="1"/>
  <c r="AV36" i="60"/>
  <c r="AV32" i="60"/>
  <c r="AY16" i="60"/>
  <c r="I30" i="60"/>
  <c r="AV30" i="60"/>
  <c r="F33" i="60"/>
  <c r="F35" i="60"/>
  <c r="G92" i="53"/>
  <c r="G103" i="53" s="1"/>
  <c r="I30" i="21" l="1"/>
  <c r="G30" i="21"/>
  <c r="I33" i="21"/>
  <c r="AV35" i="60"/>
  <c r="AV33" i="60"/>
  <c r="I33" i="60"/>
  <c r="I35" i="60"/>
  <c r="AY30" i="60"/>
  <c r="J10" i="17"/>
  <c r="J11" i="20"/>
  <c r="J10" i="20" s="1"/>
  <c r="J19" i="20" s="1"/>
  <c r="I20" i="49" s="1"/>
  <c r="I21" i="49" s="1"/>
  <c r="K83" i="1"/>
  <c r="H25" i="48"/>
  <c r="H21" i="48" s="1"/>
  <c r="H23" i="47"/>
  <c r="H22" i="47" s="1"/>
  <c r="G33" i="60"/>
  <c r="G35" i="60"/>
  <c r="AW30" i="60"/>
  <c r="AX33" i="60"/>
  <c r="AX35" i="60"/>
  <c r="H10" i="17"/>
  <c r="H11" i="20"/>
  <c r="H10" i="20" s="1"/>
  <c r="H19" i="20" s="1"/>
  <c r="G20" i="49" s="1"/>
  <c r="G21" i="49" s="1"/>
  <c r="I83" i="1"/>
  <c r="AW36" i="60"/>
  <c r="AW32" i="60"/>
  <c r="J30" i="21" l="1"/>
  <c r="J9" i="17" s="1"/>
  <c r="J11" i="17" s="1"/>
  <c r="G9" i="17"/>
  <c r="G11" i="17" s="1"/>
  <c r="E9" i="48" s="1"/>
  <c r="E8" i="48" s="1"/>
  <c r="E19" i="48" s="1"/>
  <c r="E15" i="48" s="1"/>
  <c r="I9" i="17"/>
  <c r="I11" i="17" s="1"/>
  <c r="G9" i="47" s="1"/>
  <c r="G8" i="47" s="1"/>
  <c r="G42" i="47" s="1"/>
  <c r="H30" i="21"/>
  <c r="H33" i="21" s="1"/>
  <c r="G33" i="21"/>
  <c r="AW35" i="60"/>
  <c r="AW33" i="60"/>
  <c r="AY33" i="60"/>
  <c r="AY35" i="60"/>
  <c r="J33" i="21" l="1"/>
  <c r="J82" i="1"/>
  <c r="J26" i="2" s="1"/>
  <c r="H9" i="17"/>
  <c r="H11" i="17" s="1"/>
  <c r="F9" i="48" s="1"/>
  <c r="E9" i="22"/>
  <c r="F8" i="16" s="1"/>
  <c r="F11" i="16" s="1"/>
  <c r="F13" i="16" s="1"/>
  <c r="F19" i="16" s="1"/>
  <c r="E9" i="47"/>
  <c r="E8" i="47" s="1"/>
  <c r="E42" i="47" s="1"/>
  <c r="G9" i="22"/>
  <c r="H82" i="1"/>
  <c r="H26" i="2" s="1"/>
  <c r="G9" i="48"/>
  <c r="G8" i="48" s="1"/>
  <c r="G7" i="47"/>
  <c r="G43" i="47" s="1"/>
  <c r="G44" i="47" s="1"/>
  <c r="H41" i="48" s="1"/>
  <c r="E43" i="48"/>
  <c r="E7" i="48"/>
  <c r="E45" i="48"/>
  <c r="E46" i="48" s="1"/>
  <c r="K82" i="1"/>
  <c r="K26" i="2" s="1"/>
  <c r="H9" i="22"/>
  <c r="H9" i="48"/>
  <c r="H9" i="47"/>
  <c r="H8" i="47" s="1"/>
  <c r="G45" i="48" l="1"/>
  <c r="G46" i="48" s="1"/>
  <c r="G19" i="48"/>
  <c r="G15" i="48" s="1"/>
  <c r="G7" i="48" s="1"/>
  <c r="F9" i="47"/>
  <c r="F8" i="47" s="1"/>
  <c r="F7" i="47" s="1"/>
  <c r="F43" i="47" s="1"/>
  <c r="I82" i="1"/>
  <c r="I26" i="2" s="1"/>
  <c r="F9" i="22"/>
  <c r="G8" i="16" s="1"/>
  <c r="G11" i="16" s="1"/>
  <c r="G13" i="16" s="1"/>
  <c r="G19" i="16" s="1"/>
  <c r="E7" i="47"/>
  <c r="E43" i="47" s="1"/>
  <c r="E44" i="47" s="1"/>
  <c r="F41" i="48" s="1"/>
  <c r="H8" i="16"/>
  <c r="H11" i="16" s="1"/>
  <c r="H13" i="16" s="1"/>
  <c r="H19" i="16" s="1"/>
  <c r="G43" i="48"/>
  <c r="I8" i="16"/>
  <c r="I11" i="16" s="1"/>
  <c r="I13" i="16" s="1"/>
  <c r="I19" i="16" s="1"/>
  <c r="H43" i="48"/>
  <c r="H37" i="48" s="1"/>
  <c r="H20" i="48" s="1"/>
  <c r="H8" i="48"/>
  <c r="H19" i="48" s="1"/>
  <c r="H15" i="48" s="1"/>
  <c r="F43" i="48"/>
  <c r="F8" i="48"/>
  <c r="F19" i="48" s="1"/>
  <c r="F15" i="48" s="1"/>
  <c r="G46" i="47"/>
  <c r="H42" i="47"/>
  <c r="H7" i="47"/>
  <c r="H43" i="47" s="1"/>
  <c r="F42" i="47" l="1"/>
  <c r="F37" i="48"/>
  <c r="F20" i="48" s="1"/>
  <c r="E46" i="47"/>
  <c r="H44" i="47"/>
  <c r="H46" i="47" s="1"/>
  <c r="H45" i="48"/>
  <c r="H46" i="48" s="1"/>
  <c r="H47" i="48" s="1"/>
  <c r="H7" i="48"/>
  <c r="F44" i="47"/>
  <c r="G41" i="48" s="1"/>
  <c r="G37" i="48" s="1"/>
  <c r="F7" i="48"/>
  <c r="F45" i="48"/>
  <c r="F46" i="48" s="1"/>
  <c r="F47" i="48" l="1"/>
  <c r="G20" i="48"/>
  <c r="G47" i="48"/>
  <c r="F46" i="47"/>
  <c r="E59" i="53"/>
  <c r="E57" i="54" l="1"/>
  <c r="E58" i="53"/>
  <c r="E62" i="53"/>
  <c r="E63" i="53"/>
  <c r="E86" i="53" s="1"/>
  <c r="M24" i="46" l="1"/>
  <c r="E93" i="53"/>
  <c r="E61" i="53"/>
  <c r="D27" i="47" s="1"/>
  <c r="D25" i="48" s="1"/>
  <c r="E16" i="60"/>
  <c r="E61" i="54"/>
  <c r="E84" i="54" s="1"/>
  <c r="E85" i="53" s="1"/>
  <c r="E15" i="60"/>
  <c r="E57" i="53"/>
  <c r="E104" i="53" l="1"/>
  <c r="E84" i="53"/>
  <c r="E92" i="53"/>
  <c r="E103" i="53" s="1"/>
  <c r="D26" i="47"/>
  <c r="AU15" i="60"/>
  <c r="E29" i="60"/>
  <c r="AU16" i="60"/>
  <c r="E30" i="60"/>
  <c r="E33" i="60" l="1"/>
  <c r="E35" i="60"/>
  <c r="AU30" i="60"/>
  <c r="E36" i="60"/>
  <c r="AU29" i="60"/>
  <c r="E32" i="60"/>
  <c r="D23" i="47"/>
  <c r="D22" i="47" s="1"/>
  <c r="D24" i="48"/>
  <c r="D21" i="48" s="1"/>
  <c r="F10" i="17"/>
  <c r="G83" i="1"/>
  <c r="F11" i="20"/>
  <c r="F10" i="20" s="1"/>
  <c r="F19" i="20" s="1"/>
  <c r="E20" i="49" s="1"/>
  <c r="E21" i="49" s="1"/>
  <c r="F30" i="21" l="1"/>
  <c r="F33" i="21" s="1"/>
  <c r="AU36" i="60"/>
  <c r="AU32" i="60"/>
  <c r="AU33" i="60"/>
  <c r="AU35" i="60"/>
  <c r="F9" i="17" l="1"/>
  <c r="F11" i="17" s="1"/>
  <c r="G82" i="1" s="1"/>
  <c r="G26" i="2" s="1"/>
  <c r="D9" i="47" l="1"/>
  <c r="D8" i="47" s="1"/>
  <c r="D7" i="47" s="1"/>
  <c r="D43" i="47" s="1"/>
  <c r="G88" i="1"/>
  <c r="G29" i="2" s="1"/>
  <c r="D9" i="22"/>
  <c r="E8" i="16" s="1"/>
  <c r="E11" i="16" s="1"/>
  <c r="E13" i="16" s="1"/>
  <c r="E19" i="16" s="1"/>
  <c r="D9" i="48"/>
  <c r="D8" i="48" s="1"/>
  <c r="D19" i="48" s="1"/>
  <c r="D15" i="48" s="1"/>
  <c r="D42" i="47"/>
  <c r="D43" i="48" l="1"/>
  <c r="D37" i="48" s="1"/>
  <c r="D20" i="48" s="1"/>
  <c r="D44" i="47"/>
  <c r="E41" i="48" s="1"/>
  <c r="E37" i="48" s="1"/>
  <c r="D45" i="48"/>
  <c r="D46" i="48" s="1"/>
  <c r="D7" i="48"/>
  <c r="D47" i="48" l="1"/>
  <c r="D49" i="48" s="1"/>
  <c r="E48" i="48" s="1"/>
  <c r="D46" i="47"/>
  <c r="E20" i="48"/>
  <c r="E47" i="48"/>
  <c r="E49" i="48" l="1"/>
  <c r="F48" i="48" s="1"/>
  <c r="F49" i="48" s="1"/>
  <c r="G48" i="48" s="1"/>
  <c r="G49" i="48" s="1"/>
  <c r="H48" i="48" s="1"/>
  <c r="H49" i="48" s="1"/>
  <c r="F23" i="65"/>
  <c r="F21" i="65" l="1"/>
  <c r="G62" i="1" s="1"/>
  <c r="F22" i="65"/>
  <c r="F54" i="65"/>
  <c r="E15" i="39"/>
  <c r="H23" i="65"/>
  <c r="G23" i="65"/>
  <c r="I23" i="65"/>
  <c r="J23" i="65"/>
  <c r="F51" i="65" l="1"/>
  <c r="F64" i="65"/>
  <c r="F19" i="65"/>
  <c r="F20" i="65" s="1"/>
  <c r="J21" i="65"/>
  <c r="J64" i="65" s="1"/>
  <c r="I21" i="65"/>
  <c r="I22" i="65" s="1"/>
  <c r="G21" i="65"/>
  <c r="G54" i="65" s="1"/>
  <c r="H21" i="65"/>
  <c r="H64" i="65" s="1"/>
  <c r="K62" i="1"/>
  <c r="H62" i="1"/>
  <c r="G64" i="65"/>
  <c r="G51" i="65"/>
  <c r="G15" i="39"/>
  <c r="G19" i="65" l="1"/>
  <c r="G20" i="65" s="1"/>
  <c r="G22" i="65"/>
  <c r="J19" i="65"/>
  <c r="J20" i="65" s="1"/>
  <c r="H54" i="65"/>
  <c r="F15" i="39"/>
  <c r="H19" i="65"/>
  <c r="H20" i="65" s="1"/>
  <c r="H51" i="65"/>
  <c r="H22" i="65"/>
  <c r="I62" i="1"/>
  <c r="I64" i="65"/>
  <c r="J62" i="1"/>
  <c r="I15" i="39"/>
  <c r="J54" i="65"/>
  <c r="H15" i="39"/>
  <c r="I19" i="65"/>
  <c r="I20" i="65" s="1"/>
  <c r="I51" i="65"/>
  <c r="I54" i="65"/>
  <c r="J51" i="65"/>
  <c r="J22" i="65"/>
</calcChain>
</file>

<file path=xl/comments1.xml><?xml version="1.0" encoding="utf-8"?>
<comments xmlns="http://schemas.openxmlformats.org/spreadsheetml/2006/main">
  <authors>
    <author>dk-kpeev</author>
  </authors>
  <commentList>
    <comment ref="G7" authorId="0" shapeId="0">
      <text>
        <r>
          <rPr>
            <b/>
            <sz val="9"/>
            <color indexed="81"/>
            <rFont val="Tahoma"/>
            <family val="2"/>
            <charset val="204"/>
          </rPr>
          <t>ДКЕВР:</t>
        </r>
        <r>
          <rPr>
            <sz val="9"/>
            <color indexed="81"/>
            <rFont val="Tahoma"/>
            <family val="2"/>
            <charset val="204"/>
          </rPr>
          <t xml:space="preserve">
Всички редове са задължителни!</t>
        </r>
      </text>
    </comment>
  </commentList>
</comments>
</file>

<file path=xl/comments10.xml><?xml version="1.0" encoding="utf-8"?>
<comments xmlns="http://schemas.openxmlformats.org/spreadsheetml/2006/main">
  <authors>
    <author>Ivaylo Kolev</author>
  </authors>
  <commentList>
    <comment ref="B8" authorId="0" shapeId="0">
      <text>
        <r>
          <rPr>
            <b/>
            <sz val="9"/>
            <color indexed="81"/>
            <rFont val="Tahoma"/>
            <family val="2"/>
          </rPr>
          <t xml:space="preserve">КЕВР: </t>
        </r>
        <r>
          <rPr>
            <sz val="9"/>
            <color indexed="81"/>
            <rFont val="Tahoma"/>
            <family val="2"/>
          </rPr>
          <t>ще бъде определен от комисията за всяка група ВиК оператори за 2016 г. След това ще се коригира индивидуално за всяко ВиК на база ПК 12г.</t>
        </r>
      </text>
    </comment>
  </commentList>
</comments>
</file>

<file path=xl/comments11.xml><?xml version="1.0" encoding="utf-8"?>
<comments xmlns="http://schemas.openxmlformats.org/spreadsheetml/2006/main">
  <authors>
    <author>Miroslav Mitkov</author>
  </authors>
  <commentList>
    <comment ref="E61" authorId="0" shapeId="0">
      <text>
        <r>
          <rPr>
            <b/>
            <sz val="9"/>
            <color indexed="81"/>
            <rFont val="Tahoma"/>
            <family val="2"/>
            <charset val="204"/>
          </rPr>
          <t>Miroslav Mitkov:</t>
        </r>
        <r>
          <rPr>
            <sz val="9"/>
            <color indexed="81"/>
            <rFont val="Tahoma"/>
            <family val="2"/>
            <charset val="204"/>
          </rPr>
          <t xml:space="preserve">
Остава да се допълни с изисквания на ДКЕВР
Да се отрази в модела който да ще попълват операторите</t>
        </r>
      </text>
    </comment>
    <comment ref="E65" authorId="0" shapeId="0">
      <text>
        <r>
          <rPr>
            <b/>
            <sz val="9"/>
            <color indexed="81"/>
            <rFont val="Tahoma"/>
            <family val="2"/>
            <charset val="204"/>
          </rPr>
          <t>Miroslav Mitkov:</t>
        </r>
        <r>
          <rPr>
            <sz val="9"/>
            <color indexed="81"/>
            <rFont val="Tahoma"/>
            <family val="2"/>
            <charset val="204"/>
          </rPr>
          <t xml:space="preserve">
Да се отрази в модела който да ще попълват операторите</t>
        </r>
      </text>
    </comment>
    <comment ref="C100" authorId="0" shapeId="0">
      <text>
        <r>
          <rPr>
            <b/>
            <sz val="9"/>
            <color indexed="81"/>
            <rFont val="Tahoma"/>
            <family val="2"/>
            <charset val="204"/>
          </rPr>
          <t>Miroslav Mitkov:</t>
        </r>
        <r>
          <rPr>
            <sz val="9"/>
            <color indexed="81"/>
            <rFont val="Tahoma"/>
            <family val="2"/>
            <charset val="204"/>
          </rPr>
          <t xml:space="preserve">
За коментар - на пректика това са приходите от продажба на вода и приходите от лихви за забавени плащания.
</t>
        </r>
      </text>
    </comment>
    <comment ref="C101" authorId="0" shapeId="0">
      <text>
        <r>
          <rPr>
            <b/>
            <sz val="9"/>
            <color indexed="81"/>
            <rFont val="Tahoma"/>
            <family val="2"/>
            <charset val="204"/>
          </rPr>
          <t>Miroslav Mitkov:</t>
        </r>
        <r>
          <rPr>
            <sz val="9"/>
            <color indexed="81"/>
            <rFont val="Tahoma"/>
            <family val="2"/>
            <charset val="204"/>
          </rPr>
          <t xml:space="preserve">
Виж определенията</t>
        </r>
      </text>
    </comment>
    <comment ref="C104" authorId="0" shapeId="0">
      <text>
        <r>
          <rPr>
            <b/>
            <sz val="9"/>
            <color indexed="81"/>
            <rFont val="Tahoma"/>
            <family val="2"/>
            <charset val="204"/>
          </rPr>
          <t>Miroslav Mitkov:</t>
        </r>
        <r>
          <rPr>
            <sz val="9"/>
            <color indexed="81"/>
            <rFont val="Tahoma"/>
            <family val="2"/>
            <charset val="204"/>
          </rPr>
          <t xml:space="preserve">
Същото като предходния коментар
</t>
        </r>
      </text>
    </comment>
    <comment ref="C105" authorId="0" shapeId="0">
      <text>
        <r>
          <rPr>
            <b/>
            <sz val="9"/>
            <color indexed="81"/>
            <rFont val="Tahoma"/>
            <family val="2"/>
            <charset val="204"/>
          </rPr>
          <t>Miroslav Mitkov:</t>
        </r>
        <r>
          <rPr>
            <sz val="9"/>
            <color indexed="81"/>
            <rFont val="Tahoma"/>
            <family val="2"/>
            <charset val="204"/>
          </rPr>
          <t xml:space="preserve">
Виж определенията</t>
        </r>
      </text>
    </comment>
    <comment ref="C108" authorId="0" shapeId="0">
      <text>
        <r>
          <rPr>
            <b/>
            <sz val="9"/>
            <color indexed="81"/>
            <rFont val="Tahoma"/>
            <family val="2"/>
            <charset val="204"/>
          </rPr>
          <t>Miroslav Mitkov:</t>
        </r>
        <r>
          <rPr>
            <sz val="9"/>
            <color indexed="81"/>
            <rFont val="Tahoma"/>
            <family val="2"/>
            <charset val="204"/>
          </rPr>
          <t xml:space="preserve">
Същото като предходния коментар
</t>
        </r>
      </text>
    </comment>
    <comment ref="C109" authorId="0" shapeId="0">
      <text>
        <r>
          <rPr>
            <b/>
            <sz val="9"/>
            <color indexed="81"/>
            <rFont val="Tahoma"/>
            <family val="2"/>
            <charset val="204"/>
          </rPr>
          <t>Miroslav Mitkov:</t>
        </r>
        <r>
          <rPr>
            <sz val="9"/>
            <color indexed="81"/>
            <rFont val="Tahoma"/>
            <family val="2"/>
            <charset val="204"/>
          </rPr>
          <t xml:space="preserve">
Виж определенията</t>
        </r>
      </text>
    </comment>
  </commentList>
</comments>
</file>

<file path=xl/comments2.xml><?xml version="1.0" encoding="utf-8"?>
<comments xmlns="http://schemas.openxmlformats.org/spreadsheetml/2006/main">
  <authors>
    <author>dk-kpeev</author>
    <author>lllll</author>
  </authors>
  <commentList>
    <comment ref="G7" authorId="0" shapeId="0">
      <text>
        <r>
          <rPr>
            <b/>
            <sz val="9"/>
            <color indexed="81"/>
            <rFont val="Tahoma"/>
            <family val="2"/>
            <charset val="204"/>
          </rPr>
          <t>ДКЕВР:</t>
        </r>
        <r>
          <rPr>
            <sz val="9"/>
            <color indexed="81"/>
            <rFont val="Tahoma"/>
            <family val="2"/>
            <charset val="204"/>
          </rPr>
          <t xml:space="preserve">
Всички редове са задължителни!</t>
        </r>
      </text>
    </comment>
    <comment ref="B16" authorId="1" shapeId="0">
      <text>
        <r>
          <rPr>
            <b/>
            <sz val="9"/>
            <color indexed="81"/>
            <rFont val="Tahoma"/>
            <family val="2"/>
            <charset val="204"/>
          </rPr>
          <t>КЕВР:</t>
        </r>
        <r>
          <rPr>
            <sz val="9"/>
            <color indexed="81"/>
            <rFont val="Tahoma"/>
            <family val="2"/>
            <charset val="204"/>
          </rPr>
          <t xml:space="preserve">
посочва се основанието, на което дружеството изпълнява дейността В и К оператор - (договор, концесия, ПЧП, решение на МС или ОС или друго)</t>
        </r>
      </text>
    </comment>
    <comment ref="B17" authorId="1" shapeId="0">
      <text>
        <r>
          <rPr>
            <b/>
            <sz val="9"/>
            <color indexed="81"/>
            <rFont val="Tahoma"/>
            <family val="2"/>
            <charset val="204"/>
          </rPr>
          <t>КЕВР:</t>
        </r>
        <r>
          <rPr>
            <sz val="9"/>
            <color indexed="81"/>
            <rFont val="Tahoma"/>
            <family val="2"/>
            <charset val="204"/>
          </rPr>
          <t xml:space="preserve">
в случай на необходимост добавете редове</t>
        </r>
      </text>
    </comment>
  </commentList>
</comments>
</file>

<file path=xl/comments3.xml><?xml version="1.0" encoding="utf-8"?>
<comments xmlns="http://schemas.openxmlformats.org/spreadsheetml/2006/main">
  <authors>
    <author>Sylvia</author>
  </authors>
  <commentList>
    <comment ref="A17" authorId="0" shapeId="0">
      <text>
        <r>
          <rPr>
            <b/>
            <sz val="9"/>
            <color indexed="81"/>
            <rFont val="Tahoma"/>
            <family val="2"/>
            <charset val="204"/>
          </rPr>
          <t>КЕВР:</t>
        </r>
        <r>
          <rPr>
            <sz val="9"/>
            <color indexed="81"/>
            <rFont val="Tahoma"/>
            <family val="2"/>
            <charset val="204"/>
          </rPr>
          <t xml:space="preserve">
резултатите в реда трябва да са 0!</t>
        </r>
      </text>
    </comment>
    <comment ref="A29" authorId="0" shapeId="0">
      <text>
        <r>
          <rPr>
            <b/>
            <sz val="9"/>
            <color indexed="81"/>
            <rFont val="Tahoma"/>
            <family val="2"/>
            <charset val="204"/>
          </rPr>
          <t>КЕВР:</t>
        </r>
        <r>
          <rPr>
            <sz val="9"/>
            <color indexed="81"/>
            <rFont val="Tahoma"/>
            <family val="2"/>
            <charset val="204"/>
          </rPr>
          <t xml:space="preserve">
резултатите в реда трябва да са 0!</t>
        </r>
      </text>
    </comment>
    <comment ref="A42" authorId="0" shapeId="0">
      <text>
        <r>
          <rPr>
            <b/>
            <sz val="9"/>
            <color indexed="81"/>
            <rFont val="Tahoma"/>
            <family val="2"/>
            <charset val="204"/>
          </rPr>
          <t>КЕВР:</t>
        </r>
        <r>
          <rPr>
            <sz val="9"/>
            <color indexed="81"/>
            <rFont val="Tahoma"/>
            <family val="2"/>
            <charset val="204"/>
          </rPr>
          <t xml:space="preserve">
резултатите в реда трябва да са 0!</t>
        </r>
      </text>
    </comment>
  </commentList>
</comments>
</file>

<file path=xl/comments4.xml><?xml version="1.0" encoding="utf-8"?>
<comments xmlns="http://schemas.openxmlformats.org/spreadsheetml/2006/main">
  <authors>
    <author>Sylvia</author>
  </authors>
  <commentList>
    <comment ref="A35" authorId="0" shapeId="0">
      <text>
        <r>
          <rPr>
            <b/>
            <sz val="9"/>
            <color indexed="81"/>
            <rFont val="Tahoma"/>
            <family val="2"/>
            <charset val="204"/>
          </rPr>
          <t>КЕВР:</t>
        </r>
        <r>
          <rPr>
            <sz val="9"/>
            <color indexed="81"/>
            <rFont val="Tahoma"/>
            <family val="2"/>
            <charset val="204"/>
          </rPr>
          <t xml:space="preserve">
резултатите в реда трябва да са 0!</t>
        </r>
      </text>
    </comment>
  </commentList>
</comments>
</file>

<file path=xl/comments5.xml><?xml version="1.0" encoding="utf-8"?>
<comments xmlns="http://schemas.openxmlformats.org/spreadsheetml/2006/main">
  <authors>
    <author>Sylvia</author>
  </authors>
  <commentList>
    <comment ref="B24" authorId="0" shapeId="0">
      <text>
        <r>
          <rPr>
            <b/>
            <sz val="9"/>
            <color indexed="81"/>
            <rFont val="Tahoma"/>
            <family val="2"/>
            <charset val="204"/>
          </rPr>
          <t>КЕВР:</t>
        </r>
        <r>
          <rPr>
            <sz val="9"/>
            <color indexed="81"/>
            <rFont val="Tahoma"/>
            <family val="2"/>
            <charset val="204"/>
          </rPr>
          <t xml:space="preserve">
резултатите в колоната трябва да са 0!</t>
        </r>
      </text>
    </comment>
    <comment ref="B37" authorId="0" shapeId="0">
      <text>
        <r>
          <rPr>
            <b/>
            <sz val="9"/>
            <color indexed="81"/>
            <rFont val="Tahoma"/>
            <family val="2"/>
            <charset val="204"/>
          </rPr>
          <t>КЕВР:</t>
        </r>
        <r>
          <rPr>
            <sz val="9"/>
            <color indexed="81"/>
            <rFont val="Tahoma"/>
            <family val="2"/>
            <charset val="204"/>
          </rPr>
          <t xml:space="preserve">
резултатите в колоната трябва да са 0!</t>
        </r>
      </text>
    </comment>
    <comment ref="B49" authorId="0" shapeId="0">
      <text>
        <r>
          <rPr>
            <b/>
            <sz val="9"/>
            <color indexed="81"/>
            <rFont val="Tahoma"/>
            <family val="2"/>
            <charset val="204"/>
          </rPr>
          <t>КЕВР:</t>
        </r>
        <r>
          <rPr>
            <sz val="9"/>
            <color indexed="81"/>
            <rFont val="Tahoma"/>
            <family val="2"/>
            <charset val="204"/>
          </rPr>
          <t xml:space="preserve">
резултатите в колоната трябва да са 0!</t>
        </r>
      </text>
    </comment>
  </commentList>
</comments>
</file>

<file path=xl/comments6.xml><?xml version="1.0" encoding="utf-8"?>
<comments xmlns="http://schemas.openxmlformats.org/spreadsheetml/2006/main">
  <authors>
    <author>Sylvia</author>
  </authors>
  <commentList>
    <comment ref="AA6" authorId="0" shapeId="0">
      <text>
        <r>
          <rPr>
            <b/>
            <sz val="9"/>
            <color indexed="81"/>
            <rFont val="Tahoma"/>
            <family val="2"/>
            <charset val="204"/>
          </rPr>
          <t>КЕВР:</t>
        </r>
        <r>
          <rPr>
            <sz val="9"/>
            <color indexed="81"/>
            <rFont val="Tahoma"/>
            <family val="2"/>
            <charset val="204"/>
          </rPr>
          <t xml:space="preserve">
резултатите в колоната трябва да са 0!</t>
        </r>
      </text>
    </comment>
    <comment ref="D213" authorId="0" shapeId="0">
      <text>
        <r>
          <rPr>
            <b/>
            <sz val="9"/>
            <color indexed="81"/>
            <rFont val="Tahoma"/>
            <family val="2"/>
            <charset val="204"/>
          </rPr>
          <t>КЕВР:</t>
        </r>
        <r>
          <rPr>
            <sz val="9"/>
            <color indexed="81"/>
            <rFont val="Tahoma"/>
            <family val="2"/>
            <charset val="204"/>
          </rPr>
          <t xml:space="preserve">
при преоценени публични активи, да се нанесе реалната годишна амортизация, изчислена спрямо оставащия полезен живот на активите</t>
        </r>
      </text>
    </comment>
  </commentList>
</comments>
</file>

<file path=xl/comments7.xml><?xml version="1.0" encoding="utf-8"?>
<comments xmlns="http://schemas.openxmlformats.org/spreadsheetml/2006/main">
  <authors>
    <author>Sylvia</author>
  </authors>
  <commentList>
    <comment ref="E6" authorId="0" shapeId="0">
      <text>
        <r>
          <rPr>
            <b/>
            <sz val="9"/>
            <color indexed="81"/>
            <rFont val="Tahoma"/>
            <family val="2"/>
            <charset val="204"/>
          </rPr>
          <t>КЕВР:</t>
        </r>
        <r>
          <rPr>
            <sz val="9"/>
            <color indexed="81"/>
            <rFont val="Tahoma"/>
            <family val="2"/>
            <charset val="204"/>
          </rPr>
          <t xml:space="preserve">
12 мес./ бр. месеци на амортизация</t>
        </r>
      </text>
    </comment>
    <comment ref="AH8" authorId="0" shapeId="0">
      <text>
        <r>
          <rPr>
            <b/>
            <sz val="9"/>
            <color indexed="81"/>
            <rFont val="Tahoma"/>
            <family val="2"/>
            <charset val="204"/>
          </rPr>
          <t>КЕВР:</t>
        </r>
        <r>
          <rPr>
            <sz val="9"/>
            <color indexed="81"/>
            <rFont val="Tahoma"/>
            <family val="2"/>
            <charset val="204"/>
          </rPr>
          <t xml:space="preserve">
резултатите в колоната трябва да са 0!</t>
        </r>
      </text>
    </comment>
  </commentList>
</comments>
</file>

<file path=xl/comments8.xml><?xml version="1.0" encoding="utf-8"?>
<comments xmlns="http://schemas.openxmlformats.org/spreadsheetml/2006/main">
  <authors>
    <author>Ivailo Kastchiev</author>
    <author>Sylvia</author>
  </authors>
  <commentList>
    <comment ref="E62" authorId="0" shapeId="0">
      <text>
        <r>
          <rPr>
            <b/>
            <sz val="9"/>
            <color indexed="81"/>
            <rFont val="Tahoma"/>
            <family val="2"/>
            <charset val="204"/>
          </rPr>
          <t xml:space="preserve">KЕВР: </t>
        </r>
        <r>
          <rPr>
            <sz val="9"/>
            <color indexed="81"/>
            <rFont val="Tahoma"/>
            <family val="2"/>
            <charset val="204"/>
          </rPr>
          <t xml:space="preserve">начислена амортизация на активи, придобити през отчетната година
</t>
        </r>
      </text>
    </comment>
    <comment ref="F62" authorId="1" shapeId="0">
      <text>
        <r>
          <rPr>
            <b/>
            <sz val="9"/>
            <color indexed="81"/>
            <rFont val="Tahoma"/>
            <family val="2"/>
            <charset val="204"/>
          </rPr>
          <t>КЕВР:</t>
        </r>
        <r>
          <rPr>
            <sz val="9"/>
            <color indexed="81"/>
            <rFont val="Tahoma"/>
            <family val="2"/>
            <charset val="204"/>
          </rPr>
          <t xml:space="preserve">
пълна годишна амортизация на активи, придобити през отчетната година и корекция на амортизация за активи с изтекъл полезен живот</t>
        </r>
      </text>
    </comment>
  </commentList>
</comments>
</file>

<file path=xl/comments9.xml><?xml version="1.0" encoding="utf-8"?>
<comments xmlns="http://schemas.openxmlformats.org/spreadsheetml/2006/main">
  <authors>
    <author>Ivaylo Kolev</author>
  </authors>
  <commentList>
    <comment ref="A15" authorId="0" shapeId="0">
      <text>
        <r>
          <rPr>
            <b/>
            <sz val="9"/>
            <color indexed="81"/>
            <rFont val="Tahoma"/>
            <family val="2"/>
          </rPr>
          <t xml:space="preserve">КЕВР: </t>
        </r>
        <r>
          <rPr>
            <sz val="9"/>
            <color indexed="81"/>
            <rFont val="Tahoma"/>
            <family val="2"/>
          </rPr>
          <t xml:space="preserve">за периода 2018-2020 г. се приема процента на нарастване за 2017 г.
</t>
        </r>
      </text>
    </comment>
  </commentList>
</comments>
</file>

<file path=xl/sharedStrings.xml><?xml version="1.0" encoding="utf-8"?>
<sst xmlns="http://schemas.openxmlformats.org/spreadsheetml/2006/main" count="3724" uniqueCount="1631">
  <si>
    <t>Приложение № 2</t>
  </si>
  <si>
    <t>№</t>
  </si>
  <si>
    <t>Описание на параметъра</t>
  </si>
  <si>
    <t>F1</t>
  </si>
  <si>
    <t>..............................................</t>
  </si>
  <si>
    <t>(подпис)</t>
  </si>
  <si>
    <t>(подпис и печат)</t>
  </si>
  <si>
    <t>iE5</t>
  </si>
  <si>
    <t>iD51a</t>
  </si>
  <si>
    <t>iD62a</t>
  </si>
  <si>
    <t>iD63a</t>
  </si>
  <si>
    <t>iD64a</t>
  </si>
  <si>
    <t>iD65a</t>
  </si>
  <si>
    <t>D51a</t>
  </si>
  <si>
    <t>D62a</t>
  </si>
  <si>
    <t>D63a</t>
  </si>
  <si>
    <t>D64a</t>
  </si>
  <si>
    <t>D65a</t>
  </si>
  <si>
    <t>iD51b</t>
  </si>
  <si>
    <t>iD62b</t>
  </si>
  <si>
    <t>iD63b</t>
  </si>
  <si>
    <t>iD64b</t>
  </si>
  <si>
    <t>iD65b</t>
  </si>
  <si>
    <t>D51b</t>
  </si>
  <si>
    <t>D62b</t>
  </si>
  <si>
    <t>D63b</t>
  </si>
  <si>
    <t>D64b</t>
  </si>
  <si>
    <t>D65b</t>
  </si>
  <si>
    <t>iD98</t>
  </si>
  <si>
    <t>iD99</t>
  </si>
  <si>
    <t>D35</t>
  </si>
  <si>
    <t>D35n</t>
  </si>
  <si>
    <t>H1n</t>
  </si>
  <si>
    <t>n</t>
  </si>
  <si>
    <t>〖F1〗_n</t>
  </si>
  <si>
    <t>iC8</t>
  </si>
  <si>
    <t>D28</t>
  </si>
  <si>
    <t>C8</t>
  </si>
  <si>
    <t>F16</t>
  </si>
  <si>
    <t>E10</t>
  </si>
  <si>
    <t>wE4</t>
  </si>
  <si>
    <t>wE2</t>
  </si>
  <si>
    <t>iD97</t>
  </si>
  <si>
    <t>wD38a</t>
  </si>
  <si>
    <t>wD38b</t>
  </si>
  <si>
    <t>wD44</t>
  </si>
  <si>
    <t>wC1</t>
  </si>
  <si>
    <t>wF14</t>
  </si>
  <si>
    <t>zD1</t>
  </si>
  <si>
    <t>A3</t>
  </si>
  <si>
    <t>wD13</t>
  </si>
  <si>
    <t>wA2</t>
  </si>
  <si>
    <t>wA15</t>
  </si>
  <si>
    <t>wA14</t>
  </si>
  <si>
    <t xml:space="preserve">D20 </t>
  </si>
  <si>
    <t>Ефективност на разходите за услугата доставяне на вода на потребителите</t>
  </si>
  <si>
    <t>G1</t>
  </si>
  <si>
    <t>G4</t>
  </si>
  <si>
    <t xml:space="preserve">Ефективност на разходите за услугата отвеждане на отпадъчни води </t>
  </si>
  <si>
    <t>iwG1b</t>
  </si>
  <si>
    <t>iwG4b</t>
  </si>
  <si>
    <t xml:space="preserve">Ефективност на разходите за услугата пречистване на отпадъчни води </t>
  </si>
  <si>
    <t>iwG1c</t>
  </si>
  <si>
    <t>iwG4c</t>
  </si>
  <si>
    <t>iG99</t>
  </si>
  <si>
    <t>iG98</t>
  </si>
  <si>
    <t>iG97</t>
  </si>
  <si>
    <t>iF98</t>
  </si>
  <si>
    <t>F24</t>
  </si>
  <si>
    <t>wF20</t>
  </si>
  <si>
    <t xml:space="preserve">iF88 </t>
  </si>
  <si>
    <t>iF99</t>
  </si>
  <si>
    <t>F23</t>
  </si>
  <si>
    <t>iF17</t>
  </si>
  <si>
    <t>F18</t>
  </si>
  <si>
    <t>F19</t>
  </si>
  <si>
    <t>wF12</t>
  </si>
  <si>
    <t xml:space="preserve">wF13 </t>
  </si>
  <si>
    <t xml:space="preserve">wF14 </t>
  </si>
  <si>
    <t xml:space="preserve">iwF15 </t>
  </si>
  <si>
    <t xml:space="preserve">wF16 </t>
  </si>
  <si>
    <t xml:space="preserve">iF89 </t>
  </si>
  <si>
    <t xml:space="preserve">iE8 </t>
  </si>
  <si>
    <t>iE10</t>
  </si>
  <si>
    <t xml:space="preserve">iwE8 </t>
  </si>
  <si>
    <t xml:space="preserve">iwE10 </t>
  </si>
  <si>
    <t>B1</t>
  </si>
  <si>
    <t>C24</t>
  </si>
  <si>
    <t>wB1</t>
  </si>
  <si>
    <t>C29</t>
  </si>
  <si>
    <t>Параметър</t>
  </si>
  <si>
    <t>5.3</t>
  </si>
  <si>
    <t>5.4</t>
  </si>
  <si>
    <t>Приложение към бизнес план</t>
  </si>
  <si>
    <t>Данни за В и К оператора</t>
  </si>
  <si>
    <t>Описание</t>
  </si>
  <si>
    <t>попълва се от В и К оператора</t>
  </si>
  <si>
    <t>Наименование на В и К оператора:</t>
  </si>
  <si>
    <t>1.1</t>
  </si>
  <si>
    <t>1.2</t>
  </si>
  <si>
    <t>град:</t>
  </si>
  <si>
    <t>1.3</t>
  </si>
  <si>
    <t>ЕИК по БУЛСТАТ:</t>
  </si>
  <si>
    <t>2</t>
  </si>
  <si>
    <t>Период на данните</t>
  </si>
  <si>
    <t>2.1</t>
  </si>
  <si>
    <t>Отчетна година:</t>
  </si>
  <si>
    <t>2.2</t>
  </si>
  <si>
    <t>Прогнозни години:</t>
  </si>
  <si>
    <t>2015 г.</t>
  </si>
  <si>
    <t>3</t>
  </si>
  <si>
    <t>4</t>
  </si>
  <si>
    <t>Отговорни за изготвянето</t>
  </si>
  <si>
    <t>4.1</t>
  </si>
  <si>
    <t>Главен счетоводител:</t>
  </si>
  <si>
    <t>4.2</t>
  </si>
  <si>
    <t>4.3</t>
  </si>
  <si>
    <t>5</t>
  </si>
  <si>
    <t>Опис на приложенията</t>
  </si>
  <si>
    <t>5.1</t>
  </si>
  <si>
    <t>Приложение 1</t>
  </si>
  <si>
    <t>Общи данни за В и К оператора</t>
  </si>
  <si>
    <t>Справки:</t>
  </si>
  <si>
    <t>Справка № 1 - Анкетна карта</t>
  </si>
  <si>
    <t>5.2</t>
  </si>
  <si>
    <t>Приложение 2</t>
  </si>
  <si>
    <t>Техническа част на бизнес плана</t>
  </si>
  <si>
    <t>Приложение 3</t>
  </si>
  <si>
    <t>Икономическа част на бизнес плана</t>
  </si>
  <si>
    <t>Приложение 4</t>
  </si>
  <si>
    <t xml:space="preserve">Социална поносимост и социални дейности </t>
  </si>
  <si>
    <t>2016 г.</t>
  </si>
  <si>
    <t>2017 г.</t>
  </si>
  <si>
    <t>2018 г.</t>
  </si>
  <si>
    <t>2019 г.</t>
  </si>
  <si>
    <t>2020 г.</t>
  </si>
  <si>
    <t>ПК1</t>
  </si>
  <si>
    <t>ПК2а</t>
  </si>
  <si>
    <t>ПК2б</t>
  </si>
  <si>
    <t>ПК2в</t>
  </si>
  <si>
    <t>ПК3</t>
  </si>
  <si>
    <t>ПК5</t>
  </si>
  <si>
    <t>ПК6a</t>
  </si>
  <si>
    <t>ПК7а</t>
  </si>
  <si>
    <t>ПК7б</t>
  </si>
  <si>
    <t>ПК8</t>
  </si>
  <si>
    <t>ПК9</t>
  </si>
  <si>
    <t>ПК10</t>
  </si>
  <si>
    <t>ПК11а</t>
  </si>
  <si>
    <t>ПК11б</t>
  </si>
  <si>
    <t>ПК11в</t>
  </si>
  <si>
    <t>ПК11г</t>
  </si>
  <si>
    <t>ПК12а</t>
  </si>
  <si>
    <t>ПК12б</t>
  </si>
  <si>
    <t>ПК12в</t>
  </si>
  <si>
    <t>ПК12г</t>
  </si>
  <si>
    <t>ПК13</t>
  </si>
  <si>
    <t>ПК14а</t>
  </si>
  <si>
    <t>ПК14б</t>
  </si>
  <si>
    <t>ПК15а</t>
  </si>
  <si>
    <t>ПК15б</t>
  </si>
  <si>
    <t>Формула</t>
  </si>
  <si>
    <t>Източник на информация</t>
  </si>
  <si>
    <t>Пояснения</t>
  </si>
  <si>
    <t xml:space="preserve"> iD51a=iD62a+iD63a+iD64a+iD65a</t>
  </si>
  <si>
    <t>D51a=D62a+D63a+D64a+D65a</t>
  </si>
  <si>
    <t xml:space="preserve"> iD51b=iD62b+iD63b+iD64b+iD65b</t>
  </si>
  <si>
    <t>D51b=D62b+D63b+D64b+D65b</t>
  </si>
  <si>
    <t>ПК3=(D35/F1*24*365)*1000</t>
  </si>
  <si>
    <t xml:space="preserve">Сумата от всички случаи в разглежданият период (календарна година), на произведенията между броя на засегнатото население от прекъсване на водоснабдяването и съответстващото му време в часове (брой засегнато население*'часове). </t>
  </si>
  <si>
    <t xml:space="preserve">Общият брой на засегнато население за разглежданият период от прекъсване на водоснабдяването, независимо от причината, умножено по съответстващото време на прекъсването. </t>
  </si>
  <si>
    <t>ПК5=D28/C8*100</t>
  </si>
  <si>
    <t>ПК7a=(wE4/iE5)*100</t>
  </si>
  <si>
    <t>ПК7б=(wE2/iE5)*100</t>
  </si>
  <si>
    <t>ПК9=(wd38a+wD38b+wD44)/wC1*100</t>
  </si>
  <si>
    <t>Сумират се броя на запушванията на канализационната мрежа в сградните канализационни отклонения, в частта за която е отговорен ВиК оператора за разглеждания период (календарната година)</t>
  </si>
  <si>
    <t>ПК10=wF14/E10*10000</t>
  </si>
  <si>
    <t>ПК11a=zD1/A3</t>
  </si>
  <si>
    <t>ПК11б=wD13/wA2</t>
  </si>
  <si>
    <t>ПК12a=G1/G4</t>
  </si>
  <si>
    <t>ЕСРО</t>
  </si>
  <si>
    <t>ПК12б=iwG1b/iwG4b</t>
  </si>
  <si>
    <t>ПК12в=iwG1c/iwG4c</t>
  </si>
  <si>
    <t>iF98=F24+wF20+iF88</t>
  </si>
  <si>
    <t>iF99=F23+wF12+iF89</t>
  </si>
  <si>
    <t xml:space="preserve">F23=F16+iF17+F18+F19 </t>
  </si>
  <si>
    <t>wF12=wF13+wF14+iwF15 +wF16</t>
  </si>
  <si>
    <t>ПК15a=B1/C24*1000</t>
  </si>
  <si>
    <t>Система за администриране на човешки ресурси</t>
  </si>
  <si>
    <t>Регистър на активите</t>
  </si>
  <si>
    <t>ПК15б=wB1/C29*1000</t>
  </si>
  <si>
    <t>Приложение № 1</t>
  </si>
  <si>
    <t>Справка № 1
Анкетна карта</t>
  </si>
  <si>
    <t>1</t>
  </si>
  <si>
    <t>Данни за търговското дружество</t>
  </si>
  <si>
    <t>Наименование на дружеството:</t>
  </si>
  <si>
    <t>Седалище:</t>
  </si>
  <si>
    <t>1.4</t>
  </si>
  <si>
    <t>Адрес на управление:</t>
  </si>
  <si>
    <t>1.5</t>
  </si>
  <si>
    <t>Дружеството се представлява от:</t>
  </si>
  <si>
    <t>1.6</t>
  </si>
  <si>
    <t>Рег.номер по ЗЗЛД в КЗЛД:</t>
  </si>
  <si>
    <t>1.7</t>
  </si>
  <si>
    <t>Рег.номер по ЗДДС, издаден на:</t>
  </si>
  <si>
    <t>1.8</t>
  </si>
  <si>
    <t>В и К оператор по силата на:</t>
  </si>
  <si>
    <t>1.9</t>
  </si>
  <si>
    <t>Съдружници/акционери; дялове</t>
  </si>
  <si>
    <t>Данни за кореспонденция</t>
  </si>
  <si>
    <t xml:space="preserve">Адрес за кореспонденция: </t>
  </si>
  <si>
    <t xml:space="preserve">Лица за кореспонденция: </t>
  </si>
  <si>
    <t>2.2.1</t>
  </si>
  <si>
    <t>сл. тел.:</t>
  </si>
  <si>
    <t>мобилен тел.:</t>
  </si>
  <si>
    <t xml:space="preserve">факс: </t>
  </si>
  <si>
    <t>e-mail:</t>
  </si>
  <si>
    <t>2.2.2</t>
  </si>
  <si>
    <t>2.2.3</t>
  </si>
  <si>
    <t>2.2.4</t>
  </si>
  <si>
    <t>2.2.5</t>
  </si>
  <si>
    <t xml:space="preserve">Секретар: </t>
  </si>
  <si>
    <t>Мярка</t>
  </si>
  <si>
    <t>І.</t>
  </si>
  <si>
    <t>Доставяне на вода на потребители</t>
  </si>
  <si>
    <t>2.3</t>
  </si>
  <si>
    <t>%</t>
  </si>
  <si>
    <t>3.1</t>
  </si>
  <si>
    <t>3.2</t>
  </si>
  <si>
    <t>ІІ.</t>
  </si>
  <si>
    <t>Отвеждане на отпадъчни води</t>
  </si>
  <si>
    <t>Отведени количества отпадъчни води</t>
  </si>
  <si>
    <t>7.1</t>
  </si>
  <si>
    <t>Битови и приравнените към тях обществени, търговски и др.</t>
  </si>
  <si>
    <t xml:space="preserve">Количества отведени отпадъчни води </t>
  </si>
  <si>
    <t>7.2</t>
  </si>
  <si>
    <t>Промишлени и други стопански потребители</t>
  </si>
  <si>
    <t>степен на замърсяване 1</t>
  </si>
  <si>
    <t>степен на замърсяване 2</t>
  </si>
  <si>
    <t>степен на замърсяване 3</t>
  </si>
  <si>
    <t>ІІІ.</t>
  </si>
  <si>
    <t>Пречистване на отпадъчни води</t>
  </si>
  <si>
    <t>Пречистени  количества отпадъчни води</t>
  </si>
  <si>
    <t>8.1</t>
  </si>
  <si>
    <t xml:space="preserve">Количества пречистени отпадъчни води </t>
  </si>
  <si>
    <t>Пречистени количества отпадъчна вода според:</t>
  </si>
  <si>
    <t>(попис)</t>
  </si>
  <si>
    <t>Указания за попълване на справката</t>
  </si>
  <si>
    <t>1. Попълват се само клетките в жълт цвят</t>
  </si>
  <si>
    <t>Приложение № 3</t>
  </si>
  <si>
    <t>(хил. лв.)</t>
  </si>
  <si>
    <t>Дейности</t>
  </si>
  <si>
    <t>Отчет</t>
  </si>
  <si>
    <t>Разчет</t>
  </si>
  <si>
    <t>Общо:</t>
  </si>
  <si>
    <t>Остатъчна стойност от предишния период</t>
  </si>
  <si>
    <t>Получен през периода</t>
  </si>
  <si>
    <t>Погасяване на главници</t>
  </si>
  <si>
    <t>Лихви</t>
  </si>
  <si>
    <t>Лихви (%)</t>
  </si>
  <si>
    <t>Общо погасителни вноски</t>
  </si>
  <si>
    <t>Остатък главница</t>
  </si>
  <si>
    <t>.....................................................</t>
  </si>
  <si>
    <t xml:space="preserve"> </t>
  </si>
  <si>
    <t xml:space="preserve">№ </t>
  </si>
  <si>
    <t>Наименование</t>
  </si>
  <si>
    <t>Собствени средства (хил.лв.)</t>
  </si>
  <si>
    <t>Заеми (хил.лв.)</t>
  </si>
  <si>
    <t>1.</t>
  </si>
  <si>
    <t>2.</t>
  </si>
  <si>
    <t>Доставяне на вода на потребителите</t>
  </si>
  <si>
    <t>Отвеждане на отпадъчните води</t>
  </si>
  <si>
    <t>Пречистване на отпадъчните води</t>
  </si>
  <si>
    <t>Доставяне вода на потребителите</t>
  </si>
  <si>
    <t>Съоръжения</t>
  </si>
  <si>
    <t>Транспортни средства</t>
  </si>
  <si>
    <t>Други ДМА</t>
  </si>
  <si>
    <t xml:space="preserve">Програмни продукти </t>
  </si>
  <si>
    <t>Продукти от развойна дейност</t>
  </si>
  <si>
    <t>Други ДНМА</t>
  </si>
  <si>
    <t>Земя</t>
  </si>
  <si>
    <t>Годишна амортизационна квота</t>
  </si>
  <si>
    <t>3.</t>
  </si>
  <si>
    <t xml:space="preserve">Начислена до момента амортизация </t>
  </si>
  <si>
    <t>4.</t>
  </si>
  <si>
    <t>Балансова стойност</t>
  </si>
  <si>
    <t>Разходи по икономически елементи</t>
  </si>
  <si>
    <t>Регулирана дейност</t>
  </si>
  <si>
    <t>Нерегулирана дейност</t>
  </si>
  <si>
    <t>Разходи за материали</t>
  </si>
  <si>
    <t xml:space="preserve">материали </t>
  </si>
  <si>
    <t xml:space="preserve"> - за обеззаразяване</t>
  </si>
  <si>
    <t xml:space="preserve"> - за коагуланти</t>
  </si>
  <si>
    <t xml:space="preserve"> - за флокуланти</t>
  </si>
  <si>
    <t xml:space="preserve"> - за ЛТК (лабораторно-технологични комплекси)</t>
  </si>
  <si>
    <t>електроенергия за технологични нужди</t>
  </si>
  <si>
    <t>горива и смазочни материали</t>
  </si>
  <si>
    <t>1.3.1</t>
  </si>
  <si>
    <t xml:space="preserve"> -за технологични нужди</t>
  </si>
  <si>
    <t xml:space="preserve"> -за транспортни средства и механизация</t>
  </si>
  <si>
    <t>работно облекло</t>
  </si>
  <si>
    <t>канцеларски материали</t>
  </si>
  <si>
    <t>други</t>
  </si>
  <si>
    <t>Разходи за външни услуги</t>
  </si>
  <si>
    <t>застраховки</t>
  </si>
  <si>
    <t>разходи за доставяне на вода на входа на ВС от друг доставчик</t>
  </si>
  <si>
    <t>2.4</t>
  </si>
  <si>
    <t>наеми, в т.ч. и оперативен лизинг</t>
  </si>
  <si>
    <t>2.5</t>
  </si>
  <si>
    <t>съобщителни услуги</t>
  </si>
  <si>
    <t>2.6</t>
  </si>
  <si>
    <t>транспортни услуги</t>
  </si>
  <si>
    <t>2.7</t>
  </si>
  <si>
    <t>вода, осветление и отопление</t>
  </si>
  <si>
    <t>2.8</t>
  </si>
  <si>
    <t>разходи за публикации</t>
  </si>
  <si>
    <t>2.9</t>
  </si>
  <si>
    <t xml:space="preserve"> - юридически</t>
  </si>
  <si>
    <t xml:space="preserve"> - финансово-счетоводни и одиторски</t>
  </si>
  <si>
    <t xml:space="preserve"> - технически</t>
  </si>
  <si>
    <t>2.10</t>
  </si>
  <si>
    <t>въоръжена и противопожарна охрана</t>
  </si>
  <si>
    <t>2.11</t>
  </si>
  <si>
    <t>суми по договори за инкасиране</t>
  </si>
  <si>
    <t>2.12</t>
  </si>
  <si>
    <t>съдебни разходи</t>
  </si>
  <si>
    <t>2.13</t>
  </si>
  <si>
    <t>3.1.</t>
  </si>
  <si>
    <t>3.2.</t>
  </si>
  <si>
    <t>разходи за трудови възнаграждения</t>
  </si>
  <si>
    <t>суми по граждански договори и хонорари</t>
  </si>
  <si>
    <t>социални разходи</t>
  </si>
  <si>
    <t>Други разходи</t>
  </si>
  <si>
    <t>6.1</t>
  </si>
  <si>
    <t>безплатна храна, съгласно нормативен документ</t>
  </si>
  <si>
    <t>6.2</t>
  </si>
  <si>
    <t>охрана на труда</t>
  </si>
  <si>
    <t>6.3</t>
  </si>
  <si>
    <t>служебни карти и пътувания</t>
  </si>
  <si>
    <t>6.4</t>
  </si>
  <si>
    <t>командировки</t>
  </si>
  <si>
    <t>6.5</t>
  </si>
  <si>
    <t>ОБЩО РАЗХОДИ</t>
  </si>
  <si>
    <t>Групи потребители</t>
  </si>
  <si>
    <t>Приложение № 4</t>
  </si>
  <si>
    <t>Показател</t>
  </si>
  <si>
    <t xml:space="preserve">Мярка </t>
  </si>
  <si>
    <t xml:space="preserve">Цена за доставяне на вода на потребителите </t>
  </si>
  <si>
    <r>
      <t>лв./куб.м (</t>
    </r>
    <r>
      <rPr>
        <i/>
        <sz val="9"/>
        <rFont val="Times New Roman"/>
        <family val="1"/>
        <charset val="204"/>
      </rPr>
      <t>без ДДС</t>
    </r>
    <r>
      <rPr>
        <sz val="9"/>
        <rFont val="Times New Roman"/>
        <family val="1"/>
        <charset val="204"/>
      </rPr>
      <t>)</t>
    </r>
  </si>
  <si>
    <t xml:space="preserve">Цена за отвеждане на отпадъчни води  </t>
  </si>
  <si>
    <t xml:space="preserve">Цена за пречистване на отпадъчни води  </t>
  </si>
  <si>
    <r>
      <t>лв./куб.м (</t>
    </r>
    <r>
      <rPr>
        <b/>
        <i/>
        <sz val="9"/>
        <rFont val="Times New Roman"/>
        <family val="1"/>
        <charset val="204"/>
      </rPr>
      <t>с ДДС</t>
    </r>
    <r>
      <rPr>
        <b/>
        <sz val="9"/>
        <rFont val="Times New Roman"/>
        <family val="1"/>
        <charset val="204"/>
      </rPr>
      <t>)</t>
    </r>
  </si>
  <si>
    <t>Минимално битово потребление</t>
  </si>
  <si>
    <t>куб.м/мес. на 1 човек</t>
  </si>
  <si>
    <t>лева</t>
  </si>
  <si>
    <t>Средно месечен доход на лице от домакинството в региона</t>
  </si>
  <si>
    <t>лева за месец</t>
  </si>
  <si>
    <t>Социална поносимост на цената на ВиК услугите</t>
  </si>
  <si>
    <t xml:space="preserve">лв./куб.м </t>
  </si>
  <si>
    <t xml:space="preserve">Описание </t>
  </si>
  <si>
    <t>Възвръщаемост за съответната В и К услуга</t>
  </si>
  <si>
    <t>хил.лв.</t>
  </si>
  <si>
    <t>Признати годишни разходи за съответната В и К услуга</t>
  </si>
  <si>
    <t>Необходими годишни приходи за съответната В и К услуга</t>
  </si>
  <si>
    <t>Отведени и пречистени количества вода</t>
  </si>
  <si>
    <t>Количества за битови и приравнени на тях потребители</t>
  </si>
  <si>
    <t>Количества за промишлени и други стопански потребители според степента на замърсяване</t>
  </si>
  <si>
    <t xml:space="preserve"> Коефициенти за разпределение на необходимите приходи</t>
  </si>
  <si>
    <t>К-т за степен на замърсеност на отведeни и отпадъчни води</t>
  </si>
  <si>
    <t>Коефициент за замърсеност степен 1</t>
  </si>
  <si>
    <t>Коефициент за замърсеност степен 2</t>
  </si>
  <si>
    <t>Коефициент за замърсеност степен 3</t>
  </si>
  <si>
    <t>Регулаторна база на активите</t>
  </si>
  <si>
    <t xml:space="preserve">Оборотен капитал </t>
  </si>
  <si>
    <t>Показатели за определяне на небходимия оборотен капитал (ОК)</t>
  </si>
  <si>
    <t>5.</t>
  </si>
  <si>
    <t>Нетен цикъл на оборотния капитал</t>
  </si>
  <si>
    <t>дни</t>
  </si>
  <si>
    <t>6.</t>
  </si>
  <si>
    <t>Брой нетни цикли на оборотния капитал в годината</t>
  </si>
  <si>
    <t>-</t>
  </si>
  <si>
    <t>7.</t>
  </si>
  <si>
    <t>Годишни парични разходи за дейността "Доставяне на вода на потребителите"</t>
  </si>
  <si>
    <t>Признати годишни разходи за дейността</t>
  </si>
  <si>
    <t>8.</t>
  </si>
  <si>
    <t>Годишни парични разходи за дейността "Отвеждане на отпадъчни води"</t>
  </si>
  <si>
    <t>Годишни парични разходи за дейността "Пречистване на отпадъчни води"</t>
  </si>
  <si>
    <t>ОК за дейността "Доставяне на вода на потребителите"</t>
  </si>
  <si>
    <t>ОК за дейността "Отвеждане на отпадъчни води"</t>
  </si>
  <si>
    <t>ОК за дейността "Пречистване на отпадъчни води"</t>
  </si>
  <si>
    <t>Собствен капитал</t>
  </si>
  <si>
    <t>хил. лв.</t>
  </si>
  <si>
    <t>Привлечен капитал в т.ч.</t>
  </si>
  <si>
    <t>Среднопретеглена норма на възвръщаемост на заемите по 2.1</t>
  </si>
  <si>
    <t xml:space="preserve">Дългосрочни заеми, с които са придобити активи  по договори за финансов лизинг </t>
  </si>
  <si>
    <t>Среднопретеглена норма на възвръщаемост на заемите по 2.3</t>
  </si>
  <si>
    <t>Краткосрочни заеми</t>
  </si>
  <si>
    <t>Среднопретеглена норма на възвръщаемост на заемите по 2.5</t>
  </si>
  <si>
    <t>Данъчни задължения</t>
  </si>
  <si>
    <t>Норма на възвращаемост на привлечения капитал</t>
  </si>
  <si>
    <t>Дял на собствения капитал</t>
  </si>
  <si>
    <t>Дял на привлечения капитал</t>
  </si>
  <si>
    <t>Възвръщаемост за доставяне на вода</t>
  </si>
  <si>
    <t>8.3</t>
  </si>
  <si>
    <t>Възвръщаемост за отвеждане</t>
  </si>
  <si>
    <t>8.4</t>
  </si>
  <si>
    <t>Възвръщаемост за пречистване</t>
  </si>
  <si>
    <t xml:space="preserve">Възвръщаемост </t>
  </si>
  <si>
    <t>лв./куб.м</t>
  </si>
  <si>
    <t>Инвестиции</t>
  </si>
  <si>
    <t xml:space="preserve">Дългосрочни заеми, без договори за финансов лизинг </t>
  </si>
  <si>
    <t>Верификация</t>
  </si>
  <si>
    <t>Верифициране на данните се извършва с предоставяне на информация от системата за фактуриране на ВиК оператора и регистрите на НСИ.</t>
  </si>
  <si>
    <t>Система за фактуриране на ВиК оператора и регистрите на НСИ</t>
  </si>
  <si>
    <t xml:space="preserve">Променливата F1 се изчислява по следния начин: от общия брой на населението, регистрирано по постоянен адрес (iE5), се изважда броят на населението, което: 
 - попада в обслужваната от ВиК оператора територия, но не получава услугата доставяне на вода;
- се обслужва от друг В и К оператор.
В случаите, когато има частично предоставяне на услугата доставяне на вода в определено населено място, броят на населението, което ползва услугата, се изважда от общия брой на населението в съответното населено място. Населението, което получава услугата доставяне на вода в частично обслужваните населени места, се изчислява, като броя на потребителите, които получават услугата се умножи по средния брой на лицата от домакинство, приложим за съответното населено място, по данни от последното преброяване на НСИ.
</t>
  </si>
  <si>
    <t>Регистър на НСИ</t>
  </si>
  <si>
    <t xml:space="preserve">Променливата iE5 се изчислява въз основа на данни от Националния статистически институт (НСИ). </t>
  </si>
  <si>
    <t>Верифицирането на данните се извършва с предоставяне на писмено становище от съответната районна здравна инспекция (РЗИ) за отчетната година.</t>
  </si>
  <si>
    <t>Регистър за лабораторни изследвания (или еквивалентен), поддържан от В и К оператора</t>
  </si>
  <si>
    <t>При изчисляването на iD51a се сумират направените анализи за различните показатели за качеството на водата, предназначена за питейно-битови цели в големи зони на водоснабдяване, определени в Приложение №1 на  Наредба №9 от 16.03.2001 г. за качествата на водата предназначена за питейно-битови цели , отговарящи на нормативните изисквания за големи зони на водоснабдяване от ВиК оператора за отчетната година.</t>
  </si>
  <si>
    <t>При изчисляването D51a се сумират направените анализи за различните показатели за качеството на водата, предназначена за питейно-битови цели в големи зони на водоснабдяване, определени в Приложение №1 на  Наредба №9 от 16.03.2001 г. за качествата на водата предназначена за питейно-битови цели от ВиК оператора за отчетната година. От получената сума се изваждат броя на анализите, които показват отклонения, разрешени по реда на наредбата по чл. 135, т. 3 от Закона за водите .</t>
  </si>
  <si>
    <t>При изчисляването iD51b се сумира общия брой на направените анализи за различните показатели за качеството на водата, предназначена за питейно-битови цели в малки зони на водоснабдяване, определени в Приложение №1 на  Наредба №9 от 16.03.2001 г. за качествата на водата предназначена за питейно-битови цели , отговарящи на нормативните изисквания за малки зони на водоснабдяване от ВиК оператора за отчетната година.</t>
  </si>
  <si>
    <t>При изчисляването D51b се сумира общия брой на направените анализи за различните показатели за качеството на водата, предназначена за питейно-битови цели в малки зони на водоснабдяване, определени в Приложение №1 на  Наредба №9 от 16.03.2001 г. за качествата на водата предназначена за питейно-битови цели от ВиК оператора за отчетната година. От получената сума се изваждат броя на анализите, които показват отклонения, разрешени по реда на наредбата по чл. 135, т. 3 от Закона за водите.</t>
  </si>
  <si>
    <t>Верифицирането на данните се извършва с предоставяне на писмено становище от съответната РЗИ за отчетната година.</t>
  </si>
  <si>
    <t>При изчисляването на iD98 се сумират всички зони на водоснабдяване, които са с изпълнен мониторинг за отчетната година.</t>
  </si>
  <si>
    <t>При изчисляването на iD99 се сумират всички зони на водоснабдяване в обслужваната от ВиК оператора територия, за отчетната година.</t>
  </si>
  <si>
    <t>Верифицирането на данните се извършва с предоставяне на информация от регистъра на авариите, система за фактуриране и ГИС</t>
  </si>
  <si>
    <t>Регистър за авариите (или еквивалентен), поддържан от ВиК оператора</t>
  </si>
  <si>
    <t>Система за фактуриране на ВиК оператора, ГИС или еквивалентна база данни</t>
  </si>
  <si>
    <t>Засегнато население от прекъсване на водоснабдяването се определя на база на справка от географската информационна система (ГИС) на В и К оператора или друга база данни, която показва взаимовръзка на потребителите и водоснабдителната мрежа. Въз основа на тази справка се установява броят на засегнатите потребители при съответното прекъсване на водоснабдяването. Полученият брой се умножава по средния брой на лица от домакинство, приложим за съответната територия, по данни от последното преброяване на НСИ.</t>
  </si>
  <si>
    <t>Верифицирането на данните се извършва с предоставяне на информация от система за фактуриране на ВиК оператора, ГИС или еквивалентна база данни</t>
  </si>
  <si>
    <t>Система за фактуриране на ВиК оператора, база данни</t>
  </si>
  <si>
    <t>ГИС или еквивалентна база данни</t>
  </si>
  <si>
    <t>Променливата iC8 се изчислява като средна стойност, равна на сбора на общата дължина на довеждащите водопроводи и разпределителната водопроводна мрежа, експлоатирани от ВиК оператора от първия и последния месец на отчетната година, разделен на две.</t>
  </si>
  <si>
    <t>Верифицирането на данните се извършва с предоставяне на информация от регистър за авриите, ГИС или еквивалентна база данни</t>
  </si>
  <si>
    <t xml:space="preserve">Променливата C8 се изчислява като средна стойност, равна на сбора на общата дължина на довеждащите водопроводи и разпределителната водопроводна мрежа, експлоатирани от ВиК оператора от първия и последния месец на отчетната година, разделен на две. При изчисляването на променливата се включват само водопроводи за питейна вода и не се включват водопроводи, които още не са в експлоатация или са изведени от експлоатация. </t>
  </si>
  <si>
    <t>E10 се изчислява като средна стойност, равна на сбора на броя на потребителите регистрирани в системата за фактуриране на ВиК оператора за първия и последния месец на отчетната година, разделен на две.</t>
  </si>
  <si>
    <t>Системата за фактуриране на ВиК оператора и регистрите на НСИ</t>
  </si>
  <si>
    <t xml:space="preserve">
Променливата wE4 се изчислява по следния начин: от общия брой на населението, регистрирано по постоянен адрес (iE5), се изважда броят на населението, което: 
- попада в обслужваната от ВиК оператора територия, но не получава услугата отвеждане на отпадъчни води;  
- не се обслужва от ВиК оператора.
В случаите, когато има частично предоставяне на услугата отвеждане на отпадъчни  води в определено населено място, броят на населението, което ползва услугата, се изважда от общия брой на населението в съответното населено място. Населението, което получава услугата отвеждане на отпадъчни води в частично обслужваните населени места, се изчислява, като броя на потребителите, които получават услугата, се умножи по средния брой на лицата от домакинство, приложим за съответното населено място, по данни от последното преброяване на НСИ.
</t>
  </si>
  <si>
    <t>Верифицирането на данните се извършва с предоставяне на информация от системата за фактуриране на ВиК оператора и регистрите на НСИ.</t>
  </si>
  <si>
    <t xml:space="preserve">Променливата wE2 се изчислява по следния начин: от общия брой на населението, регистрирано по постоянен адрес (iE5), се изважда броят на населението, което: 
- попада в обслужваната от ВиК оператора територия, но не получава услугата пречистване на отпадъчни води;
- не се обслужва от ВиК оператора.
В случаите, когато има частично предоставяне на услугата пречистване на отпадъчни  води в определено населено място, броят на населението, което ползва услугата, се изважда от общия брой на населението в съответното населено място. Населението, което получава услугата пречистване на отпадъчни води в частично обслужваните населени места, се изчислява, като броя на потребителите, които получават услугата, се умножи по средния брой на лицата от домакинство, приложим за съответното населено място, по данни от последното преброяване на НСИ.
</t>
  </si>
  <si>
    <t>Верифициране на информацията се извършва с предоставяне на информация от Министерството на околната среда и водите (МОСВ),  регистъра за лабораторни изследвания (или еквивалентен), плановете за взимане на проби и разрешителните за заустване.</t>
  </si>
  <si>
    <t>При изчисляването на iD97 се сумира броят на пробите, отговарящи на условията, включени в разрешителните за заустване, за отчетната година.</t>
  </si>
  <si>
    <t>Верифициране на данните се извършва с предоставяне на информация от съответните регистри.</t>
  </si>
  <si>
    <t>При изчисляването на wD38a се сумират запушванията на канализационната мрежа, различни от тези в сградните канализационни отклонения и тези, причинени от разрушаване на структурата на канала, за отчетната година. В сбора не се включват запушванията в помпените станции</t>
  </si>
  <si>
    <t>При изчисляването на wD44 се сумират запушванията на канализационната мрежа в резултат на структурно разрушаване на канала за отчетната година.</t>
  </si>
  <si>
    <t>Променливата wC1 се изчислява като средна стойност, равна на сбора на общата дължина на канализационната мрежа за първия и последния месец на календарната година, разделен на две. При изчисляването на променливата не се включва дължината на сградните канализационни отклонения.</t>
  </si>
  <si>
    <t>Верифицирането на информацията се извършва с предоставяне на информация от регистъра на оплакванията от потребители (или еквивалентен) и системата за фактуриране, поддържани от  В и К оператора.</t>
  </si>
  <si>
    <t>Регистър за оплаквания от потребители (или еквивалентен)</t>
  </si>
  <si>
    <t>При изчисляването на wF14 се сумират оплакванията за наводнения на имоти от канализационната система за отчетната година.</t>
  </si>
  <si>
    <t xml:space="preserve">Системата за фактуриране на ВиК оператора </t>
  </si>
  <si>
    <t>Верифицирането на данните се извършва с предоставяне на информация от съответните бази данни и регистъра за производствено-техническо обслужване (или еквивалентен).</t>
  </si>
  <si>
    <t>Регистър за производствено-техническо обслужване (или еквивалентен)</t>
  </si>
  <si>
    <t>При изчисляването на A3(Q4, съгласно Наредба № 1 от 5.05.2006 г. за утвърждаване на Методика за определяне на допустимите загуби на вода във водоснабдителните системи) се сумира общото количество постъпила вода на вход водоснабдителна система  за отчетната година.</t>
  </si>
  <si>
    <t>Верифициране на данните се извършва с предоставяне на информация от съответните бази данни и регистри.</t>
  </si>
  <si>
    <t>При изчисляването на wA2 се сумира общото количество постъпила за пречистване отпадъчна вода на вход ПСОВ  за отчетната година.</t>
  </si>
  <si>
    <t>Верифициране на данните се извършва с предоставяне на информация от регистъра за утайките (или еквивалентен).</t>
  </si>
  <si>
    <t>Регистър за утайките (или еквивалентен)</t>
  </si>
  <si>
    <t>При изчисляването на wA15 се сумира общото количество на сухото тегло на утайките от експлоатираните от В и К оператора ПСОВ, произведени през годината, предхождаща отчетната година, и оползотворени до края на отчетната година, съгласно методите за оползотворяване на утайки описани в Националния план за управление на утайки от градските пречиствателни станции за отпадъчни води в България.</t>
  </si>
  <si>
    <t>При изчисляването на wA14 се сумира общото количество на сухото тегло на утайките от експлоатираните от В и К оператора ПСОВ, произведени през годината, предхождаща отчетната година.</t>
  </si>
  <si>
    <t>Регистър инвестиции (или еквивалентен)</t>
  </si>
  <si>
    <t>При изчисляването на D20 се сумират дължините на подменените и обновени разпределителни и довеждащи водопроводи за отчетната година.</t>
  </si>
  <si>
    <t xml:space="preserve">Променливата C8 се изчислява като средна стойност, равна на сбора на общата дължина на довеждащите водопроводи и разпределителната водопроводна мрежа, експлоатирани от ВиК оператора през първия и последния месец на календарната година, разделен на две. При изчисляването на променливата се включват само водопроводи за питейна вода и не се включват водопроводи, които още не са в експлоатация или са изведени от експлоатация. </t>
  </si>
  <si>
    <t>Верифициране на данните се извършва с предоставяне на информация от ЕСРО.</t>
  </si>
  <si>
    <t>Верифицирането на данните се извършва с предоставяне на информация от регистър на оплаквания от потребители (или еквивалентен).</t>
  </si>
  <si>
    <t xml:space="preserve">Променливата iF98  се изчислява като сбор от отговорените оплаквания от потребители на ВиК оператора за отчетната година от:
 - услуга доставяне на вода
 - услуга отвеждане и пречистване на отпадъчни води
 - фактуриране за услугите по доставяне на вода, отвеждане и пречистване на отпадъчни води.
</t>
  </si>
  <si>
    <t xml:space="preserve">Променливата iF99 се изчислява като сбор от общия брой на оплакванията, регистрирани в регистър на оплаквания от потребители на ВиК оператора за отчетната година, от:
 - услуга доставяне на вода
 - услуга отвеждане и пречистване на отпадъчни води
 - фактуриране за услугите по доставяне на вода, отвеждане и пречистване на отпадъчни води
</t>
  </si>
  <si>
    <t xml:space="preserve">Верифициране на данните се извършва с предоставяне на информация от съответните бази данни.  </t>
  </si>
  <si>
    <t>Бази данни за сключени и изпълнени договори за присъединяване на Ви К оператора</t>
  </si>
  <si>
    <t>Променливата iE8 се изчислява като се съберат всички поземлени имоти, присъединени към водоснабдителната система в сроковете и при условията, посочени в окончателните договори за присъединяване по чл. 84, ал. 2 от Закона за устройство на територията за отчетната година.</t>
  </si>
  <si>
    <t>Променливата iE10 се изчислява като се съберат всички окончателни договори за присъединяване към водоснабдителната система, по които са изпълнени предварителните условия за присъединяване и сроковете за присъединяване изтичат до края на отчетната година.</t>
  </si>
  <si>
    <t>Верифициране на данните се извършва с предоставяне на информация от съответните бази данни.</t>
  </si>
  <si>
    <t>Променливата iwE8се изчислява като се съберат всички поземлени имоти, присъединени към канализационната система в сроковете и при условията, посочени в окончателните договори за присъединяване по чл. 84, ал. 2 от Закона за устройство на територията за отчетната година.</t>
  </si>
  <si>
    <t>Променливата iwE10 се изчислява като се съберат всички окончателни договори за присъединяване към канализационната система, по които са изпълнени предварителните условия за присъединяване и сроковете за присъединяване изтичат до края на отчетната година.</t>
  </si>
  <si>
    <t>Верифициране на данните се извършва с предоставяне на информация от програмата за администриране на персонала и регистъра на активите (или еквивалентни бази данни).</t>
  </si>
  <si>
    <t>Програма за администриране на персонала</t>
  </si>
  <si>
    <t>Променливата C24 се изчислява като средна стойност, равна на сбора на броя на сградните водопроводни отклонения за първия и последния месец на календарната година, разделен на две.</t>
  </si>
  <si>
    <t>Променливата C29 се изчислява като средна стойност, равна на сбора на броя на сградните канализационни  отклонения за първия и последния месец на календарната година разделен на две.</t>
  </si>
  <si>
    <t>iD96</t>
  </si>
  <si>
    <t>При изчисляването на iD96 се сумира общия брой проби за качество на отпадъчните води, изискуеми съгласно разрешителните за заустване, за отчетната година.</t>
  </si>
  <si>
    <t>Източници за финансиране, общо, в т.ч.:</t>
  </si>
  <si>
    <t>Планирани инвестиции, общо:</t>
  </si>
  <si>
    <t>График за изграждане по години, (хил.лв.)</t>
  </si>
  <si>
    <t>Отчетна стойност</t>
  </si>
  <si>
    <t>1.1.1</t>
  </si>
  <si>
    <t>1.1.2</t>
  </si>
  <si>
    <t>1.1.3</t>
  </si>
  <si>
    <t>1.1.4</t>
  </si>
  <si>
    <t>Минимален месечен разход за вода на член от домакинството</t>
  </si>
  <si>
    <t xml:space="preserve">Количества доставена вода </t>
  </si>
  <si>
    <t>Регулаторна база на активите, хил.лв.</t>
  </si>
  <si>
    <t>5.5</t>
  </si>
  <si>
    <t>Приложение 5</t>
  </si>
  <si>
    <t>Ценови модел</t>
  </si>
  <si>
    <t>Приложение 6</t>
  </si>
  <si>
    <t>Допълнителни пояснения</t>
  </si>
  <si>
    <t>Справка № 2 - Променливи за изчисление на показателите за качество на предоставяните В и К услуги</t>
  </si>
  <si>
    <t>Справка № 2
Променливи за изчисление на показателите за качество на предоставяните В и К услуги</t>
  </si>
  <si>
    <t xml:space="preserve">Справка № 3
Показатели за качество на предоставяните В и К услуги </t>
  </si>
  <si>
    <t xml:space="preserve">Справка № 3 - Показатели за качество на предоставяните В и К услуги </t>
  </si>
  <si>
    <t>Приложение № 5</t>
  </si>
  <si>
    <t>Допълнителни пояснения към Показателите за качество на предоставяните В и К услуги</t>
  </si>
  <si>
    <t>Ел.енергия</t>
  </si>
  <si>
    <t>кВтч</t>
  </si>
  <si>
    <t>Разход, лв.</t>
  </si>
  <si>
    <t>Изразходвана ел.енергия за административни нужди</t>
  </si>
  <si>
    <t>Общо изразходвана ел.енергия</t>
  </si>
  <si>
    <t>Изразходвана ел. енергия "Ниско напрежение"</t>
  </si>
  <si>
    <t>Изразходвана ел. енергия "Средно напражение"</t>
  </si>
  <si>
    <t>Изразходвана ел. енергия "Високо напрежение"</t>
  </si>
  <si>
    <t>Обобщена справка за консумацията и производството на ел.енергия</t>
  </si>
  <si>
    <t>Енергийна ефективност</t>
  </si>
  <si>
    <t>Средна цена на ел.енергия, лв/кВтч</t>
  </si>
  <si>
    <t>Обобщена справка за произведена и оползотворена/продадена ел.енергия</t>
  </si>
  <si>
    <t>6.1.1</t>
  </si>
  <si>
    <t>6.2.1</t>
  </si>
  <si>
    <t>Описание на проекта</t>
  </si>
  <si>
    <t>Код 
счетоводна сметка 
ДМА</t>
  </si>
  <si>
    <t>ОБЩО ИНВЕСТИЦИИ:</t>
  </si>
  <si>
    <t>ВОДОСНАБДЯВАНЕ:</t>
  </si>
  <si>
    <t xml:space="preserve">рехабилитация и изграждане на нови </t>
  </si>
  <si>
    <t>Сондажи и каптажи</t>
  </si>
  <si>
    <t>Санитарно-охранителни зони</t>
  </si>
  <si>
    <t>Довеждащи съоръжения</t>
  </si>
  <si>
    <t xml:space="preserve">реконструкции и изграждане на нови довеждащи  водопроводи </t>
  </si>
  <si>
    <t>Пречиствателни станции за питейни води</t>
  </si>
  <si>
    <t>сгради,съоръжения и оборудване</t>
  </si>
  <si>
    <t>Помпени станции</t>
  </si>
  <si>
    <t>Хидрофори</t>
  </si>
  <si>
    <t>Рехабилитация  и разширение на водопроводната мрежа над 10 м</t>
  </si>
  <si>
    <t>реконструкции и изграждане на нови  водопроводи над 10 м</t>
  </si>
  <si>
    <t>Сградни водопроводни отклонения</t>
  </si>
  <si>
    <t>подмяна и изграждане на нови</t>
  </si>
  <si>
    <t>Кранове и хидранти</t>
  </si>
  <si>
    <t xml:space="preserve">Управление на налягането </t>
  </si>
  <si>
    <t>Проучване и моделиране на водопроводната мрежа</t>
  </si>
  <si>
    <t>разходи за персонал, външни услуги и СМР за проучване и моделиране</t>
  </si>
  <si>
    <t>разширение на СКАДА и оборудване</t>
  </si>
  <si>
    <t>Лаборатория за питейни води</t>
  </si>
  <si>
    <t>апаратура и оборудване</t>
  </si>
  <si>
    <t>Лекотоварни автомобили за водоснабдяване</t>
  </si>
  <si>
    <t>покупка на нови и капиталов ремонт на съществуващи</t>
  </si>
  <si>
    <t>Тежкотоварни автомобили за водоснабдяване</t>
  </si>
  <si>
    <t>Строителна и специализирана механизация за водоснабдяване</t>
  </si>
  <si>
    <t>ОТВЕЖДАНЕ НА ОТПАДЪЧНИ ВОДИ:</t>
  </si>
  <si>
    <t>Канализационни помпени станции</t>
  </si>
  <si>
    <t>Рехабилитация  и разширение на канализационната мрежа над 10 м</t>
  </si>
  <si>
    <t>реконструкции и изграждане на нови канали над 10 м</t>
  </si>
  <si>
    <t>Сградни канализационни отклонения</t>
  </si>
  <si>
    <t>Проучване и моделиране на канализационната мрежа</t>
  </si>
  <si>
    <t>Лекотоварни автомобили  за канализация</t>
  </si>
  <si>
    <t>Тежкотоварни автомобили  за канализация</t>
  </si>
  <si>
    <t>ПРЕЧИСТВАНЕ НА ОТПАДЪЧНИ ВОДИ:</t>
  </si>
  <si>
    <t>Пречиствателни станции за отпадъчни води</t>
  </si>
  <si>
    <t>Лаборатория за отпадъчни води</t>
  </si>
  <si>
    <t>Лекотоварни автомобили  за  ПСОВ</t>
  </si>
  <si>
    <t>Тежкотоварни автомобили  за  ПСОВ</t>
  </si>
  <si>
    <t>Строителна и специализирана механизация  за ПСОВ</t>
  </si>
  <si>
    <t xml:space="preserve">ОБСЛУЖВАНЕ НА КЛИЕНТИ: </t>
  </si>
  <si>
    <t>Приходни водомери</t>
  </si>
  <si>
    <t>Приходни водомери с дистанционно отчитане</t>
  </si>
  <si>
    <t>ТРАНСПОРТ, АДМИНИСТРАЦИЯ  и  ИТ:</t>
  </si>
  <si>
    <t>Административни и обслужващи сгради и конструкции</t>
  </si>
  <si>
    <t>изграждане на нови и капиталов ремонт на съществуващи</t>
  </si>
  <si>
    <t>Стопански инвентар и офис оборудване</t>
  </si>
  <si>
    <t>покупка на нов и капиталов ремонт на съществуващ</t>
  </si>
  <si>
    <t>покупка на нови и надграждане и разширяване на съществуващи</t>
  </si>
  <si>
    <t>ИТ хардуер</t>
  </si>
  <si>
    <t>Водоснабдяване:</t>
  </si>
  <si>
    <t>Пречистване:</t>
  </si>
  <si>
    <t>% Водоснабдяване:</t>
  </si>
  <si>
    <t>% Пречистване:</t>
  </si>
  <si>
    <t>ДРУГИ ИНВЕСТИЦИИ- разпределение:</t>
  </si>
  <si>
    <t>ОБЩО ИНВЕСТИЦИИ след разпределение:</t>
  </si>
  <si>
    <t>I.</t>
  </si>
  <si>
    <t>Собствени Дълготрайни Активи</t>
  </si>
  <si>
    <t>Сгради и конструкции</t>
  </si>
  <si>
    <t>Машини, апаратура и специализирано оборудване</t>
  </si>
  <si>
    <t>Строителна и специализирана механизация</t>
  </si>
  <si>
    <t>Ел. оборудване</t>
  </si>
  <si>
    <t xml:space="preserve">Измервателни устройства </t>
  </si>
  <si>
    <t xml:space="preserve"> Друго специализирано оборудване</t>
  </si>
  <si>
    <t xml:space="preserve"> Тежкотоварни</t>
  </si>
  <si>
    <t>Лекотоварни</t>
  </si>
  <si>
    <t>Автомобили</t>
  </si>
  <si>
    <t>Компютърна техника</t>
  </si>
  <si>
    <t>Дълготрайни материални активи в процес на изграждане</t>
  </si>
  <si>
    <t>Нематериални активи в процес на изграждане</t>
  </si>
  <si>
    <t>II.</t>
  </si>
  <si>
    <t>Ел. съоръжения</t>
  </si>
  <si>
    <t>Каптажи</t>
  </si>
  <si>
    <t>Сондажни и шахтови кладенци</t>
  </si>
  <si>
    <t xml:space="preserve">Водопроводи, вкл.СВО </t>
  </si>
  <si>
    <t>Канализация, вкл. СКО</t>
  </si>
  <si>
    <t>Съоръжения в пречиствателни, помпени, хлораторни станции и резервоари</t>
  </si>
  <si>
    <t>Други ВиК съоръжения</t>
  </si>
  <si>
    <t>III.</t>
  </si>
  <si>
    <t>Административни и обслужващи сгради</t>
  </si>
  <si>
    <t>Производствени сгради</t>
  </si>
  <si>
    <t>Машини</t>
  </si>
  <si>
    <t>Апаратура</t>
  </si>
  <si>
    <t>Ел. табла</t>
  </si>
  <si>
    <t>ВиК оборудване</t>
  </si>
  <si>
    <t>Трафопост</t>
  </si>
  <si>
    <t>Електропровод</t>
  </si>
  <si>
    <t>ВиК съоръжения</t>
  </si>
  <si>
    <t>Други съоръжения</t>
  </si>
  <si>
    <t>Офис оборудване</t>
  </si>
  <si>
    <t>1.3.2</t>
  </si>
  <si>
    <t>други разходи за материали</t>
  </si>
  <si>
    <t>1.7.1</t>
  </si>
  <si>
    <t>1.7.2</t>
  </si>
  <si>
    <t>1.7.3</t>
  </si>
  <si>
    <t>консултански услуги</t>
  </si>
  <si>
    <t>2.8.1</t>
  </si>
  <si>
    <t>2.8.2</t>
  </si>
  <si>
    <t>2.8.3</t>
  </si>
  <si>
    <t>2.8.4</t>
  </si>
  <si>
    <t xml:space="preserve"> - други консултантски услуги</t>
  </si>
  <si>
    <t>обучения на персонала</t>
  </si>
  <si>
    <t>2.14</t>
  </si>
  <si>
    <t>други разходи за външни услуги</t>
  </si>
  <si>
    <t>Разходи за амортизации</t>
  </si>
  <si>
    <t>разходи за амортизации на собствени активи</t>
  </si>
  <si>
    <t>Разходи за възнаграждения</t>
  </si>
  <si>
    <t>Разходи за осигуровки</t>
  </si>
  <si>
    <t>Данъци и такси</t>
  </si>
  <si>
    <t>местни данъци и такси</t>
  </si>
  <si>
    <t>такси за регулиране</t>
  </si>
  <si>
    <t>такси за ползване на водни обекти</t>
  </si>
  <si>
    <t>такси  за заустване</t>
  </si>
  <si>
    <t>други данъци и такси</t>
  </si>
  <si>
    <t>7.3</t>
  </si>
  <si>
    <t>7.4</t>
  </si>
  <si>
    <t>7.5</t>
  </si>
  <si>
    <t>7.6</t>
  </si>
  <si>
    <t>7.7</t>
  </si>
  <si>
    <t>Спестявания и увеличения-нето:</t>
  </si>
  <si>
    <t>НЕТО УВЕЛИЧЕНИЕ и НАМАЛЕНИЕ НА  РАЗХОДИ</t>
  </si>
  <si>
    <t xml:space="preserve">Вид оперативен ремонт / Направление на оперативен ремонт
</t>
  </si>
  <si>
    <t>Количества (единица мярка)</t>
  </si>
  <si>
    <t>Обща стойност на обектите 
(хил.лв.)</t>
  </si>
  <si>
    <t>1.1.</t>
  </si>
  <si>
    <t>Ремонт на водоизточници</t>
  </si>
  <si>
    <t>1.2.</t>
  </si>
  <si>
    <t>1.3.</t>
  </si>
  <si>
    <t>Ремонт на участъци от водопроводната мрежа под 10 м</t>
  </si>
  <si>
    <t>1.4.</t>
  </si>
  <si>
    <t>Ремонт на СВО</t>
  </si>
  <si>
    <t>1.5.</t>
  </si>
  <si>
    <t>Ремонт на спирателни кранове и хидранти</t>
  </si>
  <si>
    <t>1.6.</t>
  </si>
  <si>
    <t>Ремонт на помпи за водоснабдяване</t>
  </si>
  <si>
    <t>1.7.</t>
  </si>
  <si>
    <t>Ремонт на други съоръжения за водоснабдяване</t>
  </si>
  <si>
    <t>1.8.</t>
  </si>
  <si>
    <t>Ремонт на оборудване, апаратура и машини за водоснабдяване</t>
  </si>
  <si>
    <t>1.9.</t>
  </si>
  <si>
    <t>Ремонт на сгради за водоснабдяване</t>
  </si>
  <si>
    <t>1.10.</t>
  </si>
  <si>
    <t>Ремонт на механизация и транспортни средства за водоснабдяване</t>
  </si>
  <si>
    <t>2.1.</t>
  </si>
  <si>
    <t>Ремонт на участъци от канализационна мрежа под 10 м</t>
  </si>
  <si>
    <t>2.2.</t>
  </si>
  <si>
    <t>Ремонт на СКО</t>
  </si>
  <si>
    <t>2.3.</t>
  </si>
  <si>
    <t>Ремонт на помпи за канализация</t>
  </si>
  <si>
    <t>2.4.</t>
  </si>
  <si>
    <t>Ремонт на оборудване, апаратура и машини за канализация</t>
  </si>
  <si>
    <t>2.5.</t>
  </si>
  <si>
    <t>Ремонт на сгради за канализация</t>
  </si>
  <si>
    <t>2.6.</t>
  </si>
  <si>
    <t>Ремонт на механизация и транспортни средства за канализация</t>
  </si>
  <si>
    <t>Ремонт на съоръжения за пречистване</t>
  </si>
  <si>
    <t>Ремонт на помпи за пречистване</t>
  </si>
  <si>
    <t>3.3.</t>
  </si>
  <si>
    <t>Ремонт на оборудване, апаратура и машини за пречистване</t>
  </si>
  <si>
    <t>3.4.</t>
  </si>
  <si>
    <t>Ремонт на сгради за пречистване</t>
  </si>
  <si>
    <t>3.5.</t>
  </si>
  <si>
    <t>Ремонт на механизация и транспортни средства за пречистване</t>
  </si>
  <si>
    <t xml:space="preserve">Наименование </t>
  </si>
  <si>
    <t>ПРИХОДИ</t>
  </si>
  <si>
    <t>Приходи от оперативна дейност</t>
  </si>
  <si>
    <t>Други приходи</t>
  </si>
  <si>
    <t>Приходи от строителство</t>
  </si>
  <si>
    <t>Приходи от финансирания</t>
  </si>
  <si>
    <t>Финансови приходи</t>
  </si>
  <si>
    <t>Приходи от лихви</t>
  </si>
  <si>
    <t>Положит. разлики от операции с фин.активи</t>
  </si>
  <si>
    <t>Положит. разлики от промяна на валут.курсове</t>
  </si>
  <si>
    <t>Други финансови приходи</t>
  </si>
  <si>
    <t xml:space="preserve">РАЗХОДИ </t>
  </si>
  <si>
    <t>Разходи от оперативна дейност</t>
  </si>
  <si>
    <t>Суровини и материали</t>
  </si>
  <si>
    <t>Външни услуги</t>
  </si>
  <si>
    <t>Разходи за социални осигуровки</t>
  </si>
  <si>
    <t xml:space="preserve">Разходи за амортизация </t>
  </si>
  <si>
    <t>Разходи за  обезценка на вземания</t>
  </si>
  <si>
    <t>Разходи за строителство</t>
  </si>
  <si>
    <t xml:space="preserve">Други разходи </t>
  </si>
  <si>
    <t>Финансови разходи</t>
  </si>
  <si>
    <t xml:space="preserve">Разходи за лихви </t>
  </si>
  <si>
    <t>Разходи от обезценка на финансови активи</t>
  </si>
  <si>
    <t>Отрицателни разлики от промяна на валутни курсове</t>
  </si>
  <si>
    <t>Други финансови разходи</t>
  </si>
  <si>
    <t>Печалба/ Загуба от оперативна дейност</t>
  </si>
  <si>
    <t>Печалба/ Загуба преди данъци</t>
  </si>
  <si>
    <t xml:space="preserve"> Разходи за данъци от печалбата</t>
  </si>
  <si>
    <t>Други данъци, алтернативни на корпоративния данък</t>
  </si>
  <si>
    <t>Печалба/ Загуба</t>
  </si>
  <si>
    <t>ПОСТЪПЛЕНИЯ</t>
  </si>
  <si>
    <t>Постъпления от оперативна дейност</t>
  </si>
  <si>
    <t>Постъпления от други приходи</t>
  </si>
  <si>
    <t>Финансови постъпления</t>
  </si>
  <si>
    <t>Постъпления от лихви</t>
  </si>
  <si>
    <t>Постъпления от финансирания</t>
  </si>
  <si>
    <t>Други финансови постъпления</t>
  </si>
  <si>
    <t xml:space="preserve">ПЛАЩАНИЯ </t>
  </si>
  <si>
    <t>Плащания по оперативна дейност:</t>
  </si>
  <si>
    <t>Възнаграждения</t>
  </si>
  <si>
    <t>Социални осигуровки</t>
  </si>
  <si>
    <t>Такси водоползване</t>
  </si>
  <si>
    <t>Такси заустване</t>
  </si>
  <si>
    <t>Такса регулиране</t>
  </si>
  <si>
    <t>Други плащания по оперативна дейност</t>
  </si>
  <si>
    <t>Други плащания</t>
  </si>
  <si>
    <t>Изплащане на дивиденти към  собственици</t>
  </si>
  <si>
    <t>Финансови и данъчни плащания</t>
  </si>
  <si>
    <t>Плащания на лихви</t>
  </si>
  <si>
    <t>Плащания на заеми</t>
  </si>
  <si>
    <t>Други финансови плащания</t>
  </si>
  <si>
    <t>Данък печалба</t>
  </si>
  <si>
    <t>Нето получен/ платен ДДС</t>
  </si>
  <si>
    <t xml:space="preserve">Други  данъци и такси </t>
  </si>
  <si>
    <t>Нетен паричен поток от оперативна дейност:</t>
  </si>
  <si>
    <t>Нетен паричен поток преди финансирания и данъци:</t>
  </si>
  <si>
    <t>Нетен паричен поток:</t>
  </si>
  <si>
    <t>Салдо на паричните средства в началото на периода:</t>
  </si>
  <si>
    <t>Салдо на паричните средства в края на периода:</t>
  </si>
  <si>
    <t>Призната стойност на ДА</t>
  </si>
  <si>
    <t>Амортизации за периода на използване на ДА</t>
  </si>
  <si>
    <t xml:space="preserve">Дългосрочни задължения по лихвени заеми и кредити за изграждане на извадени от баланса публични ДА </t>
  </si>
  <si>
    <t>Остатък главница към края на текущия период</t>
  </si>
  <si>
    <t>Справка № 5
Персонал</t>
  </si>
  <si>
    <t>Приложение № 6</t>
  </si>
  <si>
    <t>СПРАВКА № 16</t>
  </si>
  <si>
    <t>СПРАВКА № 17</t>
  </si>
  <si>
    <t>СПРАВКА № 18</t>
  </si>
  <si>
    <t>СПРАВКА № 19</t>
  </si>
  <si>
    <t>Приложение № 7</t>
  </si>
  <si>
    <t>Справка № 5 - Персонал</t>
  </si>
  <si>
    <t>5.6</t>
  </si>
  <si>
    <t>5.7</t>
  </si>
  <si>
    <t>Приложение 7</t>
  </si>
  <si>
    <t>Прогнозни отчети</t>
  </si>
  <si>
    <t>Управител:</t>
  </si>
  <si>
    <t>Указания за попълване на справката:</t>
  </si>
  <si>
    <t>Собствена земя</t>
  </si>
  <si>
    <t>Други транспортни средства</t>
  </si>
  <si>
    <t>Земя публична собственост</t>
  </si>
  <si>
    <t xml:space="preserve">ОБЩО отчетна стойност: </t>
  </si>
  <si>
    <t xml:space="preserve">ОБЩО годишна амортизация: </t>
  </si>
  <si>
    <t xml:space="preserve">ОБЩО натрупана амортизация: </t>
  </si>
  <si>
    <t xml:space="preserve">ОБЩО балансова стойност: </t>
  </si>
  <si>
    <t>Тежкотоварни</t>
  </si>
  <si>
    <t xml:space="preserve">Стопански инвентар </t>
  </si>
  <si>
    <t>1. Попълват се само клетките в жълт цвят.</t>
  </si>
  <si>
    <t>4.1.</t>
  </si>
  <si>
    <t>4.2.</t>
  </si>
  <si>
    <t>5.1.</t>
  </si>
  <si>
    <t>5.2.</t>
  </si>
  <si>
    <t xml:space="preserve">Общо количество вода на входа на системата A3/Q4 </t>
  </si>
  <si>
    <t xml:space="preserve">Обща законна консумация iA14/Q5 </t>
  </si>
  <si>
    <t xml:space="preserve">Продадена фактурирана вода Q3 </t>
  </si>
  <si>
    <t>2.1.1</t>
  </si>
  <si>
    <t>Фактурирана измерена консумация на вода Q3.1</t>
  </si>
  <si>
    <t>2.1.1.1</t>
  </si>
  <si>
    <t>битови потребители</t>
  </si>
  <si>
    <t>2.1.1.2</t>
  </si>
  <si>
    <t>обществени и търговски потребители</t>
  </si>
  <si>
    <t>2.1.1.3</t>
  </si>
  <si>
    <t>стопански потребители</t>
  </si>
  <si>
    <t>2.1.2</t>
  </si>
  <si>
    <t>Фактурирана неизмерена консумация на вода Q3.2</t>
  </si>
  <si>
    <t>2.1.2.1</t>
  </si>
  <si>
    <t>2.1.2.2</t>
  </si>
  <si>
    <t>2.1.2.3</t>
  </si>
  <si>
    <t>Нефактурирана измерена консумация на вода Q3A.1</t>
  </si>
  <si>
    <t>Нефактурирана неизмерена консумация на вода Q3A.2</t>
  </si>
  <si>
    <t xml:space="preserve">Търговски загуби на вода Q8 </t>
  </si>
  <si>
    <t>3.1.1</t>
  </si>
  <si>
    <t>Незаконно ползване Q8.1</t>
  </si>
  <si>
    <t>3.1.2</t>
  </si>
  <si>
    <t>Неточност при измерване Q8.2</t>
  </si>
  <si>
    <t xml:space="preserve">Реални загуби на вода Q7 </t>
  </si>
  <si>
    <t>3.2.1</t>
  </si>
  <si>
    <t>Течове във водопроводите за сурова вода и загуби при пречистването Q7.1</t>
  </si>
  <si>
    <t>3.2.2</t>
  </si>
  <si>
    <t>Течове в системата за пренос и разпределение Q7.2</t>
  </si>
  <si>
    <t>3.2.3</t>
  </si>
  <si>
    <t>Течове и препълване на резервоарите за съхранение Q7.3</t>
  </si>
  <si>
    <t>3.2.4</t>
  </si>
  <si>
    <t>Течове в сградните отклонения Q7.4</t>
  </si>
  <si>
    <t xml:space="preserve">Неносеща приходи вода (неотчетена вода) Q9 </t>
  </si>
  <si>
    <t>тон с.в.</t>
  </si>
  <si>
    <t>Произведени утайки от ПСОВ през годината</t>
  </si>
  <si>
    <t>Депонирани утайки, в т.ч.:</t>
  </si>
  <si>
    <t>Остатък утайки към края на периода, в.т.ч.:</t>
  </si>
  <si>
    <t>6</t>
  </si>
  <si>
    <t>лв/тон с.в.</t>
  </si>
  <si>
    <t>2.15</t>
  </si>
  <si>
    <t>Отведени количества отпадъчна вода според:</t>
  </si>
  <si>
    <t>Справка № 8 - Ремонтна програма</t>
  </si>
  <si>
    <t>Справка № 9 - Инвестиционна програма</t>
  </si>
  <si>
    <t>Справка № 10 - Инвестиции и източници на финансиране</t>
  </si>
  <si>
    <t>Справка № 11 - Амортизационен план на Дълготрайни Активи</t>
  </si>
  <si>
    <t>Изразходвана ел.енергия за нерегулирана дейност</t>
  </si>
  <si>
    <t>Нарастване на БВП съгласно средносрочна бюджетна прогноза 2015 - 2017 г.</t>
  </si>
  <si>
    <t>Справка № 13
Анализ на социалната поносимост на предлаганите цени</t>
  </si>
  <si>
    <t>Битови и приравнените към тях потребители</t>
  </si>
  <si>
    <t>Индикатор</t>
  </si>
  <si>
    <t>Променлива</t>
  </si>
  <si>
    <t>Справка № 12 - Годишни разходи</t>
  </si>
  <si>
    <t>Справка № 13 - Анализ на социалната поносимост на предлаганите цени</t>
  </si>
  <si>
    <t>Справка № 14  - Прогнозен отчет за приходите и разходите</t>
  </si>
  <si>
    <t>Справка № 15  - Прогнозен отчет за паричния поток</t>
  </si>
  <si>
    <t>Справка № 16  - Необходими приходи</t>
  </si>
  <si>
    <t>Справка № 17  - Регулаторна база на активите</t>
  </si>
  <si>
    <t>Справка № 18  - Оборотен капитал</t>
  </si>
  <si>
    <t>Справка № 20  - Цени за доставяне на вода, отвеждане и пречистване на отпадъчни води</t>
  </si>
  <si>
    <t>хил.тон с.в.</t>
  </si>
  <si>
    <t>Оползотворени утайки, произведени в предходната година</t>
  </si>
  <si>
    <t>Оползотворени утайки, произведени през текущата година</t>
  </si>
  <si>
    <t>Депонирани утайки, произведени в предходната година</t>
  </si>
  <si>
    <t>3.3</t>
  </si>
  <si>
    <t>Депонирани утайки, произведени през текущата година</t>
  </si>
  <si>
    <t>Разходи за оползотворяване и депониране на утайки, в т.ч.:</t>
  </si>
  <si>
    <t>Разход за оползотворяване и депониране на тон с.в. утайка</t>
  </si>
  <si>
    <t>Собствени разходи за оползотворяване на утайките</t>
  </si>
  <si>
    <t>Разходи за външни услуги за оползотворяване на утайките</t>
  </si>
  <si>
    <t>Инвестиции в Собствени активи:</t>
  </si>
  <si>
    <t>Инвестиции в Публични активи:</t>
  </si>
  <si>
    <t>% инвестиции, които се заприхождават като активи:</t>
  </si>
  <si>
    <t>Право на ползване на публични активи</t>
  </si>
  <si>
    <t>Общо ополозтворени утайки съгласно методите, описани в Национален план за управление на утайките от градските пречиствателни станции за отпадъчни води, в т.ч.:</t>
  </si>
  <si>
    <t>проверка на  измервателни уреди</t>
  </si>
  <si>
    <t>външни услуги за оползотворяване на утайки</t>
  </si>
  <si>
    <t xml:space="preserve">социални осигуровки </t>
  </si>
  <si>
    <t>разходи за ваучери за храна и други соц. надбавки и помощи</t>
  </si>
  <si>
    <t>7.7.1</t>
  </si>
  <si>
    <t>7.7.2</t>
  </si>
  <si>
    <t>7.7.3</t>
  </si>
  <si>
    <t>7.7.4</t>
  </si>
  <si>
    <t>ОБЩО РАЗХОДИ за оперативен ремонт:</t>
  </si>
  <si>
    <t>Променливи разходи:</t>
  </si>
  <si>
    <t>разходи за ваучери за храна и други соц. надбавки и помощи за оперативен ремонт</t>
  </si>
  <si>
    <t>социални осигуровки  за оперативен ремонт</t>
  </si>
  <si>
    <t>разходи за трудови възнаграждения за оперативен ремонт</t>
  </si>
  <si>
    <t>външни услуги за оперативен ремонт</t>
  </si>
  <si>
    <t>материали за оперативен ремонт</t>
  </si>
  <si>
    <t>Общ размер на разходите за социални осигуровки, хил.лв.</t>
  </si>
  <si>
    <t>Среден размер на възнаграждение на единица персонал на ЕПЗ (хил.лв./ЕПЗ)</t>
  </si>
  <si>
    <t>Среден размер на социални осигуровки на единица персонал на ЕПЗ (хил.лв./ЕПЗ)</t>
  </si>
  <si>
    <t>Среден размер на социални разходи на единица персонал на ЕПЗ (хил.лв./ЕПЗ)</t>
  </si>
  <si>
    <t>период на амортизация в годината на заприхождаване:</t>
  </si>
  <si>
    <t>Публични Дълготрайни Активи, изградени със собствени средства</t>
  </si>
  <si>
    <t>Публични Дълготрайни Активи, предоставени на ВиК оператора за експлоатация и поддръжка</t>
  </si>
  <si>
    <t>% Отвеждане:</t>
  </si>
  <si>
    <t>Отвеждане:</t>
  </si>
  <si>
    <t>ИНВЕСТИЦИИ Водоснабдяване, Отвеждане и Пречистване:</t>
  </si>
  <si>
    <t>Признатите годишни прогнозни разходи за амортизации на активите, използвани за дейността</t>
  </si>
  <si>
    <t>Право на ползване на публични ДА</t>
  </si>
  <si>
    <t>Натрупана амортизация на Право на ползване на публични ДА</t>
  </si>
  <si>
    <t>Справка № 7 - Оползотворяване на утaйки от ПСОВ</t>
  </si>
  <si>
    <t>Справка № 8
Ремонтна програма</t>
  </si>
  <si>
    <t>Справка № 9
Инвестиционна програма</t>
  </si>
  <si>
    <t>Справка № 10
 Инвестиции и източници на финансиране</t>
  </si>
  <si>
    <t>Справка № 11
Амортизационен план на Дълготрайни Активи</t>
  </si>
  <si>
    <t>Справка № 12.1.
Разчет на увеличението и намалението на признатите годишни разходи на В и К оператора</t>
  </si>
  <si>
    <t>5.2.1</t>
  </si>
  <si>
    <t>5.2.2</t>
  </si>
  <si>
    <t>5.2.3</t>
  </si>
  <si>
    <t>СПРАВКА № 20</t>
  </si>
  <si>
    <t>Измерване на вход  ВС</t>
  </si>
  <si>
    <t xml:space="preserve">Зониране  на водопроводната мрежа-контролно измерване </t>
  </si>
  <si>
    <t>подмяна на съществуващи и монтаж на нови водомери, шахти и водомерни възли на водомерни зони</t>
  </si>
  <si>
    <t>Рехабилитация  и разширение на главни  канализационни колектори и клонове</t>
  </si>
  <si>
    <t>Строителна и специализирана механизация за канализация</t>
  </si>
  <si>
    <t>подмяна на съществуващи и монтаж на нови приходни водомери на СВО, шахти и водомерни възли</t>
  </si>
  <si>
    <t>оборудване за дистанционно отчитане на приходни водомери</t>
  </si>
  <si>
    <t>ГИС</t>
  </si>
  <si>
    <t xml:space="preserve">Резервоари </t>
  </si>
  <si>
    <t>Хлораторни станциии</t>
  </si>
  <si>
    <t>Общи за регулирана дейност</t>
  </si>
  <si>
    <t>СКАДА за отвеждане на отпадъчни води</t>
  </si>
  <si>
    <t>СКАДА за водоснабдяване</t>
  </si>
  <si>
    <t>реконструкции и изграждане на главни канализационни колектори и клонове</t>
  </si>
  <si>
    <t>покупка на нови и капиталов ремонт на съществуващи, за извършване на СМР по водопроводната мрежа</t>
  </si>
  <si>
    <t>СКАДА за пречистване на отпадъчни води</t>
  </si>
  <si>
    <t xml:space="preserve">Автомобили </t>
  </si>
  <si>
    <t xml:space="preserve">Лекотоварни автомобили </t>
  </si>
  <si>
    <t>покупка на нова система и надграждане и разширяване на съществуваща</t>
  </si>
  <si>
    <t xml:space="preserve">разходи за персонал и външни услуги за  изграждане, надграждане и разширение на ГИС </t>
  </si>
  <si>
    <t>Автомобили  за канализация</t>
  </si>
  <si>
    <t>Автомобили  за  ПСОВ</t>
  </si>
  <si>
    <t>Автомобили за водоснабдяване</t>
  </si>
  <si>
    <t>Натурални показатели</t>
  </si>
  <si>
    <t>бр.</t>
  </si>
  <si>
    <t>м</t>
  </si>
  <si>
    <t>м.</t>
  </si>
  <si>
    <t>Права върху интелектуална собственост 
(ГИС, Хидравлични модели, др.)</t>
  </si>
  <si>
    <t>Проверка/
засичане на данни</t>
  </si>
  <si>
    <t>Проверка/засичане на данни със справка 12:</t>
  </si>
  <si>
    <t>Проверка/ засичане на данни със справка 12</t>
  </si>
  <si>
    <t>1.11.</t>
  </si>
  <si>
    <t>2.7.</t>
  </si>
  <si>
    <t>3.6.</t>
  </si>
  <si>
    <t>2.16</t>
  </si>
  <si>
    <t>лабораторни проби</t>
  </si>
  <si>
    <t>Собствени ДА и публични ДА, изградени със собствени средства</t>
  </si>
  <si>
    <t>Натрупана амортизация на собствени ДА и на публични ДА, изградени със собствени средства</t>
  </si>
  <si>
    <t xml:space="preserve">Подадена нефактурирана вода A13(Q3A) </t>
  </si>
  <si>
    <t xml:space="preserve">Общи загуби на вода A15(Q6) </t>
  </si>
  <si>
    <t>Дата на изготвяне на справките:</t>
  </si>
  <si>
    <t>.............................................</t>
  </si>
  <si>
    <t>Управител/Изп. директор (име и фамилия):</t>
  </si>
  <si>
    <t>Главен счетоводител/Фин. директор (име и фамилия):</t>
  </si>
  <si>
    <t xml:space="preserve">Управител/Изп.директор: </t>
  </si>
  <si>
    <t xml:space="preserve">Гл. счетоводител/Фин.директор: </t>
  </si>
  <si>
    <t>Гл. техник/Техн. директор:</t>
  </si>
  <si>
    <t>Произведена ел.енергия от собствени източници</t>
  </si>
  <si>
    <t>Използвана ел.енергия от собствени източници за вътрешни нужди</t>
  </si>
  <si>
    <t>Продадена ел. енергия от собствени източници на външния пазар</t>
  </si>
  <si>
    <t>Отчетените приходи за услуга доставяне на вода на потребителите съгласно ЕСРО е общата сума на оперативните приходи, намалени със сумата на разходите за придобиване на ДА по стопански начин за услугата доставяне на вода, в лева за календарната година. Разходите за придобиване на ДА по стопански начин се изваждат само в случаите, когато ВиК операторът отразява този тип разходи, като еквивалентна сума в оперативните приходи. В случаите когато ВиК операторът отразява направените разходи за придобиване на ДА по стопански начин директно към стойността на съответния ДА, те не се изваждат. В сумата на общите приходи се включват и проходите от лихви за забавени плащания, отнасящи се до услугата доставяне на вода</t>
  </si>
  <si>
    <t>Общите отчетени разходи за услуга доставяне вода на потребителите съгласно ЕСРО е общата сума на оперативните, нетният размер на разходите за лихви (разходи за лихви – приходи за лихви), амортизацията на активите свързани с предоставянето на услугата, намалена със сумата на разходите за придобиване на активи по стопански начин.</t>
  </si>
  <si>
    <t>Отчетените приходи за услугата отвеждане на отпадъчни води на потребителите съгласно ЕСРО е общата сума на оперативните приходи, намалени със сумата на разходите за придобиване на ДА по стопански начин за услугата отвеждане на отпадъчни води, в лева за календарната година. Разходите за придобиване на ДА по стопански начин се изваждат само в случаите, когато ВиК операторът отразява този тип разходи, като еквивалентна сума в оперативните приходи. В случаите когато ВиК операторът отразява направените разходи за придобиване на ДА по стопански начин директно към стойността на съответния ДА, те не се изваждат. В сумата на общите приходи се включват и проходите от лихви за забавени плащания, отнасящи се до услугата отвеждане на отпадъчни води.</t>
  </si>
  <si>
    <t>Общите отчетени разходи за услугата отвеждане на отпадъчни води на потребителите съгласно ЕСРО е общата сума на оперативните, нетният размер на разходите за лихви (разходи за лихви – приходи за лихви), амортизацията на активите свързани с предоставянето на услугата, намалена със сумата на разходите за придобиване на активи по стопански начин.</t>
  </si>
  <si>
    <t>Отчетените приходи за услугата пречистване на отпадъчни води на потребителите съгласно ЕСРО е общата сума на оперативните приходи, намалени със сумата на разходите за придобиване на ДА по стопански начин за услугата пречистване на отпадъчни води, в лева за календарната година. Разходите за придобиване на ДА по стопански начин се изваждат само в случаите, когато ВиК операторът отразява този тип разходи, като еквивалентна сума в оперативните приходи. В случаите когато ВиК операторът отразява направените разходи за придобиване на ДА по стопански начин директно към стойността на съответния ДА, те не се изваждат. В сумата на общите приходи се включват и проходите от лихви за забавени плащания, отнасящи се за услугата пречистване на отпадъчни води.</t>
  </si>
  <si>
    <t>Общите отчетени разходи за услугата пречистване на отпадъчни води на потребителите съгласно ЕСРО е общата сума на оперативните, нетният размер на разходите за лихви (разходи за лихви – приходи за лихви), амортизацията на активите свързани с предоставянето на услугата, намалена със сумата на разходите за придобиване на активи по стопански начин.</t>
  </si>
  <si>
    <t xml:space="preserve">Променливата iG99 е общата сума на приходите с включен ДДС за услугите по доставяне на вода и отвеждане и пречистване на отпадъчни води на потребителите съгласно ЕСРО. Променливата се определя, като от общата сума на оперативните приходи се извади сумата на разходите за придобиване на дълготрайни активи (ДА) по стопански начин за услугите по доставяне на вода и отвеждане и пречистване на отпадъчни води на потребителите, в лева, за отчетната година. Разходите за придобиване на ДА по стопански начин се изваждат само в случаите, когато ВиК операторът отразява този тип разходи като еквивалентна сума в оперативните приходи. В случаите, когато ВиК операторът отразява направените разходи за придобиване на ДА по стопански начин директно към стойността на съответния ДА, те не се изваждат. В сумата на общите приходи се включват и проходите от лихви за забавени плащания. </t>
  </si>
  <si>
    <t>Променливата iG98 е общата сума на вземанията на В и К оператора към потребители и от доставчици и потребители към края на отчетната година, съгласно ЕСРО. Обезценката на вземанията и задълженията не се взема за целите на изчисляване на индикатора</t>
  </si>
  <si>
    <t>Променливата iG97 е общата сума на вземанията на В и К оператора към доставчици и потребители към края на годината, предхождаща отчетната година, съгласно ЕСРО. Обезценката на вземанията и задълженията не се взема за целите на изчисляване на индикатора.съгласно ЕСРО. Обезценката на вземанията и задълженията не се взема за целите на изчисляване на индикатора.</t>
  </si>
  <si>
    <t>Променливата B1 се изчислява като средна стойност, равна на сбора на персонала на еквивалентна пълна заетост (ЕПЗ), ангажиран за предоставянето на услугата доставяне на вода на потребителите (като се включва постоянно назначения и временно назначения персонал) за първия и последния месец на отчетната година, разделен на две.</t>
  </si>
  <si>
    <t xml:space="preserve">Променливата wB1се изчислява като средна стойност, равна на сбора на персонала на еквивалентна пълна заетост (ЕПЗ) ангажиран за предоставянето на услугите отвеждане и пречистване на отпадъчни води (като се включва постоянно назначения и временно назначения персонал) за първия и последния месец на отчетната година, разделен на две. </t>
  </si>
  <si>
    <t xml:space="preserve">Съществуващ дългосрочен заем 1 за изграждане на ДА </t>
  </si>
  <si>
    <t xml:space="preserve">Съществуващ дългосрочен заем 3 за изграждане на ДА </t>
  </si>
  <si>
    <t>НОРМА НА ВЪЗВРЪЩАЕМОСТ</t>
  </si>
  <si>
    <t>Арматури (спирателни кранове, хидранти, редуцир винтили, въздушници, др.)</t>
  </si>
  <si>
    <t>911102</t>
  </si>
  <si>
    <t>911202</t>
  </si>
  <si>
    <t>91140201</t>
  </si>
  <si>
    <t>91140202</t>
  </si>
  <si>
    <t>91140203</t>
  </si>
  <si>
    <t>91140204</t>
  </si>
  <si>
    <t>91140205</t>
  </si>
  <si>
    <t>91140206</t>
  </si>
  <si>
    <t>91140207</t>
  </si>
  <si>
    <t>91140208</t>
  </si>
  <si>
    <t>91130502</t>
  </si>
  <si>
    <t>9115</t>
  </si>
  <si>
    <t>подмяна на съществуващи и монтаж на нови редуцир вeнтили</t>
  </si>
  <si>
    <t>подмяна на съществуващи и монтаж на нови водомери, водомерни шахти и възли на водоизточници</t>
  </si>
  <si>
    <t>Друго специализирано оборудване за ПСОВ</t>
  </si>
  <si>
    <t>Друго специализирано оборудване за канализация</t>
  </si>
  <si>
    <t>Друго специализирано оборудване за водоснабдяване</t>
  </si>
  <si>
    <t>Оборудване за СКАДА</t>
  </si>
  <si>
    <t>911304</t>
  </si>
  <si>
    <t>91130501</t>
  </si>
  <si>
    <t>91130503</t>
  </si>
  <si>
    <t>911403</t>
  </si>
  <si>
    <t>5.1.1</t>
  </si>
  <si>
    <t>6.2.2</t>
  </si>
  <si>
    <t>6.2.3</t>
  </si>
  <si>
    <t>2. Постъпленията се посочват със знак "+" , а плащанията - със знак "-".</t>
  </si>
  <si>
    <t>Други оперативни ремонти за водоснабдяване</t>
  </si>
  <si>
    <t>Други оперативни ремонти за канализация</t>
  </si>
  <si>
    <t>Други оперативни ремонти за пречистване</t>
  </si>
  <si>
    <t>Други оперативни ремонти, общи за услугите - разпределение за водоснабдяване</t>
  </si>
  <si>
    <t>Други оперативни ремонти, общи за услугите - разпределение за канализация</t>
  </si>
  <si>
    <t>Други оперативни ремонти, общи за услугите - разпределение за пречистване</t>
  </si>
  <si>
    <t>Разходи за социални осигуровки, хил.лв.</t>
  </si>
  <si>
    <t xml:space="preserve">Общ размер на социалните разходи, хил.лв. </t>
  </si>
  <si>
    <t xml:space="preserve">Социални разходи, хил.лв. </t>
  </si>
  <si>
    <t>Капитализирани разходи за възнаграждения, хил.лв.</t>
  </si>
  <si>
    <t>Капитализирани разходи за социални осигуровки, хил.лв.</t>
  </si>
  <si>
    <t xml:space="preserve">Капитализирани социални разходи, хил.лв. </t>
  </si>
  <si>
    <t>2021 г.</t>
  </si>
  <si>
    <t>Ремонт на довеждащи водопроводи</t>
  </si>
  <si>
    <t>Собствени разходи за депониране на утайките</t>
  </si>
  <si>
    <t>Разходи за външни услуги за депониране на утайките</t>
  </si>
  <si>
    <t>разлика</t>
  </si>
  <si>
    <t>2. В случай, че Неносеща приходи вода Q9 не е равна на сбора на компонентите си, на ред "разлика" ще се калкулират стойности различни от нула - което ще покаже необходимост от ревизия на данните в справката</t>
  </si>
  <si>
    <t>2.8.</t>
  </si>
  <si>
    <t>3.7.</t>
  </si>
  <si>
    <t>1.12.</t>
  </si>
  <si>
    <t>1.13.</t>
  </si>
  <si>
    <t>1.14.</t>
  </si>
  <si>
    <t>2.9.</t>
  </si>
  <si>
    <t>3.8.</t>
  </si>
  <si>
    <t>външни услуги за депониране на утайки</t>
  </si>
  <si>
    <t>2.17</t>
  </si>
  <si>
    <t>2.17.1</t>
  </si>
  <si>
    <t>2.17.2</t>
  </si>
  <si>
    <t>2.17.3</t>
  </si>
  <si>
    <t>разходи за амортизации на публични активи, изградени със собствени средства</t>
  </si>
  <si>
    <t xml:space="preserve">разходи за амортизации на публични активи, приети за експлоатация и поддръжка </t>
  </si>
  <si>
    <t>Язовири</t>
  </si>
  <si>
    <t>Водоеми и водохващания</t>
  </si>
  <si>
    <t>2.5 % от средно месечния доход на лице от домакинството</t>
  </si>
  <si>
    <t>Водоеми  и речни водохващания</t>
  </si>
  <si>
    <t>iDMAm</t>
  </si>
  <si>
    <t>iDMAt</t>
  </si>
  <si>
    <t>ПК4а</t>
  </si>
  <si>
    <t>ПК4б</t>
  </si>
  <si>
    <t>Ед. мярка</t>
  </si>
  <si>
    <t>бр/1 000 СВО</t>
  </si>
  <si>
    <t>бр/1 000 СКО</t>
  </si>
  <si>
    <t>бр/100км/год</t>
  </si>
  <si>
    <t>бр/10 000 потреб</t>
  </si>
  <si>
    <t xml:space="preserve">Ниво на покритие с водоснабдителни услуги </t>
  </si>
  <si>
    <t xml:space="preserve">Качество на питейната вода в големи зони на водоснабдяване </t>
  </si>
  <si>
    <t xml:space="preserve">Качество на питейната вода в малки зони на водоснабдяване </t>
  </si>
  <si>
    <t xml:space="preserve">Мониторинг на качеството на питейната вода </t>
  </si>
  <si>
    <t xml:space="preserve">Непрекъснатост на водоснабдяването </t>
  </si>
  <si>
    <t xml:space="preserve">Общи загуби на вода във водоснабдителните системи </t>
  </si>
  <si>
    <t xml:space="preserve">Аварии по водопроводната мрежа </t>
  </si>
  <si>
    <t xml:space="preserve">Налягане във водоснабдителната система </t>
  </si>
  <si>
    <t xml:space="preserve">Ниво на покритие с услуги по отвеждане на отпадъчни води </t>
  </si>
  <si>
    <t>Ниво на покритие с услуги по пречистване на отпадъчни води</t>
  </si>
  <si>
    <t xml:space="preserve">Качество на отпадъчните води  </t>
  </si>
  <si>
    <t xml:space="preserve">Аварии на канализационната мрежа </t>
  </si>
  <si>
    <t xml:space="preserve">Наводнения в имоти на трети лица, причинени от канализацията </t>
  </si>
  <si>
    <t xml:space="preserve"> Енергийна ефективност за дейността по  доставяне на вода на потребителите</t>
  </si>
  <si>
    <t xml:space="preserve">Енергийна ефективност за дейността по пречистване на отпадъчни води </t>
  </si>
  <si>
    <t>Оползотворяване на утайките от ПСОВ</t>
  </si>
  <si>
    <t xml:space="preserve">Рехабилитация на водопроводната мрежа </t>
  </si>
  <si>
    <t xml:space="preserve">Събираемост </t>
  </si>
  <si>
    <t xml:space="preserve">Срок за отговор на писмени жалби на потребителите  </t>
  </si>
  <si>
    <t xml:space="preserve">Присъединяване към водоснабдителната система </t>
  </si>
  <si>
    <t>Присъединяване към канализационната система</t>
  </si>
  <si>
    <t xml:space="preserve">Ефективност на персонала за услугата доставяне на вода на потребителите </t>
  </si>
  <si>
    <t xml:space="preserve">Ефективност на персонала за услугите отвеждане и пречистване </t>
  </si>
  <si>
    <t>ПК</t>
  </si>
  <si>
    <t>ПК11д</t>
  </si>
  <si>
    <t>Активен контрол на течовете</t>
  </si>
  <si>
    <t>ПК12д</t>
  </si>
  <si>
    <t>ПК12е</t>
  </si>
  <si>
    <t xml:space="preserve">Ефективност на привеждане на водомерите в годност </t>
  </si>
  <si>
    <t xml:space="preserve">Ефективност на изграждане на водомерното стопанство </t>
  </si>
  <si>
    <t>Индивидуална цел за 2021 г.</t>
  </si>
  <si>
    <t>Дългосрочно ниво</t>
  </si>
  <si>
    <r>
      <t>м</t>
    </r>
    <r>
      <rPr>
        <vertAlign val="superscript"/>
        <sz val="10"/>
        <rFont val="Times New Roman"/>
        <family val="1"/>
      </rPr>
      <t>3</t>
    </r>
    <r>
      <rPr>
        <sz val="10"/>
        <rFont val="Times New Roman"/>
        <family val="1"/>
      </rPr>
      <t xml:space="preserve">/год </t>
    </r>
  </si>
  <si>
    <t>iA10</t>
  </si>
  <si>
    <t>iA21</t>
  </si>
  <si>
    <t>брой</t>
  </si>
  <si>
    <t xml:space="preserve">Общ брой на населението, регистрирано по постоянен адрес и ползващо услугата доставяне на вода на потребителите в обособената територия, обслужвана от ВиК оператора  </t>
  </si>
  <si>
    <t>Общ брой на населението, регистрирано по постоянен адрес в обособената територия, обслужвана от оператора (брой)</t>
  </si>
  <si>
    <t xml:space="preserve">Общ брой на направените анализи за качество на питейните води в големи зони на водоснабдяване за отчетната година, които отговарят на изискванията на приложимите стандарти или законови разпоредби. </t>
  </si>
  <si>
    <t>Общ брой анализи за показатели с индикаторно значение за качеството на питейната вода, отговарящи на нормативните изисквания, в големи зони на водоснабдяване;</t>
  </si>
  <si>
    <t>Общ брой анализи по микробиологични показатели за качество на питейната вода, отговарящи на нормативните изисквания, в големи зони на водоснабдяване;</t>
  </si>
  <si>
    <t>Общ брой анализи по физико-химични показатели за качество на питейната вода, отговарящи на нормативните изисквания, в големи зони на водоснабдяване;</t>
  </si>
  <si>
    <t>Общ брой анализи по радиоактивни показатели за качество на питейната вода, отговарящи на нормативните изисквания, в големи зони на водоснабдяване.</t>
  </si>
  <si>
    <t xml:space="preserve">Общ брой на направените анализи за качество на питейните води в големи зони на водоснабдяване, с изключение на анализите, които показват отклонения, разрешени по реда на наредбата по чл. 135, т. 3 от Закона за водите. </t>
  </si>
  <si>
    <t>Общ брой анализи за показатели с индикаторно значение за качеството на питейната вода в големи зони на водоснабдяване;</t>
  </si>
  <si>
    <t>Общ брой анализи по микробиологични показатели за качество на питейната вода в големи зони на водоснабдяване;</t>
  </si>
  <si>
    <t>Общ брой анализи по физико-химични показатели за качество на питейната вода в големи зони на водоснабдяване;</t>
  </si>
  <si>
    <t>Общ брой анализи по радиоактивни показатели за качество на питейната вода в големи зони на водоснабдяване.</t>
  </si>
  <si>
    <t xml:space="preserve">Общ брой на направените анализи за качество на питейните води в малки зони на водоснабдяване, които отговарят на изискванията на приложимите стандарти или законови разпоредби. </t>
  </si>
  <si>
    <t>Общ брой анализи за показатели с индикаторно значение за качеството на питейната вода, отговарящи на нормативните изисквания в малки зони на водоснабдяване;</t>
  </si>
  <si>
    <t>Общ брой анализи по микробиологични показатели за качество на питейната вода, отговарящи на нормативните изисквания в малки зони на водоснабдяване;</t>
  </si>
  <si>
    <t>Общ брой анализи по физико-химични показатели за качество на питейната вода, отговарящи на нормативните изисквания в малки зони на водоснабдяване;</t>
  </si>
  <si>
    <t>Общ брой анализи по радиоактивни показатели за качество на питейната вода, отговарящи на нормативните изисквания в малки зони на водоснабдяване.</t>
  </si>
  <si>
    <t xml:space="preserve">Общ брой на направените анализи за качество на питейните води в малки зони на водоснабдяване, с изключение на анализите, които показват отклонения, разрешени по реда на наредбата по чл. 135, ал. 1, т. 3 от Закона за водите. </t>
  </si>
  <si>
    <t>Общ брой анализи за показатели с индикаторно значение за качеството на питейната вода в малки зони на водоснабдяване;</t>
  </si>
  <si>
    <t>Общ брой анализи по микробиологични показатели за качество на питейната вода в малки зони на водоснабдяване;</t>
  </si>
  <si>
    <t>Общ брой анализи по физико-химични показатели за качество на питейната вода в малки зони на водоснабдяване;</t>
  </si>
  <si>
    <t>Общ брой анализи по радиоактивни показатели за качество на питейната вода в малки зони на водоснабдяване.</t>
  </si>
  <si>
    <t>Общ брой на зоните на водоснабдяване с изпълнен мониторинг</t>
  </si>
  <si>
    <t>Общ брой на зоните на водоснабдяване в обслужваната от ВиК оператора територия.</t>
  </si>
  <si>
    <t xml:space="preserve">Сумата от общия брой на населението засегнато от прекъсвания на водоснабдяването в обслужваната от оператора територия и продължителността на съответстващите прекъсвания (в часове в разглеждания период). </t>
  </si>
  <si>
    <t>брой/часове</t>
  </si>
  <si>
    <t>Подадена вода на вход водоснабдителна система (Q4, съгласно Наредба № 1 от 5.05.2006 г. за утвърждаване на Методика за определяне на допустимите загуби на вода във водоснабдителните системи</t>
  </si>
  <si>
    <t>Неносеща приходи вода (Q9 съгласно Наредба № 1 от 5.05.2006 г. за утвърждаване на Методика за определяне на допустимите загуби на вода във водоснабдителните системи, като се изключва водата подадена към друг оператор</t>
  </si>
  <si>
    <t>Продадена фактурирана вода (Q3, съгласно Наредба № 1 от 5.05.2006 г. за утвърждаване на Методика за определяне на допустимите загуби на вода във водоснабдителните системи, като се изключва водата подадена към друг оператор</t>
  </si>
  <si>
    <t>км</t>
  </si>
  <si>
    <t xml:space="preserve">Общ брой аварии по водопроводната мрежа, включително по арматури и фитинги </t>
  </si>
  <si>
    <t>Обща дължина на довеждащите водопроводи и разпределителната водопроводна мрежа. В изчисляването на дължината на водопроводната мрежа не се включва дължината на сградните водопроводни отклонения.</t>
  </si>
  <si>
    <t xml:space="preserve">Общ брой на водомерни зони в обслужваната от ВиК оператора територия. </t>
  </si>
  <si>
    <t xml:space="preserve">Общ брой потребители, обслужвани от оператора, които ползват услуга доставяне на вода на потребителите  </t>
  </si>
  <si>
    <t xml:space="preserve">Брой население, регистрирано по постоянен адрес и ползващо услугата отвеждане на отпадъчни води в обособената територия, обслужвана от оператора за разглеждания период  </t>
  </si>
  <si>
    <t xml:space="preserve">Брой население, регистрирано по постоянен адрес и ползващо услугата пречистване на отпадъчни води в обособената територия, обслужвана от оператора за разглеждания период  </t>
  </si>
  <si>
    <t xml:space="preserve">Общ брой проби за качество на отпадъчните води, изискуеми съгласно разрешителните за заустване  </t>
  </si>
  <si>
    <t xml:space="preserve">Брой проби, отговарящи на условията, включени в разрешителните за заустване за разглеждания период  </t>
  </si>
  <si>
    <t xml:space="preserve">Брой запушвания на канализационната мрежа, различни от тези в сградните канализационни отклонения за разглеждания период  </t>
  </si>
  <si>
    <t xml:space="preserve">Брой аварии на канализационната мрежа поради структурно разрушаване на канала за разглеждания период  </t>
  </si>
  <si>
    <t xml:space="preserve">Брой запушвания  в сградните канализационни отклонения за разглеждания период  </t>
  </si>
  <si>
    <t xml:space="preserve">км </t>
  </si>
  <si>
    <t xml:space="preserve">Обща дължина на канализационната мрежа, експлоатирана от ВиК оператора </t>
  </si>
  <si>
    <t xml:space="preserve">Общо количество на изразходваната електрическа енергия, за добив, пречистване и доставка на вода от ВиК оператора  </t>
  </si>
  <si>
    <t xml:space="preserve">Общо количество на сухото тегло на утайките от експлоатираните от В и К оператора ПСОВ, произведени през годината, предхождаща отчетната година, и оползотворени до края на отчетната година </t>
  </si>
  <si>
    <t xml:space="preserve">Общо количество на постъпила за пречистване вода на вход ПСОВ, експлоатирани от ВиК оператора </t>
  </si>
  <si>
    <t xml:space="preserve">Обща дължина на рехабилитираната водопроводна мрежа  </t>
  </si>
  <si>
    <t>лв</t>
  </si>
  <si>
    <t xml:space="preserve">Обща сума на приходите от оперативна дейност от услуга доставяне на вода на потребителите  </t>
  </si>
  <si>
    <t xml:space="preserve">Обща сума на отчетените разходи за услуга доставяне на вода на потребителите съгласно ЕСРО </t>
  </si>
  <si>
    <t xml:space="preserve">Обща сума на приходите от оперативна дейност от услугата отвеждане на отпадъчни води  </t>
  </si>
  <si>
    <t xml:space="preserve">Обща сума на отчетените разходи за услугата отвеждане на отпадъчни води съгласно ЕСРО  </t>
  </si>
  <si>
    <t xml:space="preserve">Обща сума на приходите от оперативна дейност от услугата пречистване на отпадъчни води  </t>
  </si>
  <si>
    <t xml:space="preserve">Обща сума на отчетените разходи за услуга пречистване на отпадъчни води съгласно ЕСРО  </t>
  </si>
  <si>
    <t>Общо количество на сухото тегло на утайките от ПСОВ, експлоатирани от ВиК оператора, произведени през годината, предхождаща отчетната година (тон сухо вещество).</t>
  </si>
  <si>
    <t xml:space="preserve">Качество на информацията   </t>
  </si>
  <si>
    <t>D9</t>
  </si>
  <si>
    <t xml:space="preserve">лв с вкл. ДДС </t>
  </si>
  <si>
    <t>iD45</t>
  </si>
  <si>
    <t xml:space="preserve">Обща сума на приходите от продажби на водоснабдителни и канализационни услуги за годината  </t>
  </si>
  <si>
    <t xml:space="preserve">Обща сума на вземанията от потребители и доставчици към края на годината  </t>
  </si>
  <si>
    <t xml:space="preserve">Обща сума на вземанията от потребители и доставчици за предходната година </t>
  </si>
  <si>
    <t>iE6</t>
  </si>
  <si>
    <t>Общ брой водомери на СВО (средства за измерване).</t>
  </si>
  <si>
    <t>iD44</t>
  </si>
  <si>
    <t>Общ брой водомери на СВО (средства за измерване), които са в техническа и метрологична годност и отговарят на одобрения тип</t>
  </si>
  <si>
    <t>Общ брой водомери на СВО (средства за измерване), които са приведени в техническа и метрологична годност през отчетната година и отговарят на одобрения тип, и които са монтирани на СВО през отчетната година</t>
  </si>
  <si>
    <t>Група</t>
  </si>
  <si>
    <t>Население</t>
  </si>
  <si>
    <t xml:space="preserve">Общ брой потребители, обслужвани от оператора, които ползват услуга отвеждане на отпадъчни води </t>
  </si>
  <si>
    <t xml:space="preserve">Общ брой потребители, обслужвани от оператора, които ползват услуга пречистване на отпадъчни води </t>
  </si>
  <si>
    <t>Потребители</t>
  </si>
  <si>
    <t>Качество на питейната вода - големи зони на водоснабдяване</t>
  </si>
  <si>
    <t>Качество на питейната вода - малки зони на водоснабдяване</t>
  </si>
  <si>
    <t>Общ брой населени места в обособената територия, обслужвана от оператора за разглеждания период, в които се предоставя услугата доставяне на вода</t>
  </si>
  <si>
    <t>Общ брой населени места в обособената територия, обслужвана от оператора за разглеждания период, в които се предоставя услугата отвеждане на отпадъчни води</t>
  </si>
  <si>
    <t>Общ брой населени места в обособената територия, обслужвана от оператора за разглеждания период, в които се предоставя услугата пречистване на отпадъчни води</t>
  </si>
  <si>
    <t>Общ брой населени места в обособената територия, обслужвана от оператора за разглеждания период</t>
  </si>
  <si>
    <t>Населени места</t>
  </si>
  <si>
    <t>ВиК активи</t>
  </si>
  <si>
    <t>Общ брой пречиствателни станции за питейни води (ПСПВ)</t>
  </si>
  <si>
    <t>Общ брой резервоари (водоеми)</t>
  </si>
  <si>
    <t>Общ брой водоснабдителни помпени станции (ВПС)</t>
  </si>
  <si>
    <t>Общ брой канализационни помпени станции (КПС)</t>
  </si>
  <si>
    <t>Общ брой пречиствателни станции за отпадъчни води (ПСОВ)</t>
  </si>
  <si>
    <t>Прекъсвания и аварии</t>
  </si>
  <si>
    <t>Качество на отпадъчни води</t>
  </si>
  <si>
    <t>Обща дължина на водопроводната мрежа, за която е реализиран процес на регулярно обследване и активен контрол на течовете (включително микрофони, корелатори, акустични логери и други), при който се откриват и отстраняват скрити течове</t>
  </si>
  <si>
    <t>Рехабилитирана и проучена водопроводна мрежа</t>
  </si>
  <si>
    <t>Електро енергия</t>
  </si>
  <si>
    <t>Водни количества</t>
  </si>
  <si>
    <t>Утайки от ПСОВ</t>
  </si>
  <si>
    <t>Приходи, разходи и събираемост</t>
  </si>
  <si>
    <t>Оплаквания и жалби</t>
  </si>
  <si>
    <t>Отговори на оплаквания и жалби</t>
  </si>
  <si>
    <t>Присъединяване към ВиК мрежи</t>
  </si>
  <si>
    <t>Персонал</t>
  </si>
  <si>
    <t xml:space="preserve">Общ брой на персонала на еквивалентна пълна заетост за услуга доставяне на вода на потребителите </t>
  </si>
  <si>
    <t xml:space="preserve">Общ брой на персонала на еквивалентна пълна заетост за услугите отвеждане и пречистване на отпадъчни води </t>
  </si>
  <si>
    <t xml:space="preserve">Общ брой на окончателните договори за присъединяване към канализационната система, по които са изпълнени предварителните условия за присъединяване и сроковете за присъединяване изтичат до края на отчетната година </t>
  </si>
  <si>
    <t xml:space="preserve">Общ брой на поземлените имоти, присъединени към водоснабдителната система в сроковете и при условията, посочени в окончателните договори за присъединяване по чл. 84, ал. 2 от Закона за устройство на територията </t>
  </si>
  <si>
    <t xml:space="preserve">Общ брой на окончателните договори за присъединяване към водоснабдителната система, по които са изпълнени предварителните условия за присъединяване и сроковете за присъединяване изтичат до края на отчетната година </t>
  </si>
  <si>
    <t xml:space="preserve">Общ брой на поземлените имоти, присъединени към канализационната система в сроковете и при условията, посочени в окончателните договори за присъединяване по чл. 84, ал. 2 от Закона за устройство на територията </t>
  </si>
  <si>
    <t xml:space="preserve">Общ брой оплаквания на потребители по отношение фактуриране на услугите доставяне на вода на потребителите и отвеждане и пречистване на отпадъчни води </t>
  </si>
  <si>
    <t xml:space="preserve">Общ брой други оплаквания за услугата отвеждане и пречистване на отпадъчни води </t>
  </si>
  <si>
    <t xml:space="preserve">Общ брой оплаквания за замърсявания, мирис и гризачи </t>
  </si>
  <si>
    <t xml:space="preserve">Общ брой оплаквания за наводнявания на имоти </t>
  </si>
  <si>
    <t xml:space="preserve">Общ брой оплаквания за  запушвания на канализационната мрежа </t>
  </si>
  <si>
    <t xml:space="preserve">Общ брой оплаквания на потребители за разглеждания период за услугите отвеждане и пречистване на отпадъчни води </t>
  </si>
  <si>
    <t xml:space="preserve">Общ брой други оплаквания за услугата доставяне на вода на потребителите </t>
  </si>
  <si>
    <t xml:space="preserve">Общ брой оплаквания за нарушено водоснабдяване </t>
  </si>
  <si>
    <t xml:space="preserve">Общ брой оплаквания на потребители за разглеждания период за услуга доставяне на вода на потребителите </t>
  </si>
  <si>
    <t xml:space="preserve">Общ брой оплаквания от потребители свързани с налягане във водоснабдителната система за разглеждания период </t>
  </si>
  <si>
    <t xml:space="preserve">Общ брой на отговори на оплаквания на потребители по отношение фактуриране на услугите доставяне на вода на потребителите и отвеждане и пречистване на отпадъчни води  </t>
  </si>
  <si>
    <t xml:space="preserve">Общ брой отговори на оплаквания на потребители за услугите отвеждане и пречистване на отпадъчни води  </t>
  </si>
  <si>
    <t xml:space="preserve">Общ брой отговори на оплаквания на потребители за услуга доставяне на вода на потребителите </t>
  </si>
  <si>
    <t>Общ брой отговори на оплаквания на потребители в срок от 14 дни.</t>
  </si>
  <si>
    <t xml:space="preserve">Общ брой на сградните канализационни отклонения </t>
  </si>
  <si>
    <t>Общ брой на сградните водопроводни отклонения</t>
  </si>
  <si>
    <t>Мониторинг на качеството на питейната вода</t>
  </si>
  <si>
    <t>Общ брой водомери на водоизточници</t>
  </si>
  <si>
    <t>Общ брой контролни водомери по мрежата (различни от водомери на водоизточници)</t>
  </si>
  <si>
    <t>Общ брой разходомери на ПСОВ</t>
  </si>
  <si>
    <t>Общ брой разходомери по канализационна мрежа</t>
  </si>
  <si>
    <t xml:space="preserve">Измерване  </t>
  </si>
  <si>
    <t>Добита сурова вода от повърхностни водоизточници</t>
  </si>
  <si>
    <t>Добита сурова вода от  подземни  водоизточници</t>
  </si>
  <si>
    <t>Подадена сурова вода от друг ВиК оператор/доставчик</t>
  </si>
  <si>
    <t>Подадена пречистена вода от друг ВиК оператор / доставчик</t>
  </si>
  <si>
    <r>
      <t xml:space="preserve">Обща дължина на довеждащите водопроводи и разпределителната водопроводна мрежа. В изчисляването на дължината на водопроводната мрежа не се включва дължината на сградните водопроводни отклонения, </t>
    </r>
    <r>
      <rPr>
        <b/>
        <sz val="10"/>
        <rFont val="Times New Roman"/>
        <family val="1"/>
        <charset val="204"/>
      </rPr>
      <t>както и дължината на водопроводите, по които се довежда вода до друг оператор, само в случаите когато се използват единствено за тази цел.</t>
    </r>
  </si>
  <si>
    <t>Разход, хил.лв.</t>
  </si>
  <si>
    <t>Средна цена на ел.енергия, лв/МВтч</t>
  </si>
  <si>
    <t>Специфичен разход кВтч/м3 вода на вход ВС</t>
  </si>
  <si>
    <t>Специфичен разход кВтч/м3 фактурирана вода</t>
  </si>
  <si>
    <t>Специфичен разход кВтч/м3 вода на вход ПСОВ</t>
  </si>
  <si>
    <t>Общо изразходвана ел.енергия за технологични нужди</t>
  </si>
  <si>
    <t>Приход, хил.лв.</t>
  </si>
  <si>
    <t>Описание на технически параметри на когенерация</t>
  </si>
  <si>
    <t>ВОДОСНАБДЯВАНЕ</t>
  </si>
  <si>
    <t>Брой</t>
  </si>
  <si>
    <t>Общо ремонти водоснабдяване</t>
  </si>
  <si>
    <t>КАНАЛИЗАЦИЯ</t>
  </si>
  <si>
    <t>Профилактика (почистване, продухване, други)</t>
  </si>
  <si>
    <t>Шурфове (изкопни дейности);пътни настилки</t>
  </si>
  <si>
    <t>Шурфове (изкопни дейности) разпределение от спомаг.д-ст</t>
  </si>
  <si>
    <t>2.10.</t>
  </si>
  <si>
    <t>Общо ремонти канализация</t>
  </si>
  <si>
    <t>Шурфове (изкопни дейности)разпределение от спомаг.д-ст и у-ние</t>
  </si>
  <si>
    <t>3.9.</t>
  </si>
  <si>
    <t>ПСОВ</t>
  </si>
  <si>
    <t>Общо ремонти ПСОВ</t>
  </si>
  <si>
    <t>2. Цифрите в редове "Проверка/ засичане на данни със справка 12" трябва да са нули, в противен случай ще трябва данните за разходи да се ревизират</t>
  </si>
  <si>
    <t>Разлика</t>
  </si>
  <si>
    <t xml:space="preserve"> Стойност на проекта             2017-2021
(хил.лв.)</t>
  </si>
  <si>
    <r>
      <t>хил.м</t>
    </r>
    <r>
      <rPr>
        <vertAlign val="superscript"/>
        <sz val="9"/>
        <rFont val="Times New Roman"/>
        <family val="1"/>
      </rPr>
      <t>3</t>
    </r>
    <r>
      <rPr>
        <sz val="9"/>
        <rFont val="Times New Roman"/>
        <family val="1"/>
      </rPr>
      <t xml:space="preserve">/год </t>
    </r>
  </si>
  <si>
    <t>Коеф.</t>
  </si>
  <si>
    <t>Увеличение (допълн. р-ди)</t>
  </si>
  <si>
    <t>Намаление (ефективност)</t>
  </si>
  <si>
    <t>Средносписъчен брой трудов договор</t>
  </si>
  <si>
    <t>Средносписъчен брой лица без трудов договор</t>
  </si>
  <si>
    <t>Брой лица по щатно разписание</t>
  </si>
  <si>
    <t>Брой служители</t>
  </si>
  <si>
    <t>Общ размер на разходите за възнаграждения (без граждански договори), хил.лв.</t>
  </si>
  <si>
    <t>Разходи за възнаграждения без граждански договори, хил.лв.</t>
  </si>
  <si>
    <t xml:space="preserve">Разходи за основна заплата </t>
  </si>
  <si>
    <t>Разходи за възнаграждения над основната заплата (наднормено и премии)</t>
  </si>
  <si>
    <t>Възнаграждения за платен отпуск</t>
  </si>
  <si>
    <t>Допълнителни и други възнаграждения (нощен труд, професионален стаж, извънреден труд, други)</t>
  </si>
  <si>
    <t>Обезщетения по КТ, ЗДС и КСО</t>
  </si>
  <si>
    <t>Социални и здравни осигуровки</t>
  </si>
  <si>
    <t>Други социални разходи и надбавки</t>
  </si>
  <si>
    <t>Стойност на параметъра</t>
  </si>
  <si>
    <t>Пределна норма на възвръщаемост на привлечения капитал, утвърдена от комисията</t>
  </si>
  <si>
    <t>Норма на възвращаемост на собствения капитал, утвърдена от комисията</t>
  </si>
  <si>
    <t>Нови дейности</t>
  </si>
  <si>
    <t>Нови активи</t>
  </si>
  <si>
    <t>Дължина на водопроводната мрежа (км)</t>
  </si>
  <si>
    <t>Дължина на канализационната мрежа (км)</t>
  </si>
  <si>
    <t>Количества вода на вход ВС (Q4) (хил.м3)</t>
  </si>
  <si>
    <t>Фактурирани количества отпадъчни води (хил.лв.)</t>
  </si>
  <si>
    <t>Вода на вход ПСОВ (хил.м3)</t>
  </si>
  <si>
    <t>Разходи за външни услуги (без разходи за доставяне на вода на входа на ВС от друг доставчик), хил.лв.</t>
  </si>
  <si>
    <t>Разходи за възнаграждения и осигуровки, хил.лв.</t>
  </si>
  <si>
    <t>Разходи за оперативен ремонт, хил.лв.</t>
  </si>
  <si>
    <t>Променливи разходи, хил.лв.</t>
  </si>
  <si>
    <r>
      <rPr>
        <b/>
        <sz val="9"/>
        <rFont val="Times New Roman"/>
        <family val="1"/>
        <charset val="204"/>
      </rPr>
      <t>Разходи за външни услуги</t>
    </r>
    <r>
      <rPr>
        <sz val="9"/>
        <rFont val="Times New Roman"/>
        <family val="1"/>
        <charset val="204"/>
      </rPr>
      <t xml:space="preserve"> (без разходи за доставяне на вода на входа на ВС от друг доставчик), </t>
    </r>
    <r>
      <rPr>
        <i/>
        <sz val="9"/>
        <rFont val="Times New Roman"/>
        <family val="1"/>
        <charset val="204"/>
      </rPr>
      <t>хил.лв/км за доставяне и отвеждане, хил.лв./хил.м3 вход ПСОВ за пречистване</t>
    </r>
  </si>
  <si>
    <r>
      <rPr>
        <b/>
        <sz val="9"/>
        <rFont val="Times New Roman"/>
        <family val="1"/>
        <charset val="204"/>
      </rPr>
      <t>Разходи за възнаграждения и осигуровки</t>
    </r>
    <r>
      <rPr>
        <sz val="9"/>
        <rFont val="Times New Roman"/>
        <family val="1"/>
        <charset val="204"/>
      </rPr>
      <t xml:space="preserve">, </t>
    </r>
    <r>
      <rPr>
        <i/>
        <sz val="9"/>
        <rFont val="Times New Roman"/>
        <family val="1"/>
        <charset val="204"/>
      </rPr>
      <t>хил.лв/км за доставяне и отвеждане, хил.лв./хил.м3 вход ПСОВ за пречистване</t>
    </r>
  </si>
  <si>
    <r>
      <rPr>
        <b/>
        <sz val="9"/>
        <rFont val="Times New Roman"/>
        <family val="1"/>
        <charset val="204"/>
      </rPr>
      <t>Разходи за оперативен ремонт</t>
    </r>
    <r>
      <rPr>
        <sz val="9"/>
        <rFont val="Times New Roman"/>
        <family val="1"/>
        <charset val="204"/>
      </rPr>
      <t>, хил.лв/км за доставяне и отвеждане, хил.лв./хил.м3 вход ПСОВ за пречистване</t>
    </r>
  </si>
  <si>
    <r>
      <rPr>
        <b/>
        <sz val="9"/>
        <rFont val="Times New Roman"/>
        <family val="1"/>
        <charset val="204"/>
      </rPr>
      <t>Променливи разходи</t>
    </r>
    <r>
      <rPr>
        <sz val="9"/>
        <rFont val="Times New Roman"/>
        <family val="1"/>
        <charset val="204"/>
      </rPr>
      <t xml:space="preserve">, </t>
    </r>
    <r>
      <rPr>
        <i/>
        <sz val="9"/>
        <rFont val="Times New Roman"/>
        <family val="1"/>
        <charset val="204"/>
      </rPr>
      <t>хил.лв./хил.м3 вход ВС за доставяне, фактурирани количества за отвеждане, и вход ПСОВ за пречистване</t>
    </r>
  </si>
  <si>
    <t>Ефективност на разходите, включени в коеф. Е</t>
  </si>
  <si>
    <t>Разлика планирани инвестиции спрямо източници на финансиране</t>
  </si>
  <si>
    <t>в т.ч. в публични активи</t>
  </si>
  <si>
    <t>в т.ч. в собствени активи</t>
  </si>
  <si>
    <t>Инвестиции в собствени активи</t>
  </si>
  <si>
    <t>Инвестиции в публични активи</t>
  </si>
  <si>
    <t xml:space="preserve">Съществуващ дългосрочен заем 2 за изграждане на ДА </t>
  </si>
  <si>
    <t xml:space="preserve">Съществуващ дългосрочен заем за изграждане на ДА </t>
  </si>
  <si>
    <t xml:space="preserve">Съществуващ дългосрочен заем за изграждане на извадени от баланса публични ДА </t>
  </si>
  <si>
    <t xml:space="preserve"> Нов дългосрочен заем за изграждане на ДА </t>
  </si>
  <si>
    <t>Разлика на разходи за амортизации на собствени активи към инвестиции в собствени активи</t>
  </si>
  <si>
    <t>Разходи за амортизации на собствени активи</t>
  </si>
  <si>
    <t>Разходи за амортизации на публични активи, изградени със собствени средства</t>
  </si>
  <si>
    <t>Разлика на разходи за амортизации на публични активи, изградени със собствени средства към инвестиции в публични активи и разходи за главници по инвестиционни заеми</t>
  </si>
  <si>
    <t xml:space="preserve">Разходи за амортизации на публични активи, приети за експлоатация и поддръжка </t>
  </si>
  <si>
    <t>Дял на разходите за амортизации на публични активи, приети за експлоатация и поддръжка, включени в цените</t>
  </si>
  <si>
    <t>1.10</t>
  </si>
  <si>
    <t>Допълнителни разходи, включени в коефициент Qр за извършването на нови дейности и/или експлоатация на нови активи</t>
  </si>
  <si>
    <t>Собствени активи</t>
  </si>
  <si>
    <t>в т.ч. със собствени средства</t>
  </si>
  <si>
    <t>в т.ч. с привлечени средства</t>
  </si>
  <si>
    <t>Публични активи</t>
  </si>
  <si>
    <t>Разходи за главници на съществуващи дългосрочни заеми за изграждане на ДА (инвестиционни заеми)</t>
  </si>
  <si>
    <t>2.1.1.</t>
  </si>
  <si>
    <t>2.2.2.</t>
  </si>
  <si>
    <t>2.2.1.</t>
  </si>
  <si>
    <t>6.1.</t>
  </si>
  <si>
    <t>6.2.</t>
  </si>
  <si>
    <t>7.1.</t>
  </si>
  <si>
    <t>7.2.</t>
  </si>
  <si>
    <t>7.3.</t>
  </si>
  <si>
    <t>9.1.</t>
  </si>
  <si>
    <t>9.2.</t>
  </si>
  <si>
    <t>9.3.</t>
  </si>
  <si>
    <t>9.4.</t>
  </si>
  <si>
    <t>9.5.</t>
  </si>
  <si>
    <t>9.6.</t>
  </si>
  <si>
    <t>9.7.</t>
  </si>
  <si>
    <t>9.8.</t>
  </si>
  <si>
    <t>9.9.</t>
  </si>
  <si>
    <t>9.10.</t>
  </si>
  <si>
    <t>10.1.</t>
  </si>
  <si>
    <t>10.2.</t>
  </si>
  <si>
    <t>10.3.</t>
  </si>
  <si>
    <t>10.4.</t>
  </si>
  <si>
    <t>10.5.</t>
  </si>
  <si>
    <t>10.6.</t>
  </si>
  <si>
    <t>10.7.</t>
  </si>
  <si>
    <t>10.8.</t>
  </si>
  <si>
    <t>10.9.</t>
  </si>
  <si>
    <t>10.10.</t>
  </si>
  <si>
    <t>11.1.</t>
  </si>
  <si>
    <t>11.2.</t>
  </si>
  <si>
    <t>11.3.</t>
  </si>
  <si>
    <t>11.4.</t>
  </si>
  <si>
    <t>11.5.</t>
  </si>
  <si>
    <t>11.6.</t>
  </si>
  <si>
    <t>11.7.</t>
  </si>
  <si>
    <t>11.8.</t>
  </si>
  <si>
    <t>11.9.</t>
  </si>
  <si>
    <t>11.10.</t>
  </si>
  <si>
    <t>Разлика планирано финансиране на инвестиционната програма със заемни средства, и планирани заеми</t>
  </si>
  <si>
    <t xml:space="preserve">Разпределение на заема за услугата доставяне вода  на потребителите (%) </t>
  </si>
  <si>
    <t>Разпределение на заема за услугатаотвеждане на отпадъчни води (%)</t>
  </si>
  <si>
    <t>Разпределение на заема за услугата пречистване на отпадъчни води (%)</t>
  </si>
  <si>
    <t>2.За  коефициент на степени на замърсеност се попълва:</t>
  </si>
  <si>
    <t>ВиК операторът прилага обосновка за избраните стойности на коефициентите на замърсеност.</t>
  </si>
  <si>
    <t xml:space="preserve">2. Посочват се очаквани допълнителни разходи съгласно чл.21, ал.1, т.1 на НРЦВКУ, както и очаквани намаления на разходи вследствие повишена ефективност съгласно чл.21, ал.2 на НРЦВКУ за всяка от годините на регулаторния период.  </t>
  </si>
  <si>
    <t>3. Изчисленията за спестяване и ефективност и допълнително възникнали разходи се извършват спрямо отчетната година. За една категория разход е възможно да съществуват едновременно спестяване и допълнителен разход, породени от различни фактори. Нетният им ефект се изчислява резултативно в справка 12.</t>
  </si>
  <si>
    <r>
      <t xml:space="preserve">4. Сумите за допълнително възникнали разходи се посочват като </t>
    </r>
    <r>
      <rPr>
        <b/>
        <i/>
        <sz val="11"/>
        <rFont val="Times New Roman"/>
        <family val="1"/>
        <charset val="204"/>
      </rPr>
      <t>положителна</t>
    </r>
    <r>
      <rPr>
        <i/>
        <sz val="11"/>
        <rFont val="Times New Roman"/>
        <family val="1"/>
        <charset val="204"/>
      </rPr>
      <t xml:space="preserve"> величина, а сумите за намаление на разходите (спестяване и ефективност)- като </t>
    </r>
    <r>
      <rPr>
        <b/>
        <i/>
        <sz val="11"/>
        <rFont val="Times New Roman"/>
        <family val="1"/>
        <charset val="204"/>
      </rPr>
      <t>отрицателна</t>
    </r>
    <r>
      <rPr>
        <i/>
        <sz val="11"/>
        <rFont val="Times New Roman"/>
        <family val="1"/>
        <charset val="204"/>
      </rPr>
      <t xml:space="preserve"> величина.</t>
    </r>
  </si>
  <si>
    <t>5. Справката следва да бъде придружавана от обяснителен текст и таблична форма с подробни изчисления за спестяване и ефективност и допълнително възникнали разходи.</t>
  </si>
  <si>
    <t>6. В Справка "Допълнителни разходи, включени в коефициент Qр за извършването на нови дейности и/или експлоатация на нови активи" се попълват  разходите, които са в резултат на осъществяване на нови дейности и/или експлоатация и поддръжка на нови активи, за които ще се прилага коефициента Qр. Посочват се както очакваните разходи, така и конкретните нови дейности и/или нови активи, за които са прогнозирани допълнителните разходи.</t>
  </si>
  <si>
    <t>Информационни системи - собствени активи</t>
  </si>
  <si>
    <t>Информационни системи - публични активи</t>
  </si>
  <si>
    <t>ПК4б=(iA21/A3) * 100</t>
  </si>
  <si>
    <t>ПК6=(iDMAm/iDMAt)*100</t>
  </si>
  <si>
    <t>Верифицирането на информацията се извършва с предоставяне на информация от регистъра на активите, ГИС, база данни за контролни разходомери и дата логери, поддържани от ВиК оператора.</t>
  </si>
  <si>
    <t>Регистър на активите, ГИС, база данни за контролни разходомери и дата логери, поддържани от ВиК оператора.</t>
  </si>
  <si>
    <t>iDMAm се изчислява, като от общия брой водомерни зони се отчитат само тези зони, за които има постоянно измерване на дебит и налягане на вход/изход зона, с интервал на запис на данни от 15 минути и архивиране на данните в електронни бази данни, за период от минимум 1 година, и измервания в критична точка при необходимост.</t>
  </si>
  <si>
    <t>Общият брой на водомерни зони в обслужваната от В и К оператора територия, определен на база големина на населените места, евентуални предвиждания за зониране на населените места между 2 и 10 хил. жители, и предвиждания за зониране на населени места &gt;10 хил.жители.</t>
  </si>
  <si>
    <t>При изчисляването на D28 се сумират авариите по водоснабдителната мрежа за отчетна годината. 
ВиК операторът подава информацията разделена в следните категории:
 - Аварии по довеждащи водопроводи
 - Аварии по разпределителни водопроводи
 - Аварии по арматури по водопроводната мрежа (СК, ПХ, въздушници, компенсатори, регулатори на налягане, други).
Аварии във връзката (водовземна скоба, фасонна част) между водопровода и сградното водопроводно отклонение се отчитат като аварии по водопровода. Авариите по сградното отклонение и/или водомерния възел не се включват в изчисляването на променливата D28.</t>
  </si>
  <si>
    <t xml:space="preserve">При изчисляването на D35 се сумират всички случаи през отчетната година на произведенията между броя на засегнатото население от прекъсване на водоснабдяването и съответстващата му продължителност. Прекъсване на водоснабдяването означава прекъсвания, продължаващи повече от 2 часа, причинени от авария във водоснабдителната мрежа и последващи мерки за ремонт/обновяване, които попадат в една от следните категории: 
- непланирани прекъсвания;
- прекъсвания, за които потребителите не са уведомени;
- планови прекъсвания, за които потребителите са уведомени;
Продължителност на прекъсването е времето от преустановяването на водоснабдяването (затваряне на първи спирателен кран в последователността на спиране) до  възстановяването на нормалното водоснабдяване (отваряне на последен спирателен кран в последователността на пускане).  </t>
  </si>
  <si>
    <t>ПК2в       Изпълнение на мониторинга на качеството на питейната вода по обем и честота, определени с наредбата по чл. 135, ал. 1, т. 3 от Закона за водите</t>
  </si>
  <si>
    <r>
      <t xml:space="preserve">ПК2а             Качество на питейната вода по показателите, които се мониторират, съгласно изискванията на наредбата по чл. 135, ал. 1, т. 3 от Закона за водите в </t>
    </r>
    <r>
      <rPr>
        <b/>
        <u/>
        <sz val="10"/>
        <color theme="4" tint="-0.249977111117893"/>
        <rFont val="Times New Roman"/>
        <family val="1"/>
        <charset val="204"/>
      </rPr>
      <t>големи</t>
    </r>
    <r>
      <rPr>
        <b/>
        <sz val="10"/>
        <color theme="4" tint="-0.249977111117893"/>
        <rFont val="Times New Roman"/>
        <family val="1"/>
        <charset val="204"/>
      </rPr>
      <t xml:space="preserve"> зони на водоснабдяване;</t>
    </r>
  </si>
  <si>
    <t>ПК1                       Ниво на покритие с водоснабдителни услуги</t>
  </si>
  <si>
    <r>
      <t xml:space="preserve">ПК2б           Качество на питейната вода по показателите, които се мониторират, съгласно изискванията на наредбата по чл. 135, ал. 1, т. 3 от Закона за водите в </t>
    </r>
    <r>
      <rPr>
        <b/>
        <u/>
        <sz val="10"/>
        <color theme="4" tint="-0.249977111117893"/>
        <rFont val="Times New Roman"/>
        <family val="1"/>
        <charset val="204"/>
      </rPr>
      <t>малки</t>
    </r>
    <r>
      <rPr>
        <b/>
        <sz val="10"/>
        <color theme="4" tint="-0.249977111117893"/>
        <rFont val="Times New Roman"/>
        <family val="1"/>
        <charset val="204"/>
      </rPr>
      <t xml:space="preserve"> зони на водоснабдяване;</t>
    </r>
  </si>
  <si>
    <t>ПК3 Непрекъснатост на водоснабдяването</t>
  </si>
  <si>
    <t>ПК5                      Аварии на водоснабдителната система</t>
  </si>
  <si>
    <t>ПК6                 Налягане във водоснабдителната система</t>
  </si>
  <si>
    <t>ПК7а                             Ниво на покритие с услугата отвеждане на отпадъчни води</t>
  </si>
  <si>
    <t>ПК7б                              Ниво на покритие с услугата пречистване на отпадъчни води</t>
  </si>
  <si>
    <t>ПК8                          Качество на пречистените отпадъчни води</t>
  </si>
  <si>
    <t xml:space="preserve">ПК4а  ПК4б      Общи загуби на вода във водоснабдителните системи  </t>
  </si>
  <si>
    <t>ПК9                          Аварии на канализационната система</t>
  </si>
  <si>
    <t>ПК10                      Наводнения в имоти на трети лица, причинени от канализацията</t>
  </si>
  <si>
    <t>ПК11а                        Енергийна ефективност за дейността по доставяне на вода на потребителите;</t>
  </si>
  <si>
    <t>ПК11б                   Енергийна ефективност за дейността по пречистване на отпадъчни води</t>
  </si>
  <si>
    <t>ПК11в Оползотворяване на утайките от ПСОВ</t>
  </si>
  <si>
    <t>ПК11г Рехабилитация на водопроводната мрежа</t>
  </si>
  <si>
    <t>ПК11д                   Активен контрол на течовете</t>
  </si>
  <si>
    <t>ПК12а               Ефективност на разходите за услугата доставяне на вода на потребителите</t>
  </si>
  <si>
    <t>ПК12б               Ефективност на разходите за услугата отвеждане на отпадъчни води</t>
  </si>
  <si>
    <t>ПК12в               Ефективност на разходите за услугата пречистване на отпадъчни води</t>
  </si>
  <si>
    <t>ПК12г Събираемост</t>
  </si>
  <si>
    <t>ПК12д                Ефективност на привеждане на водомерите в годност</t>
  </si>
  <si>
    <t>ПК12е                Ефективност на изграждане на водомерното стопанство</t>
  </si>
  <si>
    <t xml:space="preserve"> ПК13                     Срок за отговор на писмени жалби на потребителите</t>
  </si>
  <si>
    <t>ПК15а               Ефективност на персонала за услугата доставяне на вода на потребителите</t>
  </si>
  <si>
    <t>ПК15б           Ефективност на персонала за услугите отвеждане и пречистване на отпадъчни води</t>
  </si>
  <si>
    <t>ПК14б Присъединяване към канализационната система</t>
  </si>
  <si>
    <t>ПК14а Присъединяване към водоснабдителната система</t>
  </si>
  <si>
    <t>ПК11д = (D9 / С8)*100</t>
  </si>
  <si>
    <t>При изчисляването на D9 се сумират дължините на водопроводите, за които е реализиран процес на регулярно обследване и активен контрол на течовете (включително чрез микрофони, корелатори, акустични логери и други), при който се откриват и отстраняват скрити течове през съответната година. Обследваните водопроводи се регистрит в регистъра на активите и ГИС</t>
  </si>
  <si>
    <t xml:space="preserve">Регистър на активите (или еквивалентен)  </t>
  </si>
  <si>
    <t>Верифицирането на данните се извършва с предоставяне на информация от съответните регистри и ГИС. При верифицирането на данните се посочва информация не само за обследваната водопроводна мрежа, но и за броя на екипите извършващи тази дейност, ползваното оборудване, както и данни за откритите и отстранените скрити течове по видове активи (водопровод, СК, СВО, други).</t>
  </si>
  <si>
    <t>ПК12д = (iD45 / iE6)*100</t>
  </si>
  <si>
    <t>ПК12е = (iD44 / iE6)*100</t>
  </si>
  <si>
    <t>Променливата iE6 се изчислява като сума от всички водомери на СВО (средства за измерване), които са монтирани на сградни отклонения.</t>
  </si>
  <si>
    <t>Променливата iD45 включва сумата от всички водомери на СВО (средства за измерване), които са приведени в техническа и метрологична годност и отговарят на одобрения тип, които са монтирани на СВО през отчетната година. Включват се както водомери, тествани в лицензирана лаборатория, така и новомонтирани водомери</t>
  </si>
  <si>
    <t>Регистър на водомери на СВО (средства за измерване), ГИС, система за фактуриране</t>
  </si>
  <si>
    <t>Верифицирането на данните се извършва с предоставяне на информация от регистъра на водомери на СВО (средства за измерване), ГИС, система за фактуриране.</t>
  </si>
  <si>
    <t>При изчисляването на променливи iD45 и iE6 не се включват водомери, които не са монтирани на СВО</t>
  </si>
  <si>
    <t>Променливата iD44 включва сумата от всички водомери на СВО (средства за измерване), които са в техническа и метрологична годност и отговарят на одобрения тип</t>
  </si>
  <si>
    <t>Източник на информация (регистър/база данни/друго) - описание</t>
  </si>
  <si>
    <t>2. Качеството на информация се посочва с оценка от 1 до 4, съгласно указанията</t>
  </si>
  <si>
    <t>3. Източника на информация се посочва спрямо текущото състояние за отчетната 2015 г., и прогнозното състояние за 2021 г. в зависимост от планираното качество на информация</t>
  </si>
  <si>
    <t>Дял на водните количества на вход ВС без измерване (по разрешителни)</t>
  </si>
  <si>
    <t>Общо дял на водните количества</t>
  </si>
  <si>
    <r>
      <t>Дял на водните количества на вход ВС,</t>
    </r>
    <r>
      <rPr>
        <b/>
        <sz val="10"/>
        <rFont val="Times New Roman"/>
        <family val="1"/>
        <charset val="204"/>
      </rPr>
      <t xml:space="preserve"> измервани при водоизточника</t>
    </r>
    <r>
      <rPr>
        <sz val="10"/>
        <rFont val="Times New Roman"/>
        <family val="1"/>
        <charset val="204"/>
      </rPr>
      <t xml:space="preserve">  (чл.194а ал.1 от Закона за водите)</t>
    </r>
  </si>
  <si>
    <r>
      <t>Дял на водните количества на вход ВС,</t>
    </r>
    <r>
      <rPr>
        <b/>
        <sz val="10"/>
        <rFont val="Times New Roman"/>
        <family val="1"/>
        <charset val="204"/>
      </rPr>
      <t xml:space="preserve"> измервани на хранителната тръба на напорния резервоар или на довеждащия водопровод</t>
    </r>
    <r>
      <rPr>
        <sz val="10"/>
        <rFont val="Times New Roman"/>
        <family val="1"/>
        <charset val="204"/>
      </rPr>
      <t>, при техническа невъзможност за монтаж на измервателно устройство при водоизточника (чл.194а, ал.4 от Закона за водите)</t>
    </r>
  </si>
  <si>
    <t>Помпи (вкл.хидрофори)</t>
  </si>
  <si>
    <t xml:space="preserve">Общо количество на изразходваната електрическа енергия за пречистване на отпадъчна вода от ПСОВ експлоатирани от ВиК оператора  </t>
  </si>
  <si>
    <t xml:space="preserve">Общ брой оплаквания на потребители от ВиК услуги за разглеждания период. </t>
  </si>
  <si>
    <t>Общ брой оплаквания за качеството на питейната вода</t>
  </si>
  <si>
    <t>Продадена сурова вода на друг ВиК оператор</t>
  </si>
  <si>
    <t xml:space="preserve">Продадена пречистена вода на друг ВиК оператор </t>
  </si>
  <si>
    <t>степен на замърсеност 1</t>
  </si>
  <si>
    <t>степен на замърсеност 2</t>
  </si>
  <si>
    <t>степен на замърсеност 3</t>
  </si>
  <si>
    <t>Общо утайки за оползотворяване и депониране</t>
  </si>
  <si>
    <t>Налични утайки в началото на годината, които са произведени преди 2015 г.</t>
  </si>
  <si>
    <t>Оползотворени утайки, произведени преди 2015 г.</t>
  </si>
  <si>
    <t>Депонирани утайки, произведени преди 2015 г.</t>
  </si>
  <si>
    <t>Остатък утайки, които са произведени преди 2015 г.</t>
  </si>
  <si>
    <t>Налични утайки в началото на годината, които са произведени през периода 2015-2021 г.</t>
  </si>
  <si>
    <t>Остатък утайки, произведени през периода 2015-2021  г.</t>
  </si>
  <si>
    <t xml:space="preserve">Измервателни уреди </t>
  </si>
  <si>
    <t>Степен на замърсеност 1 - коефициент от 1,10 до 1,60 вкл.</t>
  </si>
  <si>
    <t>Степен на замърсеност 2 - коефициент над 1,60 до 2,00 вкл.</t>
  </si>
  <si>
    <t>Степен на замърсеност 3 - коефициент над 2,00 до 2,50 вкл.</t>
  </si>
  <si>
    <t>3.4</t>
  </si>
  <si>
    <t>3.5</t>
  </si>
  <si>
    <t>3.6</t>
  </si>
  <si>
    <t>3.7</t>
  </si>
  <si>
    <t>3.8</t>
  </si>
  <si>
    <t>Броят на водомерни зони, имащи постоянно измерване на дебит и налягане на вход/изход зона, с интервал на запис на данни от 15 минути и архивиране на данните в електронни бази данни, за период от минимум 1 година, и измервания в критична точка при необходимост</t>
  </si>
  <si>
    <t>Разходи за възнаграждения за персонал на пълна заетост на база щатно разписание, хил.лв.</t>
  </si>
  <si>
    <t>Справка № 6 - Отчет и прогнозно ниво на потребление на електроенергия за периода на бизнес плана</t>
  </si>
  <si>
    <t>Справка № 11.1 - Амортизация на новопридобити активи</t>
  </si>
  <si>
    <t>Справка № 11.2 - Новопродобити активи през отчетната година</t>
  </si>
  <si>
    <t>Справка № 12.1 - Изменения на годишните разходи спрямо отчетната година</t>
  </si>
  <si>
    <t>Справка № 19  - Възвръщаемост на капитала</t>
  </si>
  <si>
    <t>Справка № 4
 Отчет и прогнозно ниво на потребление на В и К услугите за периода на бизнес плана</t>
  </si>
  <si>
    <t>Общ брой водоизточници (основни и резервни)</t>
  </si>
  <si>
    <t>Общ брой служители на заетост, еквивалентна пълна заетост (ЕПЗ)</t>
  </si>
  <si>
    <t>Справка № 6
Отчет и прогнозно ниво на потребление на електроенергия за периода на бизнес плана</t>
  </si>
  <si>
    <t>Справка № 7
Оползотворяване на утайките от ПСОВ</t>
  </si>
  <si>
    <t>Дял на разходите за социални осигуровки от разходите за възнаграждения, %</t>
  </si>
  <si>
    <t>Дял на социалните разходи от разходите за възнаграждения, %</t>
  </si>
  <si>
    <t>Инвестиционна програма</t>
  </si>
  <si>
    <t>Справка № 11.1.
 Амортизация на новопридобити активи</t>
  </si>
  <si>
    <t xml:space="preserve">Справка № 11.2.
 Новопридобити активи през отчетната година </t>
  </si>
  <si>
    <t>Справка № 12
Годишни разходи</t>
  </si>
  <si>
    <t>Справка № 14
Прогнозен отчет за приходите и разходите</t>
  </si>
  <si>
    <t>Справка № 15
Прогнозен отчет за паричния поток</t>
  </si>
  <si>
    <t>Необходими  приходи</t>
  </si>
  <si>
    <t xml:space="preserve"> Оборотен капитал</t>
  </si>
  <si>
    <t>Възвръщаемост на капитала</t>
  </si>
  <si>
    <t>Цени за доставяне на вода, отвеждане и пречистване на отпадъчни води</t>
  </si>
  <si>
    <t xml:space="preserve">Разликата между водата на вход водоснабдителна система A3 (Q4 съгласно Наредба №1 от 05.05.2006 г. за утвърждаване на Методика за определяне на допустимите загуби на вода във водоснабдителните системи) и продадена фактурирана вода, iA10 (Q3 съгласно Наредба №1 от 05.05.2006 г.) представлява неносеща приходи вода (Q9 съгласно Наредба №1 от 05.05.2006 г.). Неносеща приходи вода се изчислява за отчетната година.
В допълнение на подадената информация за общи загуби на вода, В и К операторът подава  информация за количествата вода, предоставена на  други ВиК оператори, както и информация за количествата вода, предоставена за непитейни нужди за отчетната година.
Информацията, необходима за изчисляване на ПК4: Общи загуби на вода във водоснабдителните системи, се взема от системата за фактуриране, бази данни с измерените количества вода на вход водоснабдителна система и бази данни за изчисляване на неизмерената законна консумация или еквивалентни, поддържани от ВиК оператора.
</t>
  </si>
  <si>
    <t>ПК1=(F1/iE5)*100</t>
  </si>
  <si>
    <t>ПК2a=(iD51a/D51a)*100</t>
  </si>
  <si>
    <t>ПК2б=(iD51b/D51b)*100</t>
  </si>
  <si>
    <t>ПК2в=(iD98/iD99)*100</t>
  </si>
  <si>
    <t>ПК4a=[(A3-iA10)/iC8]/365</t>
  </si>
  <si>
    <t>ПК8=(iD97/iD96)*100</t>
  </si>
  <si>
    <t>ПК11в=(wA15/wA14)*100</t>
  </si>
  <si>
    <t>ПК11г=(D20/C8)*100</t>
  </si>
  <si>
    <t>ПК12г=[iG99-(iG98-iG97)]/(iG99+iG97)*100</t>
  </si>
  <si>
    <t>ПК13=(iF98/iF99)*100</t>
  </si>
  <si>
    <t>ПК14a=(iE8/iЕ10)*100</t>
  </si>
  <si>
    <t>ПК14б=(iwE8/iwE10)*100</t>
  </si>
  <si>
    <t>Изчислява се като сума от действителното потребление на ел.енергия от всички мощности за изпомпване на вода и друго потребление на ел.енергия за производство и разпределение. Следва да бъде отчетена чрез електромери.Следва да бъдат включени всички кВч за:
 - Изпомпване на сурова (непитейна) вода 
 - Пречистване (обеззаразяване) на вода
 - Доставяне/разпределение на чиста вода
 - Друго потребление за довеждане и разпределение на вода.
Не се включва електроенергията, която се изразходва за административни цели.</t>
  </si>
  <si>
    <t>Променливата wD13 се изчислява като обща сума от изразходваните кВч за отчетната година по пречистването на отпадъчни води.                                                                                                                                                                           Не се включва електроенергията, която се изразходва за административни цели.</t>
  </si>
  <si>
    <t xml:space="preserve">Верифициране на данните се извършва с предоставяне на информация от съответните регистри и ГИС, схеми / чертежи на изпълнени линейни ВиК обекти; приложени Разрешения за ползване и/или потвърждение от съответната община за изпълнен обект. </t>
  </si>
  <si>
    <t>Справка № 4 -  Отчет и прогнозно ниво на потребление на ВиК услугите за периода на бизнес плана</t>
  </si>
  <si>
    <t>Мобилни телефони</t>
  </si>
  <si>
    <t>Трафопост (трансформатор)</t>
  </si>
  <si>
    <t>2. В Група 1 "Собствени дълготрайни активи" за отчетната 2015 г. се попълват ДА, които са собственост на ВиК оператора през отчетната година и няма да бъдат извадени от капитала му при реализиране разпоредбите на ЗВ.</t>
  </si>
  <si>
    <t>Непризнати разходи</t>
  </si>
  <si>
    <t>Разходи за услугата доставяне на вода за друг ВиК оператор</t>
  </si>
  <si>
    <t xml:space="preserve">Разходи за услугата доставяне на непитейна вода </t>
  </si>
  <si>
    <t>Приходи от  услугата доставяне на вода за друг ВиК оператор</t>
  </si>
  <si>
    <t xml:space="preserve">Приходи от  услугата доставяне на непитейна вода </t>
  </si>
  <si>
    <t>Постъпления от  услугата доставяне на вода за друг ВиК оператор</t>
  </si>
  <si>
    <t xml:space="preserve">Постъпления от  услугата доставяне на непитейна вода </t>
  </si>
  <si>
    <t>Постъпления от нерегулирана дейност</t>
  </si>
  <si>
    <t>Приходи от нерегулирана дейност</t>
  </si>
  <si>
    <t>Постъпления от  ВиК услуги</t>
  </si>
  <si>
    <t>Постъпления от начислени лихви за предоставени ВиК услуги</t>
  </si>
  <si>
    <t>Приходи от ВиК услуги</t>
  </si>
  <si>
    <t>Приходи от начислени лихви за предоставени ВиК услуги</t>
  </si>
  <si>
    <t>покупка на ново и капиталов ремонт на съществуващо за извършване на СМР по канализационната мрежа</t>
  </si>
  <si>
    <t>покупка на нова и капиталов ремонт на съществуваща (каналочистачни машини, др.)</t>
  </si>
  <si>
    <t xml:space="preserve">сгради,съоръжения </t>
  </si>
  <si>
    <t>сгради, съоръжения</t>
  </si>
  <si>
    <t>ОБЩО</t>
  </si>
  <si>
    <t>Доставяне на вода за друг ВиКО</t>
  </si>
  <si>
    <t>Доставяне на вода с непитейни качества</t>
  </si>
  <si>
    <t>Регулаторен собствен капитал</t>
  </si>
  <si>
    <t>Има ли дружеството дългосрочни задължения по лихвени заеми и кредити за изграждане на извадени от баланса публични ДА и/или планира да вземе лихвени заеми и кредити за финансиране на инвестиционната си програма 2017-2021 г.?</t>
  </si>
  <si>
    <t>Ще се намали ли собствения капитал на дружеството в периода 2016-2021 г.?</t>
  </si>
  <si>
    <t>2. Намаляването на капитала (за регулаторни цели) се отразява през 2017 г.</t>
  </si>
  <si>
    <t>подмяна на съществуващи и монтаж на нови СК и ПХ  (в случаите, когато подмяната им не е част от реконструкция на ВиК мрежата)</t>
  </si>
  <si>
    <t>4. В Група 3 "Публични Дълготрайни Активи, предоставени на ВиК оператора за експлоатация и поддръжка" за отчетната 2015 г. се попълват всички ДА съгласно описите за разпределение на собствеността на ВиК активите - публична държавна и общинска собственост, изготвени и изпратени към МРРБ за отчетната година, включващи всички ДА които ще бъдат предоставени на ВиК оператора за стопанисване, експлоатация и поддръжка с договор по реда на Закона за водите или Закона за концесиите (включително  активи в баланса на ВиК оператора, които следва да бъдат извадени, както и активи, изградени със средства на общините и на държавата).</t>
  </si>
  <si>
    <t>Помпи, вкл. хидрофорни уредби</t>
  </si>
  <si>
    <t>Друго специализирано оборудване</t>
  </si>
  <si>
    <t>съотношение</t>
  </si>
  <si>
    <t>Изразходвана ел.енергия за услугата доставяне вода на друг ВиК оператор</t>
  </si>
  <si>
    <t>Изразходвана ел.енергия за услугата доставяне вода с непитейни качества</t>
  </si>
  <si>
    <t>Данни за договори на свободен пазар</t>
  </si>
  <si>
    <t>Процент влажност на произведените утайки</t>
  </si>
  <si>
    <t>Процент влажност на оползотворените утайки</t>
  </si>
  <si>
    <t>Процент влажност на депонираните утайки</t>
  </si>
  <si>
    <t>3. В Група 2 "Публични Дълготрайни Активи, изградени със собствени средства" за отчетната 2015 г. се попълват публични ДА, изградени след сключване на договор по реда на Закона за водите или Закона за концесиите, респективно след реализиране на дейностите по изваждане на публични ДА от баланса на ВиК оператора</t>
  </si>
  <si>
    <t>Загуби при доставяне сурова вода на друг ВиК оператор</t>
  </si>
  <si>
    <t>Загуби при доставяне пречистена вода на друг ВиК оператор</t>
  </si>
  <si>
    <t>Прооверка балансова стойност</t>
  </si>
  <si>
    <r>
      <t>м</t>
    </r>
    <r>
      <rPr>
        <vertAlign val="superscript"/>
        <sz val="8"/>
        <rFont val="Times New Roman"/>
        <family val="1"/>
        <charset val="204"/>
      </rPr>
      <t>3</t>
    </r>
    <r>
      <rPr>
        <sz val="8"/>
        <rFont val="Times New Roman"/>
        <family val="1"/>
      </rPr>
      <t>/км/ден</t>
    </r>
  </si>
  <si>
    <r>
      <t>кВч/м</t>
    </r>
    <r>
      <rPr>
        <vertAlign val="superscript"/>
        <sz val="8"/>
        <rFont val="Times New Roman"/>
        <family val="1"/>
        <charset val="204"/>
      </rPr>
      <t>3</t>
    </r>
  </si>
  <si>
    <r>
      <t>м</t>
    </r>
    <r>
      <rPr>
        <vertAlign val="superscript"/>
        <sz val="10"/>
        <rFont val="Times New Roman"/>
        <family val="1"/>
        <charset val="204"/>
      </rPr>
      <t>3</t>
    </r>
    <r>
      <rPr>
        <sz val="10"/>
        <rFont val="Times New Roman"/>
        <family val="1"/>
      </rPr>
      <t>/км/ден</t>
    </r>
  </si>
  <si>
    <r>
      <t>м</t>
    </r>
    <r>
      <rPr>
        <vertAlign val="superscript"/>
        <sz val="10"/>
        <rFont val="Times New Roman"/>
        <family val="1"/>
        <charset val="204"/>
      </rPr>
      <t>3</t>
    </r>
  </si>
  <si>
    <t>5. Цифрите в редове "Проверка балансова стойност" трябва да са нули, в противен случай да се ревизират отчетна стойност, натрупана амортизация и/или балансова стойност.</t>
  </si>
  <si>
    <t>Год. аморт. норма</t>
  </si>
  <si>
    <t>Счето-водна сметка</t>
  </si>
  <si>
    <t>% 
годишна аморти-зация</t>
  </si>
  <si>
    <t>Очакван ефект във връзка с
 нивата на услугите</t>
  </si>
  <si>
    <t>Проектна готовност в т.ч. 
предварително проучване</t>
  </si>
  <si>
    <t>ВиК операторите, които не са сключили договор по Закона за водите през 2015 г., респективно няма да бъдат извадени дълготрайни активи към 2015 г., следва да посочат ВиК активите, изградени чрез инвестиционната програма за 2015 г., които предстои да бъдат извадени от баланса на дружествот, в Група 3 на Амортизационния план.</t>
  </si>
  <si>
    <r>
      <t>Съществуващ дългосрочен заем 1</t>
    </r>
    <r>
      <rPr>
        <b/>
        <sz val="9"/>
        <color rgb="FFFF0000"/>
        <rFont val="Times New Roman"/>
        <family val="1"/>
        <charset val="204"/>
      </rPr>
      <t xml:space="preserve"> за изграждане на извадени от баланса публични ДА </t>
    </r>
  </si>
  <si>
    <r>
      <t>Съществуващ дългосрочен заем 2</t>
    </r>
    <r>
      <rPr>
        <b/>
        <sz val="9"/>
        <color rgb="FFFF0000"/>
        <rFont val="Times New Roman"/>
        <family val="1"/>
        <charset val="204"/>
      </rPr>
      <t xml:space="preserve"> за изграждане на извадени от баланса публични ДА </t>
    </r>
  </si>
  <si>
    <t>Разходи за амортизации на публични активи от Група 3 включени в цените на ВиК услуги за финансиране на инвестиции в публични активи и изплащане на главници на инвестиционни заеми</t>
  </si>
  <si>
    <t>1. В клетките в жълт цвят се попълва НЦОК в дни по групи ВиК оператори:</t>
  </si>
  <si>
    <t>2017г.</t>
  </si>
  <si>
    <t>2018г.</t>
  </si>
  <si>
    <t>2019г.</t>
  </si>
  <si>
    <t>2020г.</t>
  </si>
  <si>
    <t>2021г.</t>
  </si>
  <si>
    <t>Големи ВиК оператори</t>
  </si>
  <si>
    <t>Средни ВиК оператори</t>
  </si>
  <si>
    <t>Микро ВиК оператори</t>
  </si>
  <si>
    <t xml:space="preserve">Малки ВиК оператори </t>
  </si>
  <si>
    <t>4. Посочва се утвърдената от Комисията норма на възвръщаемост на собствения капитал както следва:</t>
  </si>
  <si>
    <t>45 Посочва се норма на възвръщаемост на привлечения капитал съгласно реалните действащи нива. В случай, че реалните норми надвхърлят пределните норми на възвръщаемост на привлечения капитал, утвърдени от Комисията, се посочват както следва:</t>
  </si>
  <si>
    <t>Приложение №2</t>
  </si>
  <si>
    <t>Цена по договор на свободен пазар за доставка на ел.енергия "Ниско напрежение" лв./мВтч</t>
  </si>
  <si>
    <t>Цена по договор на свободен пазар за доставка на ел.енергия "Средно напражение" лв./мВтч</t>
  </si>
  <si>
    <t>Цена по договор на свободен пазар за доставка на ел.енергия "Високо напрежение" лв./мВтч</t>
  </si>
  <si>
    <t xml:space="preserve">Лице за контакт с КЕВР: </t>
  </si>
  <si>
    <r>
      <t>Големи ВиК оператори (без "Софийска вода" АД): НВск =</t>
    </r>
    <r>
      <rPr>
        <b/>
        <sz val="9"/>
        <rFont val="Times New Roman"/>
        <family val="1"/>
        <charset val="204"/>
      </rPr>
      <t xml:space="preserve"> 7,99%</t>
    </r>
  </si>
  <si>
    <r>
      <t xml:space="preserve">3. Задължително се попълват отговорите на въпросите ред 8, колона С и ред 9, колона С - </t>
    </r>
    <r>
      <rPr>
        <b/>
        <i/>
        <sz val="10"/>
        <rFont val="Times New Roman"/>
        <family val="1"/>
        <charset val="204"/>
      </rPr>
      <t>ДА, НЕ</t>
    </r>
  </si>
  <si>
    <r>
      <t>"Софийска вода" АД: НВск =</t>
    </r>
    <r>
      <rPr>
        <b/>
        <sz val="9"/>
        <rFont val="Times New Roman"/>
        <family val="1"/>
        <charset val="204"/>
      </rPr>
      <t xml:space="preserve"> 9,94%</t>
    </r>
    <r>
      <rPr>
        <sz val="9"/>
        <rFont val="Times New Roman"/>
        <family val="1"/>
      </rPr>
      <t xml:space="preserve"> (прилага се след предоговаряне на договора за концесия)</t>
    </r>
  </si>
  <si>
    <r>
      <t xml:space="preserve">Средни ВиК оператори: НВск = </t>
    </r>
    <r>
      <rPr>
        <b/>
        <sz val="9"/>
        <rFont val="Times New Roman"/>
        <family val="1"/>
        <charset val="204"/>
      </rPr>
      <t>7,59%</t>
    </r>
  </si>
  <si>
    <r>
      <t xml:space="preserve">Малки ВиК оператори: НВск = </t>
    </r>
    <r>
      <rPr>
        <b/>
        <sz val="9"/>
        <rFont val="Times New Roman"/>
        <family val="1"/>
        <charset val="204"/>
      </rPr>
      <t>7,58%</t>
    </r>
  </si>
  <si>
    <r>
      <t xml:space="preserve">Микро ВиК оператори: НВск = </t>
    </r>
    <r>
      <rPr>
        <b/>
        <sz val="9"/>
        <rFont val="Times New Roman"/>
        <family val="1"/>
        <charset val="204"/>
      </rPr>
      <t>7,56%</t>
    </r>
  </si>
  <si>
    <r>
      <t xml:space="preserve">Големи ВиК оператори (включително "Софийска вода" АД): НВпк = </t>
    </r>
    <r>
      <rPr>
        <b/>
        <sz val="9"/>
        <rFont val="Times New Roman"/>
        <family val="1"/>
        <charset val="204"/>
      </rPr>
      <t>4,60%</t>
    </r>
  </si>
  <si>
    <r>
      <t xml:space="preserve">Средни ВиК оператори: НВпк = </t>
    </r>
    <r>
      <rPr>
        <b/>
        <sz val="9"/>
        <rFont val="Times New Roman"/>
        <family val="1"/>
        <charset val="204"/>
      </rPr>
      <t>5,30%</t>
    </r>
  </si>
  <si>
    <r>
      <t xml:space="preserve">Малки ВиК оператори: НВпк = </t>
    </r>
    <r>
      <rPr>
        <b/>
        <sz val="9"/>
        <rFont val="Times New Roman"/>
        <family val="1"/>
        <charset val="204"/>
      </rPr>
      <t>5,54%</t>
    </r>
  </si>
  <si>
    <r>
      <t xml:space="preserve">Микро ВиК оператори: НВпк = </t>
    </r>
    <r>
      <rPr>
        <b/>
        <sz val="9"/>
        <rFont val="Times New Roman"/>
        <family val="1"/>
        <charset val="204"/>
      </rPr>
      <t>5,59%</t>
    </r>
  </si>
  <si>
    <t>Други съоръжения- собствени активи</t>
  </si>
  <si>
    <t>20403-</t>
  </si>
  <si>
    <t xml:space="preserve">Други съоръжения - публични активи, изградени със собствени средства  </t>
  </si>
  <si>
    <t>Отчетна стойност - НОВИ АКТИВИ</t>
  </si>
  <si>
    <t>Отчетна стойност - АКТИВИ С ИЗТИЧАЩ ЖИВОТ</t>
  </si>
  <si>
    <t>I.-II.</t>
  </si>
  <si>
    <t>Собствени дългтрайни активи  и                                    Публични Дълготрайни Активи, изградени със собствени средства</t>
  </si>
  <si>
    <r>
      <t xml:space="preserve">4. В случай, че през периода 2016 - 2021 г. ще бъдат придобити нови публични активи за експлоатация и поддръжка, тяхната отчетна стойност се посочва в </t>
    </r>
    <r>
      <rPr>
        <b/>
        <i/>
        <sz val="10"/>
        <rFont val="Times New Roman"/>
        <family val="1"/>
        <charset val="204"/>
      </rPr>
      <t xml:space="preserve">т.1.1. в категория III </t>
    </r>
    <r>
      <rPr>
        <i/>
        <sz val="10"/>
        <rFont val="Times New Roman"/>
        <family val="1"/>
        <charset val="204"/>
      </rPr>
      <t xml:space="preserve">-Публични дълготрайни активи, предоставени на ВиК оператора за експлоатация и поддръжка. В </t>
    </r>
    <r>
      <rPr>
        <b/>
        <i/>
        <sz val="10"/>
        <rFont val="Times New Roman"/>
        <family val="1"/>
        <charset val="204"/>
      </rPr>
      <t>т.1.2 на категория III</t>
    </r>
    <r>
      <rPr>
        <i/>
        <sz val="10"/>
        <rFont val="Times New Roman"/>
        <family val="1"/>
        <charset val="204"/>
      </rPr>
      <t xml:space="preserve"> се  посочва отчетната стойност на публични активи, чийто полезен живот свършва в съответната година (отчетната стойност на активите, чийто полезен живот свършва през 2015 г. се посочват през 2016 г.). Резултативната величина на двете отчетни стойности ще калкулира разхода за амортизация съответно в посока увеличение или намаление. </t>
    </r>
  </si>
  <si>
    <t>4. Справка №2 се попълва за ВС основна, и за ВС "Вода с непитейни качества". Справка №2 не се попълва за ВС "Вода за друг ВиК оператор"</t>
  </si>
  <si>
    <t>2. Посочва се информация съгласно данните в Справка №2</t>
  </si>
  <si>
    <t>3. Справка №3 се попълва за ВС основна, и за ВС "Вода с непитейни качества". Справка №2 не се попълва за ВС "Вода за друг ВиК оператор"</t>
  </si>
  <si>
    <t>2. Справка №12 се попълва за всички ВС</t>
  </si>
  <si>
    <t>1.Попълват се само клетките в жълт цвят</t>
  </si>
  <si>
    <t>2. Справка №13 се попълва само за ВС основна</t>
  </si>
  <si>
    <t>2. Справка №14 се попълва само за ВС основна</t>
  </si>
  <si>
    <t>3. Справка №15 се попълва само за ВС основна</t>
  </si>
  <si>
    <t>Недостиг на собствени средства спрямо предвидените инвестиции в публични ДА</t>
  </si>
  <si>
    <t>4. Разпределението на главниците на дългосрочните инвестиционни заеми се посочва на база ВиК активите изградени със заема. Ако са изградени и активи, които обслужват различни услуги, сумата се разпределя на база инвестициите в преки активи.</t>
  </si>
  <si>
    <t>2. Справка №10 се попълва само за ВС основна в частта за заеми. За ВС "Вода с непитейни качества" и ВС "Вода за друг ВиК оператор" се попълват данни в ред 7.2 в случай, че са предвидени инвестиции, и се ползват разходи за амортизации на публичните задбалансови активи от група III на амортизационния план.</t>
  </si>
  <si>
    <t>3. Попълват се само дългосрочни заеми за изграждане на дълготрайни активи (инвестиционни заеми). В редове 10 се посочват само инвестиционни заеми, по които са изградени ДА, които се изваждат от баланса на ВиК оператора</t>
  </si>
  <si>
    <t>5.Ред 4 обобщава разходите за главници от текущите инвестиционни заеми, както и от бъдещи заеми за изграждане на публични ДА</t>
  </si>
  <si>
    <r>
      <t xml:space="preserve">6. Ред 7.2  се попълва </t>
    </r>
    <r>
      <rPr>
        <b/>
        <i/>
        <sz val="10"/>
        <color rgb="FFFF0000"/>
        <rFont val="Times New Roman"/>
        <family val="1"/>
        <charset val="204"/>
      </rPr>
      <t>ръчно</t>
    </r>
    <r>
      <rPr>
        <i/>
        <sz val="10"/>
        <rFont val="Times New Roman"/>
        <family val="1"/>
        <charset val="204"/>
      </rPr>
      <t xml:space="preserve"> от ВиК оператора, в зависимост от недостига, изчислен в ред 6.2, и размера на разходите в ред 7.1.</t>
    </r>
  </si>
  <si>
    <t>7. Ред 8 изчислява недостига на собствени средства за инвестиции в публични ДА, след използването на разходи за амортизации на активите от група III на амортизационния план.</t>
  </si>
  <si>
    <r>
      <t xml:space="preserve">Нов дългосрочен заем 1 за изграждане на </t>
    </r>
    <r>
      <rPr>
        <b/>
        <sz val="9"/>
        <rFont val="Times New Roman"/>
        <family val="1"/>
        <charset val="204"/>
      </rPr>
      <t xml:space="preserve"> ДА </t>
    </r>
  </si>
  <si>
    <r>
      <t xml:space="preserve">Нов дългосрочен заем 2 за изграждане на </t>
    </r>
    <r>
      <rPr>
        <b/>
        <sz val="9"/>
        <rFont val="Times New Roman"/>
        <family val="1"/>
        <charset val="204"/>
      </rPr>
      <t xml:space="preserve"> ДА </t>
    </r>
  </si>
  <si>
    <t>3. Справка №4 се попълва за всички водоснабдителни системи - ВС основна, ВС "Вода с непитейни качества", и ВС "Вода за друг ВиК оператор". За ВС основна се попълват всички данни за добити и подадени количества в редове 1.1-1.8, вкл. за ВС "Вода за друг ВиК оператор" (всички системи, ако са повече от една) . За ВС "Вода за друг ВиК оператор" се попълват данни за вход, продадена вода и загуби за съответната ВС. За ВС "Вода с непитейни качества" се попълват самостоятелни данни за вход, продадена вода и загуби.</t>
  </si>
  <si>
    <t xml:space="preserve">2. Справка №5 се попълва за всички водоснабдителни системи - ВС основна, ВС "Вода с непитейни качества", и ВС "Вода за друг ВиК оператор". За ВС основна се попълват всички данни за персонал по услуги, включително и данни за ВС "Вода с непитейни качества", и ВС "Вода за друг ВиК оператор" (всички системи, ако са повече от една). За ВС "Вода за друг ВиК оператор" и  ВС "Вода с непитейни качества" се попълват данни за персонала за съответната ВС след разпределение съгласно принципите на ЕСРО.  </t>
  </si>
  <si>
    <t xml:space="preserve">2. Справка №6 се попълва за всички водоснабдителни системи - ВС основна, ВС "Вода с непитейни качества", и ВС "Вода за друг ВиК оператор". За ВС основна се попълват всички данни за електроенергия по услуги, включително и данни за ВС "Вода с непитейни качества", и ВС "Вода за друг ВиК оператор" (всички системи, ако са повече от една). За ВС "Вода за друг ВиК оператор" и  ВС "Вода с непитейни качества" се попълват данни за електроенергия за съответната ВС след разпределение съгласно принципите на ЕСРО.  </t>
  </si>
  <si>
    <t xml:space="preserve">2. Справка №7 се попълва само за ВС основна.  </t>
  </si>
  <si>
    <t xml:space="preserve">2. Справка №8 се попълва за  ВС основна и ВС "Вода с непитейни качества". За ВС "Вода за друг ВиК оператор" се попълват данни само ако системата е обособена и работи изцяло за друг ВиК оператор. Ако ВС  "Вода за друг ВиК оператор" подава вода и към ВС основна, то Справка №8 не се попълва, а се посочват разпределените разходи за ремонт съгласно принципите на ЕСРО в Справка №12 и 12.1.  </t>
  </si>
  <si>
    <t>2. Справка №9 се попълва за всички ВС. В случай, че има ВС "Вода за друг ВиК оператор" в която се предвиждат инвестиции, то във ВС основна се посочва и дела на разпределените инвестиции съгласно принципите на ЕСРО, и общите натурални показатели, а за ВС  "Вода за друг ВиК оператор" се посочва само стойността на разпределените инвестиции съгласно принципите на ЕСРО. Ако ВС "Вода за друг ВиК оператор" е обособена и работи изцяло за друг ВиК оператор, тогава се посочват инвестициите и натуралните показатели.</t>
  </si>
  <si>
    <t xml:space="preserve">3. За периода 2016 - 2021 г. се посочва (със знак "+") отчетната стойност на активи, които ще достигнат своя полезен живот през съответната година и не следва да им тече амортизация. </t>
  </si>
  <si>
    <t>5. Справка №11.2 се попълва за всички ВС</t>
  </si>
  <si>
    <t xml:space="preserve">2. Справката се изготвя с цел коректното прогнозиране за периода на Бизнес плана  на годишните разходи за амортизация на активите, придобити към края на отчетната година. 
 Затова е небходимо да се преизчисли годишната амортизация на новопридобитите активи през отчетната година.  За тази цел в колоната за отчетната година следва да се посочи
 отчетната стойност на нововъведените активи през отчетната година и начислената амортизация на тези активи през годината. </t>
  </si>
  <si>
    <t>7. Справка №12.1 се попълва за всички ВС</t>
  </si>
  <si>
    <t>Добрич</t>
  </si>
  <si>
    <t>бул. "Трети март" №59</t>
  </si>
  <si>
    <t>№95114</t>
  </si>
  <si>
    <t>НСИ</t>
  </si>
  <si>
    <t>База данни ИНКАСО</t>
  </si>
  <si>
    <t>регистър на активите</t>
  </si>
  <si>
    <t>регистър водомерно стопанство</t>
  </si>
  <si>
    <t>Програма мониторинг</t>
  </si>
  <si>
    <t>регистър на авариите</t>
  </si>
  <si>
    <t xml:space="preserve">Програма инкасо </t>
  </si>
  <si>
    <t>регистър на водомерното стопанство</t>
  </si>
  <si>
    <t>Не се води  дневник</t>
  </si>
  <si>
    <t>регистър на изразходваната ел.енергия</t>
  </si>
  <si>
    <t>Регистър-отчетна книга</t>
  </si>
  <si>
    <t>ЕССО</t>
  </si>
  <si>
    <t>регистър на жалбите</t>
  </si>
  <si>
    <t>регистър на договорите за присъединяванията</t>
  </si>
  <si>
    <t>с-ма за управление на човешките ресурси</t>
  </si>
  <si>
    <t>гр. Добрич, бул. " Трети март" № 59</t>
  </si>
  <si>
    <t>ДА</t>
  </si>
  <si>
    <t>"ВОДОСНАБДЯВАНЕ И КАНАЛИЗАЦИЯ ДОБРИЧ" АД</t>
  </si>
  <si>
    <t>204219357</t>
  </si>
  <si>
    <t>ВG 204219357</t>
  </si>
  <si>
    <t>058/655 888</t>
  </si>
  <si>
    <t>"Водоснабдяване и канализация" ЕАД, гр. Бургас- 601 758 лв- 24,64 %</t>
  </si>
  <si>
    <t xml:space="preserve">Държавата чрез министъра на МРРБ- 1 843 888 лв-75,39 % </t>
  </si>
  <si>
    <t>058/ 630 003</t>
  </si>
  <si>
    <t>info@vikdobrich.bg</t>
  </si>
  <si>
    <t>058/ 655 844</t>
  </si>
  <si>
    <t>Мариян Николов</t>
  </si>
  <si>
    <t>marian.nikolov.vik@gmail.com</t>
  </si>
  <si>
    <t>база данни</t>
  </si>
  <si>
    <t>дневник на отчетените водни количества</t>
  </si>
  <si>
    <t>регистър на водния баланс</t>
  </si>
  <si>
    <t>бази данни</t>
  </si>
  <si>
    <t>ПСОВ Тервел</t>
  </si>
  <si>
    <t>Подобряване на нивото на покритие с водоснабдителни услуги</t>
  </si>
  <si>
    <t>Подобряване качеството на питейната вода</t>
  </si>
  <si>
    <t>Намаляне броят на авариите и загубите на вода</t>
  </si>
  <si>
    <t>Подобряване на нивото на покритие с водоснабдителни услуги и качеството на питейната вода</t>
  </si>
  <si>
    <t>Поддържане на добро качество на питейната вода</t>
  </si>
  <si>
    <t>Поддържане на добро налягане във водоснабдителната система</t>
  </si>
  <si>
    <t>Намаление броят на авариите и загубите на вода</t>
  </si>
  <si>
    <t>Увеличаване на присъединяванията към водоснабдителната мрежа</t>
  </si>
  <si>
    <t>Оптимизиране на водомерните зони и намаляване загубите на вода</t>
  </si>
  <si>
    <t>Намаляване на прекъсванията и загубите на вода</t>
  </si>
  <si>
    <t>Поддържане на необходимото налягане във водоснабдителната система</t>
  </si>
  <si>
    <t>Подобряване на оперативната работа на водпроводната мрежа</t>
  </si>
  <si>
    <t>Подобряване на ефективността пра аварийни дейности</t>
  </si>
  <si>
    <t>Подобряване на качеството на представяните водоснабдителни услуги</t>
  </si>
  <si>
    <t>Намаляване на брой на авариите по канализационната мрежа</t>
  </si>
  <si>
    <t>Подобряване на обслужването на населението с канализационни услуги и намаляване на авариите</t>
  </si>
  <si>
    <t>Намаляване на броят на авариите по канализационната мрежа</t>
  </si>
  <si>
    <t>Нарастване на присъединяванията към канализационната мрежа</t>
  </si>
  <si>
    <t>Подобряване на оперативната работа на канализационната  мрежа</t>
  </si>
  <si>
    <t>Подобряване на ефективността при дейности по канализационната мрежа</t>
  </si>
  <si>
    <t>Повищаване на количеството и качеството на пречистваните води</t>
  </si>
  <si>
    <t>Повищаване на качеството на пречистваните води</t>
  </si>
  <si>
    <t>Повишаване ефективността на дейността на ПСОВ</t>
  </si>
  <si>
    <t>инж. Димитър Радушев</t>
  </si>
  <si>
    <t>Договор за възлагане управлението на изпълнителния директор от 16.03.2017 г.</t>
  </si>
  <si>
    <t>няма</t>
  </si>
  <si>
    <t>ГРАО</t>
  </si>
  <si>
    <t>регистри на водоизточниците</t>
  </si>
  <si>
    <t>Дневник-данни лабораторни анализи</t>
  </si>
  <si>
    <t>справки от техн.ръководители</t>
  </si>
  <si>
    <t>10.11.2017 г.</t>
  </si>
  <si>
    <t>инж.Тодор Гикински</t>
  </si>
  <si>
    <t>инж. Тодор Гикински</t>
  </si>
  <si>
    <t>Постъпления от ДДС</t>
  </si>
  <si>
    <t>Плащания ДДС</t>
  </si>
  <si>
    <t>ПСОВ Каварна</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</si>
</sst>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 _л_в_._-;\-* #,##0.00\ _л_в_._-;_-* &quot;-&quot;??\ _л_в_._-;_-@_-"/>
    <numFmt numFmtId="164" formatCode="_(* #,##0.00_);_(* \(#,##0.00\);_(* &quot;-&quot;??_);_(@_)"/>
    <numFmt numFmtId="165" formatCode="_-* #,##0.00\ _л_в_-;\-* #,##0.00\ _л_в_-;_-* &quot;-&quot;??\ _л_в_-;_-@_-"/>
    <numFmt numFmtId="166" formatCode="#,##0.0000"/>
    <numFmt numFmtId="167" formatCode="#,##0_ ;[Red]\-#,##0\ "/>
    <numFmt numFmtId="168" formatCode="#,##0;[Red]#,##0"/>
    <numFmt numFmtId="169" formatCode="0.0000"/>
    <numFmt numFmtId="170" formatCode="0\ \г."/>
    <numFmt numFmtId="171" formatCode="#,##0.000"/>
    <numFmt numFmtId="172" formatCode="0.0%"/>
    <numFmt numFmtId="173" formatCode="#,##0\ _л_в_."/>
    <numFmt numFmtId="174" formatCode="0_ ;[Red]\-0\ "/>
    <numFmt numFmtId="175" formatCode="#,##0.0"/>
    <numFmt numFmtId="176" formatCode="_(* #,##0_);_(* \(#,##0\);_(* &quot;-&quot;??_);_(@_)"/>
  </numFmts>
  <fonts count="141">
    <font>
      <sz val="10"/>
      <name val="Arial"/>
      <charset val="204"/>
    </font>
    <font>
      <sz val="11"/>
      <color theme="1"/>
      <name val="Calibri"/>
      <family val="2"/>
      <charset val="204"/>
      <scheme val="minor"/>
    </font>
    <font>
      <sz val="11"/>
      <color theme="1"/>
      <name val="Calibri"/>
      <family val="2"/>
      <scheme val="minor"/>
    </font>
    <font>
      <sz val="11"/>
      <color theme="1"/>
      <name val="Calibri"/>
      <family val="2"/>
      <scheme val="minor"/>
    </font>
    <font>
      <sz val="11"/>
      <color theme="1"/>
      <name val="Calibri"/>
      <family val="2"/>
      <scheme val="minor"/>
    </font>
    <font>
      <sz val="10"/>
      <name val="Times New Roman"/>
      <family val="1"/>
      <charset val="204"/>
    </font>
    <font>
      <b/>
      <i/>
      <sz val="10"/>
      <name val="Times New Roman"/>
      <family val="1"/>
      <charset val="204"/>
    </font>
    <font>
      <sz val="9"/>
      <name val="Arial"/>
      <family val="2"/>
      <charset val="204"/>
    </font>
    <font>
      <b/>
      <sz val="14"/>
      <name val="Times New Roman"/>
      <family val="1"/>
      <charset val="204"/>
    </font>
    <font>
      <sz val="14"/>
      <name val="Times New Roman"/>
      <family val="1"/>
      <charset val="204"/>
    </font>
    <font>
      <u/>
      <sz val="10"/>
      <color indexed="12"/>
      <name val="Timok"/>
      <family val="2"/>
    </font>
    <font>
      <u/>
      <sz val="9"/>
      <color indexed="12"/>
      <name val="Timok"/>
      <family val="2"/>
    </font>
    <font>
      <b/>
      <sz val="11"/>
      <name val="Times New Roman"/>
      <family val="1"/>
      <charset val="204"/>
    </font>
    <font>
      <b/>
      <sz val="12"/>
      <name val="Times New Roman"/>
      <family val="1"/>
      <charset val="204"/>
    </font>
    <font>
      <b/>
      <sz val="10"/>
      <name val="Times New Roman"/>
      <family val="1"/>
      <charset val="204"/>
    </font>
    <font>
      <b/>
      <sz val="8"/>
      <name val="Times New Roman"/>
      <family val="1"/>
      <charset val="204"/>
    </font>
    <font>
      <sz val="11"/>
      <color indexed="8"/>
      <name val="Calibri"/>
      <family val="2"/>
      <charset val="204"/>
    </font>
    <font>
      <sz val="11"/>
      <color indexed="9"/>
      <name val="Calibri"/>
      <family val="2"/>
      <charset val="204"/>
    </font>
    <font>
      <sz val="10"/>
      <name val="Hebar"/>
      <family val="2"/>
      <charset val="204"/>
    </font>
    <font>
      <b/>
      <sz val="11"/>
      <color indexed="8"/>
      <name val="Calibri"/>
      <family val="2"/>
      <charset val="204"/>
    </font>
    <font>
      <u/>
      <sz val="11"/>
      <color indexed="12"/>
      <name val="Calibri"/>
      <family val="2"/>
      <charset val="204"/>
    </font>
    <font>
      <sz val="10"/>
      <name val="Arial"/>
      <family val="2"/>
      <charset val="204"/>
    </font>
    <font>
      <b/>
      <sz val="18"/>
      <color indexed="62"/>
      <name val="Cambria"/>
      <family val="2"/>
      <charset val="204"/>
    </font>
    <font>
      <b/>
      <sz val="12"/>
      <color indexed="18"/>
      <name val="Arial"/>
      <family val="2"/>
    </font>
    <font>
      <b/>
      <sz val="9"/>
      <color indexed="81"/>
      <name val="Tahoma"/>
      <family val="2"/>
      <charset val="204"/>
    </font>
    <font>
      <sz val="9"/>
      <color indexed="81"/>
      <name val="Tahoma"/>
      <family val="2"/>
      <charset val="204"/>
    </font>
    <font>
      <b/>
      <i/>
      <sz val="12"/>
      <name val="Times New Roman"/>
      <family val="1"/>
      <charset val="204"/>
    </font>
    <font>
      <i/>
      <sz val="12"/>
      <name val="Times New Roman"/>
      <family val="1"/>
      <charset val="204"/>
    </font>
    <font>
      <sz val="12"/>
      <name val="Times New Roman"/>
      <family val="1"/>
      <charset val="204"/>
    </font>
    <font>
      <i/>
      <sz val="11"/>
      <name val="Times New Roman"/>
      <family val="1"/>
      <charset val="204"/>
    </font>
    <font>
      <i/>
      <sz val="8"/>
      <name val="Times New Roman"/>
      <family val="1"/>
      <charset val="204"/>
    </font>
    <font>
      <i/>
      <sz val="10"/>
      <name val="Arial"/>
      <family val="2"/>
      <charset val="204"/>
    </font>
    <font>
      <sz val="10"/>
      <color theme="1"/>
      <name val="Times New Roman"/>
      <family val="1"/>
      <charset val="204"/>
    </font>
    <font>
      <sz val="10"/>
      <name val="Arial"/>
      <family val="2"/>
      <charset val="204"/>
    </font>
    <font>
      <b/>
      <sz val="9"/>
      <name val="Times New Roman"/>
      <family val="1"/>
      <charset val="204"/>
    </font>
    <font>
      <sz val="9"/>
      <name val="Times New Roman"/>
      <family val="1"/>
      <charset val="204"/>
    </font>
    <font>
      <i/>
      <sz val="9"/>
      <name val="Times New Roman"/>
      <family val="1"/>
      <charset val="204"/>
    </font>
    <font>
      <i/>
      <sz val="10"/>
      <name val="Times New Roman"/>
      <family val="1"/>
      <charset val="204"/>
    </font>
    <font>
      <sz val="12"/>
      <name val="Arial"/>
      <family val="2"/>
      <charset val="204"/>
    </font>
    <font>
      <sz val="9"/>
      <name val="Times New Roman"/>
      <family val="1"/>
    </font>
    <font>
      <b/>
      <i/>
      <sz val="9"/>
      <name val="Times New Roman"/>
      <family val="1"/>
      <charset val="204"/>
    </font>
    <font>
      <b/>
      <sz val="9"/>
      <name val="Times New Roman"/>
      <family val="1"/>
    </font>
    <font>
      <b/>
      <u/>
      <sz val="9"/>
      <name val="Times New Roman"/>
      <family val="1"/>
      <charset val="204"/>
    </font>
    <font>
      <b/>
      <sz val="12"/>
      <color indexed="9"/>
      <name val="Times New Roman"/>
      <family val="1"/>
      <charset val="204"/>
    </font>
    <font>
      <b/>
      <u/>
      <sz val="10"/>
      <name val="Times New Roman"/>
      <family val="1"/>
      <charset val="204"/>
    </font>
    <font>
      <sz val="10"/>
      <color indexed="10"/>
      <name val="Times New Roman"/>
      <family val="1"/>
      <charset val="204"/>
    </font>
    <font>
      <sz val="11"/>
      <name val="Times New Roman"/>
      <family val="1"/>
      <charset val="204"/>
    </font>
    <font>
      <b/>
      <i/>
      <sz val="11"/>
      <name val="Times New Roman"/>
      <family val="1"/>
      <charset val="204"/>
    </font>
    <font>
      <sz val="11"/>
      <name val="Arial"/>
      <family val="2"/>
      <charset val="204"/>
    </font>
    <font>
      <u/>
      <sz val="11"/>
      <color indexed="12"/>
      <name val="Timok"/>
      <family val="2"/>
    </font>
    <font>
      <b/>
      <u/>
      <sz val="11"/>
      <name val="Times New Roman"/>
      <family val="1"/>
      <charset val="204"/>
    </font>
    <font>
      <sz val="8"/>
      <name val="Times New Roman"/>
      <family val="1"/>
      <charset val="204"/>
    </font>
    <font>
      <sz val="10"/>
      <color indexed="9"/>
      <name val="Arial"/>
      <family val="2"/>
      <charset val="204"/>
    </font>
    <font>
      <sz val="10"/>
      <name val="Times New Roman"/>
      <family val="1"/>
    </font>
    <font>
      <vertAlign val="superscript"/>
      <sz val="10"/>
      <name val="Times New Roman"/>
      <family val="1"/>
    </font>
    <font>
      <sz val="11"/>
      <color indexed="10"/>
      <name val="Times New Roman"/>
      <family val="1"/>
      <charset val="204"/>
    </font>
    <font>
      <b/>
      <sz val="11"/>
      <name val="Times New Roman CYR"/>
      <charset val="204"/>
    </font>
    <font>
      <sz val="10"/>
      <color indexed="10"/>
      <name val="Times New Roman"/>
      <family val="1"/>
    </font>
    <font>
      <sz val="9"/>
      <color indexed="10"/>
      <name val="Times New Roman"/>
      <family val="1"/>
    </font>
    <font>
      <sz val="11"/>
      <name val="Times New Roman"/>
      <family val="1"/>
    </font>
    <font>
      <sz val="10"/>
      <color indexed="9"/>
      <name val="Times New Roman"/>
      <family val="1"/>
      <charset val="204"/>
    </font>
    <font>
      <b/>
      <sz val="10"/>
      <color rgb="FFFF0000"/>
      <name val="Times New Roman"/>
      <family val="1"/>
      <charset val="204"/>
    </font>
    <font>
      <b/>
      <sz val="10"/>
      <name val="Times New Roman"/>
      <family val="1"/>
    </font>
    <font>
      <b/>
      <sz val="12"/>
      <color rgb="FFFF0000"/>
      <name val="Arial"/>
      <family val="2"/>
      <charset val="204"/>
    </font>
    <font>
      <u/>
      <sz val="9"/>
      <color indexed="12"/>
      <name val="Times New Roman"/>
      <family val="1"/>
      <charset val="204"/>
    </font>
    <font>
      <b/>
      <sz val="10"/>
      <color theme="1"/>
      <name val="Times New Roman"/>
      <family val="1"/>
      <charset val="204"/>
    </font>
    <font>
      <b/>
      <sz val="10"/>
      <name val="Arial"/>
      <family val="2"/>
      <charset val="204"/>
    </font>
    <font>
      <b/>
      <sz val="12"/>
      <name val="Times New Roman"/>
      <family val="1"/>
    </font>
    <font>
      <sz val="12"/>
      <name val="Times New Roman"/>
      <family val="1"/>
    </font>
    <font>
      <b/>
      <i/>
      <sz val="12"/>
      <name val="Times New Roman"/>
      <family val="1"/>
    </font>
    <font>
      <i/>
      <sz val="12"/>
      <name val="Times New Roman"/>
      <family val="1"/>
    </font>
    <font>
      <b/>
      <sz val="10"/>
      <color theme="4" tint="-0.249977111117893"/>
      <name val="Times New Roman"/>
      <family val="1"/>
      <charset val="204"/>
    </font>
    <font>
      <b/>
      <sz val="10"/>
      <color indexed="10"/>
      <name val="Times New Roman"/>
      <family val="1"/>
      <charset val="204"/>
    </font>
    <font>
      <i/>
      <sz val="11"/>
      <name val="Arial"/>
      <family val="2"/>
      <charset val="204"/>
    </font>
    <font>
      <sz val="11"/>
      <color rgb="FFFF0000"/>
      <name val="Times New Roman"/>
      <family val="1"/>
      <charset val="204"/>
    </font>
    <font>
      <sz val="10"/>
      <color rgb="FFFF0000"/>
      <name val="Arial"/>
      <family val="2"/>
      <charset val="204"/>
    </font>
    <font>
      <b/>
      <sz val="11"/>
      <color rgb="FFFF0000"/>
      <name val="Times New Roman"/>
      <family val="1"/>
      <charset val="204"/>
    </font>
    <font>
      <b/>
      <sz val="9"/>
      <color theme="1"/>
      <name val="Times New Roman"/>
      <family val="1"/>
      <charset val="204"/>
    </font>
    <font>
      <sz val="12"/>
      <name val="TmsCyr"/>
    </font>
    <font>
      <b/>
      <sz val="14"/>
      <name val="Times New Roman"/>
      <family val="1"/>
    </font>
    <font>
      <sz val="10"/>
      <name val="Arial"/>
      <family val="2"/>
    </font>
    <font>
      <sz val="10"/>
      <color rgb="FFFF0000"/>
      <name val="Times New Roman"/>
      <family val="1"/>
      <charset val="204"/>
    </font>
    <font>
      <u/>
      <sz val="11"/>
      <name val="Timok"/>
      <family val="2"/>
    </font>
    <font>
      <i/>
      <u/>
      <sz val="11"/>
      <name val="Timok"/>
      <family val="2"/>
    </font>
    <font>
      <b/>
      <i/>
      <sz val="11"/>
      <name val="Times New Roman"/>
      <family val="1"/>
    </font>
    <font>
      <b/>
      <i/>
      <sz val="10"/>
      <name val="Times New Roman"/>
      <family val="1"/>
    </font>
    <font>
      <b/>
      <sz val="11"/>
      <name val="Times New Roman"/>
      <family val="1"/>
    </font>
    <font>
      <sz val="9"/>
      <color indexed="81"/>
      <name val="Tahoma"/>
      <family val="2"/>
    </font>
    <font>
      <b/>
      <sz val="9"/>
      <color indexed="81"/>
      <name val="Tahoma"/>
      <family val="2"/>
    </font>
    <font>
      <sz val="11"/>
      <color theme="1"/>
      <name val="Calibri"/>
      <family val="2"/>
      <charset val="204"/>
      <scheme val="minor"/>
    </font>
    <font>
      <i/>
      <sz val="10"/>
      <name val="Times New Roman"/>
      <family val="1"/>
    </font>
    <font>
      <i/>
      <sz val="10"/>
      <color rgb="FF000000"/>
      <name val="Times New Roman"/>
      <family val="1"/>
    </font>
    <font>
      <u/>
      <sz val="12"/>
      <color indexed="12"/>
      <name val="Times New Roman"/>
      <family val="1"/>
    </font>
    <font>
      <b/>
      <sz val="11"/>
      <name val="Arial"/>
      <family val="2"/>
      <charset val="204"/>
    </font>
    <font>
      <sz val="11"/>
      <name val="Arial"/>
      <family val="2"/>
    </font>
    <font>
      <b/>
      <sz val="10"/>
      <name val="Arial"/>
      <family val="2"/>
    </font>
    <font>
      <b/>
      <sz val="16"/>
      <name val="Times New Roman"/>
      <family val="1"/>
      <charset val="204"/>
    </font>
    <font>
      <sz val="10"/>
      <color theme="3"/>
      <name val="Times New Roman"/>
      <family val="1"/>
      <charset val="204"/>
    </font>
    <font>
      <sz val="10"/>
      <color theme="3"/>
      <name val="Arial"/>
      <family val="2"/>
      <charset val="204"/>
    </font>
    <font>
      <sz val="10"/>
      <color theme="0" tint="-0.34998626667073579"/>
      <name val="Arial"/>
      <family val="2"/>
      <charset val="204"/>
    </font>
    <font>
      <b/>
      <sz val="10"/>
      <color theme="0" tint="-0.34998626667073579"/>
      <name val="Arial"/>
      <family val="2"/>
      <charset val="204"/>
    </font>
    <font>
      <sz val="10"/>
      <color theme="0" tint="-0.499984740745262"/>
      <name val="Times New Roman"/>
      <family val="1"/>
      <charset val="204"/>
    </font>
    <font>
      <sz val="12"/>
      <color theme="0" tint="-0.499984740745262"/>
      <name val="Times New Roman"/>
      <family val="1"/>
      <charset val="204"/>
    </font>
    <font>
      <sz val="10"/>
      <color rgb="FFFF0000"/>
      <name val="Arial"/>
      <family val="2"/>
    </font>
    <font>
      <i/>
      <sz val="10"/>
      <color rgb="FFFF0000"/>
      <name val="Arial"/>
      <family val="2"/>
    </font>
    <font>
      <sz val="11"/>
      <color rgb="FFFF0000"/>
      <name val="Arial"/>
      <family val="2"/>
    </font>
    <font>
      <b/>
      <sz val="10"/>
      <color rgb="FFFF0000"/>
      <name val="Arial"/>
      <family val="2"/>
    </font>
    <font>
      <sz val="9"/>
      <color rgb="FFFF0000"/>
      <name val="Times New Roman"/>
      <family val="1"/>
      <charset val="204"/>
    </font>
    <font>
      <i/>
      <sz val="9"/>
      <color rgb="FFFF0000"/>
      <name val="Times New Roman"/>
      <family val="1"/>
      <charset val="204"/>
    </font>
    <font>
      <sz val="10"/>
      <color theme="1"/>
      <name val="Arial"/>
      <family val="2"/>
      <charset val="204"/>
    </font>
    <font>
      <b/>
      <sz val="10"/>
      <color rgb="FFFF0000"/>
      <name val="Times New Roman"/>
      <family val="1"/>
    </font>
    <font>
      <i/>
      <sz val="10"/>
      <name val="Arial"/>
      <family val="2"/>
    </font>
    <font>
      <sz val="8"/>
      <name val="Times New Roman"/>
      <family val="1"/>
    </font>
    <font>
      <i/>
      <sz val="10"/>
      <color theme="1"/>
      <name val="Times New Roman"/>
      <family val="1"/>
      <charset val="204"/>
    </font>
    <font>
      <i/>
      <sz val="10"/>
      <color rgb="FFFF0000"/>
      <name val="Times New Roman"/>
      <family val="1"/>
    </font>
    <font>
      <sz val="9"/>
      <color theme="3"/>
      <name val="Times New Roman"/>
      <family val="1"/>
      <charset val="204"/>
    </font>
    <font>
      <b/>
      <sz val="9"/>
      <color theme="3"/>
      <name val="Times New Roman"/>
      <family val="1"/>
      <charset val="204"/>
    </font>
    <font>
      <b/>
      <sz val="9"/>
      <name val="Arial"/>
      <family val="2"/>
      <charset val="204"/>
    </font>
    <font>
      <b/>
      <sz val="9"/>
      <color rgb="FFFF0000"/>
      <name val="Times New Roman"/>
      <family val="1"/>
      <charset val="204"/>
    </font>
    <font>
      <i/>
      <sz val="10"/>
      <color rgb="FFFF0000"/>
      <name val="Times New Roman"/>
      <family val="1"/>
      <charset val="204"/>
    </font>
    <font>
      <sz val="9"/>
      <color theme="3"/>
      <name val="Arial"/>
      <family val="2"/>
      <charset val="204"/>
    </font>
    <font>
      <i/>
      <sz val="10"/>
      <color theme="0" tint="-0.499984740745262"/>
      <name val="Times New Roman"/>
      <family val="1"/>
      <charset val="204"/>
    </font>
    <font>
      <vertAlign val="superscript"/>
      <sz val="9"/>
      <name val="Times New Roman"/>
      <family val="1"/>
    </font>
    <font>
      <sz val="9"/>
      <color theme="1"/>
      <name val="Times New Roman"/>
      <family val="1"/>
      <charset val="204"/>
    </font>
    <font>
      <i/>
      <sz val="9"/>
      <color theme="3"/>
      <name val="Times New Roman"/>
      <family val="1"/>
      <charset val="204"/>
    </font>
    <font>
      <b/>
      <u/>
      <sz val="11"/>
      <color indexed="12"/>
      <name val="Timok"/>
      <family val="2"/>
    </font>
    <font>
      <sz val="9"/>
      <name val="Arial"/>
      <family val="2"/>
    </font>
    <font>
      <sz val="10"/>
      <color rgb="FF000000"/>
      <name val="Times New Roman"/>
      <family val="1"/>
      <charset val="204"/>
    </font>
    <font>
      <b/>
      <u/>
      <sz val="10"/>
      <color theme="4" tint="-0.249977111117893"/>
      <name val="Times New Roman"/>
      <family val="1"/>
      <charset val="204"/>
    </font>
    <font>
      <u/>
      <sz val="12"/>
      <color indexed="12"/>
      <name val="Times New Roman"/>
      <family val="1"/>
      <charset val="204"/>
    </font>
    <font>
      <b/>
      <sz val="9"/>
      <color theme="3"/>
      <name val="Arial"/>
      <family val="2"/>
      <charset val="204"/>
    </font>
    <font>
      <b/>
      <sz val="10"/>
      <color theme="3"/>
      <name val="Arial"/>
      <family val="2"/>
      <charset val="204"/>
    </font>
    <font>
      <sz val="10"/>
      <name val="Arial"/>
      <family val="2"/>
      <charset val="204"/>
    </font>
    <font>
      <vertAlign val="superscript"/>
      <sz val="8"/>
      <name val="Times New Roman"/>
      <family val="1"/>
      <charset val="204"/>
    </font>
    <font>
      <vertAlign val="superscript"/>
      <sz val="10"/>
      <name val="Times New Roman"/>
      <family val="1"/>
      <charset val="204"/>
    </font>
    <font>
      <i/>
      <sz val="8"/>
      <color rgb="FFFF0000"/>
      <name val="Arial"/>
      <family val="2"/>
    </font>
    <font>
      <sz val="8"/>
      <name val="Arial"/>
      <family val="2"/>
    </font>
    <font>
      <b/>
      <i/>
      <sz val="8"/>
      <name val="Times New Roman"/>
      <family val="1"/>
      <charset val="204"/>
    </font>
    <font>
      <b/>
      <i/>
      <sz val="10"/>
      <color rgb="FFFF0000"/>
      <name val="Times New Roman"/>
      <family val="1"/>
      <charset val="204"/>
    </font>
    <font>
      <sz val="11"/>
      <color indexed="8"/>
      <name val="Calibri"/>
      <family val="2"/>
    </font>
    <font>
      <sz val="10"/>
      <color theme="0"/>
      <name val="Times New Roman"/>
      <family val="1"/>
      <charset val="204"/>
    </font>
  </fonts>
  <fills count="47">
    <fill>
      <patternFill patternType="none"/>
    </fill>
    <fill>
      <patternFill patternType="gray125"/>
    </fill>
    <fill>
      <patternFill patternType="solid">
        <fgColor indexed="42"/>
        <bgColor indexed="64"/>
      </patternFill>
    </fill>
    <fill>
      <patternFill patternType="solid">
        <fgColor indexed="26"/>
        <bgColor indexed="64"/>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15"/>
      </patternFill>
    </fill>
    <fill>
      <patternFill patternType="solid">
        <fgColor indexed="22"/>
      </patternFill>
    </fill>
    <fill>
      <patternFill patternType="gray125">
        <bgColor indexed="42"/>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21"/>
      </patternFill>
    </fill>
    <fill>
      <patternFill patternType="solid">
        <fgColor indexed="44"/>
      </patternFill>
    </fill>
    <fill>
      <patternFill patternType="solid">
        <fgColor theme="5" tint="0.59999389629810485"/>
        <bgColor indexed="64"/>
      </patternFill>
    </fill>
    <fill>
      <patternFill patternType="solid">
        <fgColor indexed="9"/>
        <bgColor indexed="64"/>
      </patternFill>
    </fill>
    <fill>
      <patternFill patternType="solid">
        <fgColor indexed="4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indexed="47"/>
        <bgColor indexed="64"/>
      </patternFill>
    </fill>
    <fill>
      <patternFill patternType="solid">
        <fgColor indexed="27"/>
        <bgColor indexed="64"/>
      </patternFill>
    </fill>
    <fill>
      <patternFill patternType="solid">
        <fgColor indexed="42"/>
        <bgColor indexed="63"/>
      </patternFill>
    </fill>
    <fill>
      <patternFill patternType="solid">
        <fgColor indexed="29"/>
        <bgColor indexed="64"/>
      </patternFill>
    </fill>
    <fill>
      <patternFill patternType="solid">
        <fgColor theme="0"/>
        <bgColor indexed="64"/>
      </patternFill>
    </fill>
    <fill>
      <patternFill patternType="solid">
        <fgColor indexed="65"/>
        <bgColor indexed="64"/>
      </patternFill>
    </fill>
    <fill>
      <patternFill patternType="solid">
        <fgColor rgb="FFFFFFCC"/>
        <bgColor indexed="64"/>
      </patternFill>
    </fill>
    <fill>
      <patternFill patternType="lightGray">
        <bgColor theme="0"/>
      </patternFill>
    </fill>
    <fill>
      <patternFill patternType="solid">
        <fgColor rgb="FF07EDF9"/>
        <bgColor indexed="64"/>
      </patternFill>
    </fill>
    <fill>
      <patternFill patternType="solid">
        <fgColor rgb="FFCCFFFF"/>
        <bgColor indexed="64"/>
      </patternFill>
    </fill>
    <fill>
      <patternFill patternType="solid">
        <fgColor rgb="FFB7ECFF"/>
        <bgColor indexed="64"/>
      </patternFill>
    </fill>
    <fill>
      <patternFill patternType="solid">
        <fgColor rgb="FFEAEAEA"/>
        <bgColor indexed="64"/>
      </patternFill>
    </fill>
    <fill>
      <patternFill patternType="solid">
        <fgColor rgb="FF00CCFF"/>
        <bgColor indexed="64"/>
      </patternFill>
    </fill>
    <fill>
      <patternFill patternType="solid">
        <fgColor rgb="FF66FFFF"/>
        <bgColor indexed="64"/>
      </patternFill>
    </fill>
    <fill>
      <patternFill patternType="solid">
        <fgColor rgb="FFCCECFF"/>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14999847407452621"/>
        <bgColor indexed="63"/>
      </patternFill>
    </fill>
    <fill>
      <patternFill patternType="solid">
        <fgColor theme="7" tint="0.79998168889431442"/>
        <bgColor indexed="64"/>
      </patternFill>
    </fill>
    <fill>
      <patternFill patternType="solid">
        <fgColor rgb="FFCCFFCC"/>
        <bgColor indexed="64"/>
      </patternFill>
    </fill>
    <fill>
      <patternFill patternType="solid">
        <fgColor rgb="FFC00000"/>
        <bgColor indexed="64"/>
      </patternFill>
    </fill>
    <fill>
      <patternFill patternType="solid">
        <fgColor rgb="FFFF0000"/>
        <bgColor indexed="64"/>
      </patternFill>
    </fill>
  </fills>
  <borders count="128">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thin">
        <color indexed="8"/>
      </top>
      <bottom/>
      <diagonal/>
    </border>
    <border>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diagonalUp="1" diagonalDown="1">
      <left style="medium">
        <color indexed="64"/>
      </left>
      <right style="medium">
        <color indexed="64"/>
      </right>
      <top style="thin">
        <color indexed="64"/>
      </top>
      <bottom style="thin">
        <color indexed="64"/>
      </bottom>
      <diagonal style="thin">
        <color indexed="64"/>
      </diagonal>
    </border>
    <border diagonalUp="1" diagonalDown="1">
      <left/>
      <right style="medium">
        <color indexed="64"/>
      </right>
      <top style="thin">
        <color indexed="64"/>
      </top>
      <bottom style="thin">
        <color indexed="64"/>
      </bottom>
      <diagonal style="thin">
        <color indexed="64"/>
      </diagonal>
    </border>
    <border>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diagonalUp="1" diagonalDown="1">
      <left style="medium">
        <color indexed="64"/>
      </left>
      <right style="medium">
        <color indexed="64"/>
      </right>
      <top style="medium">
        <color indexed="64"/>
      </top>
      <bottom style="medium">
        <color indexed="64"/>
      </bottom>
      <diagonal style="thin">
        <color indexed="64"/>
      </diagonal>
    </border>
    <border diagonalUp="1" diagonalDown="1">
      <left style="thin">
        <color indexed="64"/>
      </left>
      <right style="thin">
        <color indexed="64"/>
      </right>
      <top style="medium">
        <color indexed="64"/>
      </top>
      <bottom style="medium">
        <color indexed="64"/>
      </bottom>
      <diagonal style="thin">
        <color indexed="64"/>
      </diagonal>
    </border>
    <border diagonalUp="1" diagonalDown="1">
      <left style="thin">
        <color indexed="64"/>
      </left>
      <right style="medium">
        <color indexed="64"/>
      </right>
      <top style="medium">
        <color indexed="64"/>
      </top>
      <bottom style="medium">
        <color indexed="64"/>
      </bottom>
      <diagonal style="thin">
        <color indexed="64"/>
      </diagonal>
    </border>
    <border diagonalUp="1" diagonalDown="1">
      <left style="medium">
        <color indexed="64"/>
      </left>
      <right style="medium">
        <color indexed="64"/>
      </right>
      <top style="medium">
        <color indexed="64"/>
      </top>
      <bottom style="thin">
        <color indexed="64"/>
      </bottom>
      <diagonal style="thin">
        <color indexed="64"/>
      </diagonal>
    </border>
    <border>
      <left style="dashed">
        <color auto="1"/>
      </left>
      <right style="dashed">
        <color auto="1"/>
      </right>
      <top style="dashed">
        <color auto="1"/>
      </top>
      <bottom style="dashed">
        <color auto="1"/>
      </bottom>
      <diagonal/>
    </border>
    <border>
      <left style="dashed">
        <color auto="1"/>
      </left>
      <right style="dashed">
        <color auto="1"/>
      </right>
      <top style="dashed">
        <color auto="1"/>
      </top>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style="dashed">
        <color auto="1"/>
      </right>
      <top style="dashed">
        <color auto="1"/>
      </top>
      <bottom style="dashed">
        <color auto="1"/>
      </bottom>
      <diagonal/>
    </border>
    <border>
      <left style="dashed">
        <color auto="1"/>
      </left>
      <right/>
      <top style="dashed">
        <color auto="1"/>
      </top>
      <bottom style="dashed">
        <color auto="1"/>
      </bottom>
      <diagonal/>
    </border>
    <border>
      <left/>
      <right/>
      <top style="dashed">
        <color auto="1"/>
      </top>
      <bottom style="dashed">
        <color auto="1"/>
      </bottom>
      <diagonal/>
    </border>
    <border diagonalUp="1" diagonalDown="1">
      <left style="medium">
        <color indexed="64"/>
      </left>
      <right style="thin">
        <color indexed="64"/>
      </right>
      <top style="medium">
        <color indexed="64"/>
      </top>
      <bottom style="thin">
        <color indexed="64"/>
      </bottom>
      <diagonal style="thin">
        <color indexed="64"/>
      </diagonal>
    </border>
    <border diagonalUp="1" diagonalDown="1">
      <left style="thin">
        <color indexed="64"/>
      </left>
      <right style="medium">
        <color indexed="64"/>
      </right>
      <top style="medium">
        <color indexed="64"/>
      </top>
      <bottom style="thin">
        <color indexed="64"/>
      </bottom>
      <diagonal style="thin">
        <color indexed="64"/>
      </diagonal>
    </border>
    <border diagonalUp="1" diagonalDown="1">
      <left style="medium">
        <color indexed="64"/>
      </left>
      <right style="medium">
        <color indexed="64"/>
      </right>
      <top style="thin">
        <color indexed="64"/>
      </top>
      <bottom style="medium">
        <color indexed="64"/>
      </bottom>
      <diagonal style="thin">
        <color indexed="64"/>
      </diagonal>
    </border>
    <border diagonalUp="1" diagonalDown="1">
      <left style="medium">
        <color indexed="64"/>
      </left>
      <right style="thin">
        <color indexed="64"/>
      </right>
      <top style="thin">
        <color indexed="64"/>
      </top>
      <bottom style="medium">
        <color indexed="64"/>
      </bottom>
      <diagonal style="thin">
        <color indexed="64"/>
      </diagonal>
    </border>
    <border diagonalUp="1" diagonalDown="1">
      <left style="thin">
        <color indexed="64"/>
      </left>
      <right style="medium">
        <color indexed="64"/>
      </right>
      <top style="thin">
        <color indexed="64"/>
      </top>
      <bottom style="medium">
        <color indexed="64"/>
      </bottom>
      <diagonal style="thin">
        <color indexed="64"/>
      </diagonal>
    </border>
    <border diagonalUp="1" diagonalDown="1">
      <left style="thin">
        <color indexed="64"/>
      </left>
      <right style="medium">
        <color indexed="64"/>
      </right>
      <top style="thin">
        <color indexed="64"/>
      </top>
      <bottom style="thin">
        <color indexed="64"/>
      </bottom>
      <diagonal style="thin">
        <color indexed="64"/>
      </diagonal>
    </border>
    <border diagonalUp="1" diagonalDown="1">
      <left style="medium">
        <color indexed="64"/>
      </left>
      <right style="medium">
        <color indexed="64"/>
      </right>
      <top/>
      <bottom/>
      <diagonal style="thin">
        <color indexed="64"/>
      </diagonal>
    </border>
    <border diagonalUp="1" diagonalDown="1">
      <left style="medium">
        <color indexed="64"/>
      </left>
      <right style="thin">
        <color indexed="64"/>
      </right>
      <top/>
      <bottom/>
      <diagonal style="thin">
        <color indexed="64"/>
      </diagonal>
    </border>
    <border diagonalUp="1" diagonalDown="1">
      <left style="thin">
        <color indexed="64"/>
      </left>
      <right style="medium">
        <color indexed="64"/>
      </right>
      <top/>
      <bottom/>
      <diagonal style="thin">
        <color indexed="64"/>
      </diagonal>
    </border>
    <border diagonalUp="1" diagonalDown="1">
      <left style="medium">
        <color indexed="64"/>
      </left>
      <right/>
      <top style="thin">
        <color indexed="64"/>
      </top>
      <bottom style="thin">
        <color indexed="64"/>
      </bottom>
      <diagonal style="thin">
        <color indexed="64"/>
      </diagonal>
    </border>
    <border diagonalUp="1" diagonalDown="1">
      <left style="medium">
        <color indexed="64"/>
      </left>
      <right style="thin">
        <color indexed="64"/>
      </right>
      <top style="thin">
        <color indexed="64"/>
      </top>
      <bottom style="thin">
        <color indexed="64"/>
      </bottom>
      <diagonal style="thin">
        <color indexed="64"/>
      </diagonal>
    </border>
    <border>
      <left style="medium">
        <color indexed="64"/>
      </left>
      <right/>
      <top style="thin">
        <color indexed="8"/>
      </top>
      <bottom/>
      <diagonal/>
    </border>
    <border>
      <left/>
      <right/>
      <top style="thin">
        <color indexed="8"/>
      </top>
      <bottom/>
      <diagonal/>
    </border>
    <border>
      <left style="medium">
        <color indexed="64"/>
      </left>
      <right/>
      <top style="thin">
        <color indexed="8"/>
      </top>
      <bottom style="medium">
        <color indexed="64"/>
      </bottom>
      <diagonal/>
    </border>
    <border>
      <left style="thin">
        <color indexed="64"/>
      </left>
      <right/>
      <top/>
      <bottom style="medium">
        <color indexed="64"/>
      </bottom>
      <diagonal/>
    </border>
    <border>
      <left style="dashed">
        <color auto="1"/>
      </left>
      <right/>
      <top style="medium">
        <color indexed="64"/>
      </top>
      <bottom style="medium">
        <color indexed="64"/>
      </bottom>
      <diagonal/>
    </border>
    <border diagonalUp="1" diagonalDown="1">
      <left style="thin">
        <color indexed="64"/>
      </left>
      <right style="thin">
        <color indexed="64"/>
      </right>
      <top style="medium">
        <color indexed="64"/>
      </top>
      <bottom/>
      <diagonal style="thin">
        <color indexed="64"/>
      </diagonal>
    </border>
    <border diagonalUp="1" diagonalDown="1">
      <left style="thin">
        <color indexed="64"/>
      </left>
      <right style="medium">
        <color indexed="64"/>
      </right>
      <top style="medium">
        <color indexed="64"/>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style="thin">
        <color indexed="64"/>
      </right>
      <top/>
      <bottom style="medium">
        <color indexed="64"/>
      </bottom>
      <diagonal style="thin">
        <color indexed="64"/>
      </diagonal>
    </border>
    <border diagonalUp="1" diagonalDown="1">
      <left style="thin">
        <color indexed="64"/>
      </left>
      <right style="medium">
        <color indexed="64"/>
      </right>
      <top/>
      <bottom style="medium">
        <color indexed="64"/>
      </bottom>
      <diagonal style="thin">
        <color indexed="64"/>
      </diagonal>
    </border>
    <border diagonalUp="1" diagonalDown="1">
      <left/>
      <right style="thin">
        <color indexed="64"/>
      </right>
      <top style="medium">
        <color indexed="64"/>
      </top>
      <bottom/>
      <diagonal style="thin">
        <color indexed="64"/>
      </diagonal>
    </border>
    <border diagonalUp="1" diagonalDown="1">
      <left/>
      <right style="thin">
        <color indexed="64"/>
      </right>
      <top/>
      <bottom/>
      <diagonal style="thin">
        <color indexed="64"/>
      </diagonal>
    </border>
    <border diagonalUp="1" diagonalDown="1">
      <left/>
      <right style="thin">
        <color indexed="64"/>
      </right>
      <top/>
      <bottom style="medium">
        <color indexed="64"/>
      </bottom>
      <diagonal style="thin">
        <color indexed="64"/>
      </diagonal>
    </border>
    <border diagonalUp="1" diagonalDown="1">
      <left style="medium">
        <color indexed="64"/>
      </left>
      <right style="medium">
        <color indexed="64"/>
      </right>
      <top style="medium">
        <color indexed="64"/>
      </top>
      <bottom/>
      <diagonal style="thin">
        <color indexed="64"/>
      </diagonal>
    </border>
    <border diagonalUp="1" diagonalDown="1">
      <left style="medium">
        <color indexed="64"/>
      </left>
      <right style="medium">
        <color indexed="64"/>
      </right>
      <top/>
      <bottom style="medium">
        <color indexed="64"/>
      </bottom>
      <diagonal style="thin">
        <color indexed="64"/>
      </diagonal>
    </border>
    <border diagonalUp="1" diagonalDown="1">
      <left style="medium">
        <color indexed="64"/>
      </left>
      <right/>
      <top style="medium">
        <color indexed="64"/>
      </top>
      <bottom style="medium">
        <color indexed="64"/>
      </bottom>
      <diagonal style="thin">
        <color indexed="64"/>
      </diagonal>
    </border>
    <border diagonalUp="1" diagonalDown="1">
      <left/>
      <right style="thin">
        <color indexed="64"/>
      </right>
      <top style="medium">
        <color indexed="64"/>
      </top>
      <bottom style="medium">
        <color indexed="64"/>
      </bottom>
      <diagonal style="thin">
        <color indexed="64"/>
      </diagonal>
    </border>
    <border diagonalUp="1" diagonalDown="1">
      <left style="thin">
        <color indexed="64"/>
      </left>
      <right style="thin">
        <color indexed="64"/>
      </right>
      <top style="medium">
        <color indexed="64"/>
      </top>
      <bottom style="thin">
        <color indexed="64"/>
      </bottom>
      <diagonal style="thin">
        <color indexed="64"/>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style="medium">
        <color indexed="64"/>
      </bottom>
      <diagonal style="thin">
        <color indexed="64"/>
      </diagonal>
    </border>
    <border>
      <left style="medium">
        <color indexed="64"/>
      </left>
      <right style="medium">
        <color indexed="64"/>
      </right>
      <top style="thin">
        <color indexed="8"/>
      </top>
      <bottom style="thin">
        <color indexed="8"/>
      </bottom>
      <diagonal/>
    </border>
  </borders>
  <cellStyleXfs count="76">
    <xf numFmtId="0" fontId="0" fillId="0" borderId="0"/>
    <xf numFmtId="9" fontId="4" fillId="0" borderId="0" applyFont="0" applyFill="0" applyBorder="0" applyAlignment="0" applyProtection="0"/>
    <xf numFmtId="0" fontId="10" fillId="0" borderId="0" applyNumberFormat="0" applyFill="0" applyBorder="0" applyAlignment="0" applyProtection="0">
      <alignment vertical="top"/>
      <protection locked="0"/>
    </xf>
    <xf numFmtId="0" fontId="16" fillId="4"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6" fillId="6" borderId="0" applyNumberFormat="0" applyBorder="0" applyAlignment="0" applyProtection="0"/>
    <xf numFmtId="0" fontId="16" fillId="9" borderId="0" applyNumberFormat="0" applyBorder="0" applyAlignment="0" applyProtection="0"/>
    <xf numFmtId="0" fontId="17" fillId="7" borderId="0" applyNumberFormat="0" applyBorder="0" applyAlignment="0" applyProtection="0"/>
    <xf numFmtId="0" fontId="16" fillId="4" borderId="0" applyNumberFormat="0" applyBorder="0" applyAlignment="0" applyProtection="0"/>
    <xf numFmtId="0" fontId="16" fillId="7" borderId="0" applyNumberFormat="0" applyBorder="0" applyAlignment="0" applyProtection="0"/>
    <xf numFmtId="0" fontId="17" fillId="7" borderId="0" applyNumberFormat="0" applyBorder="0" applyAlignment="0" applyProtection="0"/>
    <xf numFmtId="0" fontId="16" fillId="10"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6" fillId="6"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1" fontId="18" fillId="12" borderId="0">
      <alignment horizontal="center" vertical="center" wrapText="1"/>
    </xf>
    <xf numFmtId="4" fontId="18" fillId="13" borderId="7">
      <alignment vertical="center"/>
      <protection locked="0"/>
    </xf>
    <xf numFmtId="0" fontId="18" fillId="14" borderId="0">
      <alignment horizontal="right"/>
    </xf>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49" fontId="18" fillId="18" borderId="0">
      <alignment vertical="top" wrapText="1"/>
    </xf>
    <xf numFmtId="38" fontId="18" fillId="13" borderId="0">
      <alignment horizontal="right" vertical="center" wrapText="1"/>
    </xf>
    <xf numFmtId="0" fontId="20" fillId="0" borderId="0" applyNumberFormat="0" applyFill="0" applyBorder="0" applyAlignment="0" applyProtection="0">
      <alignment vertical="top"/>
      <protection locked="0"/>
    </xf>
    <xf numFmtId="0" fontId="21" fillId="19" borderId="8">
      <alignment wrapText="1"/>
    </xf>
    <xf numFmtId="0" fontId="16" fillId="0" borderId="0"/>
    <xf numFmtId="0" fontId="21" fillId="0" borderId="0"/>
    <xf numFmtId="9" fontId="16" fillId="0" borderId="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22" fillId="0" borderId="0" applyNumberFormat="0" applyFill="0" applyBorder="0" applyAlignment="0" applyProtection="0"/>
    <xf numFmtId="3" fontId="18" fillId="0" borderId="0">
      <alignment horizontal="right" vertical="center" wrapText="1"/>
      <protection locked="0"/>
    </xf>
    <xf numFmtId="0" fontId="23" fillId="0" borderId="0"/>
    <xf numFmtId="0" fontId="16" fillId="0" borderId="0"/>
    <xf numFmtId="0" fontId="38" fillId="0" borderId="0"/>
    <xf numFmtId="9" fontId="33" fillId="0" borderId="0" applyFont="0" applyFill="0" applyBorder="0" applyAlignment="0" applyProtection="0"/>
    <xf numFmtId="0" fontId="33" fillId="0" borderId="0"/>
    <xf numFmtId="0" fontId="38" fillId="0" borderId="0"/>
    <xf numFmtId="165" fontId="33" fillId="0" borderId="0" applyFont="0" applyFill="0" applyBorder="0" applyAlignment="0" applyProtection="0"/>
    <xf numFmtId="0" fontId="4" fillId="0" borderId="0"/>
    <xf numFmtId="43" fontId="21" fillId="0" borderId="0" applyFont="0" applyFill="0" applyBorder="0" applyAlignment="0" applyProtection="0"/>
    <xf numFmtId="0" fontId="78" fillId="0" borderId="0"/>
    <xf numFmtId="165" fontId="21" fillId="0" borderId="0" applyFont="0" applyFill="0" applyBorder="0" applyAlignment="0" applyProtection="0"/>
    <xf numFmtId="0" fontId="80" fillId="0" borderId="0"/>
    <xf numFmtId="9" fontId="3" fillId="0" borderId="0" applyFont="0" applyFill="0" applyBorder="0" applyAlignment="0" applyProtection="0"/>
    <xf numFmtId="9" fontId="2" fillId="0" borderId="0" applyFont="0" applyFill="0" applyBorder="0" applyAlignment="0" applyProtection="0"/>
    <xf numFmtId="0" fontId="89" fillId="0" borderId="0"/>
    <xf numFmtId="0" fontId="109" fillId="0" borderId="0"/>
    <xf numFmtId="0" fontId="89" fillId="0" borderId="0"/>
    <xf numFmtId="164" fontId="132" fillId="0" borderId="0" applyFont="0" applyFill="0" applyBorder="0" applyAlignment="0" applyProtection="0"/>
    <xf numFmtId="9" fontId="21" fillId="0" borderId="0" applyFont="0" applyFill="0" applyBorder="0" applyAlignment="0" applyProtection="0"/>
    <xf numFmtId="0" fontId="2" fillId="0" borderId="0"/>
    <xf numFmtId="43" fontId="21" fillId="0" borderId="0" applyFont="0" applyFill="0" applyBorder="0" applyAlignment="0" applyProtection="0"/>
    <xf numFmtId="9" fontId="2" fillId="0" borderId="0" applyFont="0" applyFill="0" applyBorder="0" applyAlignment="0" applyProtection="0"/>
    <xf numFmtId="0" fontId="1" fillId="0" borderId="0"/>
    <xf numFmtId="0" fontId="1" fillId="0" borderId="0"/>
    <xf numFmtId="0" fontId="2" fillId="0" borderId="0"/>
    <xf numFmtId="0" fontId="1" fillId="0" borderId="0"/>
    <xf numFmtId="0" fontId="1" fillId="0" borderId="0"/>
    <xf numFmtId="9" fontId="21" fillId="0" borderId="0" applyFont="0" applyFill="0" applyBorder="0" applyAlignment="0" applyProtection="0"/>
    <xf numFmtId="9" fontId="139" fillId="0" borderId="0" applyFont="0" applyFill="0" applyBorder="0" applyAlignment="0" applyProtection="0"/>
    <xf numFmtId="9" fontId="139" fillId="0" borderId="0" applyFont="0" applyFill="0" applyBorder="0" applyAlignment="0" applyProtection="0"/>
    <xf numFmtId="43" fontId="21" fillId="0" borderId="0" applyFont="0" applyFill="0" applyBorder="0" applyAlignment="0" applyProtection="0"/>
    <xf numFmtId="9" fontId="139" fillId="0" borderId="0" applyFont="0" applyFill="0" applyBorder="0" applyAlignment="0" applyProtection="0"/>
    <xf numFmtId="0" fontId="1" fillId="0" borderId="0"/>
    <xf numFmtId="0" fontId="1" fillId="0" borderId="0"/>
    <xf numFmtId="0" fontId="139" fillId="0" borderId="0"/>
    <xf numFmtId="0" fontId="16" fillId="0" borderId="0"/>
    <xf numFmtId="0" fontId="16" fillId="0" borderId="0"/>
    <xf numFmtId="0" fontId="21" fillId="0" borderId="0"/>
  </cellStyleXfs>
  <cellXfs count="3732">
    <xf numFmtId="0" fontId="0" fillId="0" borderId="0" xfId="0"/>
    <xf numFmtId="0" fontId="5" fillId="0" borderId="0" xfId="0" applyFont="1" applyAlignment="1">
      <alignment vertical="center"/>
    </xf>
    <xf numFmtId="0" fontId="5" fillId="0" borderId="0" xfId="0" applyFont="1"/>
    <xf numFmtId="0" fontId="7" fillId="0" borderId="0" xfId="0" applyFont="1"/>
    <xf numFmtId="0" fontId="11" fillId="0" borderId="0" xfId="2" quotePrefix="1" applyFont="1" applyAlignment="1" applyProtection="1"/>
    <xf numFmtId="0" fontId="5" fillId="0" borderId="0" xfId="0" applyNumberFormat="1" applyFont="1"/>
    <xf numFmtId="49" fontId="14" fillId="0" borderId="0" xfId="0" applyNumberFormat="1" applyFont="1" applyBorder="1" applyAlignment="1">
      <alignment horizontal="left" vertical="center"/>
    </xf>
    <xf numFmtId="0" fontId="5" fillId="0" borderId="0" xfId="0" applyFont="1" applyBorder="1" applyAlignment="1">
      <alignment vertical="center"/>
    </xf>
    <xf numFmtId="0" fontId="14" fillId="0" borderId="0" xfId="0" applyFont="1"/>
    <xf numFmtId="49" fontId="14" fillId="0" borderId="0" xfId="0" applyNumberFormat="1" applyFont="1" applyBorder="1" applyAlignment="1">
      <alignment vertical="center"/>
    </xf>
    <xf numFmtId="0" fontId="14" fillId="0" borderId="0" xfId="0" applyFont="1" applyBorder="1" applyAlignment="1">
      <alignment vertical="center"/>
    </xf>
    <xf numFmtId="49" fontId="5" fillId="0" borderId="0" xfId="0" applyNumberFormat="1" applyFont="1" applyAlignment="1">
      <alignment horizontal="center"/>
    </xf>
    <xf numFmtId="49" fontId="28" fillId="3" borderId="15" xfId="0" applyNumberFormat="1" applyFont="1" applyFill="1" applyBorder="1" applyAlignment="1" applyProtection="1">
      <alignment horizontal="left" vertical="center"/>
      <protection locked="0"/>
    </xf>
    <xf numFmtId="0" fontId="5" fillId="0" borderId="0" xfId="0" applyNumberFormat="1" applyFont="1" applyAlignment="1"/>
    <xf numFmtId="49" fontId="5" fillId="0" borderId="0" xfId="0" applyNumberFormat="1" applyFont="1" applyAlignment="1">
      <alignment horizontal="right"/>
    </xf>
    <xf numFmtId="0" fontId="30" fillId="0" borderId="0" xfId="0" applyNumberFormat="1" applyFont="1" applyAlignment="1">
      <alignment horizontal="center"/>
    </xf>
    <xf numFmtId="49" fontId="14" fillId="0" borderId="0" xfId="0" applyNumberFormat="1" applyFont="1" applyAlignment="1">
      <alignment horizontal="right"/>
    </xf>
    <xf numFmtId="49" fontId="28" fillId="3" borderId="18" xfId="0" applyNumberFormat="1" applyFont="1" applyFill="1" applyBorder="1" applyAlignment="1" applyProtection="1">
      <alignment horizontal="left" vertical="center"/>
      <protection locked="0"/>
    </xf>
    <xf numFmtId="0" fontId="34" fillId="0" borderId="0" xfId="0" applyNumberFormat="1" applyFont="1" applyAlignment="1">
      <alignment horizontal="right"/>
    </xf>
    <xf numFmtId="0" fontId="35" fillId="0" borderId="0" xfId="0" applyNumberFormat="1" applyFont="1" applyAlignment="1"/>
    <xf numFmtId="14" fontId="34" fillId="0" borderId="0" xfId="0" applyNumberFormat="1" applyFont="1" applyAlignment="1">
      <alignment horizontal="left" vertical="center" indent="1"/>
    </xf>
    <xf numFmtId="0" fontId="14" fillId="0" borderId="0" xfId="0" applyFont="1" applyAlignment="1"/>
    <xf numFmtId="49" fontId="35" fillId="0" borderId="0" xfId="0" applyNumberFormat="1" applyFont="1" applyAlignment="1">
      <alignment horizontal="right"/>
    </xf>
    <xf numFmtId="0" fontId="35" fillId="0" borderId="0" xfId="0" applyFont="1"/>
    <xf numFmtId="49" fontId="34" fillId="0" borderId="0" xfId="0" applyNumberFormat="1" applyFont="1" applyAlignment="1">
      <alignment horizontal="right"/>
    </xf>
    <xf numFmtId="0" fontId="9" fillId="0" borderId="0" xfId="32" applyFont="1"/>
    <xf numFmtId="0" fontId="5" fillId="0" borderId="0" xfId="32" applyFont="1"/>
    <xf numFmtId="0" fontId="34" fillId="0" borderId="0" xfId="32" applyFont="1" applyAlignment="1">
      <alignment horizontal="center"/>
    </xf>
    <xf numFmtId="0" fontId="35" fillId="0" borderId="0" xfId="32" applyFont="1"/>
    <xf numFmtId="0" fontId="36" fillId="0" borderId="0" xfId="31" applyFont="1" applyFill="1" applyBorder="1"/>
    <xf numFmtId="0" fontId="34" fillId="0" borderId="0" xfId="0" applyFont="1" applyBorder="1"/>
    <xf numFmtId="0" fontId="34" fillId="0" borderId="0" xfId="0" applyFont="1"/>
    <xf numFmtId="3" fontId="34" fillId="0" borderId="0" xfId="0" applyNumberFormat="1" applyFont="1"/>
    <xf numFmtId="0" fontId="5" fillId="0" borderId="0" xfId="31" applyFont="1"/>
    <xf numFmtId="0" fontId="5" fillId="0" borderId="0" xfId="31" applyFont="1" applyBorder="1" applyAlignment="1">
      <alignment horizontal="center"/>
    </xf>
    <xf numFmtId="0" fontId="13" fillId="0" borderId="0" xfId="31" applyFont="1" applyBorder="1"/>
    <xf numFmtId="0" fontId="43" fillId="0" borderId="0" xfId="31" applyFont="1" applyBorder="1"/>
    <xf numFmtId="0" fontId="5" fillId="0" borderId="0" xfId="31" applyFont="1" applyBorder="1"/>
    <xf numFmtId="0" fontId="37" fillId="0" borderId="0" xfId="31" applyFont="1" applyAlignment="1">
      <alignment horizontal="right"/>
    </xf>
    <xf numFmtId="0" fontId="34" fillId="0" borderId="0" xfId="31" applyFont="1" applyAlignment="1">
      <alignment horizontal="center" vertical="center"/>
    </xf>
    <xf numFmtId="0" fontId="35" fillId="0" borderId="0" xfId="31" applyFont="1"/>
    <xf numFmtId="0" fontId="10" fillId="0" borderId="0" xfId="2" quotePrefix="1" applyAlignment="1" applyProtection="1"/>
    <xf numFmtId="0" fontId="11" fillId="0" borderId="0" xfId="2" applyFont="1" applyAlignment="1" applyProtection="1"/>
    <xf numFmtId="14" fontId="14" fillId="0" borderId="0" xfId="0" applyNumberFormat="1" applyFont="1" applyAlignment="1">
      <alignment horizontal="left" vertical="center" indent="1"/>
    </xf>
    <xf numFmtId="0" fontId="14" fillId="0" borderId="0" xfId="0" applyFont="1" applyFill="1"/>
    <xf numFmtId="0" fontId="14" fillId="0" borderId="0" xfId="0" applyNumberFormat="1" applyFont="1" applyAlignment="1">
      <alignment horizontal="right"/>
    </xf>
    <xf numFmtId="0" fontId="14" fillId="0" borderId="0" xfId="0" applyNumberFormat="1" applyFont="1" applyAlignment="1"/>
    <xf numFmtId="0" fontId="37" fillId="0" borderId="0" xfId="31" applyFont="1" applyFill="1" applyBorder="1"/>
    <xf numFmtId="0" fontId="5" fillId="0" borderId="17" xfId="0" applyFont="1" applyFill="1" applyBorder="1" applyAlignment="1">
      <alignment horizontal="left" vertical="center"/>
    </xf>
    <xf numFmtId="0" fontId="5" fillId="0" borderId="0" xfId="0" applyFont="1" applyFill="1"/>
    <xf numFmtId="0" fontId="6" fillId="0" borderId="0" xfId="0" applyFont="1" applyBorder="1" applyAlignment="1">
      <alignment horizontal="center" vertical="center"/>
    </xf>
    <xf numFmtId="0" fontId="6" fillId="0" borderId="0" xfId="0" applyFont="1" applyBorder="1" applyAlignment="1">
      <alignment horizontal="right" vertical="center"/>
    </xf>
    <xf numFmtId="0" fontId="5" fillId="0" borderId="0" xfId="0" applyNumberFormat="1" applyFont="1" applyFill="1" applyBorder="1" applyAlignment="1"/>
    <xf numFmtId="0" fontId="46" fillId="0" borderId="0" xfId="0" applyFont="1"/>
    <xf numFmtId="0" fontId="48" fillId="0" borderId="0" xfId="0" applyFont="1"/>
    <xf numFmtId="0" fontId="6" fillId="0" borderId="0" xfId="0" applyFont="1" applyFill="1" applyBorder="1" applyAlignment="1">
      <alignment horizontal="center" vertical="center"/>
    </xf>
    <xf numFmtId="0" fontId="9" fillId="0" borderId="0" xfId="0" applyFont="1" applyBorder="1"/>
    <xf numFmtId="0" fontId="5" fillId="0" borderId="0" xfId="0" applyFont="1" applyFill="1" applyBorder="1"/>
    <xf numFmtId="0" fontId="28" fillId="0" borderId="20" xfId="0" applyFont="1" applyBorder="1"/>
    <xf numFmtId="0" fontId="0" fillId="0" borderId="20" xfId="0" applyBorder="1"/>
    <xf numFmtId="0" fontId="34" fillId="0" borderId="0" xfId="0" applyFont="1" applyFill="1" applyBorder="1" applyAlignment="1">
      <alignment horizontal="center" vertical="center"/>
    </xf>
    <xf numFmtId="0" fontId="35" fillId="0" borderId="0" xfId="0" applyFont="1" applyFill="1" applyBorder="1" applyAlignment="1">
      <alignment horizontal="right" wrapText="1"/>
    </xf>
    <xf numFmtId="0" fontId="35" fillId="0" borderId="29" xfId="0" applyFont="1" applyBorder="1" applyAlignment="1">
      <alignment horizontal="center" vertical="center"/>
    </xf>
    <xf numFmtId="0" fontId="35" fillId="0" borderId="24" xfId="0" applyFont="1" applyBorder="1" applyAlignment="1">
      <alignment horizontal="center" vertical="center"/>
    </xf>
    <xf numFmtId="0" fontId="35" fillId="0" borderId="0" xfId="0" applyFont="1" applyFill="1" applyBorder="1"/>
    <xf numFmtId="0" fontId="34" fillId="0" borderId="25" xfId="0" applyFont="1" applyBorder="1" applyAlignment="1">
      <alignment horizontal="center" vertical="center"/>
    </xf>
    <xf numFmtId="0" fontId="35" fillId="0" borderId="30" xfId="0" applyFont="1" applyBorder="1" applyAlignment="1">
      <alignment horizontal="center" vertical="center"/>
    </xf>
    <xf numFmtId="2" fontId="35" fillId="0" borderId="0" xfId="0" applyNumberFormat="1" applyFont="1" applyFill="1" applyBorder="1"/>
    <xf numFmtId="0" fontId="34" fillId="26" borderId="30" xfId="0" applyFont="1" applyFill="1" applyBorder="1" applyAlignment="1">
      <alignment horizontal="center" vertical="center"/>
    </xf>
    <xf numFmtId="0" fontId="51" fillId="0" borderId="0" xfId="0" applyFont="1"/>
    <xf numFmtId="0" fontId="39" fillId="0" borderId="0" xfId="0" applyFont="1" applyAlignment="1" applyProtection="1">
      <alignment vertical="center"/>
    </xf>
    <xf numFmtId="0" fontId="52" fillId="0" borderId="0" xfId="0" applyFont="1"/>
    <xf numFmtId="0" fontId="53" fillId="0" borderId="0" xfId="40" quotePrefix="1" applyFont="1" applyBorder="1" applyAlignment="1" applyProtection="1">
      <alignment horizontal="center" vertical="center" wrapText="1"/>
    </xf>
    <xf numFmtId="0" fontId="55" fillId="0" borderId="0" xfId="0" applyFont="1" applyFill="1" applyBorder="1" applyAlignment="1">
      <alignment horizontal="right"/>
    </xf>
    <xf numFmtId="0" fontId="53" fillId="21" borderId="0" xfId="0" applyFont="1" applyFill="1" applyBorder="1" applyAlignment="1">
      <alignment horizontal="center" vertical="center" wrapText="1"/>
    </xf>
    <xf numFmtId="3" fontId="5" fillId="0" borderId="0" xfId="0" applyNumberFormat="1" applyFont="1" applyFill="1" applyBorder="1"/>
    <xf numFmtId="0" fontId="46" fillId="0" borderId="0" xfId="0" applyFont="1" applyFill="1" applyBorder="1" applyAlignment="1">
      <alignment horizontal="left"/>
    </xf>
    <xf numFmtId="49" fontId="5" fillId="0" borderId="52" xfId="0" applyNumberFormat="1" applyFont="1" applyBorder="1" applyAlignment="1" applyProtection="1">
      <alignment horizontal="center" vertical="center" wrapText="1"/>
    </xf>
    <xf numFmtId="0" fontId="39" fillId="0" borderId="0" xfId="43" applyFont="1" applyBorder="1" applyAlignment="1" applyProtection="1">
      <alignment horizontal="left" vertical="center"/>
    </xf>
    <xf numFmtId="0" fontId="46" fillId="0" borderId="0" xfId="0" applyFont="1" applyAlignment="1" applyProtection="1">
      <alignment vertical="center"/>
    </xf>
    <xf numFmtId="0" fontId="46" fillId="21" borderId="0" xfId="0" applyFont="1" applyFill="1" applyAlignment="1" applyProtection="1">
      <alignment vertical="center"/>
    </xf>
    <xf numFmtId="0" fontId="28" fillId="0" borderId="0" xfId="0" applyFont="1" applyProtection="1"/>
    <xf numFmtId="0" fontId="28" fillId="0" borderId="0" xfId="0" applyFont="1" applyBorder="1" applyProtection="1"/>
    <xf numFmtId="49" fontId="14" fillId="0" borderId="52" xfId="0" applyNumberFormat="1" applyFont="1" applyBorder="1" applyAlignment="1" applyProtection="1">
      <alignment horizontal="center" vertical="center"/>
    </xf>
    <xf numFmtId="0" fontId="5" fillId="0" borderId="7" xfId="0" applyFont="1" applyFill="1" applyBorder="1" applyAlignment="1" applyProtection="1">
      <alignment horizontal="center" vertical="center"/>
    </xf>
    <xf numFmtId="0" fontId="5" fillId="0" borderId="7" xfId="0" applyFont="1" applyFill="1" applyBorder="1" applyAlignment="1" applyProtection="1">
      <alignment vertical="center" wrapText="1"/>
    </xf>
    <xf numFmtId="0" fontId="14" fillId="0" borderId="7" xfId="0" applyFont="1" applyFill="1" applyBorder="1" applyAlignment="1" applyProtection="1">
      <alignment horizontal="left" vertical="center" wrapText="1"/>
    </xf>
    <xf numFmtId="49" fontId="5" fillId="0" borderId="52" xfId="0" applyNumberFormat="1" applyFont="1" applyBorder="1" applyAlignment="1" applyProtection="1">
      <alignment horizontal="center" vertical="center"/>
    </xf>
    <xf numFmtId="0" fontId="5" fillId="0" borderId="7" xfId="0" applyFont="1" applyFill="1" applyBorder="1" applyAlignment="1" applyProtection="1">
      <alignment horizontal="left" vertical="center" wrapText="1"/>
    </xf>
    <xf numFmtId="0" fontId="38" fillId="0" borderId="0" xfId="0" applyFont="1"/>
    <xf numFmtId="0" fontId="14" fillId="22" borderId="9" xfId="0" applyFont="1" applyFill="1" applyBorder="1" applyAlignment="1" applyProtection="1">
      <alignment horizontal="center" vertical="center"/>
    </xf>
    <xf numFmtId="0" fontId="46" fillId="0" borderId="0" xfId="0" applyFont="1" applyProtection="1"/>
    <xf numFmtId="0" fontId="0" fillId="0" borderId="0" xfId="0" applyNumberFormat="1"/>
    <xf numFmtId="0" fontId="39" fillId="21" borderId="0" xfId="40" applyFont="1" applyFill="1" applyAlignment="1" applyProtection="1">
      <alignment vertical="center"/>
    </xf>
    <xf numFmtId="0" fontId="39" fillId="0" borderId="0" xfId="40" applyFont="1" applyAlignment="1" applyProtection="1">
      <alignment vertical="center"/>
    </xf>
    <xf numFmtId="0" fontId="39" fillId="0" borderId="0" xfId="40" applyFont="1" applyBorder="1" applyProtection="1"/>
    <xf numFmtId="0" fontId="21" fillId="0" borderId="0" xfId="0" applyFont="1"/>
    <xf numFmtId="0" fontId="53" fillId="0" borderId="0" xfId="40" applyFont="1" applyAlignment="1" applyProtection="1">
      <alignment vertical="center"/>
    </xf>
    <xf numFmtId="0" fontId="57" fillId="0" borderId="0" xfId="40" applyFont="1" applyAlignment="1" applyProtection="1">
      <alignment vertical="center"/>
    </xf>
    <xf numFmtId="0" fontId="58" fillId="0" borderId="0" xfId="40" applyFont="1" applyAlignment="1" applyProtection="1">
      <alignment vertical="center"/>
    </xf>
    <xf numFmtId="0" fontId="60" fillId="0" borderId="0" xfId="0" applyFont="1" applyAlignment="1">
      <alignment vertical="center"/>
    </xf>
    <xf numFmtId="2" fontId="46" fillId="0" borderId="0" xfId="0" applyNumberFormat="1" applyFont="1" applyAlignment="1">
      <alignment horizontal="center"/>
    </xf>
    <xf numFmtId="0" fontId="35" fillId="0" borderId="0" xfId="0" applyFont="1" applyAlignment="1">
      <alignment horizontal="right"/>
    </xf>
    <xf numFmtId="2" fontId="46" fillId="0" borderId="0" xfId="0" applyNumberFormat="1" applyFont="1" applyBorder="1" applyAlignment="1">
      <alignment horizontal="center"/>
    </xf>
    <xf numFmtId="2" fontId="12" fillId="0" borderId="0" xfId="0" applyNumberFormat="1" applyFont="1"/>
    <xf numFmtId="0" fontId="46" fillId="0" borderId="0" xfId="0" applyFont="1" applyAlignment="1">
      <alignment horizontal="center"/>
    </xf>
    <xf numFmtId="2" fontId="46" fillId="0" borderId="0" xfId="0" applyNumberFormat="1" applyFont="1" applyFill="1" applyBorder="1"/>
    <xf numFmtId="2" fontId="46" fillId="0" borderId="0" xfId="0" applyNumberFormat="1" applyFont="1" applyFill="1"/>
    <xf numFmtId="0" fontId="61" fillId="0" borderId="0" xfId="0" applyFont="1" applyAlignment="1">
      <alignment vertical="center"/>
    </xf>
    <xf numFmtId="0" fontId="63" fillId="0" borderId="0" xfId="0" applyFont="1"/>
    <xf numFmtId="3" fontId="5" fillId="0" borderId="7" xfId="0" applyNumberFormat="1" applyFont="1" applyBorder="1" applyAlignment="1" applyProtection="1">
      <alignment vertical="center"/>
    </xf>
    <xf numFmtId="3" fontId="14" fillId="0" borderId="7" xfId="0" applyNumberFormat="1" applyFont="1" applyFill="1" applyBorder="1" applyAlignment="1" applyProtection="1">
      <alignment vertical="center"/>
    </xf>
    <xf numFmtId="3" fontId="5" fillId="0" borderId="7" xfId="0" applyNumberFormat="1" applyFont="1" applyFill="1" applyBorder="1" applyAlignment="1" applyProtection="1">
      <alignment vertical="center"/>
    </xf>
    <xf numFmtId="0" fontId="12" fillId="22" borderId="9" xfId="0" applyFont="1" applyFill="1" applyBorder="1" applyAlignment="1" applyProtection="1">
      <alignment horizontal="center" vertical="center"/>
    </xf>
    <xf numFmtId="3" fontId="14" fillId="22" borderId="9" xfId="0" applyNumberFormat="1" applyFont="1" applyFill="1" applyBorder="1" applyAlignment="1" applyProtection="1">
      <alignment vertical="center"/>
    </xf>
    <xf numFmtId="3" fontId="5" fillId="0" borderId="62" xfId="0" applyNumberFormat="1" applyFont="1" applyFill="1" applyBorder="1" applyAlignment="1" applyProtection="1">
      <alignment vertical="center"/>
    </xf>
    <xf numFmtId="0" fontId="34" fillId="2" borderId="40" xfId="0" applyFont="1" applyFill="1" applyBorder="1" applyAlignment="1">
      <alignment horizontal="center" vertical="center"/>
    </xf>
    <xf numFmtId="0" fontId="35" fillId="0" borderId="0" xfId="0" applyFont="1" applyFill="1"/>
    <xf numFmtId="0" fontId="6" fillId="0" borderId="0" xfId="0" applyFont="1" applyAlignment="1">
      <alignment horizontal="right"/>
    </xf>
    <xf numFmtId="0" fontId="12" fillId="0" borderId="0" xfId="0" applyFont="1" applyBorder="1" applyAlignment="1">
      <alignment horizontal="center" vertical="center"/>
    </xf>
    <xf numFmtId="0" fontId="5" fillId="0" borderId="51" xfId="0" applyFont="1" applyFill="1" applyBorder="1" applyAlignment="1">
      <alignment horizontal="left" vertical="center"/>
    </xf>
    <xf numFmtId="0" fontId="32" fillId="0" borderId="17" xfId="0" applyFont="1" applyFill="1" applyBorder="1" applyAlignment="1">
      <alignment vertical="center" wrapText="1"/>
    </xf>
    <xf numFmtId="0" fontId="32" fillId="0" borderId="21" xfId="0" applyFont="1" applyFill="1" applyBorder="1" applyAlignment="1">
      <alignment vertical="center" wrapText="1"/>
    </xf>
    <xf numFmtId="0" fontId="64" fillId="0" borderId="0" xfId="2" quotePrefix="1" applyFont="1" applyAlignment="1" applyProtection="1"/>
    <xf numFmtId="0" fontId="5" fillId="0" borderId="15" xfId="0" applyFont="1" applyFill="1" applyBorder="1" applyAlignment="1">
      <alignment vertical="center" wrapText="1"/>
    </xf>
    <xf numFmtId="3" fontId="14" fillId="0" borderId="17" xfId="0" applyNumberFormat="1" applyFont="1" applyFill="1" applyBorder="1" applyAlignment="1">
      <alignment horizontal="center" vertical="center"/>
    </xf>
    <xf numFmtId="0" fontId="5" fillId="0" borderId="0" xfId="31" applyFont="1" applyFill="1"/>
    <xf numFmtId="0" fontId="0" fillId="0" borderId="0" xfId="0" applyFill="1"/>
    <xf numFmtId="0" fontId="6" fillId="0" borderId="0" xfId="0" applyFont="1" applyAlignment="1">
      <alignment horizontal="right"/>
    </xf>
    <xf numFmtId="172" fontId="53" fillId="0" borderId="0" xfId="40" applyNumberFormat="1" applyFont="1" applyAlignment="1" applyProtection="1">
      <alignment vertical="center"/>
    </xf>
    <xf numFmtId="0" fontId="34" fillId="26" borderId="1" xfId="0" applyFont="1" applyFill="1" applyBorder="1" applyAlignment="1">
      <alignment horizontal="center" vertical="center"/>
    </xf>
    <xf numFmtId="2" fontId="35" fillId="2" borderId="35" xfId="0" applyNumberFormat="1" applyFont="1" applyFill="1" applyBorder="1"/>
    <xf numFmtId="0" fontId="12" fillId="0" borderId="0" xfId="0" applyNumberFormat="1" applyFont="1" applyAlignment="1">
      <alignment horizontal="center" vertical="center"/>
    </xf>
    <xf numFmtId="0" fontId="21" fillId="30" borderId="0" xfId="32" applyFill="1"/>
    <xf numFmtId="49" fontId="67" fillId="0" borderId="0" xfId="32" applyNumberFormat="1" applyFont="1" applyBorder="1" applyAlignment="1">
      <alignment vertical="center"/>
    </xf>
    <xf numFmtId="0" fontId="68" fillId="0" borderId="0" xfId="32" applyFont="1"/>
    <xf numFmtId="0" fontId="67" fillId="0" borderId="0" xfId="32" applyNumberFormat="1" applyFont="1" applyBorder="1" applyAlignment="1">
      <alignment vertical="center"/>
    </xf>
    <xf numFmtId="49" fontId="67" fillId="0" borderId="5" xfId="32" applyNumberFormat="1" applyFont="1" applyBorder="1" applyAlignment="1">
      <alignment horizontal="left" vertical="center"/>
    </xf>
    <xf numFmtId="49" fontId="68" fillId="0" borderId="17" xfId="32" applyNumberFormat="1" applyFont="1" applyBorder="1" applyAlignment="1">
      <alignment horizontal="left" vertical="center"/>
    </xf>
    <xf numFmtId="49" fontId="67" fillId="0" borderId="17" xfId="32" applyNumberFormat="1" applyFont="1" applyBorder="1" applyAlignment="1">
      <alignment horizontal="left" vertical="center"/>
    </xf>
    <xf numFmtId="49" fontId="67" fillId="21" borderId="24" xfId="32" applyNumberFormat="1" applyFont="1" applyFill="1" applyBorder="1" applyAlignment="1" applyProtection="1">
      <alignment horizontal="left" vertical="center"/>
    </xf>
    <xf numFmtId="49" fontId="67" fillId="21" borderId="17" xfId="32" applyNumberFormat="1" applyFont="1" applyFill="1" applyBorder="1" applyAlignment="1" applyProtection="1">
      <alignment horizontal="left" vertical="center"/>
    </xf>
    <xf numFmtId="49" fontId="67" fillId="21" borderId="39" xfId="32" applyNumberFormat="1" applyFont="1" applyFill="1" applyBorder="1" applyAlignment="1" applyProtection="1">
      <alignment horizontal="center" vertical="center"/>
    </xf>
    <xf numFmtId="0" fontId="70" fillId="0" borderId="23" xfId="32" applyNumberFormat="1" applyFont="1" applyFill="1" applyBorder="1" applyAlignment="1" applyProtection="1">
      <alignment horizontal="left" vertical="center"/>
      <protection locked="0"/>
    </xf>
    <xf numFmtId="0" fontId="70" fillId="0" borderId="15" xfId="32" applyNumberFormat="1" applyFont="1" applyFill="1" applyBorder="1" applyAlignment="1" applyProtection="1">
      <alignment horizontal="left" vertical="center"/>
      <protection locked="0"/>
    </xf>
    <xf numFmtId="14" fontId="67" fillId="0" borderId="0" xfId="32" applyNumberFormat="1" applyFont="1"/>
    <xf numFmtId="0" fontId="67" fillId="0" borderId="0" xfId="32" applyFont="1" applyAlignment="1">
      <alignment horizontal="right"/>
    </xf>
    <xf numFmtId="0" fontId="68" fillId="0" borderId="0" xfId="32" applyFont="1" applyAlignment="1"/>
    <xf numFmtId="0" fontId="68" fillId="0" borderId="0" xfId="32" applyNumberFormat="1" applyFont="1" applyAlignment="1"/>
    <xf numFmtId="49" fontId="68" fillId="0" borderId="0" xfId="32" applyNumberFormat="1" applyFont="1" applyAlignment="1">
      <alignment horizontal="right"/>
    </xf>
    <xf numFmtId="0" fontId="70" fillId="0" borderId="0" xfId="32" applyNumberFormat="1" applyFont="1" applyAlignment="1">
      <alignment horizontal="center"/>
    </xf>
    <xf numFmtId="0" fontId="68" fillId="0" borderId="0" xfId="32" applyNumberFormat="1" applyFont="1"/>
    <xf numFmtId="0" fontId="70" fillId="0" borderId="0" xfId="32" applyFont="1"/>
    <xf numFmtId="0" fontId="68" fillId="0" borderId="0" xfId="32" applyNumberFormat="1" applyFont="1" applyAlignment="1">
      <alignment horizontal="left"/>
    </xf>
    <xf numFmtId="49" fontId="68" fillId="0" borderId="0" xfId="32" applyNumberFormat="1" applyFont="1" applyAlignment="1"/>
    <xf numFmtId="0" fontId="70" fillId="0" borderId="0" xfId="32" applyNumberFormat="1" applyFont="1" applyAlignment="1"/>
    <xf numFmtId="0" fontId="8" fillId="0" borderId="0" xfId="0" applyFont="1" applyBorder="1" applyAlignment="1">
      <alignment wrapText="1"/>
    </xf>
    <xf numFmtId="0" fontId="12" fillId="0" borderId="20" xfId="42" applyNumberFormat="1" applyFont="1" applyBorder="1" applyAlignment="1">
      <alignment horizontal="center"/>
    </xf>
    <xf numFmtId="0" fontId="13" fillId="0" borderId="0" xfId="0" applyFont="1" applyFill="1" applyBorder="1" applyAlignment="1"/>
    <xf numFmtId="0" fontId="0" fillId="29" borderId="0" xfId="0" applyFill="1"/>
    <xf numFmtId="0" fontId="46" fillId="29" borderId="0" xfId="0" applyFont="1" applyFill="1" applyAlignment="1">
      <alignment vertical="center"/>
    </xf>
    <xf numFmtId="49" fontId="67" fillId="21" borderId="26" xfId="32" applyNumberFormat="1" applyFont="1" applyFill="1" applyBorder="1" applyAlignment="1" applyProtection="1">
      <alignment horizontal="left" vertical="center"/>
    </xf>
    <xf numFmtId="0" fontId="35" fillId="29" borderId="0" xfId="0" applyFont="1" applyFill="1" applyBorder="1"/>
    <xf numFmtId="14" fontId="34" fillId="29" borderId="0" xfId="0" applyNumberFormat="1" applyFont="1" applyFill="1" applyBorder="1" applyAlignment="1"/>
    <xf numFmtId="0" fontId="35" fillId="29" borderId="0" xfId="0" applyNumberFormat="1" applyFont="1" applyFill="1" applyBorder="1" applyAlignment="1"/>
    <xf numFmtId="0" fontId="34" fillId="29" borderId="0" xfId="0" applyNumberFormat="1" applyFont="1" applyFill="1" applyBorder="1" applyAlignment="1">
      <alignment horizontal="right"/>
    </xf>
    <xf numFmtId="49" fontId="35" fillId="29" borderId="0" xfId="0" applyNumberFormat="1" applyFont="1" applyFill="1" applyBorder="1" applyAlignment="1">
      <alignment horizontal="right"/>
    </xf>
    <xf numFmtId="0" fontId="35" fillId="29" borderId="0" xfId="0" applyNumberFormat="1" applyFont="1" applyFill="1" applyBorder="1"/>
    <xf numFmtId="0" fontId="36" fillId="29" borderId="0" xfId="0" applyNumberFormat="1" applyFont="1" applyFill="1" applyBorder="1" applyAlignment="1">
      <alignment horizontal="center"/>
    </xf>
    <xf numFmtId="49" fontId="34" fillId="29" borderId="0" xfId="0" applyNumberFormat="1" applyFont="1" applyFill="1" applyBorder="1" applyAlignment="1">
      <alignment horizontal="right"/>
    </xf>
    <xf numFmtId="0" fontId="39" fillId="0" borderId="0" xfId="32" applyFont="1" applyAlignment="1" applyProtection="1">
      <alignment vertical="center"/>
    </xf>
    <xf numFmtId="0" fontId="39" fillId="21" borderId="0" xfId="32" applyFont="1" applyFill="1" applyAlignment="1" applyProtection="1">
      <alignment vertical="center"/>
    </xf>
    <xf numFmtId="0" fontId="5" fillId="30" borderId="0" xfId="32" applyFont="1" applyFill="1"/>
    <xf numFmtId="0" fontId="14" fillId="30" borderId="0" xfId="32" applyFont="1" applyFill="1" applyBorder="1" applyAlignment="1">
      <alignment horizontal="center" wrapText="1"/>
    </xf>
    <xf numFmtId="49" fontId="5" fillId="30" borderId="0" xfId="32" applyNumberFormat="1" applyFont="1" applyFill="1" applyBorder="1" applyAlignment="1" applyProtection="1">
      <alignment horizontal="center" vertical="center"/>
      <protection locked="0"/>
    </xf>
    <xf numFmtId="3" fontId="5" fillId="30" borderId="0" xfId="32" applyNumberFormat="1" applyFont="1" applyFill="1" applyBorder="1" applyAlignment="1" applyProtection="1">
      <alignment horizontal="center" vertical="center"/>
      <protection locked="0"/>
    </xf>
    <xf numFmtId="0" fontId="37" fillId="30" borderId="0" xfId="31" applyFont="1" applyFill="1" applyBorder="1"/>
    <xf numFmtId="0" fontId="35" fillId="30" borderId="0" xfId="32" applyFont="1" applyFill="1"/>
    <xf numFmtId="0" fontId="5" fillId="30" borderId="0" xfId="32" applyFont="1" applyFill="1" applyAlignment="1">
      <alignment horizontal="center"/>
    </xf>
    <xf numFmtId="0" fontId="37" fillId="30" borderId="0" xfId="32" applyFont="1" applyFill="1" applyAlignment="1">
      <alignment horizontal="left" vertical="center" wrapText="1"/>
    </xf>
    <xf numFmtId="0" fontId="9" fillId="30" borderId="0" xfId="32" applyFont="1" applyFill="1"/>
    <xf numFmtId="0" fontId="5" fillId="30" borderId="0" xfId="32" applyFont="1" applyFill="1" applyAlignment="1">
      <alignment wrapText="1"/>
    </xf>
    <xf numFmtId="3" fontId="5" fillId="30" borderId="0" xfId="32" applyNumberFormat="1" applyFont="1" applyFill="1" applyAlignment="1">
      <alignment horizontal="center"/>
    </xf>
    <xf numFmtId="0" fontId="21" fillId="30" borderId="0" xfId="32" applyFont="1" applyFill="1"/>
    <xf numFmtId="0" fontId="66" fillId="30" borderId="0" xfId="32" applyFont="1" applyFill="1"/>
    <xf numFmtId="0" fontId="48" fillId="30" borderId="0" xfId="32" applyFont="1" applyFill="1"/>
    <xf numFmtId="0" fontId="49" fillId="30" borderId="0" xfId="2" quotePrefix="1" applyFont="1" applyFill="1" applyAlignment="1" applyProtection="1"/>
    <xf numFmtId="0" fontId="49" fillId="30" borderId="0" xfId="2" applyFont="1" applyFill="1" applyAlignment="1" applyProtection="1"/>
    <xf numFmtId="0" fontId="29" fillId="30" borderId="0" xfId="40" applyFont="1" applyFill="1" applyAlignment="1" applyProtection="1">
      <alignment vertical="center"/>
    </xf>
    <xf numFmtId="0" fontId="29" fillId="30" borderId="0" xfId="40" applyFont="1" applyFill="1" applyAlignment="1" applyProtection="1">
      <alignment horizontal="center" vertical="center"/>
    </xf>
    <xf numFmtId="0" fontId="14" fillId="30" borderId="0" xfId="32" applyFont="1" applyFill="1" applyAlignment="1">
      <alignment horizontal="center"/>
    </xf>
    <xf numFmtId="0" fontId="5" fillId="30" borderId="0" xfId="45" applyFont="1" applyFill="1"/>
    <xf numFmtId="49" fontId="5" fillId="30" borderId="0" xfId="45" applyNumberFormat="1" applyFont="1" applyFill="1" applyAlignment="1">
      <alignment horizontal="right"/>
    </xf>
    <xf numFmtId="0" fontId="5" fillId="30" borderId="0" xfId="45" applyNumberFormat="1" applyFont="1" applyFill="1" applyAlignment="1"/>
    <xf numFmtId="0" fontId="0" fillId="30" borderId="0" xfId="0" applyFill="1"/>
    <xf numFmtId="0" fontId="67" fillId="0" borderId="0" xfId="32" applyNumberFormat="1" applyFont="1" applyAlignment="1">
      <alignment horizontal="right"/>
    </xf>
    <xf numFmtId="0" fontId="42" fillId="0" borderId="0" xfId="0" applyFont="1" applyAlignment="1"/>
    <xf numFmtId="0" fontId="36" fillId="0" borderId="0" xfId="0" applyFont="1" applyAlignment="1"/>
    <xf numFmtId="0" fontId="37" fillId="0" borderId="0" xfId="0" applyFont="1" applyAlignment="1"/>
    <xf numFmtId="0" fontId="5" fillId="30" borderId="0" xfId="0" applyFont="1" applyFill="1"/>
    <xf numFmtId="0" fontId="6" fillId="30" borderId="0" xfId="0" applyFont="1" applyFill="1" applyAlignment="1">
      <alignment horizontal="right"/>
    </xf>
    <xf numFmtId="49" fontId="13" fillId="30" borderId="2" xfId="0" applyNumberFormat="1" applyFont="1" applyFill="1" applyBorder="1" applyAlignment="1">
      <alignment horizontal="left" vertical="center"/>
    </xf>
    <xf numFmtId="49" fontId="28" fillId="30" borderId="5" xfId="0" applyNumberFormat="1" applyFont="1" applyFill="1" applyBorder="1" applyAlignment="1">
      <alignment horizontal="left" vertical="center"/>
    </xf>
    <xf numFmtId="49" fontId="28" fillId="30" borderId="17" xfId="0" applyNumberFormat="1" applyFont="1" applyFill="1" applyBorder="1" applyAlignment="1">
      <alignment horizontal="left" vertical="center"/>
    </xf>
    <xf numFmtId="49" fontId="28" fillId="30" borderId="39" xfId="0" applyNumberFormat="1" applyFont="1" applyFill="1" applyBorder="1" applyAlignment="1">
      <alignment horizontal="left" vertical="center"/>
    </xf>
    <xf numFmtId="49" fontId="28" fillId="30" borderId="1" xfId="0" applyNumberFormat="1" applyFont="1" applyFill="1" applyBorder="1" applyAlignment="1">
      <alignment horizontal="left" vertical="center"/>
    </xf>
    <xf numFmtId="49" fontId="28" fillId="30" borderId="8" xfId="0" applyNumberFormat="1" applyFont="1" applyFill="1" applyBorder="1" applyAlignment="1">
      <alignment horizontal="left" vertical="center"/>
    </xf>
    <xf numFmtId="49" fontId="28" fillId="30" borderId="3" xfId="0" applyNumberFormat="1" applyFont="1" applyFill="1" applyBorder="1" applyAlignment="1">
      <alignment horizontal="left" vertical="center"/>
    </xf>
    <xf numFmtId="49" fontId="28" fillId="30" borderId="5" xfId="0" applyNumberFormat="1" applyFont="1" applyFill="1" applyBorder="1" applyAlignment="1" applyProtection="1">
      <alignment horizontal="left" vertical="center"/>
    </xf>
    <xf numFmtId="49" fontId="28" fillId="30" borderId="17" xfId="0" applyNumberFormat="1" applyFont="1" applyFill="1" applyBorder="1" applyAlignment="1" applyProtection="1">
      <alignment horizontal="left" vertical="center"/>
    </xf>
    <xf numFmtId="49" fontId="28" fillId="30" borderId="21" xfId="0" applyNumberFormat="1" applyFont="1" applyFill="1" applyBorder="1" applyAlignment="1">
      <alignment horizontal="left" vertical="center"/>
    </xf>
    <xf numFmtId="0" fontId="34" fillId="30" borderId="0" xfId="0" applyNumberFormat="1" applyFont="1" applyFill="1" applyAlignment="1">
      <alignment horizontal="right"/>
    </xf>
    <xf numFmtId="0" fontId="35" fillId="30" borderId="0" xfId="0" applyNumberFormat="1" applyFont="1" applyFill="1" applyAlignment="1"/>
    <xf numFmtId="0" fontId="5" fillId="30" borderId="0" xfId="0" applyFont="1" applyFill="1" applyAlignment="1"/>
    <xf numFmtId="14" fontId="34" fillId="30" borderId="0" xfId="0" applyNumberFormat="1" applyFont="1" applyFill="1" applyAlignment="1">
      <alignment horizontal="left" vertical="center" indent="1"/>
    </xf>
    <xf numFmtId="0" fontId="14" fillId="30" borderId="0" xfId="0" applyFont="1" applyFill="1" applyAlignment="1"/>
    <xf numFmtId="49" fontId="35" fillId="30" borderId="0" xfId="0" applyNumberFormat="1" applyFont="1" applyFill="1" applyAlignment="1">
      <alignment horizontal="right"/>
    </xf>
    <xf numFmtId="0" fontId="5" fillId="30" borderId="0" xfId="0" applyNumberFormat="1" applyFont="1" applyFill="1"/>
    <xf numFmtId="0" fontId="36" fillId="30" borderId="0" xfId="0" applyNumberFormat="1" applyFont="1" applyFill="1" applyAlignment="1">
      <alignment horizontal="center"/>
    </xf>
    <xf numFmtId="0" fontId="5" fillId="30" borderId="0" xfId="0" applyNumberFormat="1" applyFont="1" applyFill="1" applyAlignment="1"/>
    <xf numFmtId="49" fontId="5" fillId="30" borderId="0" xfId="0" applyNumberFormat="1" applyFont="1" applyFill="1" applyAlignment="1">
      <alignment horizontal="right"/>
    </xf>
    <xf numFmtId="0" fontId="35" fillId="30" borderId="0" xfId="0" applyFont="1" applyFill="1"/>
    <xf numFmtId="0" fontId="5" fillId="30" borderId="0" xfId="0" applyNumberFormat="1" applyFont="1" applyFill="1" applyAlignment="1">
      <alignment horizontal="left"/>
    </xf>
    <xf numFmtId="49" fontId="5" fillId="30" borderId="0" xfId="0" applyNumberFormat="1" applyFont="1" applyFill="1" applyAlignment="1"/>
    <xf numFmtId="0" fontId="37" fillId="30" borderId="0" xfId="0" applyNumberFormat="1" applyFont="1" applyFill="1" applyAlignment="1"/>
    <xf numFmtId="0" fontId="68" fillId="30" borderId="0" xfId="32" applyFont="1" applyFill="1"/>
    <xf numFmtId="0" fontId="68" fillId="30" borderId="0" xfId="32" applyNumberFormat="1" applyFont="1" applyFill="1" applyAlignment="1"/>
    <xf numFmtId="49" fontId="68" fillId="30" borderId="0" xfId="32" applyNumberFormat="1" applyFont="1" applyFill="1" applyAlignment="1"/>
    <xf numFmtId="0" fontId="70" fillId="30" borderId="0" xfId="32" applyNumberFormat="1" applyFont="1" applyFill="1" applyAlignment="1"/>
    <xf numFmtId="0" fontId="37" fillId="30" borderId="0" xfId="0" applyFont="1" applyFill="1" applyAlignment="1"/>
    <xf numFmtId="0" fontId="42" fillId="30" borderId="0" xfId="0" applyFont="1" applyFill="1" applyAlignment="1"/>
    <xf numFmtId="0" fontId="36" fillId="30" borderId="0" xfId="31" applyFont="1" applyFill="1" applyBorder="1"/>
    <xf numFmtId="0" fontId="9" fillId="0" borderId="0" xfId="0" applyFont="1" applyFill="1"/>
    <xf numFmtId="0" fontId="62" fillId="0" borderId="0" xfId="0" applyFont="1"/>
    <xf numFmtId="14" fontId="62" fillId="0" borderId="0" xfId="0" applyNumberFormat="1" applyFont="1"/>
    <xf numFmtId="0" fontId="34" fillId="30" borderId="0" xfId="0" applyFont="1" applyFill="1" applyBorder="1"/>
    <xf numFmtId="0" fontId="34" fillId="30" borderId="0" xfId="0" applyFont="1" applyFill="1"/>
    <xf numFmtId="3" fontId="34" fillId="30" borderId="0" xfId="0" applyNumberFormat="1" applyFont="1" applyFill="1"/>
    <xf numFmtId="0" fontId="5" fillId="30" borderId="0" xfId="32" applyFont="1" applyFill="1" applyBorder="1" applyAlignment="1">
      <alignment wrapText="1"/>
    </xf>
    <xf numFmtId="0" fontId="11" fillId="0" borderId="0" xfId="2" quotePrefix="1" applyFont="1" applyFill="1" applyAlignment="1" applyProtection="1"/>
    <xf numFmtId="0" fontId="7" fillId="0" borderId="0" xfId="0" applyFont="1" applyFill="1"/>
    <xf numFmtId="0" fontId="6" fillId="30" borderId="0" xfId="32" applyFont="1" applyFill="1" applyBorder="1" applyAlignment="1">
      <alignment horizontal="right" vertical="center"/>
    </xf>
    <xf numFmtId="3" fontId="34" fillId="34" borderId="65" xfId="49" applyNumberFormat="1" applyFont="1" applyFill="1" applyBorder="1" applyAlignment="1">
      <alignment horizontal="center" wrapText="1"/>
    </xf>
    <xf numFmtId="3" fontId="34" fillId="34" borderId="9" xfId="49" applyNumberFormat="1" applyFont="1" applyFill="1" applyBorder="1" applyAlignment="1">
      <alignment horizontal="center" wrapText="1"/>
    </xf>
    <xf numFmtId="3" fontId="34" fillId="34" borderId="10" xfId="49" applyNumberFormat="1" applyFont="1" applyFill="1" applyBorder="1" applyAlignment="1">
      <alignment horizontal="center" wrapText="1"/>
    </xf>
    <xf numFmtId="0" fontId="14" fillId="35" borderId="1" xfId="49" applyFont="1" applyFill="1" applyBorder="1" applyAlignment="1">
      <alignment horizontal="center" vertical="center"/>
    </xf>
    <xf numFmtId="49" fontId="34" fillId="26" borderId="1" xfId="49" applyNumberFormat="1" applyFont="1" applyFill="1" applyBorder="1" applyAlignment="1">
      <alignment vertical="center"/>
    </xf>
    <xf numFmtId="0" fontId="34" fillId="26" borderId="1" xfId="49" applyFont="1" applyFill="1" applyBorder="1" applyAlignment="1">
      <alignment horizontal="left" vertical="center"/>
    </xf>
    <xf numFmtId="49" fontId="12" fillId="26" borderId="1" xfId="49" applyNumberFormat="1" applyFont="1" applyFill="1" applyBorder="1" applyAlignment="1">
      <alignment vertical="center"/>
    </xf>
    <xf numFmtId="3" fontId="14" fillId="34" borderId="38" xfId="49" applyNumberFormat="1" applyFont="1" applyFill="1" applyBorder="1" applyAlignment="1">
      <alignment horizontal="center" wrapText="1"/>
    </xf>
    <xf numFmtId="3" fontId="14" fillId="34" borderId="9" xfId="49" applyNumberFormat="1" applyFont="1" applyFill="1" applyBorder="1" applyAlignment="1">
      <alignment horizontal="center" wrapText="1"/>
    </xf>
    <xf numFmtId="3" fontId="14" fillId="34" borderId="10" xfId="49" applyNumberFormat="1" applyFont="1" applyFill="1" applyBorder="1" applyAlignment="1">
      <alignment horizontal="center" wrapText="1"/>
    </xf>
    <xf numFmtId="3" fontId="14" fillId="34" borderId="65" xfId="49" applyNumberFormat="1" applyFont="1" applyFill="1" applyBorder="1" applyAlignment="1">
      <alignment horizontal="center" wrapText="1"/>
    </xf>
    <xf numFmtId="3" fontId="5" fillId="36" borderId="52" xfId="49" applyNumberFormat="1" applyFont="1" applyFill="1" applyBorder="1" applyAlignment="1">
      <alignment horizontal="center" vertical="center"/>
    </xf>
    <xf numFmtId="3" fontId="5" fillId="36" borderId="7" xfId="49" applyNumberFormat="1" applyFont="1" applyFill="1" applyBorder="1" applyAlignment="1">
      <alignment horizontal="center" vertical="center"/>
    </xf>
    <xf numFmtId="3" fontId="5" fillId="36" borderId="53" xfId="49" applyNumberFormat="1" applyFont="1" applyFill="1" applyBorder="1" applyAlignment="1">
      <alignment horizontal="center" vertical="center"/>
    </xf>
    <xf numFmtId="3" fontId="5" fillId="36" borderId="32" xfId="49" applyNumberFormat="1" applyFont="1" applyFill="1" applyBorder="1" applyAlignment="1">
      <alignment horizontal="center" vertical="center"/>
    </xf>
    <xf numFmtId="3" fontId="14" fillId="21" borderId="7" xfId="49" applyNumberFormat="1" applyFont="1" applyFill="1" applyBorder="1" applyAlignment="1">
      <alignment horizontal="center" vertical="center"/>
    </xf>
    <xf numFmtId="0" fontId="12" fillId="26" borderId="1" xfId="49" applyFont="1" applyFill="1" applyBorder="1" applyAlignment="1">
      <alignment horizontal="left" vertical="center"/>
    </xf>
    <xf numFmtId="0" fontId="5" fillId="30" borderId="0" xfId="49" applyFont="1" applyFill="1"/>
    <xf numFmtId="0" fontId="80" fillId="30" borderId="0" xfId="49" applyFill="1"/>
    <xf numFmtId="0" fontId="14" fillId="30" borderId="0" xfId="49" applyFont="1" applyFill="1"/>
    <xf numFmtId="0" fontId="66" fillId="30" borderId="0" xfId="49" applyFont="1" applyFill="1"/>
    <xf numFmtId="0" fontId="5" fillId="30" borderId="5" xfId="49" applyFont="1" applyFill="1" applyBorder="1" applyAlignment="1">
      <alignment horizontal="center" vertical="center"/>
    </xf>
    <xf numFmtId="9" fontId="5" fillId="30" borderId="5" xfId="49" applyNumberFormat="1" applyFont="1" applyFill="1" applyBorder="1" applyAlignment="1">
      <alignment horizontal="center" vertical="center"/>
    </xf>
    <xf numFmtId="0" fontId="35" fillId="30" borderId="5" xfId="49" applyFont="1" applyFill="1" applyBorder="1" applyAlignment="1">
      <alignment wrapText="1"/>
    </xf>
    <xf numFmtId="0" fontId="5" fillId="30" borderId="17" xfId="49" applyFont="1" applyFill="1" applyBorder="1" applyAlignment="1">
      <alignment horizontal="center" vertical="center"/>
    </xf>
    <xf numFmtId="9" fontId="5" fillId="30" borderId="17" xfId="49" applyNumberFormat="1" applyFont="1" applyFill="1" applyBorder="1" applyAlignment="1">
      <alignment horizontal="center" vertical="center"/>
    </xf>
    <xf numFmtId="0" fontId="35" fillId="30" borderId="17" xfId="49" applyFont="1" applyFill="1" applyBorder="1" applyAlignment="1">
      <alignment wrapText="1"/>
    </xf>
    <xf numFmtId="3" fontId="5" fillId="30" borderId="52" xfId="49" applyNumberFormat="1" applyFont="1" applyFill="1" applyBorder="1" applyAlignment="1">
      <alignment horizontal="center" vertical="center" wrapText="1"/>
    </xf>
    <xf numFmtId="3" fontId="5" fillId="30" borderId="7" xfId="49" applyNumberFormat="1" applyFont="1" applyFill="1" applyBorder="1" applyAlignment="1">
      <alignment horizontal="center" vertical="center" wrapText="1"/>
    </xf>
    <xf numFmtId="3" fontId="5" fillId="30" borderId="53" xfId="49" applyNumberFormat="1" applyFont="1" applyFill="1" applyBorder="1" applyAlignment="1">
      <alignment horizontal="center" vertical="center" wrapText="1"/>
    </xf>
    <xf numFmtId="49" fontId="35" fillId="30" borderId="17" xfId="49" applyNumberFormat="1" applyFont="1" applyFill="1" applyBorder="1" applyAlignment="1">
      <alignment wrapText="1"/>
    </xf>
    <xf numFmtId="49" fontId="36" fillId="30" borderId="17" xfId="49" applyNumberFormat="1" applyFont="1" applyFill="1" applyBorder="1" applyAlignment="1">
      <alignment horizontal="right" wrapText="1"/>
    </xf>
    <xf numFmtId="9" fontId="5" fillId="30" borderId="17" xfId="50" applyFont="1" applyFill="1" applyBorder="1" applyAlignment="1">
      <alignment horizontal="center" vertical="center"/>
    </xf>
    <xf numFmtId="0" fontId="5" fillId="30" borderId="24" xfId="49" applyFont="1" applyFill="1" applyBorder="1" applyAlignment="1">
      <alignment horizontal="center" vertical="center"/>
    </xf>
    <xf numFmtId="49" fontId="35" fillId="30" borderId="17" xfId="49" applyNumberFormat="1" applyFont="1" applyFill="1" applyBorder="1" applyAlignment="1">
      <alignment horizontal="left" wrapText="1"/>
    </xf>
    <xf numFmtId="49" fontId="35" fillId="30" borderId="39" xfId="49" applyNumberFormat="1" applyFont="1" applyFill="1" applyBorder="1" applyAlignment="1">
      <alignment wrapText="1"/>
    </xf>
    <xf numFmtId="0" fontId="35" fillId="30" borderId="17" xfId="49" applyFont="1" applyFill="1" applyBorder="1" applyAlignment="1">
      <alignment horizontal="center" vertical="center"/>
    </xf>
    <xf numFmtId="0" fontId="35" fillId="30" borderId="5" xfId="49" applyFont="1" applyFill="1" applyBorder="1" applyAlignment="1">
      <alignment horizontal="center" vertical="center"/>
    </xf>
    <xf numFmtId="0" fontId="35" fillId="30" borderId="17" xfId="49" applyFont="1" applyFill="1" applyBorder="1" applyAlignment="1">
      <alignment vertical="center" wrapText="1"/>
    </xf>
    <xf numFmtId="9" fontId="35" fillId="30" borderId="17" xfId="49" applyNumberFormat="1" applyFont="1" applyFill="1" applyBorder="1" applyAlignment="1">
      <alignment horizontal="left" vertical="center"/>
    </xf>
    <xf numFmtId="9" fontId="35" fillId="30" borderId="17" xfId="50" applyFont="1" applyFill="1" applyBorder="1" applyAlignment="1">
      <alignment horizontal="center" vertical="center"/>
    </xf>
    <xf numFmtId="9" fontId="35" fillId="30" borderId="17" xfId="49" applyNumberFormat="1" applyFont="1" applyFill="1" applyBorder="1" applyAlignment="1">
      <alignment horizontal="center" vertical="center"/>
    </xf>
    <xf numFmtId="9" fontId="5" fillId="30" borderId="17" xfId="49" applyNumberFormat="1" applyFont="1" applyFill="1" applyBorder="1" applyAlignment="1">
      <alignment horizontal="left" vertical="center"/>
    </xf>
    <xf numFmtId="49" fontId="5" fillId="30" borderId="0" xfId="49" applyNumberFormat="1" applyFont="1" applyFill="1" applyBorder="1" applyAlignment="1" applyProtection="1">
      <alignment horizontal="left" vertical="center" wrapText="1"/>
    </xf>
    <xf numFmtId="49" fontId="5" fillId="30" borderId="0" xfId="49" applyNumberFormat="1" applyFont="1" applyFill="1" applyBorder="1" applyAlignment="1">
      <alignment vertical="center" wrapText="1"/>
    </xf>
    <xf numFmtId="14" fontId="14" fillId="30" borderId="0" xfId="49" applyNumberFormat="1" applyFont="1" applyFill="1" applyAlignment="1">
      <alignment vertical="center"/>
    </xf>
    <xf numFmtId="0" fontId="5" fillId="30" borderId="0" xfId="0" applyFont="1" applyFill="1" applyAlignment="1">
      <alignment vertical="center"/>
    </xf>
    <xf numFmtId="0" fontId="14" fillId="30" borderId="0" xfId="0" applyNumberFormat="1" applyFont="1" applyFill="1" applyAlignment="1">
      <alignment horizontal="right"/>
    </xf>
    <xf numFmtId="0" fontId="5" fillId="30" borderId="0" xfId="31" applyFont="1" applyFill="1"/>
    <xf numFmtId="0" fontId="30" fillId="30" borderId="0" xfId="0" applyNumberFormat="1" applyFont="1" applyFill="1" applyAlignment="1">
      <alignment horizontal="center"/>
    </xf>
    <xf numFmtId="0" fontId="14" fillId="30" borderId="0" xfId="0" applyNumberFormat="1" applyFont="1" applyFill="1" applyAlignment="1"/>
    <xf numFmtId="49" fontId="14" fillId="30" borderId="0" xfId="0" applyNumberFormat="1" applyFont="1" applyFill="1" applyAlignment="1">
      <alignment horizontal="right"/>
    </xf>
    <xf numFmtId="0" fontId="21" fillId="30" borderId="0" xfId="49" applyFont="1" applyFill="1"/>
    <xf numFmtId="3" fontId="5" fillId="30" borderId="0" xfId="49" applyNumberFormat="1" applyFont="1" applyFill="1" applyAlignment="1">
      <alignment horizontal="center"/>
    </xf>
    <xf numFmtId="2" fontId="5" fillId="30" borderId="0" xfId="49" applyNumberFormat="1" applyFont="1" applyFill="1"/>
    <xf numFmtId="167" fontId="48" fillId="30" borderId="0" xfId="49" applyNumberFormat="1" applyFont="1" applyFill="1"/>
    <xf numFmtId="0" fontId="48" fillId="30" borderId="0" xfId="49" applyFont="1" applyFill="1"/>
    <xf numFmtId="3" fontId="48" fillId="30" borderId="0" xfId="49" applyNumberFormat="1" applyFont="1" applyFill="1"/>
    <xf numFmtId="0" fontId="14" fillId="30" borderId="5" xfId="49" applyFont="1" applyFill="1" applyBorder="1" applyAlignment="1">
      <alignment horizontal="center" vertical="center"/>
    </xf>
    <xf numFmtId="9" fontId="14" fillId="30" borderId="5" xfId="49" applyNumberFormat="1" applyFont="1" applyFill="1" applyBorder="1" applyAlignment="1">
      <alignment horizontal="center" vertical="center"/>
    </xf>
    <xf numFmtId="0" fontId="14" fillId="30" borderId="5" xfId="49" applyFont="1" applyFill="1" applyBorder="1" applyAlignment="1">
      <alignment wrapText="1"/>
    </xf>
    <xf numFmtId="3" fontId="14" fillId="30" borderId="75" xfId="49" applyNumberFormat="1" applyFont="1" applyFill="1" applyBorder="1" applyAlignment="1">
      <alignment horizontal="center" vertical="center" wrapText="1"/>
    </xf>
    <xf numFmtId="3" fontId="14" fillId="30" borderId="73" xfId="49" applyNumberFormat="1" applyFont="1" applyFill="1" applyBorder="1" applyAlignment="1">
      <alignment horizontal="center" vertical="center" wrapText="1"/>
    </xf>
    <xf numFmtId="3" fontId="14" fillId="30" borderId="76" xfId="49" applyNumberFormat="1" applyFont="1" applyFill="1" applyBorder="1" applyAlignment="1">
      <alignment horizontal="center" vertical="center" wrapText="1"/>
    </xf>
    <xf numFmtId="3" fontId="66" fillId="30" borderId="0" xfId="49" applyNumberFormat="1" applyFont="1" applyFill="1"/>
    <xf numFmtId="3" fontId="21" fillId="30" borderId="0" xfId="49" applyNumberFormat="1" applyFont="1" applyFill="1"/>
    <xf numFmtId="0" fontId="14" fillId="30" borderId="17" xfId="49" applyFont="1" applyFill="1" applyBorder="1" applyAlignment="1">
      <alignment horizontal="center" vertical="center"/>
    </xf>
    <xf numFmtId="9" fontId="14" fillId="30" borderId="17" xfId="49" applyNumberFormat="1" applyFont="1" applyFill="1" applyBorder="1" applyAlignment="1">
      <alignment horizontal="center" vertical="center"/>
    </xf>
    <xf numFmtId="0" fontId="14" fillId="30" borderId="17" xfId="49" applyFont="1" applyFill="1" applyBorder="1" applyAlignment="1">
      <alignment wrapText="1"/>
    </xf>
    <xf numFmtId="3" fontId="14" fillId="30" borderId="52" xfId="49" applyNumberFormat="1" applyFont="1" applyFill="1" applyBorder="1" applyAlignment="1">
      <alignment horizontal="center" vertical="center"/>
    </xf>
    <xf numFmtId="3" fontId="14" fillId="30" borderId="7" xfId="49" applyNumberFormat="1" applyFont="1" applyFill="1" applyBorder="1" applyAlignment="1">
      <alignment horizontal="center" vertical="center"/>
    </xf>
    <xf numFmtId="3" fontId="14" fillId="30" borderId="53" xfId="49" applyNumberFormat="1" applyFont="1" applyFill="1" applyBorder="1" applyAlignment="1">
      <alignment horizontal="center" vertical="center"/>
    </xf>
    <xf numFmtId="3" fontId="14" fillId="30" borderId="32" xfId="49" applyNumberFormat="1" applyFont="1" applyFill="1" applyBorder="1" applyAlignment="1">
      <alignment horizontal="center" vertical="center"/>
    </xf>
    <xf numFmtId="0" fontId="14" fillId="30" borderId="17" xfId="49" applyFont="1" applyFill="1" applyBorder="1" applyAlignment="1">
      <alignment horizontal="center"/>
    </xf>
    <xf numFmtId="49" fontId="14" fillId="30" borderId="17" xfId="49" applyNumberFormat="1" applyFont="1" applyFill="1" applyBorder="1" applyAlignment="1">
      <alignment wrapText="1"/>
    </xf>
    <xf numFmtId="0" fontId="66" fillId="30" borderId="0" xfId="49" applyFont="1" applyFill="1" applyAlignment="1">
      <alignment vertical="center"/>
    </xf>
    <xf numFmtId="49" fontId="5" fillId="30" borderId="17" xfId="49" applyNumberFormat="1" applyFont="1" applyFill="1" applyBorder="1" applyAlignment="1">
      <alignment horizontal="left" wrapText="1"/>
    </xf>
    <xf numFmtId="0" fontId="37" fillId="30" borderId="17" xfId="49" applyFont="1" applyFill="1" applyBorder="1" applyAlignment="1">
      <alignment horizontal="center" vertical="center"/>
    </xf>
    <xf numFmtId="9" fontId="37" fillId="30" borderId="17" xfId="50" applyFont="1" applyFill="1" applyBorder="1" applyAlignment="1">
      <alignment horizontal="center" vertical="center"/>
    </xf>
    <xf numFmtId="49" fontId="37" fillId="30" borderId="17" xfId="49" applyNumberFormat="1" applyFont="1" applyFill="1" applyBorder="1" applyAlignment="1">
      <alignment horizontal="right" wrapText="1"/>
    </xf>
    <xf numFmtId="0" fontId="5" fillId="30" borderId="17" xfId="49" applyFont="1" applyFill="1" applyBorder="1" applyAlignment="1">
      <alignment vertical="center" wrapText="1"/>
    </xf>
    <xf numFmtId="0" fontId="14" fillId="30" borderId="24" xfId="49" applyFont="1" applyFill="1" applyBorder="1" applyAlignment="1">
      <alignment horizontal="center" vertical="center"/>
    </xf>
    <xf numFmtId="3" fontId="14" fillId="30" borderId="52" xfId="49" applyNumberFormat="1" applyFont="1" applyFill="1" applyBorder="1" applyAlignment="1">
      <alignment horizontal="center" vertical="center" wrapText="1"/>
    </xf>
    <xf numFmtId="3" fontId="14" fillId="30" borderId="7" xfId="49" applyNumberFormat="1" applyFont="1" applyFill="1" applyBorder="1" applyAlignment="1">
      <alignment horizontal="center" vertical="center" wrapText="1"/>
    </xf>
    <xf numFmtId="3" fontId="14" fillId="30" borderId="53" xfId="49" applyNumberFormat="1" applyFont="1" applyFill="1" applyBorder="1" applyAlignment="1">
      <alignment horizontal="center" vertical="center" wrapText="1"/>
    </xf>
    <xf numFmtId="3" fontId="14" fillId="30" borderId="32" xfId="49" applyNumberFormat="1" applyFont="1" applyFill="1" applyBorder="1" applyAlignment="1">
      <alignment horizontal="center" vertical="center" wrapText="1"/>
    </xf>
    <xf numFmtId="0" fontId="14" fillId="30" borderId="36" xfId="49" applyFont="1" applyFill="1" applyBorder="1" applyAlignment="1">
      <alignment horizontal="center" vertical="center"/>
    </xf>
    <xf numFmtId="3" fontId="14" fillId="30" borderId="56" xfId="49" applyNumberFormat="1" applyFont="1" applyFill="1" applyBorder="1" applyAlignment="1">
      <alignment horizontal="center" vertical="center" wrapText="1"/>
    </xf>
    <xf numFmtId="3" fontId="14" fillId="30" borderId="77" xfId="49" applyNumberFormat="1" applyFont="1" applyFill="1" applyBorder="1" applyAlignment="1">
      <alignment horizontal="center" vertical="center" wrapText="1"/>
    </xf>
    <xf numFmtId="3" fontId="14" fillId="30" borderId="57" xfId="49" applyNumberFormat="1" applyFont="1" applyFill="1" applyBorder="1" applyAlignment="1">
      <alignment horizontal="center" vertical="center" wrapText="1"/>
    </xf>
    <xf numFmtId="3" fontId="14" fillId="30" borderId="79" xfId="49" applyNumberFormat="1" applyFont="1" applyFill="1" applyBorder="1" applyAlignment="1">
      <alignment horizontal="center" vertical="center" wrapText="1"/>
    </xf>
    <xf numFmtId="3" fontId="5" fillId="30" borderId="62" xfId="49" applyNumberFormat="1" applyFont="1" applyFill="1" applyBorder="1" applyAlignment="1">
      <alignment horizontal="center" vertical="center" wrapText="1"/>
    </xf>
    <xf numFmtId="0" fontId="14" fillId="30" borderId="30" xfId="49" applyFont="1" applyFill="1" applyBorder="1" applyAlignment="1">
      <alignment horizontal="center" vertical="center"/>
    </xf>
    <xf numFmtId="9" fontId="14" fillId="30" borderId="30" xfId="49" applyNumberFormat="1" applyFont="1" applyFill="1" applyBorder="1" applyAlignment="1">
      <alignment horizontal="center" vertical="center"/>
    </xf>
    <xf numFmtId="49" fontId="14" fillId="30" borderId="21" xfId="49" applyNumberFormat="1" applyFont="1" applyFill="1" applyBorder="1" applyAlignment="1">
      <alignment wrapText="1"/>
    </xf>
    <xf numFmtId="49" fontId="14" fillId="30" borderId="0" xfId="49" applyNumberFormat="1" applyFont="1" applyFill="1" applyBorder="1" applyAlignment="1">
      <alignment vertical="center"/>
    </xf>
    <xf numFmtId="167" fontId="14" fillId="30" borderId="0" xfId="49" applyNumberFormat="1" applyFont="1" applyFill="1" applyBorder="1" applyAlignment="1">
      <alignment horizontal="right" vertical="center"/>
    </xf>
    <xf numFmtId="0" fontId="80" fillId="30" borderId="0" xfId="49" applyFont="1" applyFill="1"/>
    <xf numFmtId="167" fontId="14" fillId="34" borderId="1" xfId="49" applyNumberFormat="1" applyFont="1" applyFill="1" applyBorder="1" applyAlignment="1">
      <alignment horizontal="center" wrapText="1"/>
    </xf>
    <xf numFmtId="3" fontId="14" fillId="34" borderId="2" xfId="49" applyNumberFormat="1" applyFont="1" applyFill="1" applyBorder="1" applyAlignment="1">
      <alignment horizontal="center" wrapText="1"/>
    </xf>
    <xf numFmtId="3" fontId="14" fillId="30" borderId="17" xfId="49" applyNumberFormat="1" applyFont="1" applyFill="1" applyBorder="1" applyAlignment="1">
      <alignment horizontal="center" vertical="center"/>
    </xf>
    <xf numFmtId="167" fontId="14" fillId="30" borderId="24" xfId="49" applyNumberFormat="1" applyFont="1" applyFill="1" applyBorder="1" applyAlignment="1">
      <alignment horizontal="center" vertical="center"/>
    </xf>
    <xf numFmtId="167" fontId="5" fillId="36" borderId="24" xfId="49" applyNumberFormat="1" applyFont="1" applyFill="1" applyBorder="1" applyAlignment="1">
      <alignment horizontal="center" vertical="center"/>
    </xf>
    <xf numFmtId="3" fontId="5" fillId="36" borderId="17" xfId="49" applyNumberFormat="1" applyFont="1" applyFill="1" applyBorder="1" applyAlignment="1">
      <alignment horizontal="center" vertical="center"/>
    </xf>
    <xf numFmtId="3" fontId="14" fillId="21" borderId="17" xfId="49" applyNumberFormat="1" applyFont="1" applyFill="1" applyBorder="1" applyAlignment="1">
      <alignment horizontal="center" vertical="center"/>
    </xf>
    <xf numFmtId="0" fontId="6" fillId="30" borderId="0" xfId="49" applyFont="1" applyFill="1" applyBorder="1" applyAlignment="1">
      <alignment vertical="center"/>
    </xf>
    <xf numFmtId="0" fontId="6" fillId="30" borderId="0" xfId="49" applyFont="1" applyFill="1" applyBorder="1" applyAlignment="1">
      <alignment horizontal="right" vertical="center"/>
    </xf>
    <xf numFmtId="14" fontId="62" fillId="30" borderId="0" xfId="49" applyNumberFormat="1" applyFont="1" applyFill="1"/>
    <xf numFmtId="0" fontId="62" fillId="30" borderId="0" xfId="0" applyFont="1" applyFill="1" applyAlignment="1">
      <alignment vertical="center"/>
    </xf>
    <xf numFmtId="0" fontId="29" fillId="21" borderId="0" xfId="49" applyFont="1" applyFill="1"/>
    <xf numFmtId="0" fontId="46" fillId="30" borderId="0" xfId="49" applyFont="1" applyFill="1"/>
    <xf numFmtId="0" fontId="46" fillId="30" borderId="0" xfId="49" applyFont="1" applyFill="1" applyAlignment="1">
      <alignment horizontal="center"/>
    </xf>
    <xf numFmtId="0" fontId="46" fillId="30" borderId="0" xfId="49" applyFont="1" applyFill="1" applyAlignment="1">
      <alignment horizontal="left"/>
    </xf>
    <xf numFmtId="0" fontId="12" fillId="30" borderId="0" xfId="49" applyFont="1" applyFill="1" applyBorder="1" applyAlignment="1">
      <alignment horizontal="center"/>
    </xf>
    <xf numFmtId="0" fontId="12" fillId="30" borderId="0" xfId="49" applyFont="1" applyFill="1" applyBorder="1" applyAlignment="1" applyProtection="1">
      <alignment wrapText="1"/>
    </xf>
    <xf numFmtId="0" fontId="12" fillId="30" borderId="0" xfId="49" applyFont="1" applyFill="1" applyBorder="1" applyAlignment="1" applyProtection="1">
      <alignment horizontal="center" wrapText="1"/>
    </xf>
    <xf numFmtId="0" fontId="29" fillId="30" borderId="0" xfId="49" applyFont="1" applyFill="1"/>
    <xf numFmtId="0" fontId="73" fillId="30" borderId="0" xfId="49" applyFont="1" applyFill="1"/>
    <xf numFmtId="0" fontId="31" fillId="30" borderId="0" xfId="49" applyFont="1" applyFill="1"/>
    <xf numFmtId="0" fontId="46" fillId="30" borderId="0" xfId="49" applyFont="1" applyFill="1" applyAlignment="1" applyProtection="1">
      <alignment wrapText="1"/>
    </xf>
    <xf numFmtId="0" fontId="29" fillId="30" borderId="0" xfId="49" applyFont="1" applyFill="1" applyAlignment="1" applyProtection="1">
      <alignment wrapText="1"/>
    </xf>
    <xf numFmtId="0" fontId="12" fillId="30" borderId="0" xfId="49" applyFont="1" applyFill="1" applyAlignment="1" applyProtection="1">
      <alignment wrapText="1"/>
    </xf>
    <xf numFmtId="0" fontId="46" fillId="30" borderId="0" xfId="49" applyFont="1" applyFill="1" applyBorder="1" applyAlignment="1" applyProtection="1">
      <alignment horizontal="left" wrapText="1"/>
    </xf>
    <xf numFmtId="0" fontId="46" fillId="30" borderId="0" xfId="49" applyFont="1" applyFill="1" applyAlignment="1" applyProtection="1">
      <alignment horizontal="center" wrapText="1"/>
    </xf>
    <xf numFmtId="0" fontId="12" fillId="30" borderId="0" xfId="49" applyFont="1" applyFill="1" applyAlignment="1">
      <alignment horizontal="center"/>
    </xf>
    <xf numFmtId="0" fontId="46" fillId="30" borderId="0" xfId="49" applyFont="1" applyFill="1" applyAlignment="1">
      <alignment vertical="center"/>
    </xf>
    <xf numFmtId="14" fontId="12" fillId="30" borderId="0" xfId="49" applyNumberFormat="1" applyFont="1" applyFill="1" applyAlignment="1">
      <alignment vertical="center"/>
    </xf>
    <xf numFmtId="0" fontId="46" fillId="30" borderId="0" xfId="49" applyFont="1" applyFill="1" applyAlignment="1">
      <alignment horizontal="center" vertical="center"/>
    </xf>
    <xf numFmtId="49" fontId="46" fillId="30" borderId="0" xfId="49" applyNumberFormat="1" applyFont="1" applyFill="1" applyAlignment="1">
      <alignment horizontal="center"/>
    </xf>
    <xf numFmtId="0" fontId="50" fillId="30" borderId="0" xfId="49" applyFont="1" applyFill="1"/>
    <xf numFmtId="0" fontId="29" fillId="30" borderId="0" xfId="49" applyFont="1" applyFill="1" applyAlignment="1">
      <alignment horizontal="left" indent="1"/>
    </xf>
    <xf numFmtId="0" fontId="46" fillId="30" borderId="0" xfId="49" applyFont="1" applyFill="1" applyBorder="1" applyAlignment="1" applyProtection="1">
      <alignment horizontal="center" wrapText="1"/>
    </xf>
    <xf numFmtId="0" fontId="46" fillId="30" borderId="0" xfId="49" applyFont="1" applyFill="1" applyAlignment="1" applyProtection="1">
      <alignment horizontal="left" wrapText="1"/>
    </xf>
    <xf numFmtId="0" fontId="47" fillId="30" borderId="0" xfId="49" applyFont="1" applyFill="1" applyBorder="1" applyAlignment="1">
      <alignment vertical="center"/>
    </xf>
    <xf numFmtId="0" fontId="47" fillId="30" borderId="0" xfId="49" applyFont="1" applyFill="1" applyBorder="1" applyAlignment="1">
      <alignment horizontal="right" vertical="center"/>
    </xf>
    <xf numFmtId="0" fontId="29" fillId="30" borderId="20" xfId="49" applyFont="1" applyFill="1" applyBorder="1" applyAlignment="1" applyProtection="1">
      <alignment wrapText="1"/>
    </xf>
    <xf numFmtId="0" fontId="82" fillId="30" borderId="0" xfId="2" quotePrefix="1" applyFont="1" applyFill="1" applyAlignment="1" applyProtection="1"/>
    <xf numFmtId="0" fontId="83" fillId="30" borderId="0" xfId="2" quotePrefix="1" applyFont="1" applyFill="1" applyAlignment="1" applyProtection="1"/>
    <xf numFmtId="0" fontId="82" fillId="30" borderId="0" xfId="2" applyFont="1" applyFill="1" applyAlignment="1" applyProtection="1"/>
    <xf numFmtId="0" fontId="12" fillId="30" borderId="0" xfId="49" applyFont="1" applyFill="1"/>
    <xf numFmtId="174" fontId="74" fillId="30" borderId="0" xfId="49" applyNumberFormat="1" applyFont="1" applyFill="1" applyAlignment="1">
      <alignment horizontal="center"/>
    </xf>
    <xf numFmtId="174" fontId="74" fillId="30" borderId="0" xfId="49" applyNumberFormat="1" applyFont="1" applyFill="1" applyAlignment="1" applyProtection="1">
      <alignment horizontal="center" wrapText="1"/>
    </xf>
    <xf numFmtId="174" fontId="74" fillId="30" borderId="0" xfId="49" applyNumberFormat="1" applyFont="1" applyFill="1" applyAlignment="1">
      <alignment horizontal="center" vertical="center"/>
    </xf>
    <xf numFmtId="174" fontId="74" fillId="30" borderId="0" xfId="49" applyNumberFormat="1" applyFont="1" applyFill="1" applyAlignment="1">
      <alignment vertical="center"/>
    </xf>
    <xf numFmtId="174" fontId="74" fillId="30" borderId="0" xfId="49" applyNumberFormat="1" applyFont="1" applyFill="1" applyBorder="1" applyAlignment="1" applyProtection="1">
      <alignment horizontal="center" wrapText="1"/>
    </xf>
    <xf numFmtId="0" fontId="9" fillId="0" borderId="0" xfId="0" applyFont="1" applyFill="1" applyBorder="1"/>
    <xf numFmtId="0" fontId="6" fillId="0" borderId="0" xfId="0" applyFont="1" applyBorder="1" applyAlignment="1">
      <alignment vertical="center"/>
    </xf>
    <xf numFmtId="3" fontId="21" fillId="30" borderId="0" xfId="32" applyNumberFormat="1" applyFill="1"/>
    <xf numFmtId="0" fontId="11" fillId="30" borderId="0" xfId="2" quotePrefix="1" applyFont="1" applyFill="1" applyAlignment="1" applyProtection="1"/>
    <xf numFmtId="0" fontId="7" fillId="30" borderId="0" xfId="0" applyFont="1" applyFill="1"/>
    <xf numFmtId="0" fontId="10" fillId="30" borderId="0" xfId="2" quotePrefix="1" applyFill="1" applyAlignment="1" applyProtection="1"/>
    <xf numFmtId="0" fontId="11" fillId="30" borderId="0" xfId="2" applyFont="1" applyFill="1" applyAlignment="1" applyProtection="1"/>
    <xf numFmtId="0" fontId="39" fillId="0" borderId="0" xfId="32" applyFont="1"/>
    <xf numFmtId="0" fontId="39" fillId="0" borderId="0" xfId="32" applyFont="1" applyBorder="1"/>
    <xf numFmtId="14" fontId="86" fillId="0" borderId="0" xfId="0" applyNumberFormat="1" applyFont="1" applyFill="1" applyBorder="1" applyAlignment="1">
      <alignment horizontal="left"/>
    </xf>
    <xf numFmtId="0" fontId="12" fillId="22" borderId="9" xfId="0" quotePrefix="1" applyFont="1" applyFill="1" applyBorder="1" applyAlignment="1" applyProtection="1">
      <alignment horizontal="center" vertical="center"/>
    </xf>
    <xf numFmtId="0" fontId="85" fillId="0" borderId="0" xfId="32" applyFont="1" applyBorder="1" applyAlignment="1">
      <alignment vertical="center"/>
    </xf>
    <xf numFmtId="0" fontId="85" fillId="0" borderId="0" xfId="32" applyFont="1" applyBorder="1" applyAlignment="1">
      <alignment horizontal="right" vertical="center"/>
    </xf>
    <xf numFmtId="3" fontId="14" fillId="22" borderId="3" xfId="0" applyNumberFormat="1" applyFont="1" applyFill="1" applyBorder="1" applyAlignment="1" applyProtection="1">
      <alignment vertical="center"/>
    </xf>
    <xf numFmtId="10" fontId="5" fillId="22" borderId="83" xfId="1" applyNumberFormat="1" applyFont="1" applyFill="1" applyBorder="1" applyAlignment="1">
      <alignment horizontal="right" vertical="center"/>
    </xf>
    <xf numFmtId="10" fontId="5" fillId="22" borderId="12" xfId="1" applyNumberFormat="1" applyFont="1" applyFill="1" applyBorder="1" applyAlignment="1">
      <alignment horizontal="right" vertical="center"/>
    </xf>
    <xf numFmtId="2" fontId="5" fillId="22" borderId="83" xfId="1" applyNumberFormat="1" applyFont="1" applyFill="1" applyBorder="1" applyAlignment="1">
      <alignment horizontal="right" vertical="center"/>
    </xf>
    <xf numFmtId="2" fontId="5" fillId="22" borderId="12" xfId="1" applyNumberFormat="1" applyFont="1" applyFill="1" applyBorder="1" applyAlignment="1">
      <alignment horizontal="right" vertical="center"/>
    </xf>
    <xf numFmtId="4" fontId="5" fillId="22" borderId="83" xfId="1" applyNumberFormat="1" applyFont="1" applyFill="1" applyBorder="1" applyAlignment="1">
      <alignment horizontal="right" vertical="center"/>
    </xf>
    <xf numFmtId="4" fontId="5" fillId="22" borderId="12" xfId="1" applyNumberFormat="1" applyFont="1" applyFill="1" applyBorder="1" applyAlignment="1">
      <alignment horizontal="right" vertical="center"/>
    </xf>
    <xf numFmtId="169" fontId="5" fillId="22" borderId="83" xfId="1" applyNumberFormat="1" applyFont="1" applyFill="1" applyBorder="1" applyAlignment="1">
      <alignment horizontal="right" vertical="center"/>
    </xf>
    <xf numFmtId="169" fontId="5" fillId="22" borderId="12" xfId="1" applyNumberFormat="1" applyFont="1" applyFill="1" applyBorder="1" applyAlignment="1">
      <alignment horizontal="right" vertical="center"/>
    </xf>
    <xf numFmtId="2" fontId="5" fillId="22" borderId="84" xfId="1" applyNumberFormat="1" applyFont="1" applyFill="1" applyBorder="1" applyAlignment="1">
      <alignment horizontal="right" vertical="center"/>
    </xf>
    <xf numFmtId="10" fontId="5" fillId="22" borderId="16" xfId="1" applyNumberFormat="1" applyFont="1" applyFill="1" applyBorder="1" applyAlignment="1">
      <alignment horizontal="right" vertical="center"/>
    </xf>
    <xf numFmtId="49" fontId="67" fillId="21" borderId="26" xfId="32" applyNumberFormat="1" applyFont="1" applyFill="1" applyBorder="1" applyAlignment="1" applyProtection="1">
      <alignment horizontal="left" vertical="center"/>
    </xf>
    <xf numFmtId="0" fontId="53" fillId="30" borderId="0" xfId="52" applyFont="1" applyFill="1" applyAlignment="1">
      <alignment vertical="center"/>
    </xf>
    <xf numFmtId="0" fontId="85" fillId="30" borderId="0" xfId="52" applyFont="1" applyFill="1" applyAlignment="1"/>
    <xf numFmtId="0" fontId="53" fillId="30" borderId="0" xfId="52" applyFont="1" applyFill="1"/>
    <xf numFmtId="0" fontId="85" fillId="30" borderId="0" xfId="52" applyFont="1" applyFill="1" applyAlignment="1">
      <alignment horizontal="right"/>
    </xf>
    <xf numFmtId="0" fontId="53" fillId="30" borderId="0" xfId="32" applyFont="1" applyFill="1"/>
    <xf numFmtId="0" fontId="62" fillId="30" borderId="0" xfId="32" applyFont="1" applyFill="1" applyAlignment="1">
      <alignment wrapText="1"/>
    </xf>
    <xf numFmtId="0" fontId="62" fillId="30" borderId="0" xfId="32" applyFont="1" applyFill="1" applyAlignment="1">
      <alignment horizontal="center"/>
    </xf>
    <xf numFmtId="0" fontId="53" fillId="30" borderId="0" xfId="52" applyFont="1" applyFill="1" applyAlignment="1"/>
    <xf numFmtId="3" fontId="53" fillId="21" borderId="0" xfId="52" applyNumberFormat="1" applyFont="1" applyFill="1" applyBorder="1" applyAlignment="1" applyProtection="1">
      <alignment horizontal="right"/>
      <protection locked="0"/>
    </xf>
    <xf numFmtId="3" fontId="53" fillId="29" borderId="0" xfId="52" applyNumberFormat="1" applyFont="1" applyFill="1" applyBorder="1" applyAlignment="1" applyProtection="1">
      <alignment horizontal="right"/>
      <protection locked="0"/>
    </xf>
    <xf numFmtId="0" fontId="53" fillId="29" borderId="0" xfId="52" applyFont="1" applyFill="1" applyAlignment="1"/>
    <xf numFmtId="0" fontId="53" fillId="30" borderId="0" xfId="52" applyFont="1" applyFill="1" applyBorder="1"/>
    <xf numFmtId="3" fontId="53" fillId="30" borderId="0" xfId="52" applyNumberFormat="1" applyFont="1" applyFill="1" applyBorder="1"/>
    <xf numFmtId="10" fontId="53" fillId="30" borderId="0" xfId="52" applyNumberFormat="1" applyFont="1" applyFill="1"/>
    <xf numFmtId="167" fontId="53" fillId="21" borderId="0" xfId="52" applyNumberFormat="1" applyFont="1" applyFill="1" applyBorder="1" applyAlignment="1" applyProtection="1">
      <alignment vertical="center"/>
      <protection locked="0"/>
    </xf>
    <xf numFmtId="14" fontId="62" fillId="30" borderId="0" xfId="52" applyNumberFormat="1" applyFont="1" applyFill="1" applyAlignment="1"/>
    <xf numFmtId="167" fontId="53" fillId="21" borderId="0" xfId="52" applyNumberFormat="1" applyFont="1" applyFill="1" applyBorder="1" applyAlignment="1">
      <alignment vertical="center"/>
    </xf>
    <xf numFmtId="0" fontId="53" fillId="30" borderId="0" xfId="52" applyNumberFormat="1" applyFont="1" applyFill="1" applyAlignment="1"/>
    <xf numFmtId="0" fontId="62" fillId="30" borderId="0" xfId="52" applyNumberFormat="1" applyFont="1" applyFill="1" applyAlignment="1">
      <alignment horizontal="right"/>
    </xf>
    <xf numFmtId="3" fontId="53" fillId="30" borderId="0" xfId="52" applyNumberFormat="1" applyFont="1" applyFill="1"/>
    <xf numFmtId="167" fontId="53" fillId="21" borderId="0" xfId="52" applyNumberFormat="1" applyFont="1" applyFill="1" applyBorder="1" applyAlignment="1" applyProtection="1">
      <alignment horizontal="right" vertical="center"/>
      <protection locked="0"/>
    </xf>
    <xf numFmtId="167" fontId="53" fillId="21" borderId="0" xfId="52" applyNumberFormat="1" applyFont="1" applyFill="1" applyBorder="1" applyAlignment="1" applyProtection="1">
      <alignment vertical="center"/>
    </xf>
    <xf numFmtId="49" fontId="53" fillId="30" borderId="0" xfId="52" applyNumberFormat="1" applyFont="1" applyFill="1" applyAlignment="1">
      <alignment horizontal="right"/>
    </xf>
    <xf numFmtId="0" fontId="53" fillId="30" borderId="0" xfId="52" applyNumberFormat="1" applyFont="1" applyFill="1"/>
    <xf numFmtId="0" fontId="90" fillId="30" borderId="0" xfId="52" applyNumberFormat="1" applyFont="1" applyFill="1" applyAlignment="1">
      <alignment horizontal="center"/>
    </xf>
    <xf numFmtId="167" fontId="53" fillId="21" borderId="0" xfId="52" applyNumberFormat="1" applyFont="1" applyFill="1" applyBorder="1" applyAlignment="1">
      <alignment horizontal="right" vertical="center"/>
    </xf>
    <xf numFmtId="0" fontId="90" fillId="30" borderId="0" xfId="31" applyFont="1" applyFill="1" applyBorder="1"/>
    <xf numFmtId="0" fontId="62" fillId="30" borderId="0" xfId="52" applyFont="1" applyFill="1" applyBorder="1"/>
    <xf numFmtId="0" fontId="62" fillId="30" borderId="0" xfId="52" applyFont="1" applyFill="1"/>
    <xf numFmtId="0" fontId="53" fillId="30" borderId="0" xfId="52" applyFont="1" applyFill="1" applyBorder="1" applyAlignment="1"/>
    <xf numFmtId="0" fontId="92" fillId="0" borderId="23" xfId="2" applyNumberFormat="1" applyFont="1" applyFill="1" applyBorder="1" applyAlignment="1" applyProtection="1">
      <alignment horizontal="left" vertical="center"/>
      <protection locked="0"/>
    </xf>
    <xf numFmtId="0" fontId="5" fillId="0" borderId="74" xfId="0" applyFont="1" applyFill="1" applyBorder="1" applyAlignment="1" applyProtection="1">
      <alignment horizontal="center" vertical="center"/>
    </xf>
    <xf numFmtId="0" fontId="35" fillId="0" borderId="36" xfId="0" applyFont="1" applyBorder="1" applyAlignment="1">
      <alignment horizontal="center" vertical="center"/>
    </xf>
    <xf numFmtId="0" fontId="92" fillId="0" borderId="15" xfId="2" applyNumberFormat="1" applyFont="1" applyFill="1" applyBorder="1" applyAlignment="1" applyProtection="1">
      <alignment horizontal="left" vertical="center"/>
      <protection locked="0"/>
    </xf>
    <xf numFmtId="0" fontId="92" fillId="0" borderId="23" xfId="2" quotePrefix="1" applyNumberFormat="1" applyFont="1" applyFill="1" applyBorder="1" applyAlignment="1" applyProtection="1">
      <alignment horizontal="left" vertical="center"/>
      <protection locked="0"/>
    </xf>
    <xf numFmtId="0" fontId="92" fillId="0" borderId="28" xfId="2" applyNumberFormat="1" applyFont="1" applyFill="1" applyBorder="1" applyAlignment="1" applyProtection="1">
      <alignment horizontal="left" vertical="center"/>
      <protection locked="0"/>
    </xf>
    <xf numFmtId="0" fontId="92" fillId="0" borderId="19" xfId="2" applyNumberFormat="1" applyFont="1" applyFill="1" applyBorder="1" applyAlignment="1" applyProtection="1">
      <alignment horizontal="left" vertical="center"/>
      <protection locked="0"/>
    </xf>
    <xf numFmtId="0" fontId="92" fillId="0" borderId="30" xfId="2" applyNumberFormat="1" applyFont="1" applyFill="1" applyBorder="1" applyAlignment="1" applyProtection="1">
      <alignment horizontal="left" vertical="center"/>
      <protection locked="0"/>
    </xf>
    <xf numFmtId="0" fontId="5" fillId="0" borderId="0" xfId="32" applyFont="1" applyAlignment="1">
      <alignment vertical="center"/>
    </xf>
    <xf numFmtId="0" fontId="6" fillId="0" borderId="0" xfId="32" applyFont="1" applyAlignment="1"/>
    <xf numFmtId="0" fontId="9" fillId="0" borderId="0" xfId="32" applyFont="1" applyFill="1"/>
    <xf numFmtId="0" fontId="13" fillId="0" borderId="0" xfId="32" applyFont="1" applyFill="1" applyBorder="1" applyAlignment="1">
      <alignment horizontal="center"/>
    </xf>
    <xf numFmtId="49" fontId="34" fillId="26" borderId="52" xfId="32" applyNumberFormat="1" applyFont="1" applyFill="1" applyBorder="1" applyAlignment="1" applyProtection="1">
      <alignment horizontal="center" vertical="center" wrapText="1"/>
    </xf>
    <xf numFmtId="0" fontId="34" fillId="26" borderId="53" xfId="32" applyFont="1" applyFill="1" applyBorder="1" applyAlignment="1" applyProtection="1">
      <alignment horizontal="left" vertical="center"/>
    </xf>
    <xf numFmtId="0" fontId="39" fillId="26" borderId="17" xfId="32" applyFont="1" applyFill="1" applyBorder="1" applyAlignment="1">
      <alignment horizontal="center" vertical="center" wrapText="1"/>
    </xf>
    <xf numFmtId="166" fontId="35" fillId="21" borderId="0" xfId="32" applyNumberFormat="1" applyFont="1" applyFill="1" applyBorder="1"/>
    <xf numFmtId="49" fontId="35" fillId="0" borderId="52" xfId="32" applyNumberFormat="1" applyFont="1" applyBorder="1" applyAlignment="1" applyProtection="1">
      <alignment horizontal="center" vertical="center" wrapText="1"/>
    </xf>
    <xf numFmtId="0" fontId="35" fillId="0" borderId="53" xfId="32" applyFont="1" applyBorder="1" applyAlignment="1"/>
    <xf numFmtId="0" fontId="39" fillId="21" borderId="5" xfId="32" applyFont="1" applyFill="1" applyBorder="1" applyAlignment="1">
      <alignment horizontal="center" vertical="center" wrapText="1"/>
    </xf>
    <xf numFmtId="0" fontId="35" fillId="0" borderId="0" xfId="32" applyFont="1" applyAlignment="1"/>
    <xf numFmtId="0" fontId="35" fillId="21" borderId="53" xfId="32" applyFont="1" applyFill="1" applyBorder="1" applyAlignment="1" applyProtection="1">
      <alignment vertical="center"/>
    </xf>
    <xf numFmtId="0" fontId="34" fillId="26" borderId="53" xfId="32" applyFont="1" applyFill="1" applyBorder="1" applyAlignment="1" applyProtection="1">
      <alignment horizontal="left" vertical="center" wrapText="1"/>
    </xf>
    <xf numFmtId="0" fontId="39" fillId="21" borderId="17" xfId="32" applyFont="1" applyFill="1" applyBorder="1" applyAlignment="1">
      <alignment horizontal="center" vertical="center" wrapText="1"/>
    </xf>
    <xf numFmtId="0" fontId="35" fillId="21" borderId="0" xfId="32" applyFont="1" applyFill="1" applyBorder="1" applyAlignment="1"/>
    <xf numFmtId="49" fontId="35" fillId="0" borderId="54" xfId="32" applyNumberFormat="1" applyFont="1" applyBorder="1" applyAlignment="1" applyProtection="1">
      <alignment horizontal="center" vertical="center" wrapText="1"/>
    </xf>
    <xf numFmtId="0" fontId="35" fillId="21" borderId="53" xfId="32" applyFont="1" applyFill="1" applyBorder="1" applyAlignment="1" applyProtection="1">
      <alignment horizontal="left" vertical="center" wrapText="1"/>
    </xf>
    <xf numFmtId="14" fontId="34" fillId="0" borderId="0" xfId="32" applyNumberFormat="1" applyFont="1" applyFill="1" applyAlignment="1"/>
    <xf numFmtId="0" fontId="35" fillId="0" borderId="0" xfId="32" applyFont="1" applyFill="1"/>
    <xf numFmtId="167" fontId="35" fillId="21" borderId="0" xfId="32" applyNumberFormat="1" applyFont="1" applyFill="1" applyBorder="1" applyAlignment="1">
      <alignment vertical="center"/>
    </xf>
    <xf numFmtId="0" fontId="35" fillId="0" borderId="0" xfId="32" applyNumberFormat="1" applyFont="1" applyFill="1" applyAlignment="1"/>
    <xf numFmtId="167" fontId="35" fillId="21" borderId="0" xfId="32" applyNumberFormat="1" applyFont="1" applyFill="1" applyBorder="1" applyAlignment="1" applyProtection="1">
      <alignment horizontal="right" vertical="center"/>
      <protection locked="0"/>
    </xf>
    <xf numFmtId="167" fontId="35" fillId="21" borderId="0" xfId="32" applyNumberFormat="1" applyFont="1" applyFill="1" applyBorder="1" applyAlignment="1" applyProtection="1">
      <alignment vertical="center"/>
    </xf>
    <xf numFmtId="0" fontId="36" fillId="0" borderId="0" xfId="32" applyNumberFormat="1" applyFont="1" applyFill="1" applyAlignment="1">
      <alignment horizontal="center"/>
    </xf>
    <xf numFmtId="167" fontId="35" fillId="21" borderId="0" xfId="32" applyNumberFormat="1" applyFont="1" applyFill="1" applyBorder="1" applyAlignment="1">
      <alignment horizontal="right" vertical="center"/>
    </xf>
    <xf numFmtId="167" fontId="35" fillId="21" borderId="0" xfId="32" applyNumberFormat="1" applyFont="1" applyFill="1" applyBorder="1" applyAlignment="1" applyProtection="1">
      <alignment horizontal="right" vertical="center"/>
    </xf>
    <xf numFmtId="0" fontId="34" fillId="0" borderId="0" xfId="32" applyFont="1"/>
    <xf numFmtId="3" fontId="34" fillId="0" borderId="0" xfId="32" applyNumberFormat="1" applyFont="1"/>
    <xf numFmtId="0" fontId="35" fillId="0" borderId="0" xfId="32" applyFont="1" applyAlignment="1">
      <alignment vertical="center"/>
    </xf>
    <xf numFmtId="0" fontId="7" fillId="30" borderId="0" xfId="32" applyFont="1" applyFill="1" applyAlignment="1">
      <alignment horizontal="center"/>
    </xf>
    <xf numFmtId="0" fontId="5" fillId="30" borderId="0" xfId="32" applyFont="1" applyFill="1" applyBorder="1" applyAlignment="1">
      <alignment horizontal="center"/>
    </xf>
    <xf numFmtId="3" fontId="14" fillId="30" borderId="0" xfId="32" applyNumberFormat="1" applyFont="1" applyFill="1" applyBorder="1" applyAlignment="1">
      <alignment horizontal="center" vertical="center"/>
    </xf>
    <xf numFmtId="0" fontId="0" fillId="29" borderId="0" xfId="0" applyFill="1" applyAlignment="1">
      <alignment horizontal="center"/>
    </xf>
    <xf numFmtId="0" fontId="35" fillId="30" borderId="0" xfId="0" applyFont="1" applyFill="1" applyAlignment="1">
      <alignment horizontal="center"/>
    </xf>
    <xf numFmtId="0" fontId="34" fillId="30" borderId="0" xfId="0" applyFont="1" applyFill="1" applyAlignment="1">
      <alignment horizontal="center"/>
    </xf>
    <xf numFmtId="0" fontId="29" fillId="30" borderId="0" xfId="0" applyNumberFormat="1" applyFont="1" applyFill="1" applyAlignment="1">
      <alignment horizontal="center"/>
    </xf>
    <xf numFmtId="49" fontId="35" fillId="30" borderId="31" xfId="49" applyNumberFormat="1" applyFont="1" applyFill="1" applyBorder="1" applyAlignment="1" applyProtection="1">
      <alignment horizontal="left" vertical="center" wrapText="1"/>
    </xf>
    <xf numFmtId="49" fontId="36" fillId="30" borderId="7" xfId="49" applyNumberFormat="1" applyFont="1" applyFill="1" applyBorder="1" applyAlignment="1" applyProtection="1">
      <alignment horizontal="left" vertical="center" wrapText="1"/>
    </xf>
    <xf numFmtId="49" fontId="36" fillId="30" borderId="63" xfId="49" applyNumberFormat="1" applyFont="1" applyFill="1" applyBorder="1" applyAlignment="1" applyProtection="1">
      <alignment horizontal="left" vertical="center" wrapText="1"/>
    </xf>
    <xf numFmtId="174" fontId="84" fillId="30" borderId="0" xfId="49" applyNumberFormat="1" applyFont="1" applyFill="1" applyAlignment="1">
      <alignment horizontal="center"/>
    </xf>
    <xf numFmtId="0" fontId="29" fillId="30" borderId="0" xfId="49" applyFont="1" applyFill="1" applyAlignment="1">
      <alignment horizontal="center"/>
    </xf>
    <xf numFmtId="0" fontId="29" fillId="30" borderId="0" xfId="49" applyFont="1" applyFill="1" applyAlignment="1" applyProtection="1">
      <alignment horizontal="center" wrapText="1"/>
    </xf>
    <xf numFmtId="0" fontId="12" fillId="30" borderId="0" xfId="49" applyFont="1" applyFill="1" applyAlignment="1" applyProtection="1">
      <alignment horizontal="center" wrapText="1"/>
    </xf>
    <xf numFmtId="0" fontId="29" fillId="21" borderId="0" xfId="49" applyFont="1" applyFill="1" applyAlignment="1">
      <alignment horizontal="center"/>
    </xf>
    <xf numFmtId="0" fontId="12" fillId="30" borderId="0" xfId="0" applyNumberFormat="1" applyFont="1" applyFill="1" applyAlignment="1">
      <alignment horizontal="center"/>
    </xf>
    <xf numFmtId="0" fontId="46" fillId="30" borderId="0" xfId="0" applyNumberFormat="1" applyFont="1" applyFill="1" applyAlignment="1">
      <alignment horizontal="center"/>
    </xf>
    <xf numFmtId="0" fontId="46" fillId="30" borderId="0" xfId="0" applyFont="1" applyFill="1" applyAlignment="1">
      <alignment horizontal="center"/>
    </xf>
    <xf numFmtId="167" fontId="12" fillId="30" borderId="0" xfId="49" applyNumberFormat="1" applyFont="1" applyFill="1" applyBorder="1" applyAlignment="1">
      <alignment horizontal="center" vertical="center"/>
    </xf>
    <xf numFmtId="0" fontId="46" fillId="30" borderId="0" xfId="0" applyFont="1" applyFill="1" applyAlignment="1">
      <alignment horizontal="center" vertical="center"/>
    </xf>
    <xf numFmtId="49" fontId="46" fillId="30" borderId="0" xfId="0" applyNumberFormat="1" applyFont="1" applyFill="1" applyAlignment="1">
      <alignment horizontal="center"/>
    </xf>
    <xf numFmtId="0" fontId="46" fillId="30" borderId="0" xfId="31" applyFont="1" applyFill="1" applyAlignment="1">
      <alignment horizontal="center"/>
    </xf>
    <xf numFmtId="49" fontId="12" fillId="30" borderId="0" xfId="0" applyNumberFormat="1" applyFont="1" applyFill="1" applyAlignment="1">
      <alignment horizontal="center"/>
    </xf>
    <xf numFmtId="174" fontId="46" fillId="30" borderId="0" xfId="49" applyNumberFormat="1" applyFont="1" applyFill="1" applyAlignment="1">
      <alignment horizontal="center"/>
    </xf>
    <xf numFmtId="174" fontId="46" fillId="30" borderId="0" xfId="49" applyNumberFormat="1" applyFont="1" applyFill="1"/>
    <xf numFmtId="174" fontId="80" fillId="30" borderId="0" xfId="49" applyNumberFormat="1" applyFont="1" applyFill="1"/>
    <xf numFmtId="0" fontId="94" fillId="30" borderId="0" xfId="49" applyFont="1" applyFill="1"/>
    <xf numFmtId="0" fontId="47" fillId="29" borderId="0" xfId="32" applyFont="1" applyFill="1" applyBorder="1" applyAlignment="1">
      <alignment horizontal="right" vertical="center"/>
    </xf>
    <xf numFmtId="0" fontId="98" fillId="30" borderId="0" xfId="32" applyFont="1" applyFill="1"/>
    <xf numFmtId="9" fontId="97" fillId="30" borderId="27" xfId="1" applyFont="1" applyFill="1" applyBorder="1" applyAlignment="1">
      <alignment horizontal="center"/>
    </xf>
    <xf numFmtId="3" fontId="99" fillId="30" borderId="0" xfId="49" applyNumberFormat="1" applyFont="1" applyFill="1" applyAlignment="1">
      <alignment horizontal="right"/>
    </xf>
    <xf numFmtId="167" fontId="100" fillId="30" borderId="0" xfId="49" applyNumberFormat="1" applyFont="1" applyFill="1" applyAlignment="1">
      <alignment horizontal="right"/>
    </xf>
    <xf numFmtId="3" fontId="75" fillId="30" borderId="0" xfId="49" applyNumberFormat="1" applyFont="1" applyFill="1"/>
    <xf numFmtId="3" fontId="75" fillId="30" borderId="0" xfId="49" applyNumberFormat="1" applyFont="1" applyFill="1" applyAlignment="1">
      <alignment horizontal="right"/>
    </xf>
    <xf numFmtId="3" fontId="5" fillId="30" borderId="24" xfId="49" applyNumberFormat="1" applyFont="1" applyFill="1" applyBorder="1" applyAlignment="1">
      <alignment horizontal="center" vertical="center" wrapText="1"/>
    </xf>
    <xf numFmtId="3" fontId="101" fillId="30" borderId="0" xfId="32" applyNumberFormat="1" applyFont="1" applyFill="1" applyAlignment="1">
      <alignment horizontal="center"/>
    </xf>
    <xf numFmtId="0" fontId="6" fillId="30" borderId="0" xfId="32" applyFont="1" applyFill="1" applyBorder="1" applyAlignment="1">
      <alignment horizontal="center" vertical="center"/>
    </xf>
    <xf numFmtId="0" fontId="102" fillId="30" borderId="0" xfId="49" applyFont="1" applyFill="1" applyBorder="1" applyAlignment="1">
      <alignment vertical="center"/>
    </xf>
    <xf numFmtId="0" fontId="101" fillId="30" borderId="0" xfId="49" applyFont="1" applyFill="1" applyAlignment="1"/>
    <xf numFmtId="3" fontId="5" fillId="0" borderId="78" xfId="0" applyNumberFormat="1" applyFont="1" applyFill="1" applyBorder="1" applyAlignment="1" applyProtection="1">
      <alignment vertical="center"/>
    </xf>
    <xf numFmtId="3" fontId="5" fillId="0" borderId="53" xfId="0" applyNumberFormat="1" applyFont="1" applyBorder="1" applyAlignment="1" applyProtection="1">
      <alignment vertical="center"/>
    </xf>
    <xf numFmtId="3" fontId="14" fillId="0" borderId="53" xfId="0" applyNumberFormat="1" applyFont="1" applyFill="1" applyBorder="1" applyAlignment="1" applyProtection="1">
      <alignment vertical="center"/>
    </xf>
    <xf numFmtId="3" fontId="5" fillId="0" borderId="53" xfId="0" applyNumberFormat="1" applyFont="1" applyFill="1" applyBorder="1" applyAlignment="1" applyProtection="1">
      <alignment vertical="center"/>
    </xf>
    <xf numFmtId="3" fontId="5" fillId="0" borderId="57" xfId="0" applyNumberFormat="1" applyFont="1" applyFill="1" applyBorder="1" applyAlignment="1" applyProtection="1">
      <alignment vertical="center"/>
    </xf>
    <xf numFmtId="0" fontId="14" fillId="0" borderId="0" xfId="49" applyFont="1" applyFill="1" applyBorder="1" applyAlignment="1">
      <alignment horizontal="center" vertical="center"/>
    </xf>
    <xf numFmtId="0" fontId="70" fillId="0" borderId="0" xfId="31" applyFont="1" applyFill="1" applyBorder="1"/>
    <xf numFmtId="0" fontId="35" fillId="30" borderId="5" xfId="0" applyFont="1" applyFill="1" applyBorder="1" applyAlignment="1">
      <alignment vertical="center" wrapText="1"/>
    </xf>
    <xf numFmtId="0" fontId="21" fillId="0" borderId="1" xfId="0" applyFont="1" applyFill="1" applyBorder="1" applyAlignment="1"/>
    <xf numFmtId="0" fontId="5" fillId="0" borderId="2" xfId="32" applyFont="1" applyFill="1" applyBorder="1" applyAlignment="1">
      <alignment horizontal="right"/>
    </xf>
    <xf numFmtId="0" fontId="21" fillId="0" borderId="1" xfId="0" applyFont="1" applyFill="1" applyBorder="1" applyAlignment="1">
      <alignment horizontal="right"/>
    </xf>
    <xf numFmtId="3" fontId="14" fillId="0" borderId="2" xfId="32" applyNumberFormat="1" applyFont="1" applyFill="1" applyBorder="1" applyAlignment="1">
      <alignment horizontal="center"/>
    </xf>
    <xf numFmtId="0" fontId="13" fillId="30" borderId="0" xfId="49" applyFont="1" applyFill="1" applyBorder="1" applyAlignment="1">
      <alignment horizontal="center" vertical="center"/>
    </xf>
    <xf numFmtId="0" fontId="21" fillId="29" borderId="0" xfId="0" applyFont="1" applyFill="1" applyAlignment="1">
      <alignment horizontal="center"/>
    </xf>
    <xf numFmtId="0" fontId="5" fillId="30" borderId="0" xfId="0" applyFont="1" applyFill="1" applyAlignment="1">
      <alignment horizontal="center"/>
    </xf>
    <xf numFmtId="0" fontId="14" fillId="30" borderId="0" xfId="0" applyFont="1" applyFill="1" applyAlignment="1">
      <alignment horizontal="center"/>
    </xf>
    <xf numFmtId="0" fontId="9" fillId="30" borderId="0" xfId="32" applyFont="1" applyFill="1" applyAlignment="1">
      <alignment horizontal="center"/>
    </xf>
    <xf numFmtId="0" fontId="21" fillId="30" borderId="0" xfId="32" applyFont="1" applyFill="1" applyAlignment="1">
      <alignment horizontal="center"/>
    </xf>
    <xf numFmtId="0" fontId="5" fillId="30" borderId="0" xfId="32" applyFont="1" applyFill="1" applyBorder="1" applyAlignment="1">
      <alignment horizontal="center" wrapText="1"/>
    </xf>
    <xf numFmtId="0" fontId="5" fillId="30" borderId="0" xfId="32" applyFont="1" applyFill="1" applyAlignment="1">
      <alignment horizontal="center" wrapText="1"/>
    </xf>
    <xf numFmtId="0" fontId="103" fillId="30" borderId="0" xfId="49" applyFont="1" applyFill="1"/>
    <xf numFmtId="0" fontId="47" fillId="29" borderId="0" xfId="0" applyFont="1" applyFill="1" applyBorder="1" applyAlignment="1">
      <alignment horizontal="center" vertical="center"/>
    </xf>
    <xf numFmtId="0" fontId="46" fillId="29" borderId="0" xfId="0" applyFont="1" applyFill="1" applyAlignment="1">
      <alignment horizontal="center" vertical="center"/>
    </xf>
    <xf numFmtId="3" fontId="46" fillId="29" borderId="0" xfId="0" applyNumberFormat="1" applyFont="1" applyFill="1" applyAlignment="1">
      <alignment horizontal="center" vertical="center"/>
    </xf>
    <xf numFmtId="49" fontId="34" fillId="0" borderId="0" xfId="32" applyNumberFormat="1" applyFont="1" applyFill="1" applyBorder="1" applyAlignment="1" applyProtection="1">
      <alignment horizontal="center" vertical="center" wrapText="1"/>
    </xf>
    <xf numFmtId="0" fontId="34" fillId="0" borderId="0" xfId="32" applyFont="1" applyFill="1" applyBorder="1" applyAlignment="1" applyProtection="1">
      <alignment horizontal="left" vertical="center"/>
    </xf>
    <xf numFmtId="0" fontId="39" fillId="0" borderId="0" xfId="32" applyFont="1" applyFill="1" applyBorder="1" applyAlignment="1">
      <alignment horizontal="center" vertical="center" wrapText="1"/>
    </xf>
    <xf numFmtId="166" fontId="35" fillId="0" borderId="0" xfId="32" applyNumberFormat="1" applyFont="1" applyFill="1" applyBorder="1"/>
    <xf numFmtId="0" fontId="6" fillId="0" borderId="0" xfId="32" applyFont="1" applyAlignment="1">
      <alignment horizontal="center"/>
    </xf>
    <xf numFmtId="3" fontId="35" fillId="3" borderId="24" xfId="32" applyNumberFormat="1" applyFont="1" applyFill="1" applyBorder="1" applyAlignment="1" applyProtection="1">
      <alignment horizontal="center" vertical="center"/>
      <protection locked="0"/>
    </xf>
    <xf numFmtId="3" fontId="35" fillId="3" borderId="17" xfId="32" applyNumberFormat="1" applyFont="1" applyFill="1" applyBorder="1" applyAlignment="1" applyProtection="1">
      <alignment horizontal="center" vertical="center"/>
      <protection locked="0"/>
    </xf>
    <xf numFmtId="3" fontId="35" fillId="3" borderId="23" xfId="32" applyNumberFormat="1" applyFont="1" applyFill="1" applyBorder="1" applyAlignment="1" applyProtection="1">
      <alignment horizontal="center" vertical="center"/>
      <protection locked="0"/>
    </xf>
    <xf numFmtId="175" fontId="34" fillId="0" borderId="0" xfId="32" applyNumberFormat="1" applyFont="1" applyFill="1" applyBorder="1" applyAlignment="1">
      <alignment horizontal="center"/>
    </xf>
    <xf numFmtId="0" fontId="35" fillId="0" borderId="0" xfId="32" applyFont="1" applyFill="1" applyAlignment="1">
      <alignment horizontal="center"/>
    </xf>
    <xf numFmtId="0" fontId="35" fillId="0" borderId="0" xfId="32" applyFont="1" applyAlignment="1">
      <alignment horizontal="center"/>
    </xf>
    <xf numFmtId="0" fontId="35" fillId="0" borderId="0" xfId="32" applyNumberFormat="1" applyFont="1" applyFill="1" applyAlignment="1">
      <alignment horizontal="center"/>
    </xf>
    <xf numFmtId="0" fontId="34" fillId="0" borderId="0" xfId="32" applyNumberFormat="1" applyFont="1" applyFill="1" applyAlignment="1">
      <alignment horizontal="center"/>
    </xf>
    <xf numFmtId="3" fontId="35" fillId="0" borderId="0" xfId="32" applyNumberFormat="1" applyFont="1" applyAlignment="1">
      <alignment horizontal="center"/>
    </xf>
    <xf numFmtId="167" fontId="35" fillId="21" borderId="0" xfId="32" applyNumberFormat="1" applyFont="1" applyFill="1" applyBorder="1" applyAlignment="1" applyProtection="1">
      <alignment horizontal="center" vertical="center"/>
      <protection locked="0"/>
    </xf>
    <xf numFmtId="49" fontId="35" fillId="0" borderId="0" xfId="32" applyNumberFormat="1" applyFont="1" applyFill="1" applyAlignment="1">
      <alignment horizontal="center"/>
    </xf>
    <xf numFmtId="167" fontId="35" fillId="21" borderId="0" xfId="32" applyNumberFormat="1" applyFont="1" applyFill="1" applyBorder="1" applyAlignment="1">
      <alignment horizontal="center" vertical="center"/>
    </xf>
    <xf numFmtId="49" fontId="34" fillId="0" borderId="0" xfId="32" applyNumberFormat="1" applyFont="1" applyFill="1" applyAlignment="1">
      <alignment horizontal="center"/>
    </xf>
    <xf numFmtId="167" fontId="35" fillId="21" borderId="0" xfId="32" applyNumberFormat="1" applyFont="1" applyFill="1" applyBorder="1" applyAlignment="1" applyProtection="1">
      <alignment horizontal="center" vertical="center"/>
    </xf>
    <xf numFmtId="0" fontId="36" fillId="0" borderId="0" xfId="31" applyFont="1" applyFill="1" applyBorder="1" applyAlignment="1">
      <alignment horizontal="center"/>
    </xf>
    <xf numFmtId="0" fontId="34" fillId="0" borderId="0" xfId="32" applyFont="1" applyBorder="1" applyAlignment="1">
      <alignment horizontal="center"/>
    </xf>
    <xf numFmtId="0" fontId="5" fillId="0" borderId="0" xfId="32" applyFont="1" applyAlignment="1">
      <alignment horizontal="center"/>
    </xf>
    <xf numFmtId="0" fontId="106" fillId="30" borderId="91" xfId="49" applyFont="1" applyFill="1" applyBorder="1"/>
    <xf numFmtId="0" fontId="103" fillId="30" borderId="91" xfId="49" applyFont="1" applyFill="1" applyBorder="1"/>
    <xf numFmtId="0" fontId="106" fillId="30" borderId="91" xfId="49" applyFont="1" applyFill="1" applyBorder="1" applyAlignment="1">
      <alignment vertical="center"/>
    </xf>
    <xf numFmtId="0" fontId="105" fillId="30" borderId="91" xfId="49" applyFont="1" applyFill="1" applyBorder="1"/>
    <xf numFmtId="0" fontId="106" fillId="30" borderId="92" xfId="49" applyFont="1" applyFill="1" applyBorder="1"/>
    <xf numFmtId="3" fontId="14" fillId="34" borderId="1" xfId="49" applyNumberFormat="1" applyFont="1" applyFill="1" applyBorder="1" applyAlignment="1">
      <alignment horizontal="center" wrapText="1"/>
    </xf>
    <xf numFmtId="3" fontId="14" fillId="30" borderId="24" xfId="49" applyNumberFormat="1" applyFont="1" applyFill="1" applyBorder="1" applyAlignment="1">
      <alignment horizontal="center" vertical="center"/>
    </xf>
    <xf numFmtId="3" fontId="5" fillId="36" borderId="24" xfId="49" applyNumberFormat="1" applyFont="1" applyFill="1" applyBorder="1" applyAlignment="1">
      <alignment horizontal="center" vertical="center"/>
    </xf>
    <xf numFmtId="0" fontId="30" fillId="30" borderId="0" xfId="49" applyFont="1" applyFill="1" applyAlignment="1">
      <alignment horizontal="right"/>
    </xf>
    <xf numFmtId="0" fontId="14" fillId="30" borderId="0" xfId="0" applyNumberFormat="1" applyFont="1" applyFill="1" applyAlignment="1">
      <alignment horizontal="center"/>
    </xf>
    <xf numFmtId="0" fontId="30" fillId="30" borderId="0" xfId="0" applyNumberFormat="1" applyFont="1" applyFill="1" applyAlignment="1">
      <alignment horizontal="right"/>
    </xf>
    <xf numFmtId="3" fontId="14" fillId="30" borderId="29" xfId="49" applyNumberFormat="1" applyFont="1" applyFill="1" applyBorder="1" applyAlignment="1">
      <alignment horizontal="center" vertical="center" wrapText="1"/>
    </xf>
    <xf numFmtId="3" fontId="14" fillId="30" borderId="24" xfId="49" applyNumberFormat="1" applyFont="1" applyFill="1" applyBorder="1" applyAlignment="1">
      <alignment horizontal="center" vertical="center" wrapText="1"/>
    </xf>
    <xf numFmtId="3" fontId="14" fillId="30" borderId="30" xfId="49" applyNumberFormat="1" applyFont="1" applyFill="1" applyBorder="1" applyAlignment="1">
      <alignment horizontal="center" vertical="center" wrapText="1"/>
    </xf>
    <xf numFmtId="167" fontId="14" fillId="36" borderId="24" xfId="49" applyNumberFormat="1" applyFont="1" applyFill="1" applyBorder="1" applyAlignment="1">
      <alignment horizontal="center" vertical="center"/>
    </xf>
    <xf numFmtId="3" fontId="14" fillId="36" borderId="24" xfId="49" applyNumberFormat="1" applyFont="1" applyFill="1" applyBorder="1" applyAlignment="1">
      <alignment horizontal="center" vertical="center"/>
    </xf>
    <xf numFmtId="3" fontId="14" fillId="36" borderId="7" xfId="49" applyNumberFormat="1" applyFont="1" applyFill="1" applyBorder="1" applyAlignment="1">
      <alignment horizontal="center" vertical="center"/>
    </xf>
    <xf numFmtId="3" fontId="14" fillId="36" borderId="53" xfId="49" applyNumberFormat="1" applyFont="1" applyFill="1" applyBorder="1" applyAlignment="1">
      <alignment horizontal="center" vertical="center"/>
    </xf>
    <xf numFmtId="3" fontId="14" fillId="36" borderId="17" xfId="49" applyNumberFormat="1" applyFont="1" applyFill="1" applyBorder="1" applyAlignment="1">
      <alignment horizontal="center" vertical="center"/>
    </xf>
    <xf numFmtId="3" fontId="14" fillId="36" borderId="52" xfId="49" applyNumberFormat="1" applyFont="1" applyFill="1" applyBorder="1" applyAlignment="1">
      <alignment horizontal="center" vertical="center"/>
    </xf>
    <xf numFmtId="3" fontId="14" fillId="36" borderId="32" xfId="49" applyNumberFormat="1" applyFont="1" applyFill="1" applyBorder="1" applyAlignment="1">
      <alignment horizontal="center" vertical="center"/>
    </xf>
    <xf numFmtId="3" fontId="5" fillId="0" borderId="52" xfId="49" applyNumberFormat="1" applyFont="1" applyFill="1" applyBorder="1" applyAlignment="1">
      <alignment horizontal="center" vertical="center" wrapText="1"/>
    </xf>
    <xf numFmtId="3" fontId="5" fillId="0" borderId="7" xfId="49" applyNumberFormat="1" applyFont="1" applyFill="1" applyBorder="1" applyAlignment="1">
      <alignment horizontal="center" vertical="center" wrapText="1"/>
    </xf>
    <xf numFmtId="3" fontId="5" fillId="0" borderId="53" xfId="49" applyNumberFormat="1" applyFont="1" applyFill="1" applyBorder="1" applyAlignment="1">
      <alignment horizontal="center" vertical="center" wrapText="1"/>
    </xf>
    <xf numFmtId="0" fontId="14" fillId="30" borderId="25" xfId="49" applyFont="1" applyFill="1" applyBorder="1" applyAlignment="1">
      <alignment horizontal="center" vertical="center" wrapText="1"/>
    </xf>
    <xf numFmtId="3" fontId="14" fillId="30" borderId="51" xfId="49" applyNumberFormat="1" applyFont="1" applyFill="1" applyBorder="1" applyAlignment="1">
      <alignment horizontal="center" vertical="center" wrapText="1"/>
    </xf>
    <xf numFmtId="0" fontId="47" fillId="30" borderId="0" xfId="0" applyFont="1" applyFill="1" applyBorder="1" applyAlignment="1">
      <alignment vertical="center"/>
    </xf>
    <xf numFmtId="0" fontId="34" fillId="30" borderId="0" xfId="32" applyFont="1" applyFill="1" applyBorder="1" applyAlignment="1">
      <alignment horizontal="center" vertical="center" wrapText="1"/>
    </xf>
    <xf numFmtId="3" fontId="50" fillId="30" borderId="0" xfId="32" applyNumberFormat="1" applyFont="1" applyFill="1" applyBorder="1" applyAlignment="1">
      <alignment horizontal="center" vertical="center"/>
    </xf>
    <xf numFmtId="3" fontId="5" fillId="30" borderId="0" xfId="32" applyNumberFormat="1" applyFont="1" applyFill="1" applyBorder="1" applyAlignment="1">
      <alignment horizontal="center" vertical="center"/>
    </xf>
    <xf numFmtId="0" fontId="35" fillId="30" borderId="0" xfId="0" applyFont="1" applyFill="1" applyBorder="1"/>
    <xf numFmtId="0" fontId="36" fillId="30" borderId="0" xfId="0" applyNumberFormat="1" applyFont="1" applyFill="1" applyBorder="1" applyAlignment="1">
      <alignment horizontal="center"/>
    </xf>
    <xf numFmtId="49" fontId="35" fillId="30" borderId="0" xfId="0" applyNumberFormat="1" applyFont="1" applyFill="1" applyBorder="1" applyAlignment="1">
      <alignment horizontal="right"/>
    </xf>
    <xf numFmtId="0" fontId="46" fillId="30" borderId="0" xfId="0" applyFont="1" applyFill="1" applyBorder="1" applyAlignment="1" applyProtection="1">
      <alignment horizontal="left" vertical="center" wrapText="1"/>
    </xf>
    <xf numFmtId="0" fontId="67" fillId="0" borderId="23" xfId="32" applyNumberFormat="1" applyFont="1" applyFill="1" applyBorder="1" applyAlignment="1" applyProtection="1">
      <alignment horizontal="left" vertical="center"/>
      <protection locked="0"/>
    </xf>
    <xf numFmtId="0" fontId="67" fillId="0" borderId="15" xfId="32" applyNumberFormat="1" applyFont="1" applyFill="1" applyBorder="1" applyAlignment="1" applyProtection="1">
      <alignment horizontal="left" vertical="center"/>
      <protection locked="0"/>
    </xf>
    <xf numFmtId="3" fontId="5" fillId="0" borderId="56" xfId="49" applyNumberFormat="1" applyFont="1" applyFill="1" applyBorder="1" applyAlignment="1">
      <alignment horizontal="center" vertical="center" wrapText="1"/>
    </xf>
    <xf numFmtId="3" fontId="5" fillId="0" borderId="77" xfId="49" applyNumberFormat="1" applyFont="1" applyFill="1" applyBorder="1" applyAlignment="1">
      <alignment horizontal="center" vertical="center" wrapText="1"/>
    </xf>
    <xf numFmtId="3" fontId="5" fillId="0" borderId="57" xfId="49" applyNumberFormat="1" applyFont="1" applyFill="1" applyBorder="1" applyAlignment="1">
      <alignment horizontal="center" vertical="center" wrapText="1"/>
    </xf>
    <xf numFmtId="9" fontId="14" fillId="0" borderId="2" xfId="32" applyNumberFormat="1" applyFont="1" applyFill="1" applyBorder="1" applyAlignment="1">
      <alignment horizontal="center"/>
    </xf>
    <xf numFmtId="3" fontId="5" fillId="0" borderId="24" xfId="49" applyNumberFormat="1" applyFont="1" applyFill="1" applyBorder="1" applyAlignment="1">
      <alignment horizontal="center" vertical="center" wrapText="1"/>
    </xf>
    <xf numFmtId="9" fontId="37" fillId="30" borderId="17" xfId="49" applyNumberFormat="1" applyFont="1" applyFill="1" applyBorder="1" applyAlignment="1">
      <alignment horizontal="center" vertical="center"/>
    </xf>
    <xf numFmtId="0" fontId="5" fillId="30" borderId="5" xfId="49" applyFont="1" applyFill="1" applyBorder="1" applyAlignment="1">
      <alignment wrapText="1"/>
    </xf>
    <xf numFmtId="0" fontId="35" fillId="0" borderId="17" xfId="49" applyFont="1" applyFill="1" applyBorder="1" applyAlignment="1">
      <alignment horizontal="center" vertical="center"/>
    </xf>
    <xf numFmtId="0" fontId="68" fillId="0" borderId="0" xfId="0" applyFont="1"/>
    <xf numFmtId="0" fontId="68" fillId="0" borderId="15" xfId="0" applyFont="1" applyBorder="1"/>
    <xf numFmtId="0" fontId="13" fillId="30" borderId="0" xfId="49" applyFont="1" applyFill="1" applyBorder="1" applyAlignment="1">
      <alignment horizontal="center"/>
    </xf>
    <xf numFmtId="0" fontId="96" fillId="30" borderId="0" xfId="49" applyFont="1" applyFill="1" applyBorder="1" applyAlignment="1">
      <alignment horizontal="center"/>
    </xf>
    <xf numFmtId="0" fontId="59" fillId="30" borderId="0" xfId="49" applyFont="1" applyFill="1" applyBorder="1" applyAlignment="1" applyProtection="1">
      <alignment horizontal="right" wrapText="1"/>
    </xf>
    <xf numFmtId="9" fontId="59" fillId="30" borderId="0" xfId="49" applyNumberFormat="1" applyFont="1" applyFill="1" applyBorder="1" applyAlignment="1" applyProtection="1">
      <alignment horizontal="center" wrapText="1"/>
    </xf>
    <xf numFmtId="10" fontId="59" fillId="30" borderId="0" xfId="49" applyNumberFormat="1" applyFont="1" applyFill="1" applyBorder="1" applyAlignment="1" applyProtection="1">
      <alignment horizontal="center" wrapText="1"/>
    </xf>
    <xf numFmtId="3" fontId="5" fillId="0" borderId="0" xfId="32" applyNumberFormat="1" applyFont="1" applyFill="1" applyBorder="1" applyAlignment="1" applyProtection="1">
      <alignment horizontal="center" vertical="center"/>
      <protection locked="0"/>
    </xf>
    <xf numFmtId="0" fontId="37" fillId="0" borderId="20" xfId="31" applyFont="1" applyBorder="1" applyAlignment="1">
      <alignment horizontal="right"/>
    </xf>
    <xf numFmtId="3" fontId="31" fillId="30" borderId="0" xfId="49" applyNumberFormat="1" applyFont="1" applyFill="1"/>
    <xf numFmtId="0" fontId="104" fillId="30" borderId="91" xfId="49" applyFont="1" applyFill="1" applyBorder="1"/>
    <xf numFmtId="0" fontId="111" fillId="30" borderId="0" xfId="49" applyFont="1" applyFill="1"/>
    <xf numFmtId="0" fontId="5" fillId="34" borderId="29" xfId="32" applyFont="1" applyFill="1" applyBorder="1"/>
    <xf numFmtId="0" fontId="37" fillId="34" borderId="51" xfId="32" applyFont="1" applyFill="1" applyBorder="1" applyAlignment="1">
      <alignment horizontal="left" vertical="center" wrapText="1"/>
    </xf>
    <xf numFmtId="9" fontId="5" fillId="34" borderId="75" xfId="1" applyFont="1" applyFill="1" applyBorder="1" applyAlignment="1">
      <alignment horizontal="center"/>
    </xf>
    <xf numFmtId="9" fontId="5" fillId="34" borderId="73" xfId="1" applyFont="1" applyFill="1" applyBorder="1" applyAlignment="1">
      <alignment horizontal="center"/>
    </xf>
    <xf numFmtId="9" fontId="5" fillId="34" borderId="74" xfId="1" applyFont="1" applyFill="1" applyBorder="1" applyAlignment="1">
      <alignment horizontal="center"/>
    </xf>
    <xf numFmtId="0" fontId="5" fillId="34" borderId="36" xfId="32" applyFont="1" applyFill="1" applyBorder="1"/>
    <xf numFmtId="0" fontId="37" fillId="34" borderId="39" xfId="32" applyFont="1" applyFill="1" applyBorder="1" applyAlignment="1">
      <alignment horizontal="left" vertical="center" wrapText="1"/>
    </xf>
    <xf numFmtId="9" fontId="5" fillId="34" borderId="52" xfId="1" applyFont="1" applyFill="1" applyBorder="1" applyAlignment="1">
      <alignment horizontal="center"/>
    </xf>
    <xf numFmtId="9" fontId="5" fillId="34" borderId="7" xfId="1" applyFont="1" applyFill="1" applyBorder="1" applyAlignment="1">
      <alignment horizontal="center"/>
    </xf>
    <xf numFmtId="9" fontId="5" fillId="34" borderId="53" xfId="1" applyFont="1" applyFill="1" applyBorder="1" applyAlignment="1">
      <alignment horizontal="center"/>
    </xf>
    <xf numFmtId="0" fontId="5" fillId="34" borderId="30" xfId="32" applyFont="1" applyFill="1" applyBorder="1"/>
    <xf numFmtId="0" fontId="37" fillId="34" borderId="21" xfId="32" applyFont="1" applyFill="1" applyBorder="1" applyAlignment="1">
      <alignment horizontal="left" vertical="center" wrapText="1"/>
    </xf>
    <xf numFmtId="9" fontId="5" fillId="34" borderId="56" xfId="1" applyFont="1" applyFill="1" applyBorder="1" applyAlignment="1">
      <alignment horizontal="center"/>
    </xf>
    <xf numFmtId="9" fontId="5" fillId="34" borderId="77" xfId="1" applyFont="1" applyFill="1" applyBorder="1" applyAlignment="1">
      <alignment horizontal="center"/>
    </xf>
    <xf numFmtId="9" fontId="5" fillId="34" borderId="57" xfId="1" applyFont="1" applyFill="1" applyBorder="1" applyAlignment="1">
      <alignment horizontal="center"/>
    </xf>
    <xf numFmtId="9" fontId="14" fillId="34" borderId="38" xfId="1" applyFont="1" applyFill="1" applyBorder="1" applyAlignment="1">
      <alignment horizontal="center" vertical="center"/>
    </xf>
    <xf numFmtId="9" fontId="14" fillId="34" borderId="9" xfId="1" applyFont="1" applyFill="1" applyBorder="1" applyAlignment="1">
      <alignment horizontal="center" vertical="center"/>
    </xf>
    <xf numFmtId="9" fontId="14" fillId="34" borderId="10" xfId="1" applyFont="1" applyFill="1" applyBorder="1" applyAlignment="1">
      <alignment horizontal="center" vertical="center"/>
    </xf>
    <xf numFmtId="3" fontId="66" fillId="0" borderId="0" xfId="49" applyNumberFormat="1" applyFont="1" applyFill="1"/>
    <xf numFmtId="3" fontId="75" fillId="0" borderId="0" xfId="49" applyNumberFormat="1" applyFont="1" applyFill="1"/>
    <xf numFmtId="3" fontId="99" fillId="0" borderId="0" xfId="49" applyNumberFormat="1" applyFont="1" applyFill="1" applyAlignment="1">
      <alignment horizontal="right"/>
    </xf>
    <xf numFmtId="167" fontId="100" fillId="0" borderId="0" xfId="49" applyNumberFormat="1" applyFont="1" applyFill="1" applyAlignment="1">
      <alignment horizontal="right"/>
    </xf>
    <xf numFmtId="3" fontId="75" fillId="0" borderId="0" xfId="49" applyNumberFormat="1" applyFont="1" applyFill="1" applyAlignment="1">
      <alignment horizontal="right"/>
    </xf>
    <xf numFmtId="3" fontId="21" fillId="0" borderId="0" xfId="49" applyNumberFormat="1" applyFont="1" applyFill="1"/>
    <xf numFmtId="3" fontId="5" fillId="0" borderId="75" xfId="49" applyNumberFormat="1" applyFont="1" applyFill="1" applyBorder="1" applyAlignment="1">
      <alignment horizontal="center" vertical="center" wrapText="1"/>
    </xf>
    <xf numFmtId="3" fontId="5" fillId="0" borderId="73" xfId="49" applyNumberFormat="1" applyFont="1" applyFill="1" applyBorder="1" applyAlignment="1">
      <alignment horizontal="center" vertical="center" wrapText="1"/>
    </xf>
    <xf numFmtId="3" fontId="5" fillId="0" borderId="76" xfId="49" applyNumberFormat="1" applyFont="1" applyFill="1" applyBorder="1" applyAlignment="1">
      <alignment horizontal="center" vertical="center" wrapText="1"/>
    </xf>
    <xf numFmtId="0" fontId="59" fillId="30" borderId="0" xfId="49" applyFont="1" applyFill="1" applyBorder="1" applyAlignment="1">
      <alignment horizontal="center"/>
    </xf>
    <xf numFmtId="0" fontId="59" fillId="30" borderId="0" xfId="49" applyFont="1" applyFill="1"/>
    <xf numFmtId="3" fontId="34" fillId="34" borderId="2" xfId="49" applyNumberFormat="1" applyFont="1" applyFill="1" applyBorder="1" applyAlignment="1">
      <alignment horizontal="center" wrapText="1"/>
    </xf>
    <xf numFmtId="0" fontId="5" fillId="30" borderId="0" xfId="49" applyFont="1" applyFill="1" applyAlignment="1">
      <alignment horizontal="center"/>
    </xf>
    <xf numFmtId="0" fontId="5" fillId="30" borderId="0" xfId="0" applyNumberFormat="1" applyFont="1" applyFill="1" applyAlignment="1">
      <alignment horizontal="center"/>
    </xf>
    <xf numFmtId="0" fontId="5" fillId="30" borderId="0" xfId="31" applyFont="1" applyFill="1" applyAlignment="1">
      <alignment horizontal="center"/>
    </xf>
    <xf numFmtId="167" fontId="14" fillId="34" borderId="2" xfId="49" applyNumberFormat="1" applyFont="1" applyFill="1" applyBorder="1" applyAlignment="1">
      <alignment horizontal="center" wrapText="1"/>
    </xf>
    <xf numFmtId="167" fontId="14" fillId="34" borderId="65" xfId="49" applyNumberFormat="1" applyFont="1" applyFill="1" applyBorder="1" applyAlignment="1">
      <alignment horizontal="center" wrapText="1"/>
    </xf>
    <xf numFmtId="167" fontId="14" fillId="34" borderId="9" xfId="49" applyNumberFormat="1" applyFont="1" applyFill="1" applyBorder="1" applyAlignment="1">
      <alignment horizontal="center" wrapText="1"/>
    </xf>
    <xf numFmtId="167" fontId="14" fillId="34" borderId="60" xfId="49" applyNumberFormat="1" applyFont="1" applyFill="1" applyBorder="1" applyAlignment="1">
      <alignment horizontal="center" wrapText="1"/>
    </xf>
    <xf numFmtId="167" fontId="14" fillId="34" borderId="10" xfId="49" applyNumberFormat="1" applyFont="1" applyFill="1" applyBorder="1" applyAlignment="1">
      <alignment horizontal="center" wrapText="1"/>
    </xf>
    <xf numFmtId="0" fontId="35" fillId="0" borderId="17" xfId="49" applyFont="1" applyFill="1" applyBorder="1" applyAlignment="1">
      <alignment vertical="center" wrapText="1"/>
    </xf>
    <xf numFmtId="0" fontId="37" fillId="30" borderId="0" xfId="49" applyFont="1" applyFill="1" applyAlignment="1">
      <alignment horizontal="left"/>
    </xf>
    <xf numFmtId="0" fontId="34" fillId="30" borderId="0" xfId="0" applyFont="1" applyFill="1" applyAlignment="1">
      <alignment horizontal="left" indent="1"/>
    </xf>
    <xf numFmtId="0" fontId="36" fillId="30" borderId="0" xfId="0" applyFont="1" applyFill="1" applyAlignment="1">
      <alignment horizontal="left" indent="1"/>
    </xf>
    <xf numFmtId="0" fontId="13" fillId="30" borderId="0" xfId="32" applyFont="1" applyFill="1" applyAlignment="1">
      <alignment horizontal="center"/>
    </xf>
    <xf numFmtId="0" fontId="6" fillId="30" borderId="0" xfId="32" applyFont="1" applyFill="1" applyBorder="1" applyAlignment="1">
      <alignment horizontal="center" vertical="center"/>
    </xf>
    <xf numFmtId="0" fontId="96" fillId="30" borderId="0" xfId="49" applyFont="1" applyFill="1" applyBorder="1" applyAlignment="1">
      <alignment horizontal="center"/>
    </xf>
    <xf numFmtId="0" fontId="14" fillId="30" borderId="0" xfId="0" applyFont="1" applyFill="1" applyAlignment="1">
      <alignment horizontal="left" indent="1"/>
    </xf>
    <xf numFmtId="0" fontId="37" fillId="30" borderId="0" xfId="0" applyFont="1" applyFill="1" applyAlignment="1">
      <alignment horizontal="left" indent="1"/>
    </xf>
    <xf numFmtId="0" fontId="112" fillId="0" borderId="17" xfId="2" applyFont="1" applyBorder="1" applyAlignment="1" applyProtection="1">
      <alignment horizontal="center" vertical="center"/>
    </xf>
    <xf numFmtId="0" fontId="12" fillId="0" borderId="14" xfId="0" applyFont="1" applyFill="1" applyBorder="1" applyAlignment="1">
      <alignment vertical="center"/>
    </xf>
    <xf numFmtId="0" fontId="12" fillId="0" borderId="15" xfId="0" applyFont="1" applyFill="1" applyBorder="1" applyAlignment="1">
      <alignment vertical="center"/>
    </xf>
    <xf numFmtId="0" fontId="12" fillId="0" borderId="19" xfId="0" applyFont="1" applyFill="1" applyBorder="1" applyAlignment="1">
      <alignment vertical="center"/>
    </xf>
    <xf numFmtId="0" fontId="5" fillId="0" borderId="17" xfId="0" applyNumberFormat="1" applyFont="1" applyBorder="1" applyAlignment="1">
      <alignment horizontal="center"/>
    </xf>
    <xf numFmtId="0" fontId="5" fillId="0" borderId="21" xfId="0" applyNumberFormat="1" applyFont="1" applyBorder="1" applyAlignment="1">
      <alignment horizontal="center"/>
    </xf>
    <xf numFmtId="0" fontId="112" fillId="0" borderId="21" xfId="2" applyFont="1" applyBorder="1" applyAlignment="1" applyProtection="1">
      <alignment horizontal="center" vertical="center"/>
    </xf>
    <xf numFmtId="0" fontId="5" fillId="0" borderId="0" xfId="0" applyFont="1" applyFill="1" applyAlignment="1">
      <alignment vertical="center"/>
    </xf>
    <xf numFmtId="0" fontId="9" fillId="0" borderId="0" xfId="0" applyFont="1" applyAlignment="1">
      <alignment vertical="center"/>
    </xf>
    <xf numFmtId="0" fontId="12" fillId="0" borderId="0" xfId="0" applyFont="1" applyFill="1" applyAlignment="1">
      <alignment vertical="center"/>
    </xf>
    <xf numFmtId="14" fontId="62" fillId="0" borderId="0" xfId="0" applyNumberFormat="1" applyFont="1" applyAlignment="1">
      <alignment vertical="center"/>
    </xf>
    <xf numFmtId="0" fontId="14" fillId="30" borderId="0" xfId="0" applyFont="1" applyFill="1" applyAlignment="1">
      <alignment vertical="center"/>
    </xf>
    <xf numFmtId="0" fontId="68" fillId="30" borderId="0" xfId="32" applyFont="1" applyFill="1" applyAlignment="1">
      <alignment vertical="center"/>
    </xf>
    <xf numFmtId="0" fontId="37" fillId="30" borderId="0" xfId="0" applyFont="1" applyFill="1" applyAlignment="1">
      <alignment vertical="center"/>
    </xf>
    <xf numFmtId="0" fontId="42" fillId="30" borderId="0" xfId="0" applyFont="1" applyFill="1" applyAlignment="1">
      <alignment vertical="center"/>
    </xf>
    <xf numFmtId="0" fontId="34" fillId="30" borderId="0" xfId="0" applyFont="1" applyFill="1" applyAlignment="1">
      <alignment vertical="center"/>
    </xf>
    <xf numFmtId="0" fontId="35" fillId="30" borderId="0" xfId="0" applyFont="1" applyFill="1" applyAlignment="1">
      <alignment vertical="center"/>
    </xf>
    <xf numFmtId="0" fontId="13" fillId="0" borderId="0" xfId="0" applyFont="1" applyFill="1" applyAlignment="1">
      <alignment horizontal="center" vertical="center" wrapText="1"/>
    </xf>
    <xf numFmtId="0" fontId="5" fillId="3" borderId="7" xfId="0" applyFont="1" applyFill="1" applyBorder="1" applyAlignment="1" applyProtection="1">
      <alignment horizontal="center" vertical="center" wrapText="1"/>
      <protection locked="0"/>
    </xf>
    <xf numFmtId="3" fontId="14" fillId="0" borderId="7" xfId="0" applyNumberFormat="1" applyFont="1" applyFill="1" applyBorder="1" applyAlignment="1">
      <alignment horizontal="center" vertical="center"/>
    </xf>
    <xf numFmtId="0" fontId="5" fillId="0" borderId="5" xfId="2" applyFont="1" applyBorder="1" applyAlignment="1" applyProtection="1">
      <alignment horizontal="center" vertical="center"/>
    </xf>
    <xf numFmtId="0" fontId="5" fillId="0" borderId="17" xfId="2" applyFont="1" applyBorder="1" applyAlignment="1" applyProtection="1">
      <alignment horizontal="center" vertical="center"/>
    </xf>
    <xf numFmtId="0" fontId="5" fillId="0" borderId="21" xfId="2" applyFont="1" applyBorder="1" applyAlignment="1" applyProtection="1">
      <alignment horizontal="center" vertical="center"/>
    </xf>
    <xf numFmtId="0" fontId="5" fillId="3" borderId="73" xfId="0" applyFont="1" applyFill="1" applyBorder="1" applyAlignment="1" applyProtection="1">
      <alignment horizontal="center" vertical="center" wrapText="1"/>
      <protection locked="0"/>
    </xf>
    <xf numFmtId="0" fontId="5" fillId="3" borderId="76" xfId="0" applyFont="1" applyFill="1" applyBorder="1" applyAlignment="1" applyProtection="1">
      <alignment horizontal="center" vertical="center" wrapText="1"/>
      <protection locked="0"/>
    </xf>
    <xf numFmtId="0" fontId="5" fillId="3" borderId="53" xfId="0" applyFont="1" applyFill="1" applyBorder="1" applyAlignment="1" applyProtection="1">
      <alignment horizontal="center" vertical="center" wrapText="1"/>
      <protection locked="0"/>
    </xf>
    <xf numFmtId="0" fontId="5" fillId="3" borderId="77" xfId="0" applyFont="1" applyFill="1" applyBorder="1" applyAlignment="1" applyProtection="1">
      <alignment horizontal="center" vertical="center" wrapText="1"/>
      <protection locked="0"/>
    </xf>
    <xf numFmtId="0" fontId="5" fillId="3" borderId="57" xfId="0" applyFont="1" applyFill="1" applyBorder="1" applyAlignment="1" applyProtection="1">
      <alignment horizontal="center" vertical="center" wrapText="1"/>
      <protection locked="0"/>
    </xf>
    <xf numFmtId="3" fontId="14" fillId="0" borderId="73" xfId="0" applyNumberFormat="1" applyFont="1" applyFill="1" applyBorder="1" applyAlignment="1">
      <alignment horizontal="center" vertical="center"/>
    </xf>
    <xf numFmtId="3" fontId="14" fillId="0" borderId="76" xfId="0" applyNumberFormat="1" applyFont="1" applyFill="1" applyBorder="1" applyAlignment="1">
      <alignment horizontal="center" vertical="center"/>
    </xf>
    <xf numFmtId="3" fontId="14" fillId="0" borderId="53" xfId="0" applyNumberFormat="1" applyFont="1" applyFill="1" applyBorder="1" applyAlignment="1">
      <alignment horizontal="center" vertical="center"/>
    </xf>
    <xf numFmtId="0" fontId="5" fillId="0" borderId="51" xfId="2" applyFont="1" applyBorder="1" applyAlignment="1" applyProtection="1">
      <alignment horizontal="center" vertical="center"/>
    </xf>
    <xf numFmtId="0" fontId="5" fillId="0" borderId="76" xfId="0" applyFont="1" applyBorder="1" applyAlignment="1">
      <alignment vertical="center" wrapText="1"/>
    </xf>
    <xf numFmtId="0" fontId="5" fillId="0" borderId="53" xfId="0" applyFont="1" applyBorder="1" applyAlignment="1">
      <alignment vertical="center" wrapText="1"/>
    </xf>
    <xf numFmtId="0" fontId="5" fillId="0" borderId="57" xfId="0" applyFont="1" applyBorder="1" applyAlignment="1">
      <alignment vertical="center" wrapText="1"/>
    </xf>
    <xf numFmtId="0" fontId="5" fillId="0" borderId="76" xfId="0" applyFont="1" applyFill="1" applyBorder="1" applyAlignment="1">
      <alignment vertical="center" wrapText="1"/>
    </xf>
    <xf numFmtId="0" fontId="5" fillId="0" borderId="53" xfId="0" applyFont="1" applyFill="1" applyBorder="1" applyAlignment="1">
      <alignment vertical="center" wrapText="1"/>
    </xf>
    <xf numFmtId="0" fontId="5" fillId="0" borderId="57" xfId="0" applyFont="1" applyFill="1" applyBorder="1" applyAlignment="1">
      <alignment vertical="center" wrapText="1"/>
    </xf>
    <xf numFmtId="0" fontId="5" fillId="0" borderId="53" xfId="0" applyFont="1" applyBorder="1" applyAlignment="1">
      <alignment horizontal="justify" vertical="center"/>
    </xf>
    <xf numFmtId="0" fontId="65" fillId="0" borderId="76" xfId="0" applyFont="1" applyFill="1" applyBorder="1" applyAlignment="1">
      <alignment vertical="center" wrapText="1"/>
    </xf>
    <xf numFmtId="0" fontId="65" fillId="0" borderId="53" xfId="0" applyFont="1" applyFill="1" applyBorder="1" applyAlignment="1">
      <alignment vertical="center" wrapText="1"/>
    </xf>
    <xf numFmtId="0" fontId="5" fillId="0" borderId="57" xfId="0" applyFont="1" applyBorder="1" applyAlignment="1">
      <alignment vertical="center"/>
    </xf>
    <xf numFmtId="0" fontId="65" fillId="0" borderId="76" xfId="0" applyFont="1" applyBorder="1" applyAlignment="1">
      <alignment vertical="center" wrapText="1"/>
    </xf>
    <xf numFmtId="0" fontId="113" fillId="0" borderId="53" xfId="0" applyFont="1" applyBorder="1" applyAlignment="1">
      <alignment vertical="center" wrapText="1"/>
    </xf>
    <xf numFmtId="0" fontId="37" fillId="0" borderId="57" xfId="0" applyFont="1" applyBorder="1" applyAlignment="1">
      <alignment vertical="center" wrapText="1"/>
    </xf>
    <xf numFmtId="0" fontId="5" fillId="0" borderId="72" xfId="0" applyFont="1" applyBorder="1" applyAlignment="1">
      <alignment vertical="center"/>
    </xf>
    <xf numFmtId="0" fontId="5" fillId="0" borderId="32" xfId="0" applyFont="1" applyBorder="1" applyAlignment="1">
      <alignment vertical="center"/>
    </xf>
    <xf numFmtId="0" fontId="5" fillId="0" borderId="79" xfId="0" applyFont="1" applyFill="1" applyBorder="1" applyAlignment="1">
      <alignment vertical="center"/>
    </xf>
    <xf numFmtId="0" fontId="5" fillId="0" borderId="72" xfId="0" applyFont="1" applyFill="1" applyBorder="1" applyAlignment="1">
      <alignment vertical="center"/>
    </xf>
    <xf numFmtId="0" fontId="5" fillId="0" borderId="32" xfId="0" applyFont="1" applyFill="1" applyBorder="1" applyAlignment="1">
      <alignment vertical="center"/>
    </xf>
    <xf numFmtId="0" fontId="5" fillId="0" borderId="32" xfId="0" applyFont="1" applyFill="1" applyBorder="1" applyAlignment="1">
      <alignment vertical="center" wrapText="1"/>
    </xf>
    <xf numFmtId="0" fontId="65" fillId="0" borderId="72" xfId="0" applyFont="1" applyFill="1" applyBorder="1" applyAlignment="1">
      <alignment vertical="center"/>
    </xf>
    <xf numFmtId="0" fontId="65" fillId="0" borderId="32" xfId="0" applyFont="1" applyFill="1" applyBorder="1" applyAlignment="1">
      <alignment vertical="center"/>
    </xf>
    <xf numFmtId="0" fontId="5" fillId="0" borderId="79" xfId="0" applyFont="1" applyBorder="1" applyAlignment="1">
      <alignment vertical="center"/>
    </xf>
    <xf numFmtId="0" fontId="5" fillId="0" borderId="79" xfId="0" applyFont="1" applyFill="1" applyBorder="1" applyAlignment="1">
      <alignment vertical="center" wrapText="1"/>
    </xf>
    <xf numFmtId="0" fontId="5" fillId="0" borderId="72" xfId="0" applyFont="1" applyBorder="1" applyAlignment="1">
      <alignment vertical="center" wrapText="1"/>
    </xf>
    <xf numFmtId="0" fontId="5" fillId="0" borderId="79" xfId="0" applyFont="1" applyBorder="1" applyAlignment="1">
      <alignment vertical="center" wrapText="1"/>
    </xf>
    <xf numFmtId="0" fontId="5" fillId="0" borderId="32" xfId="0" applyFont="1" applyBorder="1" applyAlignment="1">
      <alignment vertical="center" wrapText="1"/>
    </xf>
    <xf numFmtId="0" fontId="65" fillId="0" borderId="72" xfId="0" applyFont="1" applyBorder="1" applyAlignment="1">
      <alignment vertical="center" wrapText="1"/>
    </xf>
    <xf numFmtId="0" fontId="113" fillId="0" borderId="32" xfId="0" applyFont="1" applyBorder="1" applyAlignment="1">
      <alignment vertical="center" wrapText="1"/>
    </xf>
    <xf numFmtId="0" fontId="37" fillId="0" borderId="79" xfId="0" applyFont="1" applyBorder="1" applyAlignment="1">
      <alignment vertical="center" wrapText="1"/>
    </xf>
    <xf numFmtId="0" fontId="5" fillId="3" borderId="72" xfId="0" applyFont="1" applyFill="1" applyBorder="1" applyAlignment="1" applyProtection="1">
      <alignment horizontal="center" vertical="center" wrapText="1"/>
      <protection locked="0"/>
    </xf>
    <xf numFmtId="0" fontId="5" fillId="3" borderId="32" xfId="0" applyFont="1" applyFill="1" applyBorder="1" applyAlignment="1" applyProtection="1">
      <alignment horizontal="center" vertical="center" wrapText="1"/>
      <protection locked="0"/>
    </xf>
    <xf numFmtId="0" fontId="5" fillId="3" borderId="79" xfId="0" applyFont="1" applyFill="1" applyBorder="1" applyAlignment="1" applyProtection="1">
      <alignment horizontal="center" vertical="center" wrapText="1"/>
      <protection locked="0"/>
    </xf>
    <xf numFmtId="3" fontId="14" fillId="0" borderId="72" xfId="0" applyNumberFormat="1" applyFont="1" applyFill="1" applyBorder="1" applyAlignment="1">
      <alignment horizontal="center" vertical="center"/>
    </xf>
    <xf numFmtId="3" fontId="14" fillId="0" borderId="32" xfId="0" applyNumberFormat="1" applyFont="1" applyFill="1" applyBorder="1" applyAlignment="1">
      <alignment horizontal="center" vertical="center"/>
    </xf>
    <xf numFmtId="0" fontId="5" fillId="3" borderId="51" xfId="0" applyFont="1" applyFill="1" applyBorder="1" applyAlignment="1" applyProtection="1">
      <alignment horizontal="center" vertical="center" wrapText="1"/>
      <protection locked="0"/>
    </xf>
    <xf numFmtId="0" fontId="5" fillId="3" borderId="17"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3" fontId="14" fillId="0" borderId="51" xfId="0" applyNumberFormat="1" applyFont="1" applyFill="1" applyBorder="1" applyAlignment="1">
      <alignment horizontal="center" vertical="center"/>
    </xf>
    <xf numFmtId="0" fontId="53" fillId="21" borderId="0" xfId="52" applyFont="1" applyFill="1" applyBorder="1" applyAlignment="1"/>
    <xf numFmtId="3" fontId="35" fillId="32" borderId="7" xfId="49" applyNumberFormat="1" applyFont="1" applyFill="1" applyBorder="1" applyAlignment="1" applyProtection="1">
      <alignment horizontal="right"/>
      <protection locked="0"/>
    </xf>
    <xf numFmtId="0" fontId="62" fillId="30" borderId="0" xfId="32" applyFont="1" applyFill="1" applyBorder="1" applyAlignment="1">
      <alignment horizontal="center"/>
    </xf>
    <xf numFmtId="3" fontId="35" fillId="32" borderId="77" xfId="49" applyNumberFormat="1" applyFont="1" applyFill="1" applyBorder="1" applyAlignment="1" applyProtection="1">
      <alignment horizontal="right"/>
      <protection locked="0"/>
    </xf>
    <xf numFmtId="49" fontId="53" fillId="30" borderId="17" xfId="52" applyNumberFormat="1" applyFont="1" applyFill="1" applyBorder="1" applyAlignment="1" applyProtection="1">
      <alignment horizontal="center" vertical="center" wrapText="1"/>
    </xf>
    <xf numFmtId="49" fontId="90" fillId="30" borderId="17" xfId="52" applyNumberFormat="1" applyFont="1" applyFill="1" applyBorder="1" applyAlignment="1" applyProtection="1">
      <alignment horizontal="center" vertical="center" wrapText="1"/>
    </xf>
    <xf numFmtId="49" fontId="90" fillId="30" borderId="21" xfId="52" applyNumberFormat="1" applyFont="1" applyFill="1" applyBorder="1" applyAlignment="1" applyProtection="1">
      <alignment horizontal="center" vertical="center" wrapText="1"/>
    </xf>
    <xf numFmtId="49" fontId="62" fillId="30" borderId="21" xfId="52" applyNumberFormat="1" applyFont="1" applyFill="1" applyBorder="1" applyAlignment="1" applyProtection="1">
      <alignment horizontal="center" vertical="center" wrapText="1"/>
    </xf>
    <xf numFmtId="49" fontId="53" fillId="29" borderId="17" xfId="52" applyNumberFormat="1" applyFont="1" applyFill="1" applyBorder="1" applyAlignment="1" applyProtection="1">
      <alignment horizontal="center" vertical="center" wrapText="1"/>
    </xf>
    <xf numFmtId="49" fontId="53" fillId="29" borderId="21" xfId="52" applyNumberFormat="1" applyFont="1" applyFill="1" applyBorder="1" applyAlignment="1" applyProtection="1">
      <alignment horizontal="center" vertical="center" wrapText="1"/>
    </xf>
    <xf numFmtId="49" fontId="62" fillId="25" borderId="2" xfId="52" applyNumberFormat="1" applyFont="1" applyFill="1" applyBorder="1" applyAlignment="1" applyProtection="1">
      <alignment horizontal="center" vertical="center" wrapText="1"/>
    </xf>
    <xf numFmtId="0" fontId="53" fillId="30" borderId="51" xfId="40" quotePrefix="1" applyFont="1" applyFill="1" applyBorder="1" applyAlignment="1" applyProtection="1">
      <alignment horizontal="center" vertical="center" wrapText="1"/>
    </xf>
    <xf numFmtId="0" fontId="53" fillId="30" borderId="17" xfId="40" quotePrefix="1" applyFont="1" applyFill="1" applyBorder="1" applyAlignment="1" applyProtection="1">
      <alignment horizontal="center" vertical="center" wrapText="1"/>
    </xf>
    <xf numFmtId="49" fontId="53" fillId="30" borderId="17" xfId="40" applyNumberFormat="1" applyFont="1" applyFill="1" applyBorder="1" applyAlignment="1" applyProtection="1">
      <alignment horizontal="center" vertical="center" wrapText="1"/>
    </xf>
    <xf numFmtId="0" fontId="53" fillId="30" borderId="21" xfId="40" quotePrefix="1" applyFont="1" applyFill="1" applyBorder="1" applyAlignment="1" applyProtection="1">
      <alignment horizontal="center" vertical="center" wrapText="1"/>
    </xf>
    <xf numFmtId="0" fontId="62" fillId="25" borderId="2" xfId="40" applyFont="1" applyFill="1" applyBorder="1" applyAlignment="1" applyProtection="1">
      <alignment horizontal="center" vertical="center" wrapText="1"/>
    </xf>
    <xf numFmtId="49" fontId="53" fillId="30" borderId="51" xfId="40" quotePrefix="1" applyNumberFormat="1" applyFont="1" applyFill="1" applyBorder="1" applyAlignment="1" applyProtection="1">
      <alignment horizontal="center" vertical="center" wrapText="1"/>
    </xf>
    <xf numFmtId="49" fontId="53" fillId="30" borderId="17" xfId="40" quotePrefix="1" applyNumberFormat="1" applyFont="1" applyFill="1" applyBorder="1" applyAlignment="1" applyProtection="1">
      <alignment horizontal="center" vertical="center" wrapText="1"/>
    </xf>
    <xf numFmtId="49" fontId="53" fillId="30" borderId="21" xfId="40" applyNumberFormat="1" applyFont="1" applyFill="1" applyBorder="1" applyAlignment="1" applyProtection="1">
      <alignment horizontal="center" vertical="center" wrapText="1"/>
    </xf>
    <xf numFmtId="0" fontId="90" fillId="21" borderId="17" xfId="52" applyFont="1" applyFill="1" applyBorder="1" applyAlignment="1" applyProtection="1">
      <alignment horizontal="left" vertical="center"/>
    </xf>
    <xf numFmtId="0" fontId="90" fillId="21" borderId="21" xfId="52" applyFont="1" applyFill="1" applyBorder="1" applyAlignment="1" applyProtection="1">
      <alignment horizontal="left" vertical="center"/>
    </xf>
    <xf numFmtId="0" fontId="62" fillId="21" borderId="21" xfId="52" applyFont="1" applyFill="1" applyBorder="1" applyAlignment="1" applyProtection="1">
      <alignment horizontal="left" vertical="center" wrapText="1"/>
    </xf>
    <xf numFmtId="0" fontId="53" fillId="29" borderId="17" xfId="52" applyFont="1" applyFill="1" applyBorder="1" applyAlignment="1" applyProtection="1">
      <alignment horizontal="left" vertical="center"/>
    </xf>
    <xf numFmtId="0" fontId="53" fillId="29" borderId="21" xfId="52" applyFont="1" applyFill="1" applyBorder="1" applyAlignment="1" applyProtection="1">
      <alignment horizontal="left" vertical="center"/>
    </xf>
    <xf numFmtId="0" fontId="53" fillId="29" borderId="17" xfId="52" applyFont="1" applyFill="1" applyBorder="1" applyAlignment="1" applyProtection="1">
      <alignment horizontal="left" vertical="center" wrapText="1"/>
    </xf>
    <xf numFmtId="0" fontId="53" fillId="21" borderId="21" xfId="52" applyFont="1" applyFill="1" applyBorder="1" applyAlignment="1" applyProtection="1">
      <alignment horizontal="left" vertical="center"/>
    </xf>
    <xf numFmtId="0" fontId="62" fillId="25" borderId="2" xfId="52" applyFont="1" applyFill="1" applyBorder="1" applyAlignment="1" applyProtection="1">
      <alignment horizontal="left" vertical="center" indent="1"/>
    </xf>
    <xf numFmtId="0" fontId="35" fillId="30" borderId="7" xfId="0" applyFont="1" applyFill="1" applyBorder="1" applyAlignment="1" applyProtection="1">
      <alignment horizontal="center" vertical="center" wrapText="1"/>
    </xf>
    <xf numFmtId="0" fontId="35" fillId="30" borderId="7" xfId="0" applyFont="1" applyFill="1" applyBorder="1" applyAlignment="1" applyProtection="1">
      <alignment horizontal="left" vertical="center" wrapText="1"/>
    </xf>
    <xf numFmtId="0" fontId="5" fillId="3" borderId="14" xfId="0" applyFont="1" applyFill="1" applyBorder="1" applyAlignment="1" applyProtection="1">
      <alignment horizontal="center" vertical="center" wrapText="1"/>
      <protection locked="0"/>
    </xf>
    <xf numFmtId="0" fontId="5" fillId="3" borderId="15" xfId="0" applyFont="1" applyFill="1" applyBorder="1" applyAlignment="1" applyProtection="1">
      <alignment horizontal="center" vertical="center" wrapText="1"/>
      <protection locked="0"/>
    </xf>
    <xf numFmtId="0" fontId="5" fillId="0" borderId="44" xfId="0" applyFont="1" applyBorder="1" applyAlignment="1">
      <alignment vertical="center"/>
    </xf>
    <xf numFmtId="0" fontId="5" fillId="0" borderId="50" xfId="0" applyFont="1" applyBorder="1" applyAlignment="1">
      <alignment vertical="center" wrapText="1"/>
    </xf>
    <xf numFmtId="0" fontId="35" fillId="30" borderId="63" xfId="0" applyFont="1" applyFill="1" applyBorder="1" applyAlignment="1" applyProtection="1">
      <alignment horizontal="left" vertical="center" wrapText="1"/>
    </xf>
    <xf numFmtId="3" fontId="35" fillId="30" borderId="7" xfId="0" applyNumberFormat="1" applyFont="1" applyFill="1" applyBorder="1" applyAlignment="1">
      <alignment horizontal="center" vertical="center"/>
    </xf>
    <xf numFmtId="0" fontId="35" fillId="30" borderId="63" xfId="0" applyFont="1" applyFill="1" applyBorder="1" applyAlignment="1" applyProtection="1">
      <alignment horizontal="center" vertical="center" wrapText="1"/>
    </xf>
    <xf numFmtId="0" fontId="35" fillId="30" borderId="31" xfId="0" applyFont="1" applyFill="1" applyBorder="1" applyAlignment="1" applyProtection="1">
      <alignment horizontal="center" vertical="center" wrapText="1"/>
    </xf>
    <xf numFmtId="0" fontId="35" fillId="30" borderId="31" xfId="0" applyFont="1" applyFill="1" applyBorder="1" applyAlignment="1" applyProtection="1">
      <alignment horizontal="left" vertical="center" wrapText="1"/>
    </xf>
    <xf numFmtId="0" fontId="35" fillId="0" borderId="7" xfId="0" applyFont="1" applyFill="1" applyBorder="1" applyAlignment="1" applyProtection="1">
      <alignment horizontal="left" vertical="center" wrapText="1"/>
    </xf>
    <xf numFmtId="0" fontId="35" fillId="0" borderId="63" xfId="0" applyFont="1" applyFill="1" applyBorder="1" applyAlignment="1" applyProtection="1">
      <alignment horizontal="left" vertical="center" wrapText="1"/>
    </xf>
    <xf numFmtId="49" fontId="14" fillId="30" borderId="0" xfId="32" applyNumberFormat="1" applyFont="1" applyFill="1" applyBorder="1" applyAlignment="1" applyProtection="1">
      <alignment horizontal="left" vertical="center" wrapText="1"/>
      <protection locked="0"/>
    </xf>
    <xf numFmtId="0" fontId="35" fillId="29" borderId="0" xfId="0" applyFont="1" applyFill="1" applyBorder="1" applyAlignment="1">
      <alignment wrapText="1"/>
    </xf>
    <xf numFmtId="0" fontId="34" fillId="29" borderId="0" xfId="0" applyNumberFormat="1" applyFont="1" applyFill="1" applyBorder="1" applyAlignment="1">
      <alignment horizontal="right" wrapText="1"/>
    </xf>
    <xf numFmtId="49" fontId="35" fillId="29" borderId="0" xfId="0" applyNumberFormat="1" applyFont="1" applyFill="1" applyBorder="1" applyAlignment="1">
      <alignment horizontal="right" wrapText="1"/>
    </xf>
    <xf numFmtId="49" fontId="34" fillId="29" borderId="0" xfId="0" applyNumberFormat="1" applyFont="1" applyFill="1" applyBorder="1" applyAlignment="1">
      <alignment horizontal="right" wrapText="1"/>
    </xf>
    <xf numFmtId="0" fontId="35" fillId="30" borderId="0" xfId="32" applyFont="1" applyFill="1" applyBorder="1" applyAlignment="1">
      <alignment wrapText="1"/>
    </xf>
    <xf numFmtId="3" fontId="35" fillId="3" borderId="7" xfId="32" applyNumberFormat="1" applyFont="1" applyFill="1" applyBorder="1" applyAlignment="1" applyProtection="1">
      <alignment horizontal="center" vertical="center"/>
      <protection locked="0"/>
    </xf>
    <xf numFmtId="3" fontId="5" fillId="3" borderId="52" xfId="32" applyNumberFormat="1" applyFont="1" applyFill="1" applyBorder="1" applyAlignment="1" applyProtection="1">
      <alignment horizontal="center" vertical="center"/>
      <protection locked="0"/>
    </xf>
    <xf numFmtId="3" fontId="5" fillId="3" borderId="7" xfId="32" applyNumberFormat="1" applyFont="1" applyFill="1" applyBorder="1" applyAlignment="1" applyProtection="1">
      <alignment horizontal="center" vertical="center"/>
      <protection locked="0"/>
    </xf>
    <xf numFmtId="49" fontId="34" fillId="26" borderId="8" xfId="32" applyNumberFormat="1" applyFont="1" applyFill="1" applyBorder="1" applyAlignment="1">
      <alignment horizontal="left" vertical="center"/>
    </xf>
    <xf numFmtId="49" fontId="34" fillId="26" borderId="3" xfId="32" applyNumberFormat="1" applyFont="1" applyFill="1" applyBorder="1" applyAlignment="1">
      <alignment horizontal="left" vertical="center"/>
    </xf>
    <xf numFmtId="3" fontId="5" fillId="3" borderId="54" xfId="32" applyNumberFormat="1" applyFont="1" applyFill="1" applyBorder="1" applyAlignment="1" applyProtection="1">
      <alignment horizontal="center" vertical="center"/>
      <protection locked="0"/>
    </xf>
    <xf numFmtId="49" fontId="34" fillId="26" borderId="11" xfId="32" applyNumberFormat="1" applyFont="1" applyFill="1" applyBorder="1" applyAlignment="1">
      <alignment horizontal="left" vertical="center"/>
    </xf>
    <xf numFmtId="49" fontId="34" fillId="26" borderId="41" xfId="32" applyNumberFormat="1" applyFont="1" applyFill="1" applyBorder="1" applyAlignment="1">
      <alignment horizontal="left" vertical="center"/>
    </xf>
    <xf numFmtId="0" fontId="5" fillId="0" borderId="0" xfId="32" applyFont="1" applyFill="1"/>
    <xf numFmtId="0" fontId="5" fillId="29" borderId="0" xfId="0" applyFont="1" applyFill="1"/>
    <xf numFmtId="0" fontId="35" fillId="30" borderId="0" xfId="32" applyFont="1" applyFill="1" applyAlignment="1">
      <alignment horizontal="center"/>
    </xf>
    <xf numFmtId="3" fontId="5" fillId="3" borderId="53" xfId="32" applyNumberFormat="1" applyFont="1" applyFill="1" applyBorder="1" applyAlignment="1" applyProtection="1">
      <alignment horizontal="center" vertical="center"/>
      <protection locked="0"/>
    </xf>
    <xf numFmtId="3" fontId="5" fillId="3" borderId="63" xfId="32" applyNumberFormat="1" applyFont="1" applyFill="1" applyBorder="1" applyAlignment="1" applyProtection="1">
      <alignment horizontal="center" vertical="center"/>
      <protection locked="0"/>
    </xf>
    <xf numFmtId="3" fontId="5" fillId="29" borderId="0" xfId="32" applyNumberFormat="1" applyFont="1" applyFill="1" applyBorder="1" applyAlignment="1" applyProtection="1">
      <alignment horizontal="center" vertical="center"/>
      <protection locked="0"/>
    </xf>
    <xf numFmtId="0" fontId="5" fillId="29" borderId="0" xfId="32" applyFont="1" applyFill="1"/>
    <xf numFmtId="3" fontId="5" fillId="3" borderId="32" xfId="32" applyNumberFormat="1" applyFont="1" applyFill="1" applyBorder="1" applyAlignment="1" applyProtection="1">
      <alignment horizontal="center" vertical="center"/>
      <protection locked="0"/>
    </xf>
    <xf numFmtId="3" fontId="35" fillId="3" borderId="75" xfId="32" applyNumberFormat="1" applyFont="1" applyFill="1" applyBorder="1" applyAlignment="1" applyProtection="1">
      <alignment horizontal="center" vertical="center"/>
      <protection locked="0"/>
    </xf>
    <xf numFmtId="3" fontId="35" fillId="3" borderId="73" xfId="32" applyNumberFormat="1" applyFont="1" applyFill="1" applyBorder="1" applyAlignment="1" applyProtection="1">
      <alignment horizontal="center" vertical="center"/>
      <protection locked="0"/>
    </xf>
    <xf numFmtId="3" fontId="35" fillId="3" borderId="76" xfId="32" applyNumberFormat="1" applyFont="1" applyFill="1" applyBorder="1" applyAlignment="1" applyProtection="1">
      <alignment horizontal="center" vertical="center"/>
      <protection locked="0"/>
    </xf>
    <xf numFmtId="3" fontId="35" fillId="3" borderId="52" xfId="32" applyNumberFormat="1" applyFont="1" applyFill="1" applyBorder="1" applyAlignment="1" applyProtection="1">
      <alignment horizontal="center" vertical="center"/>
      <protection locked="0"/>
    </xf>
    <xf numFmtId="3" fontId="35" fillId="3" borderId="53" xfId="32" applyNumberFormat="1" applyFont="1" applyFill="1" applyBorder="1" applyAlignment="1" applyProtection="1">
      <alignment horizontal="center" vertical="center"/>
      <protection locked="0"/>
    </xf>
    <xf numFmtId="3" fontId="35" fillId="3" borderId="55" xfId="32" applyNumberFormat="1" applyFont="1" applyFill="1" applyBorder="1" applyAlignment="1" applyProtection="1">
      <alignment horizontal="center" vertical="center"/>
      <protection locked="0"/>
    </xf>
    <xf numFmtId="3" fontId="5" fillId="3" borderId="73" xfId="32" applyNumberFormat="1" applyFont="1" applyFill="1" applyBorder="1" applyAlignment="1" applyProtection="1">
      <alignment horizontal="center" vertical="center"/>
      <protection locked="0"/>
    </xf>
    <xf numFmtId="3" fontId="5" fillId="3" borderId="76" xfId="32" applyNumberFormat="1" applyFont="1" applyFill="1" applyBorder="1" applyAlignment="1" applyProtection="1">
      <alignment horizontal="center" vertical="center"/>
      <protection locked="0"/>
    </xf>
    <xf numFmtId="3" fontId="5" fillId="3" borderId="72" xfId="32" applyNumberFormat="1" applyFont="1" applyFill="1" applyBorder="1" applyAlignment="1" applyProtection="1">
      <alignment horizontal="center" vertical="center"/>
      <protection locked="0"/>
    </xf>
    <xf numFmtId="3" fontId="5" fillId="3" borderId="75" xfId="32" applyNumberFormat="1" applyFont="1" applyFill="1" applyBorder="1" applyAlignment="1" applyProtection="1">
      <alignment horizontal="center" vertical="center"/>
      <protection locked="0"/>
    </xf>
    <xf numFmtId="0" fontId="108" fillId="30" borderId="0" xfId="32" applyFont="1" applyFill="1"/>
    <xf numFmtId="0" fontId="47" fillId="29" borderId="0" xfId="0" applyFont="1" applyFill="1" applyBorder="1" applyAlignment="1">
      <alignment horizontal="right" vertical="center"/>
    </xf>
    <xf numFmtId="0" fontId="35" fillId="0" borderId="17" xfId="0" applyFont="1" applyFill="1" applyBorder="1" applyAlignment="1">
      <alignment horizontal="center" vertical="center"/>
    </xf>
    <xf numFmtId="9" fontId="35" fillId="30" borderId="17" xfId="1" applyFont="1" applyFill="1" applyBorder="1" applyAlignment="1">
      <alignment horizontal="center" vertical="center"/>
    </xf>
    <xf numFmtId="3" fontId="34" fillId="30" borderId="24" xfId="32" applyNumberFormat="1" applyFont="1" applyFill="1" applyBorder="1" applyAlignment="1">
      <alignment horizontal="center" vertical="center"/>
    </xf>
    <xf numFmtId="9" fontId="35" fillId="0" borderId="17" xfId="1" applyFont="1" applyFill="1" applyBorder="1" applyAlignment="1">
      <alignment horizontal="center" vertical="center"/>
    </xf>
    <xf numFmtId="3" fontId="35" fillId="30" borderId="17" xfId="32" applyNumberFormat="1" applyFont="1" applyFill="1" applyBorder="1" applyAlignment="1">
      <alignment horizontal="left" vertical="center" wrapText="1"/>
    </xf>
    <xf numFmtId="0" fontId="35" fillId="0" borderId="17" xfId="32" applyFont="1" applyFill="1" applyBorder="1" applyAlignment="1">
      <alignment horizontal="center" vertical="center"/>
    </xf>
    <xf numFmtId="0" fontId="35" fillId="30" borderId="17" xfId="32" applyFont="1" applyFill="1" applyBorder="1" applyAlignment="1">
      <alignment horizontal="center" vertical="center"/>
    </xf>
    <xf numFmtId="3" fontId="35" fillId="0" borderId="21" xfId="32" applyNumberFormat="1" applyFont="1" applyFill="1" applyBorder="1" applyAlignment="1">
      <alignment horizontal="center" vertical="center" wrapText="1"/>
    </xf>
    <xf numFmtId="0" fontId="36" fillId="30" borderId="0" xfId="32" applyFont="1" applyFill="1" applyAlignment="1">
      <alignment horizontal="left" vertical="center" wrapText="1"/>
    </xf>
    <xf numFmtId="3" fontId="35" fillId="30" borderId="0" xfId="32" applyNumberFormat="1" applyFont="1" applyFill="1" applyAlignment="1">
      <alignment horizontal="center"/>
    </xf>
    <xf numFmtId="0" fontId="35" fillId="30" borderId="0" xfId="32" applyFont="1" applyFill="1" applyBorder="1" applyAlignment="1">
      <alignment horizontal="center"/>
    </xf>
    <xf numFmtId="0" fontId="35" fillId="30" borderId="0" xfId="32" applyFont="1" applyFill="1" applyBorder="1" applyAlignment="1">
      <alignment horizontal="center" wrapText="1"/>
    </xf>
    <xf numFmtId="0" fontId="7" fillId="30" borderId="0" xfId="32" applyFont="1" applyFill="1"/>
    <xf numFmtId="0" fontId="115" fillId="30" borderId="0" xfId="32" applyFont="1" applyFill="1" applyBorder="1" applyAlignment="1">
      <alignment wrapText="1"/>
    </xf>
    <xf numFmtId="0" fontId="115" fillId="30" borderId="0" xfId="32" applyFont="1" applyFill="1" applyBorder="1" applyAlignment="1">
      <alignment horizontal="center" wrapText="1"/>
    </xf>
    <xf numFmtId="0" fontId="120" fillId="30" borderId="0" xfId="32" applyFont="1" applyFill="1"/>
    <xf numFmtId="3" fontId="35" fillId="30" borderId="53" xfId="32" applyNumberFormat="1" applyFont="1" applyFill="1" applyBorder="1" applyAlignment="1">
      <alignment horizontal="center"/>
    </xf>
    <xf numFmtId="3" fontId="35" fillId="30" borderId="0" xfId="32" applyNumberFormat="1" applyFont="1" applyFill="1" applyBorder="1" applyAlignment="1">
      <alignment horizontal="center"/>
    </xf>
    <xf numFmtId="3" fontId="35" fillId="30" borderId="7" xfId="32" applyNumberFormat="1" applyFont="1" applyFill="1" applyBorder="1" applyAlignment="1">
      <alignment horizontal="center"/>
    </xf>
    <xf numFmtId="3" fontId="35" fillId="30" borderId="63" xfId="32" applyNumberFormat="1" applyFont="1" applyFill="1" applyBorder="1" applyAlignment="1">
      <alignment horizontal="center"/>
    </xf>
    <xf numFmtId="3" fontId="116" fillId="30" borderId="0" xfId="32" applyNumberFormat="1" applyFont="1" applyFill="1" applyBorder="1" applyAlignment="1">
      <alignment horizontal="right" vertical="center" wrapText="1"/>
    </xf>
    <xf numFmtId="3" fontId="116" fillId="30" borderId="0" xfId="32" applyNumberFormat="1" applyFont="1" applyFill="1" applyBorder="1" applyAlignment="1">
      <alignment horizontal="center" vertical="center" wrapText="1"/>
    </xf>
    <xf numFmtId="3" fontId="35" fillId="30" borderId="31" xfId="32" applyNumberFormat="1" applyFont="1" applyFill="1" applyBorder="1" applyAlignment="1">
      <alignment horizontal="center"/>
    </xf>
    <xf numFmtId="3" fontId="35" fillId="30" borderId="44" xfId="32" applyNumberFormat="1" applyFont="1" applyFill="1" applyBorder="1" applyAlignment="1">
      <alignment horizontal="center"/>
    </xf>
    <xf numFmtId="3" fontId="35" fillId="30" borderId="71" xfId="32" applyNumberFormat="1" applyFont="1" applyFill="1" applyBorder="1" applyAlignment="1">
      <alignment horizontal="center"/>
    </xf>
    <xf numFmtId="3" fontId="35" fillId="30" borderId="0" xfId="32" applyNumberFormat="1" applyFont="1" applyFill="1" applyAlignment="1">
      <alignment horizontal="center" vertical="center"/>
    </xf>
    <xf numFmtId="3" fontId="35" fillId="30" borderId="33" xfId="32" applyNumberFormat="1" applyFont="1" applyFill="1" applyBorder="1" applyAlignment="1">
      <alignment horizontal="center" vertical="center"/>
    </xf>
    <xf numFmtId="3" fontId="34" fillId="30" borderId="0" xfId="32" applyNumberFormat="1" applyFont="1" applyFill="1" applyBorder="1" applyAlignment="1">
      <alignment horizontal="right" vertical="center" wrapText="1"/>
    </xf>
    <xf numFmtId="3" fontId="34" fillId="30" borderId="0" xfId="32" applyNumberFormat="1" applyFont="1" applyFill="1" applyBorder="1" applyAlignment="1">
      <alignment horizontal="center" vertical="center" wrapText="1"/>
    </xf>
    <xf numFmtId="3" fontId="35" fillId="30" borderId="77" xfId="32" applyNumberFormat="1" applyFont="1" applyFill="1" applyBorder="1" applyAlignment="1">
      <alignment horizontal="center"/>
    </xf>
    <xf numFmtId="3" fontId="35" fillId="30" borderId="57" xfId="32" applyNumberFormat="1" applyFont="1" applyFill="1" applyBorder="1" applyAlignment="1">
      <alignment horizontal="center"/>
    </xf>
    <xf numFmtId="3" fontId="81" fillId="3" borderId="53" xfId="32" applyNumberFormat="1" applyFont="1" applyFill="1" applyBorder="1" applyAlignment="1">
      <alignment horizontal="center" vertical="center"/>
    </xf>
    <xf numFmtId="0" fontId="37" fillId="30" borderId="0" xfId="32" applyFont="1" applyFill="1" applyAlignment="1">
      <alignment horizontal="center"/>
    </xf>
    <xf numFmtId="3" fontId="36" fillId="30" borderId="0" xfId="32" applyNumberFormat="1" applyFont="1" applyFill="1" applyAlignment="1">
      <alignment horizontal="center"/>
    </xf>
    <xf numFmtId="3" fontId="36" fillId="30" borderId="52" xfId="32" applyNumberFormat="1" applyFont="1" applyFill="1" applyBorder="1" applyAlignment="1">
      <alignment horizontal="center"/>
    </xf>
    <xf numFmtId="3" fontId="36" fillId="30" borderId="49" xfId="32" applyNumberFormat="1" applyFont="1" applyFill="1" applyBorder="1" applyAlignment="1">
      <alignment horizontal="center"/>
    </xf>
    <xf numFmtId="3" fontId="36" fillId="30" borderId="47" xfId="32" applyNumberFormat="1" applyFont="1" applyFill="1" applyBorder="1" applyAlignment="1">
      <alignment horizontal="center"/>
    </xf>
    <xf numFmtId="3" fontId="36" fillId="30" borderId="0" xfId="32" applyNumberFormat="1" applyFont="1" applyFill="1" applyAlignment="1">
      <alignment horizontal="center" vertical="center"/>
    </xf>
    <xf numFmtId="3" fontId="36" fillId="30" borderId="56" xfId="32" applyNumberFormat="1" applyFont="1" applyFill="1" applyBorder="1" applyAlignment="1">
      <alignment horizontal="center"/>
    </xf>
    <xf numFmtId="3" fontId="37" fillId="30" borderId="0" xfId="32" applyNumberFormat="1" applyFont="1" applyFill="1" applyAlignment="1">
      <alignment horizontal="center"/>
    </xf>
    <xf numFmtId="3" fontId="121" fillId="30" borderId="0" xfId="32" applyNumberFormat="1" applyFont="1" applyFill="1" applyAlignment="1">
      <alignment horizontal="center"/>
    </xf>
    <xf numFmtId="0" fontId="36" fillId="29" borderId="0" xfId="0" applyFont="1" applyFill="1" applyBorder="1"/>
    <xf numFmtId="0" fontId="31" fillId="29" borderId="0" xfId="0" applyFont="1" applyFill="1"/>
    <xf numFmtId="0" fontId="36" fillId="30" borderId="0" xfId="32" applyFont="1" applyFill="1" applyBorder="1" applyAlignment="1">
      <alignment horizontal="center"/>
    </xf>
    <xf numFmtId="3" fontId="36" fillId="30" borderId="7" xfId="32" applyNumberFormat="1" applyFont="1" applyFill="1" applyBorder="1" applyAlignment="1">
      <alignment horizontal="center"/>
    </xf>
    <xf numFmtId="3" fontId="36" fillId="30" borderId="31" xfId="32" applyNumberFormat="1" applyFont="1" applyFill="1" applyBorder="1" applyAlignment="1">
      <alignment horizontal="center"/>
    </xf>
    <xf numFmtId="3" fontId="36" fillId="30" borderId="71" xfId="32" applyNumberFormat="1" applyFont="1" applyFill="1" applyBorder="1" applyAlignment="1">
      <alignment horizontal="center"/>
    </xf>
    <xf numFmtId="3" fontId="36" fillId="30" borderId="77" xfId="32" applyNumberFormat="1" applyFont="1" applyFill="1" applyBorder="1" applyAlignment="1">
      <alignment horizontal="center"/>
    </xf>
    <xf numFmtId="0" fontId="37" fillId="30" borderId="0" xfId="32" applyFont="1" applyFill="1" applyBorder="1" applyAlignment="1">
      <alignment horizontal="center"/>
    </xf>
    <xf numFmtId="0" fontId="31" fillId="29" borderId="0" xfId="0" applyFont="1" applyFill="1" applyAlignment="1">
      <alignment horizontal="center"/>
    </xf>
    <xf numFmtId="0" fontId="36" fillId="30" borderId="0" xfId="0" applyFont="1" applyFill="1" applyAlignment="1">
      <alignment horizontal="center"/>
    </xf>
    <xf numFmtId="0" fontId="40" fillId="30" borderId="0" xfId="0" applyFont="1" applyFill="1" applyAlignment="1">
      <alignment horizontal="center"/>
    </xf>
    <xf numFmtId="3" fontId="36" fillId="30" borderId="0" xfId="32" applyNumberFormat="1" applyFont="1" applyFill="1" applyBorder="1" applyAlignment="1">
      <alignment horizontal="center"/>
    </xf>
    <xf numFmtId="3" fontId="40" fillId="40" borderId="38" xfId="32" applyNumberFormat="1" applyFont="1" applyFill="1" applyBorder="1" applyAlignment="1">
      <alignment horizontal="center" vertical="center"/>
    </xf>
    <xf numFmtId="3" fontId="34" fillId="40" borderId="9" xfId="32" applyNumberFormat="1" applyFont="1" applyFill="1" applyBorder="1" applyAlignment="1">
      <alignment horizontal="center" vertical="center"/>
    </xf>
    <xf numFmtId="3" fontId="34" fillId="40" borderId="10" xfId="32" applyNumberFormat="1" applyFont="1" applyFill="1" applyBorder="1" applyAlignment="1">
      <alignment horizontal="center" vertical="center"/>
    </xf>
    <xf numFmtId="1" fontId="40" fillId="40" borderId="38" xfId="32" applyNumberFormat="1" applyFont="1" applyFill="1" applyBorder="1" applyAlignment="1">
      <alignment horizontal="center" vertical="center" wrapText="1"/>
    </xf>
    <xf numFmtId="1" fontId="40" fillId="40" borderId="10" xfId="32" applyNumberFormat="1" applyFont="1" applyFill="1" applyBorder="1" applyAlignment="1">
      <alignment horizontal="center" vertical="center" wrapText="1"/>
    </xf>
    <xf numFmtId="1" fontId="34" fillId="40" borderId="65" xfId="32" applyNumberFormat="1" applyFont="1" applyFill="1" applyBorder="1" applyAlignment="1">
      <alignment horizontal="center" vertical="center" wrapText="1"/>
    </xf>
    <xf numFmtId="1" fontId="34" fillId="40" borderId="9" xfId="32" applyNumberFormat="1" applyFont="1" applyFill="1" applyBorder="1" applyAlignment="1">
      <alignment horizontal="center" vertical="center" wrapText="1"/>
    </xf>
    <xf numFmtId="1" fontId="34" fillId="40" borderId="60" xfId="32" applyNumberFormat="1" applyFont="1" applyFill="1" applyBorder="1" applyAlignment="1">
      <alignment horizontal="center" vertical="center" wrapText="1"/>
    </xf>
    <xf numFmtId="0" fontId="77" fillId="40" borderId="56" xfId="32" applyFont="1" applyFill="1" applyBorder="1" applyAlignment="1">
      <alignment horizontal="center" vertical="center" wrapText="1"/>
    </xf>
    <xf numFmtId="0" fontId="77" fillId="40" borderId="77" xfId="32" applyFont="1" applyFill="1" applyBorder="1" applyAlignment="1">
      <alignment horizontal="center" vertical="center" wrapText="1"/>
    </xf>
    <xf numFmtId="0" fontId="77" fillId="40" borderId="57" xfId="32" applyFont="1" applyFill="1" applyBorder="1" applyAlignment="1">
      <alignment horizontal="center" vertical="center" wrapText="1"/>
    </xf>
    <xf numFmtId="0" fontId="34" fillId="40" borderId="79" xfId="32" applyFont="1" applyFill="1" applyBorder="1" applyAlignment="1">
      <alignment horizontal="center" vertical="center"/>
    </xf>
    <xf numFmtId="0" fontId="34" fillId="40" borderId="77" xfId="32" applyFont="1" applyFill="1" applyBorder="1" applyAlignment="1">
      <alignment horizontal="center" vertical="center"/>
    </xf>
    <xf numFmtId="0" fontId="34" fillId="40" borderId="57" xfId="32" applyFont="1" applyFill="1" applyBorder="1" applyAlignment="1">
      <alignment horizontal="center" vertical="center"/>
    </xf>
    <xf numFmtId="3" fontId="35" fillId="30" borderId="62" xfId="32" applyNumberFormat="1" applyFont="1" applyFill="1" applyBorder="1" applyAlignment="1">
      <alignment horizontal="center"/>
    </xf>
    <xf numFmtId="3" fontId="35" fillId="30" borderId="64" xfId="32" applyNumberFormat="1" applyFont="1" applyFill="1" applyBorder="1" applyAlignment="1">
      <alignment horizontal="center"/>
    </xf>
    <xf numFmtId="9" fontId="35" fillId="30" borderId="5" xfId="49" applyNumberFormat="1" applyFont="1" applyFill="1" applyBorder="1" applyAlignment="1">
      <alignment horizontal="center" vertical="center"/>
    </xf>
    <xf numFmtId="3" fontId="35" fillId="30" borderId="75" xfId="49" applyNumberFormat="1" applyFont="1" applyFill="1" applyBorder="1" applyAlignment="1">
      <alignment horizontal="center" vertical="center" wrapText="1"/>
    </xf>
    <xf numFmtId="3" fontId="35" fillId="30" borderId="73" xfId="49" applyNumberFormat="1" applyFont="1" applyFill="1" applyBorder="1" applyAlignment="1">
      <alignment horizontal="center" vertical="center" wrapText="1"/>
    </xf>
    <xf numFmtId="3" fontId="35" fillId="30" borderId="76" xfId="49" applyNumberFormat="1" applyFont="1" applyFill="1" applyBorder="1" applyAlignment="1">
      <alignment horizontal="center" vertical="center" wrapText="1"/>
    </xf>
    <xf numFmtId="3" fontId="35" fillId="30" borderId="52" xfId="49" applyNumberFormat="1" applyFont="1" applyFill="1" applyBorder="1" applyAlignment="1">
      <alignment horizontal="center" vertical="center" wrapText="1"/>
    </xf>
    <xf numFmtId="3" fontId="35" fillId="30" borderId="7" xfId="49" applyNumberFormat="1" applyFont="1" applyFill="1" applyBorder="1" applyAlignment="1">
      <alignment horizontal="center" vertical="center" wrapText="1"/>
    </xf>
    <xf numFmtId="3" fontId="35" fillId="30" borderId="53" xfId="49" applyNumberFormat="1" applyFont="1" applyFill="1" applyBorder="1" applyAlignment="1">
      <alignment horizontal="center" vertical="center" wrapText="1"/>
    </xf>
    <xf numFmtId="3" fontId="34" fillId="30" borderId="17" xfId="49" applyNumberFormat="1" applyFont="1" applyFill="1" applyBorder="1" applyAlignment="1">
      <alignment horizontal="center" vertical="center"/>
    </xf>
    <xf numFmtId="3" fontId="34" fillId="30" borderId="52" xfId="49" applyNumberFormat="1" applyFont="1" applyFill="1" applyBorder="1" applyAlignment="1">
      <alignment horizontal="center" vertical="center"/>
    </xf>
    <xf numFmtId="3" fontId="34" fillId="30" borderId="7" xfId="49" applyNumberFormat="1" applyFont="1" applyFill="1" applyBorder="1" applyAlignment="1">
      <alignment horizontal="center" vertical="center"/>
    </xf>
    <xf numFmtId="3" fontId="34" fillId="30" borderId="53" xfId="49" applyNumberFormat="1" applyFont="1" applyFill="1" applyBorder="1" applyAlignment="1">
      <alignment horizontal="center" vertical="center"/>
    </xf>
    <xf numFmtId="3" fontId="34" fillId="30" borderId="32" xfId="49" applyNumberFormat="1" applyFont="1" applyFill="1" applyBorder="1" applyAlignment="1">
      <alignment horizontal="center" vertical="center"/>
    </xf>
    <xf numFmtId="3" fontId="34" fillId="21" borderId="32" xfId="49" applyNumberFormat="1" applyFont="1" applyFill="1" applyBorder="1" applyAlignment="1">
      <alignment horizontal="center" vertical="center"/>
    </xf>
    <xf numFmtId="3" fontId="34" fillId="21" borderId="7" xfId="49" applyNumberFormat="1" applyFont="1" applyFill="1" applyBorder="1" applyAlignment="1">
      <alignment horizontal="center" vertical="center"/>
    </xf>
    <xf numFmtId="3" fontId="34" fillId="21" borderId="53" xfId="49" applyNumberFormat="1" applyFont="1" applyFill="1" applyBorder="1" applyAlignment="1">
      <alignment horizontal="center" vertical="center"/>
    </xf>
    <xf numFmtId="0" fontId="35" fillId="30" borderId="24" xfId="49" applyFont="1" applyFill="1" applyBorder="1" applyAlignment="1">
      <alignment horizontal="center" vertical="center"/>
    </xf>
    <xf numFmtId="3" fontId="35" fillId="0" borderId="52" xfId="49" applyNumberFormat="1" applyFont="1" applyFill="1" applyBorder="1" applyAlignment="1">
      <alignment horizontal="center" vertical="center" wrapText="1"/>
    </xf>
    <xf numFmtId="3" fontId="35" fillId="0" borderId="7" xfId="49" applyNumberFormat="1" applyFont="1" applyFill="1" applyBorder="1" applyAlignment="1">
      <alignment horizontal="center" vertical="center" wrapText="1"/>
    </xf>
    <xf numFmtId="3" fontId="35" fillId="0" borderId="53" xfId="49" applyNumberFormat="1" applyFont="1" applyFill="1" applyBorder="1" applyAlignment="1">
      <alignment horizontal="center" vertical="center" wrapText="1"/>
    </xf>
    <xf numFmtId="3" fontId="35" fillId="0" borderId="75" xfId="49" applyNumberFormat="1" applyFont="1" applyFill="1" applyBorder="1" applyAlignment="1">
      <alignment horizontal="center" vertical="center" wrapText="1"/>
    </xf>
    <xf numFmtId="3" fontId="35" fillId="0" borderId="73" xfId="49" applyNumberFormat="1" applyFont="1" applyFill="1" applyBorder="1" applyAlignment="1">
      <alignment horizontal="center" vertical="center" wrapText="1"/>
    </xf>
    <xf numFmtId="3" fontId="35" fillId="0" borderId="76" xfId="49" applyNumberFormat="1" applyFont="1" applyFill="1" applyBorder="1" applyAlignment="1">
      <alignment horizontal="center" vertical="center" wrapText="1"/>
    </xf>
    <xf numFmtId="3" fontId="35" fillId="0" borderId="56" xfId="49" applyNumberFormat="1" applyFont="1" applyFill="1" applyBorder="1" applyAlignment="1">
      <alignment horizontal="center" vertical="center" wrapText="1"/>
    </xf>
    <xf numFmtId="3" fontId="35" fillId="0" borderId="77" xfId="49" applyNumberFormat="1" applyFont="1" applyFill="1" applyBorder="1" applyAlignment="1">
      <alignment horizontal="center" vertical="center" wrapText="1"/>
    </xf>
    <xf numFmtId="3" fontId="35" fillId="0" borderId="57" xfId="49" applyNumberFormat="1" applyFont="1" applyFill="1" applyBorder="1" applyAlignment="1">
      <alignment horizontal="center" vertical="center" wrapText="1"/>
    </xf>
    <xf numFmtId="0" fontId="34" fillId="29" borderId="5" xfId="32" applyFont="1" applyFill="1" applyBorder="1" applyAlignment="1">
      <alignment horizontal="left" vertical="center"/>
    </xf>
    <xf numFmtId="0" fontId="34" fillId="29" borderId="5" xfId="32" applyFont="1" applyFill="1" applyBorder="1" applyAlignment="1">
      <alignment horizontal="center" vertical="center"/>
    </xf>
    <xf numFmtId="3" fontId="61" fillId="29" borderId="15" xfId="32" applyNumberFormat="1" applyFont="1" applyFill="1" applyBorder="1" applyAlignment="1">
      <alignment horizontal="center" vertical="center"/>
    </xf>
    <xf numFmtId="3" fontId="34" fillId="34" borderId="73" xfId="32" applyNumberFormat="1" applyFont="1" applyFill="1" applyBorder="1" applyAlignment="1">
      <alignment horizontal="center" vertical="center"/>
    </xf>
    <xf numFmtId="3" fontId="35" fillId="29" borderId="0" xfId="32" applyNumberFormat="1" applyFont="1" applyFill="1" applyBorder="1" applyAlignment="1">
      <alignment horizontal="center"/>
    </xf>
    <xf numFmtId="3" fontId="34" fillId="34" borderId="73" xfId="0" applyNumberFormat="1" applyFont="1" applyFill="1" applyBorder="1" applyAlignment="1">
      <alignment horizontal="center" vertical="center"/>
    </xf>
    <xf numFmtId="3" fontId="34" fillId="34" borderId="76" xfId="0" applyNumberFormat="1" applyFont="1" applyFill="1" applyBorder="1" applyAlignment="1">
      <alignment horizontal="center" vertical="center"/>
    </xf>
    <xf numFmtId="3" fontId="34" fillId="34" borderId="74" xfId="0" applyNumberFormat="1" applyFont="1" applyFill="1" applyBorder="1" applyAlignment="1">
      <alignment horizontal="center" vertical="center"/>
    </xf>
    <xf numFmtId="3" fontId="34" fillId="34" borderId="74" xfId="32" applyNumberFormat="1" applyFont="1" applyFill="1" applyBorder="1" applyAlignment="1">
      <alignment horizontal="center" vertical="center"/>
    </xf>
    <xf numFmtId="3" fontId="81" fillId="34" borderId="51" xfId="32" applyNumberFormat="1" applyFont="1" applyFill="1" applyBorder="1" applyAlignment="1">
      <alignment horizontal="center" vertical="center"/>
    </xf>
    <xf numFmtId="3" fontId="81" fillId="29" borderId="17" xfId="32" applyNumberFormat="1" applyFont="1" applyFill="1" applyBorder="1" applyAlignment="1">
      <alignment horizontal="center" vertical="center"/>
    </xf>
    <xf numFmtId="3" fontId="81" fillId="29" borderId="21" xfId="32" applyNumberFormat="1" applyFont="1" applyFill="1" applyBorder="1" applyAlignment="1">
      <alignment horizontal="center" vertical="center"/>
    </xf>
    <xf numFmtId="3" fontId="81" fillId="29" borderId="51" xfId="32" applyNumberFormat="1" applyFont="1" applyFill="1" applyBorder="1" applyAlignment="1">
      <alignment horizontal="center" vertical="center"/>
    </xf>
    <xf numFmtId="3" fontId="81" fillId="29" borderId="39" xfId="32" applyNumberFormat="1" applyFont="1" applyFill="1" applyBorder="1" applyAlignment="1">
      <alignment horizontal="center" vertical="center"/>
    </xf>
    <xf numFmtId="167" fontId="34" fillId="34" borderId="1" xfId="49" applyNumberFormat="1" applyFont="1" applyFill="1" applyBorder="1" applyAlignment="1">
      <alignment horizontal="center" wrapText="1"/>
    </xf>
    <xf numFmtId="3" fontId="34" fillId="34" borderId="38" xfId="49" applyNumberFormat="1" applyFont="1" applyFill="1" applyBorder="1" applyAlignment="1">
      <alignment horizontal="center" wrapText="1"/>
    </xf>
    <xf numFmtId="0" fontId="34" fillId="30" borderId="5" xfId="49" applyFont="1" applyFill="1" applyBorder="1" applyAlignment="1">
      <alignment horizontal="center" vertical="center"/>
    </xf>
    <xf numFmtId="9" fontId="34" fillId="30" borderId="5" xfId="49" applyNumberFormat="1" applyFont="1" applyFill="1" applyBorder="1" applyAlignment="1">
      <alignment horizontal="center" vertical="center"/>
    </xf>
    <xf numFmtId="0" fontId="34" fillId="30" borderId="5" xfId="49" applyFont="1" applyFill="1" applyBorder="1" applyAlignment="1">
      <alignment wrapText="1"/>
    </xf>
    <xf numFmtId="0" fontId="34" fillId="0" borderId="25" xfId="49" applyFont="1" applyFill="1" applyBorder="1" applyAlignment="1">
      <alignment horizontal="center" vertical="center" wrapText="1"/>
    </xf>
    <xf numFmtId="3" fontId="34" fillId="30" borderId="75" xfId="49" applyNumberFormat="1" applyFont="1" applyFill="1" applyBorder="1" applyAlignment="1">
      <alignment horizontal="center" vertical="center" wrapText="1"/>
    </xf>
    <xf numFmtId="3" fontId="34" fillId="30" borderId="73" xfId="49" applyNumberFormat="1" applyFont="1" applyFill="1" applyBorder="1" applyAlignment="1">
      <alignment horizontal="center" vertical="center" wrapText="1"/>
    </xf>
    <xf numFmtId="3" fontId="34" fillId="30" borderId="76" xfId="49" applyNumberFormat="1" applyFont="1" applyFill="1" applyBorder="1" applyAlignment="1">
      <alignment horizontal="center" vertical="center" wrapText="1"/>
    </xf>
    <xf numFmtId="0" fontId="35" fillId="0" borderId="25" xfId="49" applyFont="1" applyFill="1" applyBorder="1" applyAlignment="1">
      <alignment horizontal="center" vertical="center" wrapText="1"/>
    </xf>
    <xf numFmtId="3" fontId="35" fillId="0" borderId="5" xfId="49" applyNumberFormat="1" applyFont="1" applyFill="1" applyBorder="1" applyAlignment="1">
      <alignment horizontal="center" vertical="center" wrapText="1"/>
    </xf>
    <xf numFmtId="3" fontId="35" fillId="30" borderId="44" xfId="49" applyNumberFormat="1" applyFont="1" applyFill="1" applyBorder="1" applyAlignment="1">
      <alignment horizontal="center" vertical="center" wrapText="1"/>
    </xf>
    <xf numFmtId="3" fontId="35" fillId="30" borderId="32" xfId="49" applyNumberFormat="1" applyFont="1" applyFill="1" applyBorder="1" applyAlignment="1">
      <alignment horizontal="center" vertical="center" wrapText="1"/>
    </xf>
    <xf numFmtId="3" fontId="35" fillId="30" borderId="15" xfId="49" applyNumberFormat="1" applyFont="1" applyFill="1" applyBorder="1" applyAlignment="1">
      <alignment horizontal="center" vertical="center" wrapText="1"/>
    </xf>
    <xf numFmtId="3" fontId="35" fillId="30" borderId="49" xfId="49" applyNumberFormat="1" applyFont="1" applyFill="1" applyBorder="1" applyAlignment="1">
      <alignment horizontal="center" vertical="center" wrapText="1"/>
    </xf>
    <xf numFmtId="3" fontId="35" fillId="30" borderId="31" xfId="49" applyNumberFormat="1" applyFont="1" applyFill="1" applyBorder="1" applyAlignment="1">
      <alignment horizontal="center" vertical="center" wrapText="1"/>
    </xf>
    <xf numFmtId="3" fontId="35" fillId="30" borderId="50" xfId="49" applyNumberFormat="1" applyFont="1" applyFill="1" applyBorder="1" applyAlignment="1">
      <alignment horizontal="center" vertical="center" wrapText="1"/>
    </xf>
    <xf numFmtId="3" fontId="35" fillId="30" borderId="6" xfId="49" applyNumberFormat="1" applyFont="1" applyFill="1" applyBorder="1" applyAlignment="1">
      <alignment horizontal="center" vertical="center" wrapText="1"/>
    </xf>
    <xf numFmtId="0" fontId="34" fillId="30" borderId="17" xfId="49" applyFont="1" applyFill="1" applyBorder="1" applyAlignment="1">
      <alignment horizontal="center" vertical="center"/>
    </xf>
    <xf numFmtId="9" fontId="34" fillId="30" borderId="17" xfId="49" applyNumberFormat="1" applyFont="1" applyFill="1" applyBorder="1" applyAlignment="1">
      <alignment horizontal="center" vertical="center"/>
    </xf>
    <xf numFmtId="0" fontId="34" fillId="30" borderId="17" xfId="49" applyFont="1" applyFill="1" applyBorder="1" applyAlignment="1">
      <alignment wrapText="1"/>
    </xf>
    <xf numFmtId="0" fontId="34" fillId="30" borderId="24" xfId="49" applyFont="1" applyFill="1" applyBorder="1" applyAlignment="1">
      <alignment horizontal="center" vertical="center"/>
    </xf>
    <xf numFmtId="0" fontId="34" fillId="30" borderId="17" xfId="49" applyFont="1" applyFill="1" applyBorder="1" applyAlignment="1">
      <alignment horizontal="center"/>
    </xf>
    <xf numFmtId="49" fontId="34" fillId="30" borderId="17" xfId="49" applyNumberFormat="1" applyFont="1" applyFill="1" applyBorder="1" applyAlignment="1">
      <alignment wrapText="1"/>
    </xf>
    <xf numFmtId="167" fontId="34" fillId="30" borderId="24" xfId="49" applyNumberFormat="1" applyFont="1" applyFill="1" applyBorder="1" applyAlignment="1">
      <alignment horizontal="center" vertical="center"/>
    </xf>
    <xf numFmtId="167" fontId="35" fillId="36" borderId="24" xfId="49" applyNumberFormat="1" applyFont="1" applyFill="1" applyBorder="1" applyAlignment="1">
      <alignment horizontal="center" vertical="center"/>
    </xf>
    <xf numFmtId="3" fontId="35" fillId="36" borderId="52" xfId="49" applyNumberFormat="1" applyFont="1" applyFill="1" applyBorder="1" applyAlignment="1">
      <alignment horizontal="center" vertical="center"/>
    </xf>
    <xf numFmtId="3" fontId="35" fillId="36" borderId="7" xfId="49" applyNumberFormat="1" applyFont="1" applyFill="1" applyBorder="1" applyAlignment="1">
      <alignment horizontal="center" vertical="center"/>
    </xf>
    <xf numFmtId="3" fontId="35" fillId="36" borderId="53" xfId="49" applyNumberFormat="1" applyFont="1" applyFill="1" applyBorder="1" applyAlignment="1">
      <alignment horizontal="center" vertical="center"/>
    </xf>
    <xf numFmtId="3" fontId="35" fillId="36" borderId="17" xfId="49" applyNumberFormat="1" applyFont="1" applyFill="1" applyBorder="1" applyAlignment="1">
      <alignment horizontal="center" vertical="center"/>
    </xf>
    <xf numFmtId="3" fontId="35" fillId="36" borderId="32" xfId="49" applyNumberFormat="1" applyFont="1" applyFill="1" applyBorder="1" applyAlignment="1">
      <alignment horizontal="center" vertical="center"/>
    </xf>
    <xf numFmtId="0" fontId="36" fillId="30" borderId="17" xfId="49" applyFont="1" applyFill="1" applyBorder="1" applyAlignment="1">
      <alignment horizontal="center" vertical="center"/>
    </xf>
    <xf numFmtId="9" fontId="36" fillId="30" borderId="17" xfId="50" applyFont="1" applyFill="1" applyBorder="1" applyAlignment="1">
      <alignment horizontal="center" vertical="center"/>
    </xf>
    <xf numFmtId="9" fontId="36" fillId="30" borderId="17" xfId="49" applyNumberFormat="1" applyFont="1" applyFill="1" applyBorder="1" applyAlignment="1">
      <alignment horizontal="center" vertical="center"/>
    </xf>
    <xf numFmtId="167" fontId="34" fillId="21" borderId="24" xfId="49" applyNumberFormat="1" applyFont="1" applyFill="1" applyBorder="1" applyAlignment="1">
      <alignment horizontal="center" vertical="center"/>
    </xf>
    <xf numFmtId="3" fontId="34" fillId="21" borderId="52" xfId="49" applyNumberFormat="1" applyFont="1" applyFill="1" applyBorder="1" applyAlignment="1">
      <alignment horizontal="center" vertical="center"/>
    </xf>
    <xf numFmtId="3" fontId="34" fillId="21" borderId="17" xfId="49" applyNumberFormat="1" applyFont="1" applyFill="1" applyBorder="1" applyAlignment="1">
      <alignment horizontal="center" vertical="center"/>
    </xf>
    <xf numFmtId="3" fontId="34" fillId="30" borderId="52" xfId="49" applyNumberFormat="1" applyFont="1" applyFill="1" applyBorder="1" applyAlignment="1">
      <alignment horizontal="center" vertical="center" wrapText="1"/>
    </xf>
    <xf numFmtId="3" fontId="34" fillId="30" borderId="7" xfId="49" applyNumberFormat="1" applyFont="1" applyFill="1" applyBorder="1" applyAlignment="1">
      <alignment horizontal="center" vertical="center" wrapText="1"/>
    </xf>
    <xf numFmtId="3" fontId="34" fillId="30" borderId="62" xfId="49" applyNumberFormat="1" applyFont="1" applyFill="1" applyBorder="1" applyAlignment="1">
      <alignment horizontal="center" vertical="center" wrapText="1"/>
    </xf>
    <xf numFmtId="3" fontId="35" fillId="0" borderId="17" xfId="49" applyNumberFormat="1" applyFont="1" applyFill="1" applyBorder="1" applyAlignment="1">
      <alignment horizontal="center" vertical="center" wrapText="1"/>
    </xf>
    <xf numFmtId="3" fontId="34" fillId="30" borderId="53" xfId="49" applyNumberFormat="1" applyFont="1" applyFill="1" applyBorder="1" applyAlignment="1">
      <alignment horizontal="center" vertical="center" wrapText="1"/>
    </xf>
    <xf numFmtId="3" fontId="34" fillId="30" borderId="32" xfId="49" applyNumberFormat="1" applyFont="1" applyFill="1" applyBorder="1" applyAlignment="1">
      <alignment horizontal="center" vertical="center" wrapText="1"/>
    </xf>
    <xf numFmtId="0" fontId="34" fillId="0" borderId="24" xfId="49" applyFont="1" applyFill="1" applyBorder="1" applyAlignment="1">
      <alignment horizontal="center" vertical="center"/>
    </xf>
    <xf numFmtId="0" fontId="34" fillId="30" borderId="36" xfId="49" applyFont="1" applyFill="1" applyBorder="1" applyAlignment="1">
      <alignment horizontal="center" vertical="center"/>
    </xf>
    <xf numFmtId="3" fontId="34" fillId="30" borderId="56" xfId="49" applyNumberFormat="1" applyFont="1" applyFill="1" applyBorder="1" applyAlignment="1">
      <alignment horizontal="center" vertical="center" wrapText="1"/>
    </xf>
    <xf numFmtId="3" fontId="34" fillId="30" borderId="77" xfId="49" applyNumberFormat="1" applyFont="1" applyFill="1" applyBorder="1" applyAlignment="1">
      <alignment horizontal="center" vertical="center" wrapText="1"/>
    </xf>
    <xf numFmtId="3" fontId="34" fillId="30" borderId="78" xfId="49" applyNumberFormat="1" applyFont="1" applyFill="1" applyBorder="1" applyAlignment="1">
      <alignment horizontal="center" vertical="center" wrapText="1"/>
    </xf>
    <xf numFmtId="3" fontId="35" fillId="0" borderId="34" xfId="49" applyNumberFormat="1" applyFont="1" applyFill="1" applyBorder="1" applyAlignment="1">
      <alignment horizontal="center" vertical="center" wrapText="1"/>
    </xf>
    <xf numFmtId="3" fontId="34" fillId="30" borderId="57" xfId="49" applyNumberFormat="1" applyFont="1" applyFill="1" applyBorder="1" applyAlignment="1">
      <alignment horizontal="center" vertical="center" wrapText="1"/>
    </xf>
    <xf numFmtId="3" fontId="34" fillId="30" borderId="79" xfId="49" applyNumberFormat="1" applyFont="1" applyFill="1" applyBorder="1" applyAlignment="1">
      <alignment horizontal="center" vertical="center" wrapText="1"/>
    </xf>
    <xf numFmtId="3" fontId="34" fillId="34" borderId="60" xfId="49" applyNumberFormat="1" applyFont="1" applyFill="1" applyBorder="1" applyAlignment="1">
      <alignment horizontal="center" wrapText="1"/>
    </xf>
    <xf numFmtId="3" fontId="34" fillId="0" borderId="75" xfId="49" applyNumberFormat="1" applyFont="1" applyFill="1" applyBorder="1" applyAlignment="1">
      <alignment horizontal="center" vertical="center" wrapText="1"/>
    </xf>
    <xf numFmtId="3" fontId="34" fillId="0" borderId="73" xfId="49" applyNumberFormat="1" applyFont="1" applyFill="1" applyBorder="1" applyAlignment="1">
      <alignment horizontal="center" vertical="center" wrapText="1"/>
    </xf>
    <xf numFmtId="3" fontId="34" fillId="0" borderId="74" xfId="49" applyNumberFormat="1" applyFont="1" applyFill="1" applyBorder="1" applyAlignment="1">
      <alignment horizontal="center" vertical="center" wrapText="1"/>
    </xf>
    <xf numFmtId="3" fontId="34" fillId="0" borderId="51" xfId="49" applyNumberFormat="1" applyFont="1" applyFill="1" applyBorder="1" applyAlignment="1">
      <alignment horizontal="center" vertical="center" wrapText="1"/>
    </xf>
    <xf numFmtId="3" fontId="34" fillId="0" borderId="76" xfId="49" applyNumberFormat="1" applyFont="1" applyFill="1" applyBorder="1" applyAlignment="1">
      <alignment horizontal="center" vertical="center" wrapText="1"/>
    </xf>
    <xf numFmtId="3" fontId="35" fillId="0" borderId="62" xfId="49" applyNumberFormat="1" applyFont="1" applyFill="1" applyBorder="1" applyAlignment="1">
      <alignment horizontal="center" vertical="center" wrapText="1"/>
    </xf>
    <xf numFmtId="3" fontId="34" fillId="0" borderId="52" xfId="49" applyNumberFormat="1" applyFont="1" applyFill="1" applyBorder="1" applyAlignment="1">
      <alignment horizontal="center" vertical="center"/>
    </xf>
    <xf numFmtId="3" fontId="34" fillId="0" borderId="7" xfId="49" applyNumberFormat="1" applyFont="1" applyFill="1" applyBorder="1" applyAlignment="1">
      <alignment horizontal="center" vertical="center"/>
    </xf>
    <xf numFmtId="3" fontId="34" fillId="0" borderId="62" xfId="49" applyNumberFormat="1" applyFont="1" applyFill="1" applyBorder="1" applyAlignment="1">
      <alignment horizontal="center" vertical="center"/>
    </xf>
    <xf numFmtId="3" fontId="34" fillId="0" borderId="17" xfId="49" applyNumberFormat="1" applyFont="1" applyFill="1" applyBorder="1" applyAlignment="1">
      <alignment horizontal="center" vertical="center"/>
    </xf>
    <xf numFmtId="3" fontId="34" fillId="0" borderId="53" xfId="49" applyNumberFormat="1" applyFont="1" applyFill="1" applyBorder="1" applyAlignment="1">
      <alignment horizontal="center" vertical="center"/>
    </xf>
    <xf numFmtId="3" fontId="34" fillId="0" borderId="32" xfId="49" applyNumberFormat="1" applyFont="1" applyFill="1" applyBorder="1" applyAlignment="1">
      <alignment horizontal="center" vertical="center"/>
    </xf>
    <xf numFmtId="167" fontId="34" fillId="0" borderId="24" xfId="49" applyNumberFormat="1" applyFont="1" applyFill="1" applyBorder="1" applyAlignment="1">
      <alignment horizontal="center" vertical="center"/>
    </xf>
    <xf numFmtId="3" fontId="35" fillId="30" borderId="62" xfId="49" applyNumberFormat="1" applyFont="1" applyFill="1" applyBorder="1" applyAlignment="1">
      <alignment horizontal="center" vertical="center" wrapText="1"/>
    </xf>
    <xf numFmtId="3" fontId="35" fillId="36" borderId="62" xfId="49" applyNumberFormat="1" applyFont="1" applyFill="1" applyBorder="1" applyAlignment="1">
      <alignment horizontal="center" vertical="center"/>
    </xf>
    <xf numFmtId="3" fontId="36" fillId="0" borderId="52" xfId="49" applyNumberFormat="1" applyFont="1" applyFill="1" applyBorder="1" applyAlignment="1">
      <alignment horizontal="center" vertical="center" wrapText="1"/>
    </xf>
    <xf numFmtId="3" fontId="36" fillId="30" borderId="7" xfId="49" applyNumberFormat="1" applyFont="1" applyFill="1" applyBorder="1" applyAlignment="1">
      <alignment horizontal="center" vertical="center" wrapText="1"/>
    </xf>
    <xf numFmtId="3" fontId="36" fillId="30" borderId="62" xfId="49" applyNumberFormat="1" applyFont="1" applyFill="1" applyBorder="1" applyAlignment="1">
      <alignment horizontal="center" vertical="center" wrapText="1"/>
    </xf>
    <xf numFmtId="3" fontId="36" fillId="30" borderId="52" xfId="49" applyNumberFormat="1" applyFont="1" applyFill="1" applyBorder="1" applyAlignment="1">
      <alignment horizontal="center" vertical="center" wrapText="1"/>
    </xf>
    <xf numFmtId="3" fontId="36" fillId="30" borderId="53" xfId="49" applyNumberFormat="1" applyFont="1" applyFill="1" applyBorder="1" applyAlignment="1">
      <alignment horizontal="center" vertical="center" wrapText="1"/>
    </xf>
    <xf numFmtId="3" fontId="34" fillId="0" borderId="52" xfId="49" applyNumberFormat="1" applyFont="1" applyFill="1" applyBorder="1" applyAlignment="1">
      <alignment horizontal="center" vertical="center" wrapText="1"/>
    </xf>
    <xf numFmtId="3" fontId="34" fillId="0" borderId="7" xfId="49" applyNumberFormat="1" applyFont="1" applyFill="1" applyBorder="1" applyAlignment="1">
      <alignment horizontal="center" vertical="center" wrapText="1"/>
    </xf>
    <xf numFmtId="3" fontId="34" fillId="0" borderId="62" xfId="49" applyNumberFormat="1" applyFont="1" applyFill="1" applyBorder="1" applyAlignment="1">
      <alignment horizontal="center" vertical="center" wrapText="1"/>
    </xf>
    <xf numFmtId="3" fontId="34" fillId="0" borderId="32" xfId="49" applyNumberFormat="1" applyFont="1" applyFill="1" applyBorder="1" applyAlignment="1">
      <alignment horizontal="center" vertical="center" wrapText="1"/>
    </xf>
    <xf numFmtId="3" fontId="34" fillId="0" borderId="53" xfId="49" applyNumberFormat="1" applyFont="1" applyFill="1" applyBorder="1" applyAlignment="1">
      <alignment horizontal="center" vertical="center" wrapText="1"/>
    </xf>
    <xf numFmtId="0" fontId="34" fillId="30" borderId="30" xfId="49" applyFont="1" applyFill="1" applyBorder="1" applyAlignment="1">
      <alignment horizontal="center" vertical="center"/>
    </xf>
    <xf numFmtId="9" fontId="34" fillId="30" borderId="30" xfId="49" applyNumberFormat="1" applyFont="1" applyFill="1" applyBorder="1" applyAlignment="1">
      <alignment horizontal="center" vertical="center"/>
    </xf>
    <xf numFmtId="49" fontId="34" fillId="30" borderId="21" xfId="49" applyNumberFormat="1" applyFont="1" applyFill="1" applyBorder="1" applyAlignment="1">
      <alignment wrapText="1"/>
    </xf>
    <xf numFmtId="0" fontId="34" fillId="0" borderId="21" xfId="49" applyFont="1" applyFill="1" applyBorder="1" applyAlignment="1">
      <alignment horizontal="center" vertical="center" wrapText="1"/>
    </xf>
    <xf numFmtId="3" fontId="34" fillId="0" borderId="56" xfId="49" applyNumberFormat="1" applyFont="1" applyFill="1" applyBorder="1" applyAlignment="1">
      <alignment horizontal="center" vertical="center" wrapText="1"/>
    </xf>
    <xf numFmtId="3" fontId="34" fillId="0" borderId="77" xfId="49" applyNumberFormat="1" applyFont="1" applyFill="1" applyBorder="1" applyAlignment="1">
      <alignment horizontal="center" vertical="center" wrapText="1"/>
    </xf>
    <xf numFmtId="3" fontId="34" fillId="0" borderId="78" xfId="49" applyNumberFormat="1" applyFont="1" applyFill="1" applyBorder="1" applyAlignment="1">
      <alignment horizontal="center" vertical="center" wrapText="1"/>
    </xf>
    <xf numFmtId="3" fontId="34" fillId="0" borderId="57" xfId="49" applyNumberFormat="1" applyFont="1" applyFill="1" applyBorder="1" applyAlignment="1">
      <alignment horizontal="center" vertical="center" wrapText="1"/>
    </xf>
    <xf numFmtId="3" fontId="34" fillId="0" borderId="79" xfId="49" applyNumberFormat="1" applyFont="1" applyFill="1" applyBorder="1" applyAlignment="1">
      <alignment horizontal="center" vertical="center" wrapText="1"/>
    </xf>
    <xf numFmtId="0" fontId="41" fillId="0" borderId="75" xfId="0" applyFont="1" applyBorder="1" applyAlignment="1">
      <alignment horizontal="center"/>
    </xf>
    <xf numFmtId="0" fontId="41" fillId="0" borderId="76" xfId="0" applyFont="1" applyBorder="1"/>
    <xf numFmtId="0" fontId="39" fillId="0" borderId="29" xfId="0" applyFont="1" applyBorder="1" applyAlignment="1">
      <alignment horizontal="center"/>
    </xf>
    <xf numFmtId="0" fontId="41" fillId="0" borderId="52" xfId="0" applyFont="1" applyBorder="1" applyAlignment="1">
      <alignment horizontal="center"/>
    </xf>
    <xf numFmtId="0" fontId="41" fillId="0" borderId="53" xfId="0" applyFont="1" applyBorder="1"/>
    <xf numFmtId="0" fontId="39" fillId="0" borderId="24" xfId="0" applyFont="1" applyBorder="1" applyAlignment="1">
      <alignment horizontal="center"/>
    </xf>
    <xf numFmtId="49" fontId="41" fillId="0" borderId="52" xfId="0" applyNumberFormat="1" applyFont="1" applyBorder="1" applyAlignment="1" applyProtection="1">
      <alignment horizontal="center" vertical="center" wrapText="1"/>
    </xf>
    <xf numFmtId="0" fontId="39" fillId="21" borderId="24" xfId="0" applyFont="1" applyFill="1" applyBorder="1" applyAlignment="1">
      <alignment horizontal="center" vertical="center" wrapText="1"/>
    </xf>
    <xf numFmtId="0" fontId="41" fillId="0" borderId="52" xfId="40" quotePrefix="1" applyFont="1" applyBorder="1" applyAlignment="1" applyProtection="1">
      <alignment horizontal="center" vertical="center" wrapText="1"/>
    </xf>
    <xf numFmtId="0" fontId="41" fillId="0" borderId="53" xfId="0" applyFont="1" applyFill="1" applyBorder="1"/>
    <xf numFmtId="0" fontId="39" fillId="0" borderId="52" xfId="40" quotePrefix="1" applyFont="1" applyBorder="1" applyAlignment="1" applyProtection="1">
      <alignment horizontal="center" vertical="center" wrapText="1"/>
    </xf>
    <xf numFmtId="0" fontId="39" fillId="0" borderId="53" xfId="0" applyFont="1" applyBorder="1" applyAlignment="1">
      <alignment horizontal="left" indent="1"/>
    </xf>
    <xf numFmtId="0" fontId="39" fillId="0" borderId="53" xfId="0" applyFont="1" applyFill="1" applyBorder="1" applyAlignment="1">
      <alignment horizontal="right"/>
    </xf>
    <xf numFmtId="0" fontId="39" fillId="0" borderId="56" xfId="40" quotePrefix="1" applyFont="1" applyBorder="1" applyAlignment="1" applyProtection="1">
      <alignment horizontal="center" vertical="center" wrapText="1"/>
    </xf>
    <xf numFmtId="0" fontId="39" fillId="0" borderId="57" xfId="0" applyFont="1" applyFill="1" applyBorder="1" applyAlignment="1">
      <alignment horizontal="right"/>
    </xf>
    <xf numFmtId="0" fontId="39" fillId="21" borderId="30" xfId="0" applyFont="1" applyFill="1" applyBorder="1" applyAlignment="1">
      <alignment horizontal="center" vertical="center" wrapText="1"/>
    </xf>
    <xf numFmtId="170" fontId="15" fillId="40" borderId="63" xfId="0" applyNumberFormat="1" applyFont="1" applyFill="1" applyBorder="1" applyAlignment="1" applyProtection="1">
      <alignment horizontal="center" wrapText="1"/>
    </xf>
    <xf numFmtId="170" fontId="15" fillId="40" borderId="55" xfId="0" applyNumberFormat="1" applyFont="1" applyFill="1" applyBorder="1" applyAlignment="1" applyProtection="1">
      <alignment horizontal="center" wrapText="1"/>
    </xf>
    <xf numFmtId="49" fontId="5" fillId="0" borderId="75" xfId="0" applyNumberFormat="1" applyFont="1" applyBorder="1" applyAlignment="1" applyProtection="1">
      <alignment horizontal="center" vertical="center" wrapText="1"/>
    </xf>
    <xf numFmtId="49" fontId="5" fillId="0" borderId="56" xfId="0" applyNumberFormat="1" applyFont="1" applyBorder="1" applyAlignment="1" applyProtection="1">
      <alignment horizontal="center" vertical="center" wrapText="1"/>
    </xf>
    <xf numFmtId="0" fontId="5" fillId="0" borderId="74" xfId="0" applyFont="1" applyBorder="1" applyAlignment="1">
      <alignment horizontal="left" indent="1"/>
    </xf>
    <xf numFmtId="0" fontId="5" fillId="0" borderId="62" xfId="0" applyFont="1" applyBorder="1" applyAlignment="1">
      <alignment horizontal="left" indent="1"/>
    </xf>
    <xf numFmtId="0" fontId="5" fillId="0" borderId="78" xfId="0" applyFont="1" applyBorder="1" applyAlignment="1">
      <alignment horizontal="left" indent="1"/>
    </xf>
    <xf numFmtId="49" fontId="34" fillId="26" borderId="42" xfId="49" applyNumberFormat="1" applyFont="1" applyFill="1" applyBorder="1" applyAlignment="1" applyProtection="1">
      <alignment horizontal="left" vertical="center" wrapText="1"/>
    </xf>
    <xf numFmtId="0" fontId="34" fillId="26" borderId="42" xfId="49" applyFont="1" applyFill="1" applyBorder="1" applyAlignment="1" applyProtection="1">
      <alignment horizontal="left" vertical="center" wrapText="1"/>
    </xf>
    <xf numFmtId="168" fontId="34" fillId="26" borderId="34" xfId="49" applyNumberFormat="1" applyFont="1" applyFill="1" applyBorder="1" applyAlignment="1" applyProtection="1">
      <alignment horizontal="center" vertical="center" wrapText="1"/>
    </xf>
    <xf numFmtId="168" fontId="116" fillId="26" borderId="47" xfId="49" applyNumberFormat="1" applyFont="1" applyFill="1" applyBorder="1" applyAlignment="1" applyProtection="1">
      <alignment horizontal="center" vertical="center" wrapText="1"/>
    </xf>
    <xf numFmtId="174" fontId="118" fillId="26" borderId="48" xfId="49" applyNumberFormat="1" applyFont="1" applyFill="1" applyBorder="1" applyAlignment="1" applyProtection="1">
      <alignment horizontal="center" vertical="center" wrapText="1"/>
    </xf>
    <xf numFmtId="168" fontId="34" fillId="26" borderId="47" xfId="49" applyNumberFormat="1" applyFont="1" applyFill="1" applyBorder="1" applyAlignment="1" applyProtection="1">
      <alignment horizontal="center" vertical="center" wrapText="1"/>
    </xf>
    <xf numFmtId="49" fontId="35" fillId="30" borderId="49" xfId="49" applyNumberFormat="1" applyFont="1" applyFill="1" applyBorder="1" applyAlignment="1" applyProtection="1">
      <alignment horizontal="left" vertical="center" wrapText="1"/>
    </xf>
    <xf numFmtId="0" fontId="35" fillId="30" borderId="61" xfId="49" applyFont="1" applyFill="1" applyBorder="1" applyAlignment="1" applyProtection="1">
      <alignment horizontal="left" vertical="center" wrapText="1"/>
    </xf>
    <xf numFmtId="168" fontId="123" fillId="30" borderId="75" xfId="49" applyNumberFormat="1" applyFont="1" applyFill="1" applyBorder="1" applyAlignment="1" applyProtection="1">
      <alignment horizontal="center" vertical="center" wrapText="1"/>
    </xf>
    <xf numFmtId="174" fontId="107" fillId="30" borderId="76" xfId="49" applyNumberFormat="1" applyFont="1" applyFill="1" applyBorder="1" applyAlignment="1" applyProtection="1">
      <alignment horizontal="center" vertical="center" wrapText="1"/>
    </xf>
    <xf numFmtId="0" fontId="36" fillId="30" borderId="61" xfId="49" applyFont="1" applyFill="1" applyBorder="1" applyAlignment="1" applyProtection="1">
      <alignment horizontal="left" vertical="center" wrapText="1" indent="1"/>
    </xf>
    <xf numFmtId="0" fontId="35" fillId="0" borderId="62" xfId="49" applyFont="1" applyFill="1" applyBorder="1" applyAlignment="1" applyProtection="1">
      <alignment horizontal="left" vertical="center" wrapText="1"/>
    </xf>
    <xf numFmtId="49" fontId="35" fillId="30" borderId="52" xfId="49" applyNumberFormat="1" applyFont="1" applyFill="1" applyBorder="1" applyAlignment="1" applyProtection="1">
      <alignment horizontal="left" vertical="center" wrapText="1"/>
    </xf>
    <xf numFmtId="0" fontId="35" fillId="30" borderId="62" xfId="49" applyFont="1" applyFill="1" applyBorder="1" applyAlignment="1" applyProtection="1">
      <alignment horizontal="left" vertical="center" wrapText="1"/>
    </xf>
    <xf numFmtId="168" fontId="35" fillId="30" borderId="17" xfId="49" applyNumberFormat="1" applyFont="1" applyFill="1" applyBorder="1" applyAlignment="1" applyProtection="1">
      <alignment horizontal="center" vertical="center" wrapText="1"/>
    </xf>
    <xf numFmtId="168" fontId="115" fillId="30" borderId="52" xfId="49" applyNumberFormat="1" applyFont="1" applyFill="1" applyBorder="1" applyAlignment="1" applyProtection="1">
      <alignment horizontal="center" vertical="center" wrapText="1"/>
    </xf>
    <xf numFmtId="174" fontId="107" fillId="30" borderId="53" xfId="49" applyNumberFormat="1" applyFont="1" applyFill="1" applyBorder="1" applyAlignment="1" applyProtection="1">
      <alignment horizontal="center" vertical="center" wrapText="1"/>
    </xf>
    <xf numFmtId="0" fontId="36" fillId="30" borderId="62" xfId="49" applyFont="1" applyFill="1" applyBorder="1" applyAlignment="1" applyProtection="1">
      <alignment horizontal="left" vertical="center" wrapText="1" indent="1"/>
    </xf>
    <xf numFmtId="0" fontId="36" fillId="30" borderId="62" xfId="49" applyFont="1" applyFill="1" applyBorder="1" applyAlignment="1" applyProtection="1">
      <alignment horizontal="left" vertical="center" wrapText="1"/>
    </xf>
    <xf numFmtId="49" fontId="35" fillId="30" borderId="54" xfId="49" applyNumberFormat="1" applyFont="1" applyFill="1" applyBorder="1" applyAlignment="1" applyProtection="1">
      <alignment horizontal="left" vertical="center" wrapText="1"/>
    </xf>
    <xf numFmtId="49" fontId="34" fillId="26" borderId="38" xfId="49" applyNumberFormat="1" applyFont="1" applyFill="1" applyBorder="1" applyAlignment="1" applyProtection="1">
      <alignment horizontal="left" vertical="center" wrapText="1"/>
    </xf>
    <xf numFmtId="0" fontId="34" fillId="26" borderId="60" xfId="49" applyFont="1" applyFill="1" applyBorder="1" applyAlignment="1" applyProtection="1">
      <alignment horizontal="left" vertical="center" wrapText="1"/>
    </xf>
    <xf numFmtId="168" fontId="34" fillId="26" borderId="2" xfId="49" applyNumberFormat="1" applyFont="1" applyFill="1" applyBorder="1" applyAlignment="1" applyProtection="1">
      <alignment horizontal="center" vertical="center" wrapText="1"/>
    </xf>
    <xf numFmtId="168" fontId="116" fillId="26" borderId="38" xfId="49" applyNumberFormat="1" applyFont="1" applyFill="1" applyBorder="1" applyAlignment="1" applyProtection="1">
      <alignment horizontal="center" vertical="center" wrapText="1"/>
    </xf>
    <xf numFmtId="174" fontId="118" fillId="26" borderId="10" xfId="49" applyNumberFormat="1" applyFont="1" applyFill="1" applyBorder="1" applyAlignment="1" applyProtection="1">
      <alignment horizontal="center" vertical="center" wrapText="1"/>
    </xf>
    <xf numFmtId="49" fontId="36" fillId="30" borderId="52" xfId="49" applyNumberFormat="1" applyFont="1" applyFill="1" applyBorder="1" applyAlignment="1" applyProtection="1">
      <alignment horizontal="left" vertical="center" wrapText="1"/>
    </xf>
    <xf numFmtId="0" fontId="35" fillId="30" borderId="52" xfId="49" applyNumberFormat="1" applyFont="1" applyFill="1" applyBorder="1" applyAlignment="1" applyProtection="1">
      <alignment horizontal="left" vertical="center" wrapText="1"/>
    </xf>
    <xf numFmtId="0" fontId="35" fillId="30" borderId="7" xfId="49" applyNumberFormat="1" applyFont="1" applyFill="1" applyBorder="1" applyAlignment="1" applyProtection="1">
      <alignment horizontal="left" vertical="center" wrapText="1"/>
    </xf>
    <xf numFmtId="49" fontId="36" fillId="30" borderId="64" xfId="49" applyNumberFormat="1" applyFont="1" applyFill="1" applyBorder="1" applyAlignment="1" applyProtection="1">
      <alignment horizontal="left" vertical="center" wrapText="1"/>
    </xf>
    <xf numFmtId="0" fontId="34" fillId="26" borderId="38" xfId="49" applyFont="1" applyFill="1" applyBorder="1" applyAlignment="1" applyProtection="1">
      <alignment horizontal="left" vertical="center" wrapText="1"/>
    </xf>
    <xf numFmtId="0" fontId="34" fillId="26" borderId="8" xfId="49" applyFont="1" applyFill="1" applyBorder="1" applyAlignment="1" applyProtection="1">
      <alignment horizontal="left" vertical="center" wrapText="1"/>
    </xf>
    <xf numFmtId="0" fontId="35" fillId="21" borderId="75" xfId="49" applyFont="1" applyFill="1" applyBorder="1" applyAlignment="1" applyProtection="1">
      <alignment horizontal="left" vertical="center" wrapText="1"/>
    </xf>
    <xf numFmtId="0" fontId="35" fillId="0" borderId="61" xfId="49" applyFont="1" applyFill="1" applyBorder="1" applyAlignment="1" applyProtection="1">
      <alignment horizontal="left" vertical="center" wrapText="1"/>
    </xf>
    <xf numFmtId="0" fontId="35" fillId="21" borderId="27" xfId="49" applyFont="1" applyFill="1" applyBorder="1" applyAlignment="1" applyProtection="1">
      <alignment horizontal="left" vertical="center" wrapText="1"/>
    </xf>
    <xf numFmtId="0" fontId="35" fillId="30" borderId="54" xfId="49" applyFont="1" applyFill="1" applyBorder="1" applyAlignment="1" applyProtection="1">
      <alignment horizontal="left" vertical="center" wrapText="1"/>
    </xf>
    <xf numFmtId="0" fontId="35" fillId="0" borderId="64" xfId="49" applyFont="1" applyFill="1" applyBorder="1" applyAlignment="1" applyProtection="1">
      <alignment horizontal="left" vertical="center" wrapText="1"/>
    </xf>
    <xf numFmtId="0" fontId="35" fillId="30" borderId="50" xfId="31" applyFont="1" applyFill="1" applyBorder="1" applyAlignment="1" applyProtection="1">
      <alignment horizontal="left" vertical="center" wrapText="1"/>
    </xf>
    <xf numFmtId="0" fontId="35" fillId="30" borderId="64" xfId="49" applyFont="1" applyFill="1" applyBorder="1" applyAlignment="1" applyProtection="1">
      <alignment horizontal="left" vertical="center" wrapText="1"/>
    </xf>
    <xf numFmtId="49" fontId="35" fillId="30" borderId="62" xfId="49" applyNumberFormat="1" applyFont="1" applyFill="1" applyBorder="1" applyAlignment="1" applyProtection="1">
      <alignment horizontal="left" vertical="center" wrapText="1"/>
    </xf>
    <xf numFmtId="0" fontId="35" fillId="0" borderId="67" xfId="31" applyFont="1" applyFill="1" applyBorder="1" applyAlignment="1" applyProtection="1">
      <alignment vertical="center" wrapText="1"/>
    </xf>
    <xf numFmtId="174" fontId="34" fillId="26" borderId="85" xfId="49" applyNumberFormat="1" applyFont="1" applyFill="1" applyBorder="1" applyAlignment="1" applyProtection="1">
      <alignment horizontal="center" vertical="center" wrapText="1"/>
    </xf>
    <xf numFmtId="174" fontId="34" fillId="26" borderId="38" xfId="49" applyNumberFormat="1" applyFont="1" applyFill="1" applyBorder="1" applyAlignment="1" applyProtection="1">
      <alignment horizontal="center" vertical="center" wrapText="1"/>
    </xf>
    <xf numFmtId="174" fontId="34" fillId="26" borderId="60" xfId="49" applyNumberFormat="1" applyFont="1" applyFill="1" applyBorder="1" applyAlignment="1" applyProtection="1">
      <alignment horizontal="center" vertical="center" wrapText="1"/>
    </xf>
    <xf numFmtId="0" fontId="125" fillId="30" borderId="0" xfId="2" quotePrefix="1" applyFont="1" applyFill="1" applyAlignment="1" applyProtection="1"/>
    <xf numFmtId="0" fontId="93" fillId="30" borderId="0" xfId="49" applyFont="1" applyFill="1"/>
    <xf numFmtId="0" fontId="95" fillId="30" borderId="0" xfId="49" applyFont="1" applyFill="1"/>
    <xf numFmtId="168" fontId="34" fillId="26" borderId="65" xfId="49" applyNumberFormat="1" applyFont="1" applyFill="1" applyBorder="1" applyAlignment="1" applyProtection="1">
      <alignment horizontal="center" vertical="center" wrapText="1"/>
    </xf>
    <xf numFmtId="168" fontId="34" fillId="26" borderId="9" xfId="49" applyNumberFormat="1" applyFont="1" applyFill="1" applyBorder="1" applyAlignment="1" applyProtection="1">
      <alignment horizontal="center" vertical="center" wrapText="1"/>
    </xf>
    <xf numFmtId="168" fontId="34" fillId="26" borderId="10" xfId="49" applyNumberFormat="1" applyFont="1" applyFill="1" applyBorder="1" applyAlignment="1" applyProtection="1">
      <alignment horizontal="center" vertical="center" wrapText="1"/>
    </xf>
    <xf numFmtId="168" fontId="34" fillId="26" borderId="60" xfId="49" applyNumberFormat="1" applyFont="1" applyFill="1" applyBorder="1" applyAlignment="1" applyProtection="1">
      <alignment horizontal="center" vertical="center" wrapText="1"/>
    </xf>
    <xf numFmtId="168" fontId="34" fillId="26" borderId="38" xfId="49" applyNumberFormat="1" applyFont="1" applyFill="1" applyBorder="1" applyAlignment="1" applyProtection="1">
      <alignment horizontal="center" vertical="center" wrapText="1"/>
    </xf>
    <xf numFmtId="168" fontId="35" fillId="36" borderId="5" xfId="49" applyNumberFormat="1" applyFont="1" applyFill="1" applyBorder="1" applyAlignment="1" applyProtection="1">
      <alignment horizontal="center" vertical="center" wrapText="1"/>
    </xf>
    <xf numFmtId="168" fontId="35" fillId="36" borderId="73" xfId="49" applyNumberFormat="1" applyFont="1" applyFill="1" applyBorder="1" applyAlignment="1" applyProtection="1">
      <alignment horizontal="center" vertical="center" wrapText="1"/>
    </xf>
    <xf numFmtId="168" fontId="35" fillId="36" borderId="31" xfId="49" applyNumberFormat="1" applyFont="1" applyFill="1" applyBorder="1" applyAlignment="1" applyProtection="1">
      <alignment horizontal="center" vertical="center" wrapText="1"/>
    </xf>
    <xf numFmtId="168" fontId="35" fillId="36" borderId="6" xfId="49" applyNumberFormat="1" applyFont="1" applyFill="1" applyBorder="1" applyAlignment="1" applyProtection="1">
      <alignment horizontal="center" vertical="center" wrapText="1"/>
    </xf>
    <xf numFmtId="168" fontId="35" fillId="36" borderId="44" xfId="49" applyNumberFormat="1" applyFont="1" applyFill="1" applyBorder="1" applyAlignment="1" applyProtection="1">
      <alignment horizontal="center" vertical="center" wrapText="1"/>
    </xf>
    <xf numFmtId="49" fontId="36" fillId="30" borderId="49" xfId="49" applyNumberFormat="1" applyFont="1" applyFill="1" applyBorder="1" applyAlignment="1" applyProtection="1">
      <alignment horizontal="left" vertical="center" wrapText="1"/>
    </xf>
    <xf numFmtId="168" fontId="35" fillId="36" borderId="17" xfId="49" applyNumberFormat="1" applyFont="1" applyFill="1" applyBorder="1" applyAlignment="1" applyProtection="1">
      <alignment horizontal="center" vertical="center" wrapText="1"/>
    </xf>
    <xf numFmtId="168" fontId="35" fillId="36" borderId="32" xfId="49" applyNumberFormat="1" applyFont="1" applyFill="1" applyBorder="1" applyAlignment="1" applyProtection="1">
      <alignment horizontal="center" vertical="center" wrapText="1"/>
    </xf>
    <xf numFmtId="168" fontId="35" fillId="36" borderId="7" xfId="49" applyNumberFormat="1" applyFont="1" applyFill="1" applyBorder="1" applyAlignment="1" applyProtection="1">
      <alignment horizontal="center" vertical="center" wrapText="1"/>
    </xf>
    <xf numFmtId="168" fontId="35" fillId="36" borderId="53" xfId="49" applyNumberFormat="1" applyFont="1" applyFill="1" applyBorder="1" applyAlignment="1" applyProtection="1">
      <alignment horizontal="center" vertical="center" wrapText="1"/>
    </xf>
    <xf numFmtId="168" fontId="35" fillId="36" borderId="23" xfId="49" applyNumberFormat="1" applyFont="1" applyFill="1" applyBorder="1" applyAlignment="1" applyProtection="1">
      <alignment horizontal="center" vertical="center" wrapText="1"/>
    </xf>
    <xf numFmtId="168" fontId="35" fillId="36" borderId="62" xfId="49" applyNumberFormat="1" applyFont="1" applyFill="1" applyBorder="1" applyAlignment="1" applyProtection="1">
      <alignment horizontal="center" vertical="center" wrapText="1"/>
    </xf>
    <xf numFmtId="168" fontId="35" fillId="36" borderId="24" xfId="49" applyNumberFormat="1" applyFont="1" applyFill="1" applyBorder="1" applyAlignment="1" applyProtection="1">
      <alignment horizontal="center" vertical="center" wrapText="1"/>
    </xf>
    <xf numFmtId="49" fontId="35" fillId="30" borderId="7" xfId="49" applyNumberFormat="1" applyFont="1" applyFill="1" applyBorder="1" applyAlignment="1" applyProtection="1">
      <alignment horizontal="left" vertical="center" wrapText="1"/>
    </xf>
    <xf numFmtId="0" fontId="35" fillId="21" borderId="52" xfId="49" applyFont="1" applyFill="1" applyBorder="1" applyAlignment="1" applyProtection="1">
      <alignment horizontal="left" vertical="center" wrapText="1"/>
    </xf>
    <xf numFmtId="168" fontId="34" fillId="26" borderId="8" xfId="49" applyNumberFormat="1" applyFont="1" applyFill="1" applyBorder="1" applyAlignment="1" applyProtection="1">
      <alignment horizontal="center" vertical="center" wrapText="1"/>
    </xf>
    <xf numFmtId="167" fontId="34" fillId="26" borderId="85" xfId="49" applyNumberFormat="1" applyFont="1" applyFill="1" applyBorder="1" applyAlignment="1" applyProtection="1">
      <alignment horizontal="center" vertical="center" wrapText="1"/>
    </xf>
    <xf numFmtId="167" fontId="34" fillId="26" borderId="9" xfId="49" applyNumberFormat="1" applyFont="1" applyFill="1" applyBorder="1" applyAlignment="1" applyProtection="1">
      <alignment horizontal="center" vertical="center" wrapText="1"/>
    </xf>
    <xf numFmtId="167" fontId="34" fillId="26" borderId="60" xfId="49" applyNumberFormat="1" applyFont="1" applyFill="1" applyBorder="1" applyAlignment="1" applyProtection="1">
      <alignment horizontal="center" vertical="center" wrapText="1"/>
    </xf>
    <xf numFmtId="167" fontId="34" fillId="26" borderId="10" xfId="49" applyNumberFormat="1" applyFont="1" applyFill="1" applyBorder="1" applyAlignment="1" applyProtection="1">
      <alignment horizontal="center" vertical="center" wrapText="1"/>
    </xf>
    <xf numFmtId="168" fontId="34" fillId="26" borderId="86" xfId="49" applyNumberFormat="1" applyFont="1" applyFill="1" applyBorder="1" applyAlignment="1" applyProtection="1">
      <alignment horizontal="center" vertical="center" wrapText="1"/>
    </xf>
    <xf numFmtId="168" fontId="34" fillId="26" borderId="87" xfId="49" applyNumberFormat="1" applyFont="1" applyFill="1" applyBorder="1" applyAlignment="1" applyProtection="1">
      <alignment horizontal="center" vertical="center" wrapText="1"/>
    </xf>
    <xf numFmtId="168" fontId="34" fillId="0" borderId="2" xfId="49" applyNumberFormat="1" applyFont="1" applyFill="1" applyBorder="1" applyAlignment="1" applyProtection="1">
      <alignment horizontal="center" vertical="center" wrapText="1"/>
    </xf>
    <xf numFmtId="168" fontId="34" fillId="0" borderId="65" xfId="49" applyNumberFormat="1" applyFont="1" applyFill="1" applyBorder="1" applyAlignment="1" applyProtection="1">
      <alignment horizontal="center" vertical="center" wrapText="1"/>
    </xf>
    <xf numFmtId="168" fontId="34" fillId="0" borderId="9" xfId="49" applyNumberFormat="1" applyFont="1" applyFill="1" applyBorder="1" applyAlignment="1" applyProtection="1">
      <alignment horizontal="center" vertical="center" wrapText="1"/>
    </xf>
    <xf numFmtId="168" fontId="34" fillId="0" borderId="10" xfId="49" applyNumberFormat="1" applyFont="1" applyFill="1" applyBorder="1" applyAlignment="1" applyProtection="1">
      <alignment horizontal="center" vertical="center" wrapText="1"/>
    </xf>
    <xf numFmtId="168" fontId="34" fillId="0" borderId="2" xfId="31" applyNumberFormat="1" applyFont="1" applyFill="1" applyBorder="1" applyAlignment="1" applyProtection="1">
      <alignment horizontal="center" vertical="center" wrapText="1"/>
    </xf>
    <xf numFmtId="168" fontId="34" fillId="0" borderId="9" xfId="31" applyNumberFormat="1" applyFont="1" applyFill="1" applyBorder="1" applyAlignment="1" applyProtection="1">
      <alignment horizontal="center" vertical="center" wrapText="1"/>
    </xf>
    <xf numFmtId="168" fontId="34" fillId="0" borderId="10" xfId="31" applyNumberFormat="1" applyFont="1" applyFill="1" applyBorder="1" applyAlignment="1" applyProtection="1">
      <alignment horizontal="center" vertical="center" wrapText="1"/>
    </xf>
    <xf numFmtId="3" fontId="40" fillId="30" borderId="75" xfId="0" applyNumberFormat="1" applyFont="1" applyFill="1" applyBorder="1" applyAlignment="1">
      <alignment horizontal="center" vertical="center"/>
    </xf>
    <xf numFmtId="3" fontId="40" fillId="30" borderId="73" xfId="0" applyNumberFormat="1" applyFont="1" applyFill="1" applyBorder="1" applyAlignment="1">
      <alignment horizontal="center" vertical="center"/>
    </xf>
    <xf numFmtId="3" fontId="40" fillId="30" borderId="76" xfId="0" applyNumberFormat="1" applyFont="1" applyFill="1" applyBorder="1" applyAlignment="1">
      <alignment horizontal="center" vertical="center"/>
    </xf>
    <xf numFmtId="3" fontId="40" fillId="30" borderId="52" xfId="0" applyNumberFormat="1" applyFont="1" applyFill="1" applyBorder="1" applyAlignment="1">
      <alignment horizontal="center" vertical="center"/>
    </xf>
    <xf numFmtId="3" fontId="40" fillId="30" borderId="7" xfId="0" applyNumberFormat="1" applyFont="1" applyFill="1" applyBorder="1" applyAlignment="1">
      <alignment horizontal="center" vertical="center"/>
    </xf>
    <xf numFmtId="3" fontId="40" fillId="30" borderId="53" xfId="0" applyNumberFormat="1" applyFont="1" applyFill="1" applyBorder="1" applyAlignment="1">
      <alignment horizontal="center" vertical="center"/>
    </xf>
    <xf numFmtId="3" fontId="40" fillId="30" borderId="77" xfId="0" applyNumberFormat="1" applyFont="1" applyFill="1" applyBorder="1" applyAlignment="1">
      <alignment horizontal="center" vertical="center"/>
    </xf>
    <xf numFmtId="3" fontId="40" fillId="30" borderId="57" xfId="0" applyNumberFormat="1" applyFont="1" applyFill="1" applyBorder="1" applyAlignment="1">
      <alignment horizontal="center" vertical="center"/>
    </xf>
    <xf numFmtId="3" fontId="34" fillId="30" borderId="73" xfId="0" applyNumberFormat="1" applyFont="1" applyFill="1" applyBorder="1" applyAlignment="1">
      <alignment horizontal="center" vertical="center"/>
    </xf>
    <xf numFmtId="3" fontId="34" fillId="30" borderId="76" xfId="0" applyNumberFormat="1" applyFont="1" applyFill="1" applyBorder="1" applyAlignment="1">
      <alignment horizontal="center" vertical="center"/>
    </xf>
    <xf numFmtId="3" fontId="35" fillId="0" borderId="7" xfId="0" applyNumberFormat="1" applyFont="1" applyFill="1" applyBorder="1" applyAlignment="1">
      <alignment horizontal="center" vertical="center"/>
    </xf>
    <xf numFmtId="3" fontId="34" fillId="30" borderId="7" xfId="0" applyNumberFormat="1" applyFont="1" applyFill="1" applyBorder="1" applyAlignment="1">
      <alignment horizontal="center" vertical="center"/>
    </xf>
    <xf numFmtId="3" fontId="34" fillId="30" borderId="53" xfId="0" applyNumberFormat="1" applyFont="1" applyFill="1" applyBorder="1" applyAlignment="1">
      <alignment horizontal="center" vertical="center"/>
    </xf>
    <xf numFmtId="3" fontId="35" fillId="0" borderId="77" xfId="0" applyNumberFormat="1" applyFont="1" applyFill="1" applyBorder="1" applyAlignment="1">
      <alignment horizontal="center" vertical="center"/>
    </xf>
    <xf numFmtId="3" fontId="34" fillId="30" borderId="77" xfId="0" applyNumberFormat="1" applyFont="1" applyFill="1" applyBorder="1" applyAlignment="1">
      <alignment horizontal="center" vertical="center"/>
    </xf>
    <xf numFmtId="3" fontId="34" fillId="30" borderId="57" xfId="0" applyNumberFormat="1" applyFont="1" applyFill="1" applyBorder="1" applyAlignment="1">
      <alignment horizontal="center" vertical="center"/>
    </xf>
    <xf numFmtId="0" fontId="21" fillId="29" borderId="0" xfId="0" applyFont="1" applyFill="1"/>
    <xf numFmtId="0" fontId="41" fillId="0" borderId="7" xfId="0" applyFont="1" applyFill="1" applyBorder="1" applyAlignment="1" applyProtection="1">
      <alignment horizontal="left" vertical="center" wrapText="1"/>
    </xf>
    <xf numFmtId="0" fontId="41" fillId="0" borderId="7" xfId="0" applyFont="1" applyFill="1" applyBorder="1" applyAlignment="1" applyProtection="1">
      <alignment horizontal="center" vertical="center" wrapText="1"/>
    </xf>
    <xf numFmtId="3" fontId="41" fillId="0" borderId="7" xfId="0" applyNumberFormat="1" applyFont="1" applyBorder="1" applyAlignment="1" applyProtection="1">
      <alignment horizontal="center" vertical="center"/>
    </xf>
    <xf numFmtId="3" fontId="41" fillId="0" borderId="53" xfId="0" applyNumberFormat="1" applyFont="1" applyBorder="1" applyAlignment="1" applyProtection="1">
      <alignment horizontal="center" vertical="center"/>
    </xf>
    <xf numFmtId="0" fontId="39" fillId="0" borderId="7" xfId="0" applyFont="1" applyFill="1" applyBorder="1" applyAlignment="1" applyProtection="1">
      <alignment horizontal="left" vertical="center" wrapText="1" indent="1"/>
    </xf>
    <xf numFmtId="0" fontId="39" fillId="0" borderId="7" xfId="0" applyFont="1" applyBorder="1" applyAlignment="1" applyProtection="1">
      <alignment horizontal="center" vertical="center" wrapText="1"/>
    </xf>
    <xf numFmtId="0" fontId="39" fillId="0" borderId="7" xfId="0" applyFont="1" applyBorder="1" applyAlignment="1" applyProtection="1">
      <alignment horizontal="left" vertical="center" wrapText="1" indent="1"/>
    </xf>
    <xf numFmtId="0" fontId="39" fillId="0" borderId="7" xfId="0" applyFont="1" applyBorder="1" applyAlignment="1" applyProtection="1">
      <alignment horizontal="center" vertical="center"/>
    </xf>
    <xf numFmtId="10" fontId="41" fillId="0" borderId="7" xfId="41" applyNumberFormat="1" applyFont="1" applyBorder="1" applyAlignment="1" applyProtection="1">
      <alignment horizontal="center" vertical="center"/>
    </xf>
    <xf numFmtId="10" fontId="41" fillId="0" borderId="53" xfId="41" applyNumberFormat="1" applyFont="1" applyBorder="1" applyAlignment="1" applyProtection="1">
      <alignment horizontal="center" vertical="center"/>
    </xf>
    <xf numFmtId="0" fontId="41" fillId="22" borderId="7" xfId="0" applyFont="1" applyFill="1" applyBorder="1" applyAlignment="1" applyProtection="1">
      <alignment horizontal="left" vertical="center" wrapText="1"/>
    </xf>
    <xf numFmtId="0" fontId="41" fillId="22" borderId="7" xfId="0" applyFont="1" applyFill="1" applyBorder="1" applyAlignment="1" applyProtection="1">
      <alignment horizontal="center" vertical="center" wrapText="1"/>
    </xf>
    <xf numFmtId="10" fontId="41" fillId="22" borderId="7" xfId="41" applyNumberFormat="1" applyFont="1" applyFill="1" applyBorder="1" applyAlignment="1" applyProtection="1">
      <alignment horizontal="center" vertical="center"/>
    </xf>
    <xf numFmtId="0" fontId="39" fillId="0" borderId="7" xfId="0" applyFont="1" applyBorder="1" applyAlignment="1" applyProtection="1">
      <alignment horizontal="left" vertical="center" wrapText="1"/>
    </xf>
    <xf numFmtId="3" fontId="39" fillId="0" borderId="7" xfId="41" applyNumberFormat="1" applyFont="1" applyFill="1" applyBorder="1" applyAlignment="1" applyProtection="1">
      <alignment horizontal="center" vertical="center"/>
    </xf>
    <xf numFmtId="3" fontId="39" fillId="0" borderId="53" xfId="41" applyNumberFormat="1" applyFont="1" applyFill="1" applyBorder="1" applyAlignment="1" applyProtection="1">
      <alignment horizontal="center" vertical="center"/>
    </xf>
    <xf numFmtId="0" fontId="41" fillId="0" borderId="77" xfId="0" applyFont="1" applyBorder="1" applyAlignment="1" applyProtection="1">
      <alignment horizontal="left" vertical="center" wrapText="1"/>
    </xf>
    <xf numFmtId="0" fontId="41" fillId="0" borderId="77" xfId="0" applyFont="1" applyBorder="1" applyAlignment="1" applyProtection="1">
      <alignment horizontal="center" vertical="center" wrapText="1"/>
    </xf>
    <xf numFmtId="3" fontId="41" fillId="0" borderId="77" xfId="0" applyNumberFormat="1" applyFont="1" applyBorder="1" applyAlignment="1" applyProtection="1">
      <alignment horizontal="center" vertical="center"/>
    </xf>
    <xf numFmtId="3" fontId="41" fillId="0" borderId="57" xfId="0" applyNumberFormat="1" applyFont="1" applyBorder="1" applyAlignment="1" applyProtection="1">
      <alignment horizontal="center" vertical="center"/>
    </xf>
    <xf numFmtId="170" fontId="41" fillId="40" borderId="56" xfId="32" applyNumberFormat="1" applyFont="1" applyFill="1" applyBorder="1" applyAlignment="1" applyProtection="1">
      <alignment horizontal="center" wrapText="1"/>
    </xf>
    <xf numFmtId="170" fontId="41" fillId="40" borderId="77" xfId="32" applyNumberFormat="1" applyFont="1" applyFill="1" applyBorder="1" applyAlignment="1" applyProtection="1">
      <alignment horizontal="center" wrapText="1"/>
    </xf>
    <xf numFmtId="170" fontId="41" fillId="40" borderId="57" xfId="32" applyNumberFormat="1" applyFont="1" applyFill="1" applyBorder="1" applyAlignment="1" applyProtection="1">
      <alignment horizontal="center" wrapText="1"/>
    </xf>
    <xf numFmtId="49" fontId="41" fillId="21" borderId="52" xfId="32" applyNumberFormat="1" applyFont="1" applyFill="1" applyBorder="1" applyAlignment="1" applyProtection="1">
      <alignment horizontal="center" vertical="center" wrapText="1"/>
    </xf>
    <xf numFmtId="0" fontId="41" fillId="0" borderId="23" xfId="32" applyFont="1" applyFill="1" applyBorder="1" applyAlignment="1" applyProtection="1">
      <alignment vertical="center" wrapText="1"/>
    </xf>
    <xf numFmtId="167" fontId="39" fillId="0" borderId="7" xfId="32" applyNumberFormat="1" applyFont="1" applyFill="1" applyBorder="1" applyAlignment="1" applyProtection="1">
      <alignment horizontal="right" vertical="center"/>
      <protection locked="0"/>
    </xf>
    <xf numFmtId="167" fontId="39" fillId="21" borderId="7" xfId="32" applyNumberFormat="1" applyFont="1" applyFill="1" applyBorder="1" applyAlignment="1" applyProtection="1">
      <alignment horizontal="right" vertical="center"/>
      <protection locked="0"/>
    </xf>
    <xf numFmtId="167" fontId="39" fillId="21" borderId="53" xfId="32" applyNumberFormat="1" applyFont="1" applyFill="1" applyBorder="1" applyAlignment="1" applyProtection="1">
      <alignment horizontal="right" vertical="center"/>
      <protection locked="0"/>
    </xf>
    <xf numFmtId="167" fontId="39" fillId="0" borderId="53" xfId="32" applyNumberFormat="1" applyFont="1" applyFill="1" applyBorder="1" applyAlignment="1" applyProtection="1">
      <alignment horizontal="right" vertical="center"/>
      <protection locked="0"/>
    </xf>
    <xf numFmtId="49" fontId="39" fillId="21" borderId="52" xfId="32" applyNumberFormat="1" applyFont="1" applyFill="1" applyBorder="1" applyAlignment="1" applyProtection="1">
      <alignment horizontal="center" vertical="center" wrapText="1"/>
    </xf>
    <xf numFmtId="0" fontId="39" fillId="0" borderId="23" xfId="32" applyFont="1" applyFill="1" applyBorder="1" applyAlignment="1" applyProtection="1">
      <alignment vertical="center" wrapText="1"/>
    </xf>
    <xf numFmtId="167" fontId="39" fillId="21" borderId="52" xfId="32" applyNumberFormat="1" applyFont="1" applyFill="1" applyBorder="1" applyAlignment="1" applyProtection="1">
      <alignment horizontal="right" vertical="center"/>
      <protection locked="0"/>
    </xf>
    <xf numFmtId="171" fontId="34" fillId="28" borderId="47" xfId="0" applyNumberFormat="1" applyFont="1" applyFill="1" applyBorder="1" applyAlignment="1">
      <alignment vertical="center"/>
    </xf>
    <xf numFmtId="0" fontId="34" fillId="0" borderId="26" xfId="0" applyFont="1" applyBorder="1" applyAlignment="1">
      <alignment horizontal="center" vertical="center"/>
    </xf>
    <xf numFmtId="0" fontId="34" fillId="0" borderId="34" xfId="0" applyFont="1" applyFill="1" applyBorder="1" applyAlignment="1">
      <alignment horizontal="left" vertical="center" wrapText="1"/>
    </xf>
    <xf numFmtId="0" fontId="34" fillId="0" borderId="51" xfId="0" applyFont="1" applyBorder="1" applyAlignment="1">
      <alignment horizontal="center"/>
    </xf>
    <xf numFmtId="0" fontId="34" fillId="0" borderId="35" xfId="0" applyFont="1" applyFill="1" applyBorder="1" applyAlignment="1">
      <alignment horizontal="left" vertical="center" wrapText="1"/>
    </xf>
    <xf numFmtId="0" fontId="35" fillId="0" borderId="17" xfId="40" quotePrefix="1" applyFont="1" applyBorder="1" applyAlignment="1" applyProtection="1">
      <alignment horizontal="center" vertical="center" wrapText="1"/>
    </xf>
    <xf numFmtId="0" fontId="35" fillId="0" borderId="21" xfId="40" quotePrefix="1" applyFont="1" applyBorder="1" applyAlignment="1" applyProtection="1">
      <alignment horizontal="center" vertical="center" wrapText="1"/>
    </xf>
    <xf numFmtId="3" fontId="34" fillId="33" borderId="7" xfId="32" applyNumberFormat="1" applyFont="1" applyFill="1" applyBorder="1" applyAlignment="1">
      <alignment horizontal="center"/>
    </xf>
    <xf numFmtId="3" fontId="34" fillId="34" borderId="7" xfId="32" applyNumberFormat="1" applyFont="1" applyFill="1" applyBorder="1" applyAlignment="1">
      <alignment horizontal="center"/>
    </xf>
    <xf numFmtId="3" fontId="35" fillId="0" borderId="7" xfId="32" applyNumberFormat="1" applyFont="1" applyFill="1" applyBorder="1" applyAlignment="1">
      <alignment horizontal="center"/>
    </xf>
    <xf numFmtId="3" fontId="34" fillId="37" borderId="7" xfId="32" applyNumberFormat="1" applyFont="1" applyFill="1" applyBorder="1" applyAlignment="1">
      <alignment horizontal="center"/>
    </xf>
    <xf numFmtId="3" fontId="34" fillId="38" borderId="7" xfId="32" applyNumberFormat="1" applyFont="1" applyFill="1" applyBorder="1" applyAlignment="1">
      <alignment horizontal="center"/>
    </xf>
    <xf numFmtId="1" fontId="34" fillId="42" borderId="1" xfId="21" applyFont="1" applyFill="1" applyBorder="1" applyAlignment="1">
      <alignment horizontal="center" vertical="center" wrapText="1"/>
    </xf>
    <xf numFmtId="1" fontId="34" fillId="42" borderId="38" xfId="21" applyFont="1" applyFill="1" applyBorder="1">
      <alignment horizontal="center" vertical="center" wrapText="1"/>
    </xf>
    <xf numFmtId="1" fontId="34" fillId="42" borderId="9" xfId="21" applyFont="1" applyFill="1" applyBorder="1">
      <alignment horizontal="center" vertical="center" wrapText="1"/>
    </xf>
    <xf numFmtId="1" fontId="34" fillId="42" borderId="10" xfId="21" applyFont="1" applyFill="1" applyBorder="1">
      <alignment horizontal="center" vertical="center" wrapText="1"/>
    </xf>
    <xf numFmtId="1" fontId="34" fillId="42" borderId="65" xfId="21" applyFont="1" applyFill="1" applyBorder="1">
      <alignment horizontal="center" vertical="center" wrapText="1"/>
    </xf>
    <xf numFmtId="1" fontId="34" fillId="42" borderId="2" xfId="21" applyFont="1" applyFill="1" applyBorder="1" applyAlignment="1">
      <alignment horizontal="center" vertical="center" wrapText="1"/>
    </xf>
    <xf numFmtId="1" fontId="34" fillId="42" borderId="1" xfId="21" applyFont="1" applyFill="1" applyBorder="1">
      <alignment horizontal="center" vertical="center" wrapText="1"/>
    </xf>
    <xf numFmtId="1" fontId="34" fillId="42" borderId="2" xfId="21" applyFont="1" applyFill="1" applyBorder="1">
      <alignment horizontal="center" vertical="center" wrapText="1"/>
    </xf>
    <xf numFmtId="1" fontId="14" fillId="42" borderId="1" xfId="21" applyFont="1" applyFill="1" applyBorder="1">
      <alignment horizontal="center" vertical="center" wrapText="1"/>
    </xf>
    <xf numFmtId="1" fontId="14" fillId="42" borderId="38" xfId="21" applyFont="1" applyFill="1" applyBorder="1">
      <alignment horizontal="center" vertical="center" wrapText="1"/>
    </xf>
    <xf numFmtId="1" fontId="14" fillId="42" borderId="9" xfId="21" applyFont="1" applyFill="1" applyBorder="1">
      <alignment horizontal="center" vertical="center" wrapText="1"/>
    </xf>
    <xf numFmtId="1" fontId="14" fillId="42" borderId="10" xfId="21" applyFont="1" applyFill="1" applyBorder="1">
      <alignment horizontal="center" vertical="center" wrapText="1"/>
    </xf>
    <xf numFmtId="1" fontId="14" fillId="42" borderId="2" xfId="21" applyFont="1" applyFill="1" applyBorder="1">
      <alignment horizontal="center" vertical="center" wrapText="1"/>
    </xf>
    <xf numFmtId="1" fontId="14" fillId="42" borderId="65" xfId="21" applyFont="1" applyFill="1" applyBorder="1">
      <alignment horizontal="center" vertical="center" wrapText="1"/>
    </xf>
    <xf numFmtId="0" fontId="41" fillId="0" borderId="52" xfId="0" applyFont="1" applyFill="1" applyBorder="1" applyAlignment="1" applyProtection="1">
      <alignment horizontal="center" vertical="center" wrapText="1"/>
    </xf>
    <xf numFmtId="49" fontId="39" fillId="0" borderId="52" xfId="0" applyNumberFormat="1" applyFont="1" applyBorder="1" applyAlignment="1" applyProtection="1">
      <alignment horizontal="center" vertical="center" wrapText="1"/>
    </xf>
    <xf numFmtId="0" fontId="41" fillId="22" borderId="52" xfId="0" applyFont="1" applyFill="1" applyBorder="1" applyAlignment="1" applyProtection="1">
      <alignment horizontal="center" vertical="center" wrapText="1"/>
    </xf>
    <xf numFmtId="0" fontId="41" fillId="0" borderId="56" xfId="0" applyFont="1" applyBorder="1" applyAlignment="1" applyProtection="1">
      <alignment horizontal="center" vertical="center"/>
    </xf>
    <xf numFmtId="168" fontId="35" fillId="30" borderId="52" xfId="49" applyNumberFormat="1" applyFont="1" applyFill="1" applyBorder="1" applyAlignment="1" applyProtection="1">
      <alignment horizontal="center" vertical="center" wrapText="1"/>
    </xf>
    <xf numFmtId="174" fontId="34" fillId="29" borderId="0" xfId="49" applyNumberFormat="1" applyFont="1" applyFill="1" applyBorder="1" applyAlignment="1" applyProtection="1">
      <alignment horizontal="center" vertical="center" wrapText="1"/>
    </xf>
    <xf numFmtId="174" fontId="46" fillId="29" borderId="0" xfId="49" applyNumberFormat="1" applyFont="1" applyFill="1" applyAlignment="1">
      <alignment horizontal="center"/>
    </xf>
    <xf numFmtId="174" fontId="46" fillId="29" borderId="0" xfId="49" applyNumberFormat="1" applyFont="1" applyFill="1"/>
    <xf numFmtId="174" fontId="80" fillId="29" borderId="0" xfId="49" applyNumberFormat="1" applyFont="1" applyFill="1"/>
    <xf numFmtId="0" fontId="12" fillId="0" borderId="0" xfId="42" applyNumberFormat="1" applyFont="1" applyBorder="1" applyAlignment="1">
      <alignment horizontal="center"/>
    </xf>
    <xf numFmtId="2" fontId="5" fillId="29" borderId="0" xfId="0" applyNumberFormat="1" applyFont="1" applyFill="1" applyBorder="1" applyAlignment="1" applyProtection="1">
      <alignment horizontal="center" vertical="center"/>
      <protection locked="0"/>
    </xf>
    <xf numFmtId="169" fontId="5" fillId="0" borderId="0" xfId="0" applyNumberFormat="1" applyFont="1"/>
    <xf numFmtId="3" fontId="46" fillId="30" borderId="0" xfId="49" applyNumberFormat="1" applyFont="1" applyFill="1" applyAlignment="1">
      <alignment horizontal="center"/>
    </xf>
    <xf numFmtId="170" fontId="34" fillId="40" borderId="77" xfId="49" applyNumberFormat="1" applyFont="1" applyFill="1" applyBorder="1" applyAlignment="1" applyProtection="1">
      <alignment horizontal="center" wrapText="1"/>
    </xf>
    <xf numFmtId="170" fontId="34" fillId="40" borderId="57" xfId="49" applyNumberFormat="1" applyFont="1" applyFill="1" applyBorder="1" applyAlignment="1" applyProtection="1">
      <alignment horizontal="center" wrapText="1"/>
    </xf>
    <xf numFmtId="170" fontId="34" fillId="40" borderId="79" xfId="49" applyNumberFormat="1" applyFont="1" applyFill="1" applyBorder="1" applyAlignment="1" applyProtection="1">
      <alignment horizontal="center" wrapText="1"/>
    </xf>
    <xf numFmtId="170" fontId="34" fillId="40" borderId="19" xfId="49" applyNumberFormat="1" applyFont="1" applyFill="1" applyBorder="1" applyAlignment="1" applyProtection="1">
      <alignment horizontal="center" wrapText="1"/>
    </xf>
    <xf numFmtId="0" fontId="96" fillId="30" borderId="0" xfId="49" applyFont="1" applyFill="1" applyBorder="1" applyAlignment="1"/>
    <xf numFmtId="3" fontId="64" fillId="0" borderId="0" xfId="2" quotePrefix="1" applyNumberFormat="1" applyFont="1" applyFill="1" applyAlignment="1" applyProtection="1"/>
    <xf numFmtId="0" fontId="64" fillId="0" borderId="0" xfId="2" quotePrefix="1" applyFont="1" applyFill="1" applyBorder="1" applyAlignment="1" applyProtection="1"/>
    <xf numFmtId="0" fontId="35" fillId="0" borderId="0" xfId="31" applyFont="1" applyFill="1"/>
    <xf numFmtId="3" fontId="34" fillId="0" borderId="0" xfId="31" applyNumberFormat="1" applyFont="1" applyFill="1" applyBorder="1"/>
    <xf numFmtId="0" fontId="35" fillId="0" borderId="27" xfId="31" applyFont="1" applyBorder="1"/>
    <xf numFmtId="173" fontId="35" fillId="0" borderId="0" xfId="37" applyNumberFormat="1" applyFont="1" applyFill="1" applyBorder="1" applyAlignment="1" applyProtection="1">
      <alignment horizontal="right" vertical="center" wrapText="1"/>
      <protection locked="0"/>
    </xf>
    <xf numFmtId="0" fontId="34" fillId="0" borderId="0" xfId="0" applyFont="1" applyFill="1" applyBorder="1" applyAlignment="1"/>
    <xf numFmtId="173" fontId="35" fillId="0" borderId="0" xfId="21" applyNumberFormat="1" applyFont="1" applyFill="1" applyBorder="1">
      <alignment horizontal="center" vertical="center" wrapText="1"/>
    </xf>
    <xf numFmtId="173" fontId="34" fillId="0" borderId="73" xfId="21" applyNumberFormat="1" applyFont="1" applyFill="1" applyBorder="1">
      <alignment horizontal="center" vertical="center" wrapText="1"/>
    </xf>
    <xf numFmtId="173" fontId="34" fillId="0" borderId="7" xfId="21" applyNumberFormat="1" applyFont="1" applyFill="1" applyBorder="1">
      <alignment horizontal="center" vertical="center" wrapText="1"/>
    </xf>
    <xf numFmtId="49" fontId="35" fillId="0" borderId="25" xfId="27" applyFont="1" applyFill="1" applyBorder="1">
      <alignment vertical="top" wrapText="1"/>
    </xf>
    <xf numFmtId="49" fontId="35" fillId="0" borderId="24" xfId="27" applyFont="1" applyFill="1" applyBorder="1">
      <alignment vertical="top" wrapText="1"/>
    </xf>
    <xf numFmtId="10" fontId="35" fillId="0" borderId="52" xfId="1" applyNumberFormat="1" applyFont="1" applyFill="1" applyBorder="1" applyAlignment="1">
      <alignment horizontal="right" vertical="center" wrapText="1"/>
    </xf>
    <xf numFmtId="10" fontId="35" fillId="0" borderId="7" xfId="1" applyNumberFormat="1" applyFont="1" applyFill="1" applyBorder="1" applyAlignment="1">
      <alignment horizontal="right" vertical="center" wrapText="1"/>
    </xf>
    <xf numFmtId="10" fontId="35" fillId="0" borderId="53" xfId="1" applyNumberFormat="1" applyFont="1" applyFill="1" applyBorder="1" applyAlignment="1">
      <alignment horizontal="right" vertical="center" wrapText="1"/>
    </xf>
    <xf numFmtId="38" fontId="35" fillId="0" borderId="52" xfId="28" applyFont="1" applyFill="1" applyBorder="1">
      <alignment horizontal="right" vertical="center" wrapText="1"/>
    </xf>
    <xf numFmtId="38" fontId="35" fillId="0" borderId="7" xfId="28" applyFont="1" applyFill="1" applyBorder="1">
      <alignment horizontal="right" vertical="center" wrapText="1"/>
    </xf>
    <xf numFmtId="38" fontId="35" fillId="0" borderId="53" xfId="28" applyFont="1" applyFill="1" applyBorder="1">
      <alignment horizontal="right" vertical="center" wrapText="1"/>
    </xf>
    <xf numFmtId="38" fontId="35" fillId="0" borderId="54" xfId="28" applyFont="1" applyFill="1" applyBorder="1">
      <alignment horizontal="right" vertical="center" wrapText="1"/>
    </xf>
    <xf numFmtId="38" fontId="35" fillId="0" borderId="63" xfId="28" applyFont="1" applyFill="1" applyBorder="1">
      <alignment horizontal="right" vertical="center" wrapText="1"/>
    </xf>
    <xf numFmtId="38" fontId="35" fillId="0" borderId="55" xfId="28" applyFont="1" applyFill="1" applyBorder="1">
      <alignment horizontal="right" vertical="center" wrapText="1"/>
    </xf>
    <xf numFmtId="49" fontId="35" fillId="0" borderId="30" xfId="27" applyFont="1" applyFill="1" applyBorder="1">
      <alignment vertical="top" wrapText="1"/>
    </xf>
    <xf numFmtId="38" fontId="35" fillId="0" borderId="56" xfId="28" applyFont="1" applyFill="1" applyBorder="1">
      <alignment horizontal="right" vertical="center" wrapText="1"/>
    </xf>
    <xf numFmtId="38" fontId="35" fillId="0" borderId="77" xfId="28" applyFont="1" applyFill="1" applyBorder="1">
      <alignment horizontal="right" vertical="center" wrapText="1"/>
    </xf>
    <xf numFmtId="38" fontId="35" fillId="0" borderId="57" xfId="28" applyFont="1" applyFill="1" applyBorder="1">
      <alignment horizontal="right" vertical="center" wrapText="1"/>
    </xf>
    <xf numFmtId="0" fontId="34" fillId="0" borderId="0" xfId="31" applyFont="1" applyFill="1" applyBorder="1" applyAlignment="1">
      <alignment horizontal="right"/>
    </xf>
    <xf numFmtId="3" fontId="34" fillId="34" borderId="51" xfId="32" applyNumberFormat="1" applyFont="1" applyFill="1" applyBorder="1" applyAlignment="1">
      <alignment horizontal="center" vertical="center"/>
    </xf>
    <xf numFmtId="3" fontId="36" fillId="30" borderId="32" xfId="32" applyNumberFormat="1" applyFont="1" applyFill="1" applyBorder="1" applyAlignment="1">
      <alignment horizontal="center"/>
    </xf>
    <xf numFmtId="3" fontId="40" fillId="34" borderId="75" xfId="32" applyNumberFormat="1" applyFont="1" applyFill="1" applyBorder="1" applyAlignment="1">
      <alignment horizontal="center" vertical="center"/>
    </xf>
    <xf numFmtId="3" fontId="34" fillId="34" borderId="76" xfId="32" applyNumberFormat="1" applyFont="1" applyFill="1" applyBorder="1" applyAlignment="1">
      <alignment horizontal="center" vertical="center"/>
    </xf>
    <xf numFmtId="3" fontId="36" fillId="30" borderId="54" xfId="32" applyNumberFormat="1" applyFont="1" applyFill="1" applyBorder="1" applyAlignment="1">
      <alignment horizontal="center"/>
    </xf>
    <xf numFmtId="3" fontId="35" fillId="30" borderId="55" xfId="32" applyNumberFormat="1" applyFont="1" applyFill="1" applyBorder="1" applyAlignment="1">
      <alignment horizontal="center"/>
    </xf>
    <xf numFmtId="9" fontId="36" fillId="30" borderId="75" xfId="1" applyFont="1" applyFill="1" applyBorder="1" applyAlignment="1">
      <alignment horizontal="center"/>
    </xf>
    <xf numFmtId="9" fontId="36" fillId="30" borderId="52" xfId="1" applyFont="1" applyFill="1" applyBorder="1" applyAlignment="1">
      <alignment horizontal="center"/>
    </xf>
    <xf numFmtId="9" fontId="36" fillId="30" borderId="56" xfId="1" applyFont="1" applyFill="1" applyBorder="1" applyAlignment="1">
      <alignment horizontal="center"/>
    </xf>
    <xf numFmtId="3" fontId="81" fillId="29" borderId="35" xfId="32" applyNumberFormat="1" applyFont="1" applyFill="1" applyBorder="1" applyAlignment="1">
      <alignment horizontal="center" vertical="center"/>
    </xf>
    <xf numFmtId="3" fontId="81" fillId="29" borderId="26" xfId="32" applyNumberFormat="1" applyFont="1" applyFill="1" applyBorder="1" applyAlignment="1">
      <alignment horizontal="center" vertical="center"/>
    </xf>
    <xf numFmtId="38" fontId="35" fillId="0" borderId="0" xfId="28" applyFont="1" applyFill="1" applyBorder="1">
      <alignment horizontal="right" vertical="center" wrapText="1"/>
    </xf>
    <xf numFmtId="173" fontId="34" fillId="40" borderId="77" xfId="31" applyNumberFormat="1" applyFont="1" applyFill="1" applyBorder="1" applyAlignment="1">
      <alignment vertical="center"/>
    </xf>
    <xf numFmtId="173" fontId="34" fillId="40" borderId="57" xfId="31" applyNumberFormat="1" applyFont="1" applyFill="1" applyBorder="1" applyAlignment="1">
      <alignment vertical="center"/>
    </xf>
    <xf numFmtId="173" fontId="34" fillId="40" borderId="56" xfId="31" applyNumberFormat="1" applyFont="1" applyFill="1" applyBorder="1" applyAlignment="1">
      <alignment vertical="center"/>
    </xf>
    <xf numFmtId="0" fontId="107" fillId="0" borderId="0" xfId="31" applyFont="1" applyBorder="1" applyAlignment="1">
      <alignment wrapText="1"/>
    </xf>
    <xf numFmtId="173" fontId="107" fillId="0" borderId="0" xfId="37" applyNumberFormat="1" applyFont="1" applyFill="1" applyBorder="1" applyAlignment="1" applyProtection="1">
      <alignment horizontal="right" vertical="center" wrapText="1"/>
      <protection locked="0"/>
    </xf>
    <xf numFmtId="173" fontId="34" fillId="0" borderId="72" xfId="21" applyNumberFormat="1" applyFont="1" applyFill="1" applyBorder="1">
      <alignment horizontal="center" vertical="center" wrapText="1"/>
    </xf>
    <xf numFmtId="0" fontId="35" fillId="30" borderId="61" xfId="31" applyFont="1" applyFill="1" applyBorder="1" applyAlignment="1" applyProtection="1">
      <alignment horizontal="left" vertical="center" wrapText="1"/>
    </xf>
    <xf numFmtId="0" fontId="35" fillId="0" borderId="61" xfId="31" applyFont="1" applyFill="1" applyBorder="1" applyAlignment="1" applyProtection="1">
      <alignment horizontal="left" vertical="center" wrapText="1"/>
    </xf>
    <xf numFmtId="168" fontId="34" fillId="26" borderId="3" xfId="49" applyNumberFormat="1" applyFont="1" applyFill="1" applyBorder="1" applyAlignment="1" applyProtection="1">
      <alignment horizontal="center" vertical="center" wrapText="1"/>
    </xf>
    <xf numFmtId="49" fontId="35" fillId="30" borderId="66" xfId="49" applyNumberFormat="1" applyFont="1" applyFill="1" applyBorder="1" applyAlignment="1" applyProtection="1">
      <alignment horizontal="left" vertical="center" wrapText="1"/>
    </xf>
    <xf numFmtId="0" fontId="14" fillId="0" borderId="0" xfId="31" applyFont="1" applyAlignment="1">
      <alignment horizontal="center"/>
    </xf>
    <xf numFmtId="0" fontId="5" fillId="0" borderId="0" xfId="31" applyFont="1" applyAlignment="1">
      <alignment horizontal="center"/>
    </xf>
    <xf numFmtId="173" fontId="34" fillId="0" borderId="7" xfId="37" applyNumberFormat="1" applyFont="1" applyFill="1" applyBorder="1" applyAlignment="1" applyProtection="1">
      <alignment horizontal="center" vertical="center" wrapText="1"/>
    </xf>
    <xf numFmtId="173" fontId="36" fillId="0" borderId="7" xfId="37" applyNumberFormat="1" applyFont="1" applyFill="1" applyBorder="1" applyAlignment="1" applyProtection="1">
      <alignment horizontal="right" vertical="center" wrapText="1"/>
    </xf>
    <xf numFmtId="0" fontId="5" fillId="0" borderId="0" xfId="31" applyFont="1" applyFill="1" applyAlignment="1">
      <alignment horizontal="center"/>
    </xf>
    <xf numFmtId="3" fontId="36" fillId="0" borderId="7" xfId="37" applyFont="1" applyFill="1" applyBorder="1" applyAlignment="1" applyProtection="1">
      <alignment horizontal="right" vertical="center" wrapText="1"/>
    </xf>
    <xf numFmtId="3" fontId="35" fillId="0" borderId="7" xfId="31" applyNumberFormat="1" applyFont="1" applyBorder="1" applyAlignment="1" applyProtection="1">
      <alignment horizontal="right"/>
    </xf>
    <xf numFmtId="0" fontId="35" fillId="0" borderId="0" xfId="31" applyFont="1" applyAlignment="1">
      <alignment horizontal="right"/>
    </xf>
    <xf numFmtId="10" fontId="35" fillId="0" borderId="32" xfId="1" applyNumberFormat="1" applyFont="1" applyFill="1" applyBorder="1" applyAlignment="1">
      <alignment horizontal="right" vertical="center" wrapText="1"/>
    </xf>
    <xf numFmtId="38" fontId="35" fillId="0" borderId="32" xfId="28" applyFont="1" applyFill="1" applyBorder="1">
      <alignment horizontal="right" vertical="center" wrapText="1"/>
    </xf>
    <xf numFmtId="0" fontId="34" fillId="0" borderId="75" xfId="31" applyFont="1" applyBorder="1" applyAlignment="1">
      <alignment horizontal="center" vertical="center"/>
    </xf>
    <xf numFmtId="3" fontId="34" fillId="34" borderId="73" xfId="37" applyFont="1" applyFill="1" applyBorder="1" applyAlignment="1" applyProtection="1">
      <alignment horizontal="center" vertical="center" wrapText="1"/>
    </xf>
    <xf numFmtId="3" fontId="34" fillId="34" borderId="76" xfId="37" applyFont="1" applyFill="1" applyBorder="1" applyAlignment="1" applyProtection="1">
      <alignment horizontal="center" vertical="center" wrapText="1"/>
    </xf>
    <xf numFmtId="3" fontId="35" fillId="0" borderId="53" xfId="31" applyNumberFormat="1" applyFont="1" applyBorder="1" applyAlignment="1" applyProtection="1">
      <alignment horizontal="right"/>
    </xf>
    <xf numFmtId="3" fontId="36" fillId="0" borderId="77" xfId="37" applyFont="1" applyFill="1" applyBorder="1" applyAlignment="1" applyProtection="1">
      <alignment horizontal="right" vertical="center" wrapText="1"/>
    </xf>
    <xf numFmtId="3" fontId="35" fillId="0" borderId="77" xfId="31" applyNumberFormat="1" applyFont="1" applyBorder="1" applyAlignment="1" applyProtection="1">
      <alignment horizontal="right"/>
    </xf>
    <xf numFmtId="3" fontId="35" fillId="0" borderId="57" xfId="31" applyNumberFormat="1" applyFont="1" applyBorder="1" applyAlignment="1" applyProtection="1">
      <alignment horizontal="right"/>
    </xf>
    <xf numFmtId="0" fontId="34" fillId="40" borderId="77" xfId="31" applyFont="1" applyFill="1" applyBorder="1" applyAlignment="1">
      <alignment horizontal="center" vertical="center"/>
    </xf>
    <xf numFmtId="0" fontId="34" fillId="40" borderId="57" xfId="31" applyFont="1" applyFill="1" applyBorder="1" applyAlignment="1">
      <alignment horizontal="center" vertical="center"/>
    </xf>
    <xf numFmtId="0" fontId="5" fillId="0" borderId="75" xfId="31" applyFont="1" applyFill="1" applyBorder="1" applyAlignment="1">
      <alignment horizontal="center"/>
    </xf>
    <xf numFmtId="3" fontId="34" fillId="26" borderId="73" xfId="31" applyNumberFormat="1" applyFont="1" applyFill="1" applyBorder="1" applyAlignment="1">
      <alignment horizontal="center"/>
    </xf>
    <xf numFmtId="3" fontId="34" fillId="26" borderId="76" xfId="31" applyNumberFormat="1" applyFont="1" applyFill="1" applyBorder="1" applyAlignment="1">
      <alignment horizontal="center"/>
    </xf>
    <xf numFmtId="0" fontId="14" fillId="0" borderId="52" xfId="31" applyFont="1" applyBorder="1" applyAlignment="1">
      <alignment horizontal="center"/>
    </xf>
    <xf numFmtId="173" fontId="34" fillId="0" borderId="53" xfId="37" applyNumberFormat="1" applyFont="1" applyFill="1" applyBorder="1" applyAlignment="1" applyProtection="1">
      <alignment horizontal="center" vertical="center" wrapText="1"/>
    </xf>
    <xf numFmtId="173" fontId="36" fillId="0" borderId="53" xfId="37" applyNumberFormat="1" applyFont="1" applyFill="1" applyBorder="1" applyAlignment="1" applyProtection="1">
      <alignment horizontal="right" vertical="center" wrapText="1"/>
    </xf>
    <xf numFmtId="173" fontId="36" fillId="0" borderId="77" xfId="37" applyNumberFormat="1" applyFont="1" applyFill="1" applyBorder="1" applyAlignment="1" applyProtection="1">
      <alignment horizontal="right" vertical="center" wrapText="1"/>
    </xf>
    <xf numFmtId="173" fontId="36" fillId="0" borderId="57" xfId="37" applyNumberFormat="1" applyFont="1" applyFill="1" applyBorder="1" applyAlignment="1" applyProtection="1">
      <alignment horizontal="right" vertical="center" wrapText="1"/>
    </xf>
    <xf numFmtId="16" fontId="35" fillId="0" borderId="52" xfId="31" applyNumberFormat="1" applyFont="1" applyBorder="1" applyAlignment="1">
      <alignment horizontal="center"/>
    </xf>
    <xf numFmtId="16" fontId="35" fillId="0" borderId="56" xfId="31" applyNumberFormat="1" applyFont="1" applyBorder="1" applyAlignment="1">
      <alignment horizontal="center"/>
    </xf>
    <xf numFmtId="0" fontId="37" fillId="0" borderId="52" xfId="31" applyFont="1" applyBorder="1" applyAlignment="1">
      <alignment horizontal="center"/>
    </xf>
    <xf numFmtId="0" fontId="37" fillId="0" borderId="56" xfId="31" applyFont="1" applyBorder="1" applyAlignment="1">
      <alignment horizontal="center"/>
    </xf>
    <xf numFmtId="0" fontId="5" fillId="0" borderId="0" xfId="0" applyFont="1" applyAlignment="1">
      <alignment horizontal="center"/>
    </xf>
    <xf numFmtId="0" fontId="5" fillId="0" borderId="0" xfId="0" applyFont="1" applyFill="1" applyBorder="1" applyAlignment="1">
      <alignment horizontal="center"/>
    </xf>
    <xf numFmtId="3" fontId="35" fillId="0" borderId="7" xfId="21" applyNumberFormat="1" applyFont="1" applyFill="1" applyBorder="1">
      <alignment horizontal="center" vertical="center" wrapText="1"/>
    </xf>
    <xf numFmtId="0" fontId="5" fillId="0" borderId="75" xfId="0" applyFont="1" applyFill="1" applyBorder="1" applyAlignment="1">
      <alignment horizontal="center"/>
    </xf>
    <xf numFmtId="173" fontId="34" fillId="0" borderId="76" xfId="21" applyNumberFormat="1" applyFont="1" applyFill="1" applyBorder="1">
      <alignment horizontal="center" vertical="center" wrapText="1"/>
    </xf>
    <xf numFmtId="0" fontId="5" fillId="0" borderId="52" xfId="0" applyFont="1" applyFill="1" applyBorder="1" applyAlignment="1">
      <alignment horizontal="center"/>
    </xf>
    <xf numFmtId="173" fontId="34" fillId="0" borderId="53" xfId="21" applyNumberFormat="1" applyFont="1" applyFill="1" applyBorder="1">
      <alignment horizontal="center" vertical="center" wrapText="1"/>
    </xf>
    <xf numFmtId="1" fontId="35" fillId="0" borderId="7" xfId="21" applyNumberFormat="1" applyFont="1" applyFill="1" applyBorder="1">
      <alignment horizontal="center" vertical="center" wrapText="1"/>
    </xf>
    <xf numFmtId="1" fontId="35" fillId="0" borderId="53" xfId="21" applyNumberFormat="1" applyFont="1" applyFill="1" applyBorder="1">
      <alignment horizontal="center" vertical="center" wrapText="1"/>
    </xf>
    <xf numFmtId="3" fontId="35" fillId="0" borderId="53" xfId="21" applyNumberFormat="1" applyFont="1" applyFill="1" applyBorder="1">
      <alignment horizontal="center" vertical="center" wrapText="1"/>
    </xf>
    <xf numFmtId="49" fontId="35" fillId="0" borderId="33" xfId="27" applyFont="1" applyFill="1" applyBorder="1">
      <alignment vertical="top" wrapText="1"/>
    </xf>
    <xf numFmtId="49" fontId="35" fillId="0" borderId="23" xfId="27" applyFont="1" applyFill="1" applyBorder="1">
      <alignment vertical="top" wrapText="1"/>
    </xf>
    <xf numFmtId="0" fontId="35" fillId="0" borderId="15" xfId="31" applyFont="1" applyBorder="1" applyAlignment="1">
      <alignment horizontal="right" wrapText="1"/>
    </xf>
    <xf numFmtId="0" fontId="35" fillId="0" borderId="19" xfId="31" applyFont="1" applyBorder="1" applyAlignment="1">
      <alignment horizontal="right" wrapText="1"/>
    </xf>
    <xf numFmtId="16" fontId="5" fillId="0" borderId="52" xfId="0" applyNumberFormat="1" applyFont="1" applyBorder="1" applyAlignment="1">
      <alignment horizontal="center"/>
    </xf>
    <xf numFmtId="0" fontId="5" fillId="0" borderId="52" xfId="0" applyFont="1" applyBorder="1" applyAlignment="1">
      <alignment horizontal="center"/>
    </xf>
    <xf numFmtId="0" fontId="5" fillId="0" borderId="56" xfId="0" applyFont="1" applyBorder="1" applyAlignment="1">
      <alignment horizontal="center"/>
    </xf>
    <xf numFmtId="49" fontId="35" fillId="0" borderId="28" xfId="27" applyFont="1" applyFill="1" applyBorder="1">
      <alignment vertical="top" wrapText="1"/>
    </xf>
    <xf numFmtId="16" fontId="81" fillId="0" borderId="38" xfId="0" applyNumberFormat="1" applyFont="1" applyBorder="1" applyAlignment="1">
      <alignment horizontal="center"/>
    </xf>
    <xf numFmtId="0" fontId="81" fillId="0" borderId="47" xfId="0" applyFont="1" applyBorder="1" applyAlignment="1">
      <alignment horizontal="center"/>
    </xf>
    <xf numFmtId="0" fontId="34" fillId="26" borderId="74" xfId="31" applyFont="1" applyFill="1" applyBorder="1" applyAlignment="1">
      <alignment horizontal="center"/>
    </xf>
    <xf numFmtId="0" fontId="36" fillId="0" borderId="62" xfId="31" applyFont="1" applyBorder="1" applyAlignment="1">
      <alignment horizontal="right"/>
    </xf>
    <xf numFmtId="0" fontId="36" fillId="0" borderId="78" xfId="31" applyFont="1" applyBorder="1" applyAlignment="1">
      <alignment horizontal="right"/>
    </xf>
    <xf numFmtId="0" fontId="34" fillId="40" borderId="78" xfId="31" applyFont="1" applyFill="1" applyBorder="1" applyAlignment="1">
      <alignment horizontal="center" vertical="center"/>
    </xf>
    <xf numFmtId="3" fontId="34" fillId="34" borderId="74" xfId="37" applyFont="1" applyFill="1" applyBorder="1" applyAlignment="1" applyProtection="1">
      <alignment horizontal="center" vertical="center" wrapText="1"/>
    </xf>
    <xf numFmtId="3" fontId="36" fillId="0" borderId="62" xfId="37" applyFont="1" applyFill="1" applyBorder="1" applyAlignment="1" applyProtection="1">
      <alignment horizontal="right" vertical="center" wrapText="1"/>
    </xf>
    <xf numFmtId="3" fontId="35" fillId="0" borderId="78" xfId="31" applyNumberFormat="1" applyFont="1" applyBorder="1" applyAlignment="1" applyProtection="1">
      <alignment horizontal="right"/>
    </xf>
    <xf numFmtId="0" fontId="34" fillId="40" borderId="79" xfId="31" applyFont="1" applyFill="1" applyBorder="1" applyAlignment="1">
      <alignment horizontal="center" vertical="center"/>
    </xf>
    <xf numFmtId="3" fontId="34" fillId="34" borderId="72" xfId="37" applyFont="1" applyFill="1" applyBorder="1" applyAlignment="1" applyProtection="1">
      <alignment horizontal="center" vertical="center" wrapText="1"/>
    </xf>
    <xf numFmtId="3" fontId="36" fillId="0" borderId="32" xfId="37" applyFont="1" applyFill="1" applyBorder="1" applyAlignment="1" applyProtection="1">
      <alignment horizontal="right" vertical="center" wrapText="1"/>
    </xf>
    <xf numFmtId="3" fontId="35" fillId="0" borderId="79" xfId="31" applyNumberFormat="1" applyFont="1" applyBorder="1" applyAlignment="1" applyProtection="1">
      <alignment horizontal="right"/>
    </xf>
    <xf numFmtId="0" fontId="34" fillId="40" borderId="56" xfId="31" applyFont="1" applyFill="1" applyBorder="1" applyAlignment="1">
      <alignment horizontal="center" vertical="center"/>
    </xf>
    <xf numFmtId="3" fontId="34" fillId="34" borderId="75" xfId="37" applyFont="1" applyFill="1" applyBorder="1" applyAlignment="1" applyProtection="1">
      <alignment horizontal="center" vertical="center" wrapText="1"/>
    </xf>
    <xf numFmtId="3" fontId="36" fillId="0" borderId="52" xfId="37" applyFont="1" applyFill="1" applyBorder="1" applyAlignment="1" applyProtection="1">
      <alignment horizontal="right" vertical="center" wrapText="1"/>
    </xf>
    <xf numFmtId="3" fontId="36" fillId="0" borderId="53" xfId="37" applyFont="1" applyFill="1" applyBorder="1" applyAlignment="1" applyProtection="1">
      <alignment horizontal="right" vertical="center" wrapText="1"/>
    </xf>
    <xf numFmtId="3" fontId="36" fillId="0" borderId="56" xfId="37" applyFont="1" applyFill="1" applyBorder="1" applyAlignment="1" applyProtection="1">
      <alignment horizontal="right" vertical="center" wrapText="1"/>
    </xf>
    <xf numFmtId="3" fontId="36" fillId="0" borderId="57" xfId="37" applyFont="1" applyFill="1" applyBorder="1" applyAlignment="1" applyProtection="1">
      <alignment horizontal="right" vertical="center" wrapText="1"/>
    </xf>
    <xf numFmtId="3" fontId="35" fillId="0" borderId="52" xfId="31" applyNumberFormat="1" applyFont="1" applyBorder="1" applyAlignment="1" applyProtection="1">
      <alignment horizontal="right"/>
    </xf>
    <xf numFmtId="3" fontId="35" fillId="0" borderId="56" xfId="31" applyNumberFormat="1" applyFont="1" applyBorder="1" applyAlignment="1" applyProtection="1">
      <alignment horizontal="right"/>
    </xf>
    <xf numFmtId="0" fontId="34" fillId="29" borderId="62" xfId="31" applyFont="1" applyFill="1" applyBorder="1" applyAlignment="1">
      <alignment horizontal="center" vertical="center"/>
    </xf>
    <xf numFmtId="3" fontId="34" fillId="26" borderId="74" xfId="31" applyNumberFormat="1" applyFont="1" applyFill="1" applyBorder="1" applyAlignment="1">
      <alignment horizontal="center"/>
    </xf>
    <xf numFmtId="173" fontId="34" fillId="0" borderId="62" xfId="37" applyNumberFormat="1" applyFont="1" applyFill="1" applyBorder="1" applyAlignment="1" applyProtection="1">
      <alignment horizontal="center" vertical="center" wrapText="1"/>
    </xf>
    <xf numFmtId="173" fontId="36" fillId="0" borderId="62" xfId="37" applyNumberFormat="1" applyFont="1" applyFill="1" applyBorder="1" applyAlignment="1" applyProtection="1">
      <alignment horizontal="right" vertical="center" wrapText="1"/>
    </xf>
    <xf numFmtId="173" fontId="36" fillId="0" borderId="78" xfId="37" applyNumberFormat="1" applyFont="1" applyFill="1" applyBorder="1" applyAlignment="1" applyProtection="1">
      <alignment horizontal="right" vertical="center" wrapText="1"/>
    </xf>
    <xf numFmtId="3" fontId="34" fillId="26" borderId="72" xfId="31" applyNumberFormat="1" applyFont="1" applyFill="1" applyBorder="1" applyAlignment="1">
      <alignment horizontal="center"/>
    </xf>
    <xf numFmtId="173" fontId="34" fillId="0" borderId="32" xfId="37" applyNumberFormat="1" applyFont="1" applyFill="1" applyBorder="1" applyAlignment="1" applyProtection="1">
      <alignment horizontal="center" vertical="center" wrapText="1"/>
    </xf>
    <xf numFmtId="173" fontId="36" fillId="0" borderId="32" xfId="37" applyNumberFormat="1" applyFont="1" applyFill="1" applyBorder="1" applyAlignment="1" applyProtection="1">
      <alignment horizontal="right" vertical="center" wrapText="1"/>
    </xf>
    <xf numFmtId="173" fontId="36" fillId="0" borderId="79" xfId="37" applyNumberFormat="1" applyFont="1" applyFill="1" applyBorder="1" applyAlignment="1" applyProtection="1">
      <alignment horizontal="right" vertical="center" wrapText="1"/>
    </xf>
    <xf numFmtId="3" fontId="34" fillId="26" borderId="75" xfId="31" applyNumberFormat="1" applyFont="1" applyFill="1" applyBorder="1" applyAlignment="1">
      <alignment horizontal="center"/>
    </xf>
    <xf numFmtId="173" fontId="34" fillId="0" borderId="52" xfId="37" applyNumberFormat="1" applyFont="1" applyFill="1" applyBorder="1" applyAlignment="1" applyProtection="1">
      <alignment horizontal="center" vertical="center" wrapText="1"/>
    </xf>
    <xf numFmtId="173" fontId="36" fillId="0" borderId="52" xfId="37" applyNumberFormat="1" applyFont="1" applyFill="1" applyBorder="1" applyAlignment="1" applyProtection="1">
      <alignment horizontal="right" vertical="center" wrapText="1"/>
    </xf>
    <xf numFmtId="173" fontId="36" fillId="0" borderId="56" xfId="37" applyNumberFormat="1" applyFont="1" applyFill="1" applyBorder="1" applyAlignment="1" applyProtection="1">
      <alignment horizontal="right" vertical="center" wrapText="1"/>
    </xf>
    <xf numFmtId="0" fontId="35" fillId="0" borderId="60" xfId="49" applyFont="1" applyFill="1" applyBorder="1" applyAlignment="1" applyProtection="1">
      <alignment horizontal="left" vertical="center" wrapText="1"/>
    </xf>
    <xf numFmtId="0" fontId="34" fillId="0" borderId="74" xfId="49" applyFont="1" applyFill="1" applyBorder="1" applyAlignment="1" applyProtection="1">
      <alignment horizontal="left" vertical="center" wrapText="1"/>
    </xf>
    <xf numFmtId="0" fontId="34" fillId="0" borderId="62" xfId="49" applyFont="1" applyFill="1" applyBorder="1" applyAlignment="1" applyProtection="1">
      <alignment horizontal="left" vertical="center" wrapText="1"/>
    </xf>
    <xf numFmtId="1" fontId="35" fillId="0" borderId="32" xfId="21" applyNumberFormat="1" applyFont="1" applyFill="1" applyBorder="1">
      <alignment horizontal="center" vertical="center" wrapText="1"/>
    </xf>
    <xf numFmtId="173" fontId="34" fillId="0" borderId="32" xfId="21" applyNumberFormat="1" applyFont="1" applyFill="1" applyBorder="1">
      <alignment horizontal="center" vertical="center" wrapText="1"/>
    </xf>
    <xf numFmtId="3" fontId="35" fillId="0" borderId="32" xfId="21" applyNumberFormat="1" applyFont="1" applyFill="1" applyBorder="1">
      <alignment horizontal="center" vertical="center" wrapText="1"/>
    </xf>
    <xf numFmtId="173" fontId="34" fillId="0" borderId="75" xfId="21" applyNumberFormat="1" applyFont="1" applyFill="1" applyBorder="1">
      <alignment horizontal="center" vertical="center" wrapText="1"/>
    </xf>
    <xf numFmtId="1" fontId="35" fillId="0" borderId="52" xfId="21" applyNumberFormat="1" applyFont="1" applyFill="1" applyBorder="1">
      <alignment horizontal="center" vertical="center" wrapText="1"/>
    </xf>
    <xf numFmtId="173" fontId="34" fillId="0" borderId="52" xfId="21" applyNumberFormat="1" applyFont="1" applyFill="1" applyBorder="1">
      <alignment horizontal="center" vertical="center" wrapText="1"/>
    </xf>
    <xf numFmtId="3" fontId="35" fillId="0" borderId="52" xfId="21" applyNumberFormat="1" applyFont="1" applyFill="1" applyBorder="1">
      <alignment horizontal="center" vertical="center" wrapText="1"/>
    </xf>
    <xf numFmtId="173" fontId="34" fillId="0" borderId="74" xfId="21" applyNumberFormat="1" applyFont="1" applyFill="1" applyBorder="1">
      <alignment horizontal="center" vertical="center" wrapText="1"/>
    </xf>
    <xf numFmtId="1" fontId="35" fillId="0" borderId="62" xfId="21" applyNumberFormat="1" applyFont="1" applyFill="1" applyBorder="1">
      <alignment horizontal="center" vertical="center" wrapText="1"/>
    </xf>
    <xf numFmtId="173" fontId="34" fillId="0" borderId="62" xfId="21" applyNumberFormat="1" applyFont="1" applyFill="1" applyBorder="1">
      <alignment horizontal="center" vertical="center" wrapText="1"/>
    </xf>
    <xf numFmtId="3" fontId="35" fillId="0" borderId="62" xfId="21" applyNumberFormat="1" applyFont="1" applyFill="1" applyBorder="1">
      <alignment horizontal="center" vertical="center" wrapText="1"/>
    </xf>
    <xf numFmtId="3" fontId="35" fillId="32" borderId="1" xfId="49" applyNumberFormat="1" applyFont="1" applyFill="1" applyBorder="1" applyAlignment="1" applyProtection="1">
      <alignment horizontal="right"/>
      <protection locked="0"/>
    </xf>
    <xf numFmtId="3" fontId="35" fillId="32" borderId="8" xfId="49" applyNumberFormat="1" applyFont="1" applyFill="1" applyBorder="1" applyAlignment="1" applyProtection="1">
      <alignment horizontal="right"/>
      <protection locked="0"/>
    </xf>
    <xf numFmtId="3" fontId="35" fillId="32" borderId="3" xfId="49" applyNumberFormat="1" applyFont="1" applyFill="1" applyBorder="1" applyAlignment="1" applyProtection="1">
      <alignment horizontal="right"/>
      <protection locked="0"/>
    </xf>
    <xf numFmtId="0" fontId="35" fillId="0" borderId="33" xfId="31" applyFont="1" applyBorder="1" applyAlignment="1">
      <alignment horizontal="right" wrapText="1"/>
    </xf>
    <xf numFmtId="0" fontId="35" fillId="0" borderId="23" xfId="31" applyFont="1" applyBorder="1" applyAlignment="1">
      <alignment horizontal="right" wrapText="1"/>
    </xf>
    <xf numFmtId="0" fontId="35" fillId="0" borderId="28" xfId="31" applyFont="1" applyBorder="1" applyAlignment="1">
      <alignment horizontal="right" wrapText="1"/>
    </xf>
    <xf numFmtId="3" fontId="39" fillId="0" borderId="7" xfId="32" applyNumberFormat="1" applyFont="1" applyFill="1" applyBorder="1" applyAlignment="1">
      <alignment horizontal="right" vertical="center" wrapText="1"/>
    </xf>
    <xf numFmtId="167" fontId="39" fillId="0" borderId="52" xfId="32" applyNumberFormat="1" applyFont="1" applyFill="1" applyBorder="1" applyAlignment="1" applyProtection="1">
      <alignment horizontal="right" vertical="center"/>
      <protection locked="0"/>
    </xf>
    <xf numFmtId="3" fontId="39" fillId="0" borderId="52" xfId="32" applyNumberFormat="1" applyFont="1" applyFill="1" applyBorder="1" applyAlignment="1">
      <alignment horizontal="right" vertical="center" wrapText="1"/>
    </xf>
    <xf numFmtId="3" fontId="39" fillId="0" borderId="53" xfId="32" applyNumberFormat="1" applyFont="1" applyFill="1" applyBorder="1" applyAlignment="1">
      <alignment horizontal="right" vertical="center" wrapText="1"/>
    </xf>
    <xf numFmtId="0" fontId="41" fillId="22" borderId="38" xfId="32" applyFont="1" applyFill="1" applyBorder="1" applyAlignment="1" applyProtection="1">
      <alignment horizontal="center" vertical="center" wrapText="1"/>
    </xf>
    <xf numFmtId="0" fontId="41" fillId="22" borderId="8" xfId="32" applyFont="1" applyFill="1" applyBorder="1" applyAlignment="1" applyProtection="1">
      <alignment vertical="center" wrapText="1"/>
    </xf>
    <xf numFmtId="167" fontId="41" fillId="22" borderId="38" xfId="48" applyNumberFormat="1" applyFont="1" applyFill="1" applyBorder="1" applyAlignment="1" applyProtection="1">
      <alignment horizontal="right" vertical="center"/>
    </xf>
    <xf numFmtId="167" fontId="41" fillId="22" borderId="9" xfId="48" applyNumberFormat="1" applyFont="1" applyFill="1" applyBorder="1" applyAlignment="1" applyProtection="1">
      <alignment horizontal="right" vertical="center"/>
    </xf>
    <xf numFmtId="167" fontId="41" fillId="22" borderId="10" xfId="48" applyNumberFormat="1" applyFont="1" applyFill="1" applyBorder="1" applyAlignment="1" applyProtection="1">
      <alignment horizontal="right" vertical="center"/>
    </xf>
    <xf numFmtId="0" fontId="5" fillId="21" borderId="0" xfId="0" applyFont="1" applyFill="1" applyBorder="1" applyAlignment="1">
      <alignment horizontal="center" vertical="center" wrapText="1"/>
    </xf>
    <xf numFmtId="0" fontId="14" fillId="21" borderId="0" xfId="0" applyFont="1" applyFill="1" applyBorder="1" applyAlignment="1">
      <alignment horizontal="center" vertical="center"/>
    </xf>
    <xf numFmtId="170" fontId="34" fillId="40" borderId="70" xfId="49" applyNumberFormat="1" applyFont="1" applyFill="1" applyBorder="1" applyAlignment="1" applyProtection="1">
      <alignment horizontal="center" wrapText="1"/>
    </xf>
    <xf numFmtId="0" fontId="5" fillId="0" borderId="54" xfId="0" applyFont="1" applyBorder="1" applyAlignment="1">
      <alignment horizontal="center"/>
    </xf>
    <xf numFmtId="0" fontId="35" fillId="0" borderId="14" xfId="31" applyFont="1" applyBorder="1" applyAlignment="1">
      <alignment horizontal="right" wrapText="1"/>
    </xf>
    <xf numFmtId="0" fontId="5" fillId="0" borderId="69" xfId="0" applyFont="1" applyFill="1" applyBorder="1" applyAlignment="1">
      <alignment vertical="center" wrapText="1"/>
    </xf>
    <xf numFmtId="0" fontId="5" fillId="0" borderId="55" xfId="0" applyFont="1" applyBorder="1" applyAlignment="1">
      <alignment vertical="center" wrapText="1"/>
    </xf>
    <xf numFmtId="0" fontId="5" fillId="0" borderId="39" xfId="2" applyFont="1" applyBorder="1" applyAlignment="1" applyProtection="1">
      <alignment horizontal="center" vertical="center"/>
    </xf>
    <xf numFmtId="0" fontId="5" fillId="3" borderId="18" xfId="0" applyFont="1" applyFill="1" applyBorder="1" applyAlignment="1" applyProtection="1">
      <alignment horizontal="center" vertical="center" wrapText="1"/>
      <protection locked="0"/>
    </xf>
    <xf numFmtId="0" fontId="5" fillId="3" borderId="69" xfId="0" applyFont="1" applyFill="1" applyBorder="1" applyAlignment="1" applyProtection="1">
      <alignment horizontal="center" vertical="center" wrapText="1"/>
      <protection locked="0"/>
    </xf>
    <xf numFmtId="0" fontId="5" fillId="3" borderId="63" xfId="0" applyFont="1" applyFill="1" applyBorder="1" applyAlignment="1" applyProtection="1">
      <alignment horizontal="center" vertical="center" wrapText="1"/>
      <protection locked="0"/>
    </xf>
    <xf numFmtId="0" fontId="5" fillId="3" borderId="55" xfId="0" applyFont="1" applyFill="1" applyBorder="1" applyAlignment="1" applyProtection="1">
      <alignment horizontal="center" vertical="center" wrapText="1"/>
      <protection locked="0"/>
    </xf>
    <xf numFmtId="0" fontId="5" fillId="29" borderId="7" xfId="0" applyFont="1" applyFill="1" applyBorder="1" applyAlignment="1" applyProtection="1">
      <alignment horizontal="center" vertical="center" wrapText="1"/>
      <protection locked="0"/>
    </xf>
    <xf numFmtId="0" fontId="5" fillId="0" borderId="75" xfId="0" applyFont="1" applyBorder="1" applyAlignment="1">
      <alignment vertical="center"/>
    </xf>
    <xf numFmtId="0" fontId="5" fillId="0" borderId="52" xfId="0" applyFont="1" applyBorder="1" applyAlignment="1">
      <alignment vertical="center"/>
    </xf>
    <xf numFmtId="0" fontId="14" fillId="0" borderId="52" xfId="0" applyFont="1" applyFill="1" applyBorder="1" applyAlignment="1">
      <alignment vertical="center" wrapText="1"/>
    </xf>
    <xf numFmtId="0" fontId="14" fillId="0" borderId="53" xfId="0" applyFont="1" applyBorder="1" applyAlignment="1">
      <alignment vertical="center" wrapText="1"/>
    </xf>
    <xf numFmtId="0" fontId="5" fillId="0" borderId="52" xfId="0" applyFont="1" applyFill="1" applyBorder="1" applyAlignment="1">
      <alignment vertical="center" wrapText="1"/>
    </xf>
    <xf numFmtId="0" fontId="5" fillId="0" borderId="56" xfId="0" applyFont="1" applyBorder="1" applyAlignment="1">
      <alignment vertical="center"/>
    </xf>
    <xf numFmtId="0" fontId="14" fillId="0" borderId="17" xfId="2" applyFont="1" applyBorder="1" applyAlignment="1" applyProtection="1">
      <alignment horizontal="center" vertical="center"/>
    </xf>
    <xf numFmtId="0" fontId="5" fillId="29" borderId="32" xfId="0" applyFont="1" applyFill="1" applyBorder="1" applyAlignment="1" applyProtection="1">
      <alignment horizontal="center" vertical="center" wrapText="1"/>
      <protection locked="0"/>
    </xf>
    <xf numFmtId="0" fontId="5" fillId="29" borderId="17" xfId="0" applyFont="1" applyFill="1" applyBorder="1" applyAlignment="1" applyProtection="1">
      <alignment horizontal="center" vertical="center" wrapText="1"/>
      <protection locked="0"/>
    </xf>
    <xf numFmtId="0" fontId="5" fillId="29" borderId="62" xfId="0" applyFont="1" applyFill="1" applyBorder="1" applyAlignment="1" applyProtection="1">
      <alignment horizontal="center" vertical="center" wrapText="1"/>
      <protection locked="0"/>
    </xf>
    <xf numFmtId="3" fontId="35" fillId="29" borderId="17" xfId="32" applyNumberFormat="1" applyFont="1" applyFill="1" applyBorder="1" applyAlignment="1">
      <alignment horizontal="center" vertical="center" wrapText="1"/>
    </xf>
    <xf numFmtId="0" fontId="5" fillId="30" borderId="24" xfId="0" applyFont="1" applyFill="1" applyBorder="1" applyAlignment="1">
      <alignment horizontal="right" vertical="center"/>
    </xf>
    <xf numFmtId="0" fontId="5" fillId="30" borderId="23" xfId="0" applyFont="1" applyFill="1" applyBorder="1" applyAlignment="1">
      <alignment horizontal="right" vertical="center"/>
    </xf>
    <xf numFmtId="0" fontId="5" fillId="30" borderId="15" xfId="0" applyFont="1" applyFill="1" applyBorder="1" applyAlignment="1">
      <alignment horizontal="right" vertical="center"/>
    </xf>
    <xf numFmtId="3" fontId="40" fillId="0" borderId="7" xfId="0" applyNumberFormat="1" applyFont="1" applyFill="1" applyBorder="1" applyAlignment="1">
      <alignment horizontal="center" vertical="center"/>
    </xf>
    <xf numFmtId="4" fontId="34" fillId="29" borderId="7" xfId="0" applyNumberFormat="1" applyFont="1" applyFill="1" applyBorder="1" applyAlignment="1">
      <alignment horizontal="center" vertical="center"/>
    </xf>
    <xf numFmtId="4" fontId="35" fillId="29" borderId="7" xfId="0" applyNumberFormat="1" applyFont="1" applyFill="1" applyBorder="1" applyAlignment="1">
      <alignment horizontal="center" vertical="center"/>
    </xf>
    <xf numFmtId="3" fontId="35" fillId="30" borderId="53" xfId="0" applyNumberFormat="1" applyFont="1" applyFill="1" applyBorder="1" applyAlignment="1">
      <alignment horizontal="center" vertical="center"/>
    </xf>
    <xf numFmtId="4" fontId="34" fillId="29" borderId="53" xfId="0" applyNumberFormat="1" applyFont="1" applyFill="1" applyBorder="1" applyAlignment="1">
      <alignment horizontal="center" vertical="center"/>
    </xf>
    <xf numFmtId="3" fontId="35" fillId="30" borderId="52" xfId="0" applyNumberFormat="1" applyFont="1" applyFill="1" applyBorder="1" applyAlignment="1">
      <alignment horizontal="center" vertical="center"/>
    </xf>
    <xf numFmtId="3" fontId="34" fillId="30" borderId="52" xfId="0" applyNumberFormat="1" applyFont="1" applyFill="1" applyBorder="1" applyAlignment="1">
      <alignment horizontal="center" vertical="center"/>
    </xf>
    <xf numFmtId="4" fontId="34" fillId="29" borderId="52" xfId="0" applyNumberFormat="1" applyFont="1" applyFill="1" applyBorder="1" applyAlignment="1">
      <alignment horizontal="center" vertical="center"/>
    </xf>
    <xf numFmtId="0" fontId="35" fillId="30" borderId="53" xfId="32" applyFont="1" applyFill="1" applyBorder="1" applyAlignment="1" applyProtection="1">
      <alignment horizontal="left" vertical="center" wrapText="1"/>
    </xf>
    <xf numFmtId="3" fontId="40" fillId="0" borderId="52" xfId="0" applyNumberFormat="1" applyFont="1" applyFill="1" applyBorder="1" applyAlignment="1">
      <alignment horizontal="center" vertical="center"/>
    </xf>
    <xf numFmtId="3" fontId="40" fillId="0" borderId="53" xfId="0" applyNumberFormat="1" applyFont="1" applyFill="1" applyBorder="1" applyAlignment="1">
      <alignment horizontal="center" vertical="center"/>
    </xf>
    <xf numFmtId="3" fontId="35" fillId="0" borderId="52" xfId="0" applyNumberFormat="1" applyFont="1" applyFill="1" applyBorder="1" applyAlignment="1">
      <alignment horizontal="center" vertical="center"/>
    </xf>
    <xf numFmtId="3" fontId="35" fillId="0" borderId="53" xfId="0" applyNumberFormat="1" applyFont="1" applyFill="1" applyBorder="1" applyAlignment="1">
      <alignment horizontal="center" vertical="center"/>
    </xf>
    <xf numFmtId="4" fontId="35" fillId="29" borderId="52" xfId="0" applyNumberFormat="1" applyFont="1" applyFill="1" applyBorder="1" applyAlignment="1">
      <alignment horizontal="center" vertical="center"/>
    </xf>
    <xf numFmtId="4" fontId="35" fillId="29" borderId="53" xfId="0" applyNumberFormat="1" applyFont="1" applyFill="1" applyBorder="1" applyAlignment="1">
      <alignment horizontal="center" vertical="center"/>
    </xf>
    <xf numFmtId="3" fontId="34" fillId="29" borderId="56" xfId="0" applyNumberFormat="1" applyFont="1" applyFill="1" applyBorder="1" applyAlignment="1">
      <alignment horizontal="center" vertical="center"/>
    </xf>
    <xf numFmtId="3" fontId="34" fillId="29" borderId="77" xfId="0" applyNumberFormat="1" applyFont="1" applyFill="1" applyBorder="1" applyAlignment="1">
      <alignment horizontal="center" vertical="center"/>
    </xf>
    <xf numFmtId="3" fontId="34" fillId="29" borderId="57" xfId="0" applyNumberFormat="1" applyFont="1" applyFill="1" applyBorder="1" applyAlignment="1">
      <alignment horizontal="center" vertical="center"/>
    </xf>
    <xf numFmtId="3" fontId="34" fillId="30" borderId="56" xfId="0" applyNumberFormat="1" applyFont="1" applyFill="1" applyBorder="1" applyAlignment="1">
      <alignment horizontal="center" vertical="center"/>
    </xf>
    <xf numFmtId="3" fontId="40" fillId="0" borderId="75" xfId="0" applyNumberFormat="1" applyFont="1" applyFill="1" applyBorder="1" applyAlignment="1">
      <alignment horizontal="center" vertical="center"/>
    </xf>
    <xf numFmtId="3" fontId="40" fillId="0" borderId="73" xfId="0" applyNumberFormat="1" applyFont="1" applyFill="1" applyBorder="1" applyAlignment="1">
      <alignment horizontal="center" vertical="center"/>
    </xf>
    <xf numFmtId="3" fontId="40" fillId="0" borderId="76" xfId="0" applyNumberFormat="1" applyFont="1" applyFill="1" applyBorder="1" applyAlignment="1">
      <alignment horizontal="center" vertical="center"/>
    </xf>
    <xf numFmtId="3" fontId="40" fillId="30" borderId="56" xfId="0" applyNumberFormat="1" applyFont="1" applyFill="1" applyBorder="1" applyAlignment="1">
      <alignment horizontal="center" vertical="center"/>
    </xf>
    <xf numFmtId="0" fontId="34" fillId="30" borderId="50" xfId="32" applyFont="1" applyFill="1" applyBorder="1" applyAlignment="1" applyProtection="1">
      <alignment horizontal="left" vertical="center" wrapText="1"/>
    </xf>
    <xf numFmtId="4" fontId="34" fillId="29" borderId="49" xfId="0" applyNumberFormat="1" applyFont="1" applyFill="1" applyBorder="1" applyAlignment="1">
      <alignment horizontal="center" vertical="center"/>
    </xf>
    <xf numFmtId="4" fontId="34" fillId="29" borderId="31" xfId="0" applyNumberFormat="1" applyFont="1" applyFill="1" applyBorder="1" applyAlignment="1">
      <alignment horizontal="center" vertical="center"/>
    </xf>
    <xf numFmtId="4" fontId="34" fillId="29" borderId="50" xfId="0" applyNumberFormat="1" applyFont="1" applyFill="1" applyBorder="1" applyAlignment="1">
      <alignment horizontal="center" vertical="center"/>
    </xf>
    <xf numFmtId="3" fontId="35" fillId="0" borderId="75" xfId="0" applyNumberFormat="1" applyFont="1" applyFill="1" applyBorder="1" applyAlignment="1">
      <alignment horizontal="center" vertical="center"/>
    </xf>
    <xf numFmtId="3" fontId="35" fillId="0" borderId="73" xfId="0" applyNumberFormat="1" applyFont="1" applyFill="1" applyBorder="1" applyAlignment="1">
      <alignment horizontal="center" vertical="center"/>
    </xf>
    <xf numFmtId="3" fontId="35" fillId="0" borderId="76" xfId="0" applyNumberFormat="1" applyFont="1" applyFill="1" applyBorder="1" applyAlignment="1">
      <alignment horizontal="center" vertical="center"/>
    </xf>
    <xf numFmtId="3" fontId="34" fillId="30" borderId="75" xfId="0" applyNumberFormat="1" applyFont="1" applyFill="1" applyBorder="1" applyAlignment="1">
      <alignment horizontal="center" vertical="center"/>
    </xf>
    <xf numFmtId="3" fontId="35" fillId="0" borderId="56" xfId="0" applyNumberFormat="1" applyFont="1" applyFill="1" applyBorder="1" applyAlignment="1">
      <alignment horizontal="center" vertical="center"/>
    </xf>
    <xf numFmtId="3" fontId="35" fillId="0" borderId="57" xfId="0" applyNumberFormat="1" applyFont="1" applyFill="1" applyBorder="1" applyAlignment="1">
      <alignment horizontal="center" vertical="center"/>
    </xf>
    <xf numFmtId="49" fontId="67" fillId="21" borderId="34" xfId="32" applyNumberFormat="1" applyFont="1" applyFill="1" applyBorder="1" applyAlignment="1" applyProtection="1">
      <alignment horizontal="left" vertical="center"/>
    </xf>
    <xf numFmtId="0" fontId="129" fillId="0" borderId="0" xfId="2" applyFont="1" applyAlignment="1" applyProtection="1"/>
    <xf numFmtId="0" fontId="129" fillId="0" borderId="23" xfId="2" applyNumberFormat="1" applyFont="1" applyFill="1" applyBorder="1" applyAlignment="1" applyProtection="1">
      <alignment horizontal="left" vertical="center"/>
      <protection locked="0"/>
    </xf>
    <xf numFmtId="0" fontId="5" fillId="0" borderId="44" xfId="0" applyFont="1" applyFill="1" applyBorder="1" applyAlignment="1">
      <alignment vertical="center"/>
    </xf>
    <xf numFmtId="0" fontId="5" fillId="0" borderId="50" xfId="0" applyFont="1" applyFill="1" applyBorder="1" applyAlignment="1">
      <alignment vertical="center" wrapText="1"/>
    </xf>
    <xf numFmtId="9" fontId="34" fillId="30" borderId="7" xfId="51" applyNumberFormat="1" applyFont="1" applyFill="1" applyBorder="1" applyAlignment="1">
      <alignment horizontal="center" vertical="center"/>
    </xf>
    <xf numFmtId="9" fontId="34" fillId="30" borderId="53" xfId="51" applyNumberFormat="1" applyFont="1" applyFill="1" applyBorder="1" applyAlignment="1">
      <alignment horizontal="center" vertical="center"/>
    </xf>
    <xf numFmtId="9" fontId="34" fillId="30" borderId="52" xfId="51" applyNumberFormat="1" applyFont="1" applyFill="1" applyBorder="1" applyAlignment="1">
      <alignment horizontal="center" vertical="center"/>
    </xf>
    <xf numFmtId="9" fontId="34" fillId="30" borderId="77" xfId="51" applyNumberFormat="1" applyFont="1" applyFill="1" applyBorder="1" applyAlignment="1">
      <alignment horizontal="center" vertical="center"/>
    </xf>
    <xf numFmtId="9" fontId="34" fillId="30" borderId="57" xfId="51" applyNumberFormat="1" applyFont="1" applyFill="1" applyBorder="1" applyAlignment="1">
      <alignment horizontal="center" vertical="center"/>
    </xf>
    <xf numFmtId="9" fontId="34" fillId="30" borderId="56" xfId="51" applyNumberFormat="1" applyFont="1" applyFill="1" applyBorder="1" applyAlignment="1">
      <alignment horizontal="center" vertical="center"/>
    </xf>
    <xf numFmtId="3" fontId="36" fillId="0" borderId="52" xfId="32" applyNumberFormat="1" applyFont="1" applyFill="1" applyBorder="1" applyAlignment="1">
      <alignment horizontal="center" vertical="center"/>
    </xf>
    <xf numFmtId="3" fontId="36" fillId="0" borderId="53" xfId="32" applyNumberFormat="1" applyFont="1" applyFill="1" applyBorder="1" applyAlignment="1">
      <alignment horizontal="center" vertical="center"/>
    </xf>
    <xf numFmtId="3" fontId="35" fillId="0" borderId="32" xfId="32" applyNumberFormat="1" applyFont="1" applyFill="1" applyBorder="1" applyAlignment="1">
      <alignment horizontal="center" vertical="center"/>
    </xf>
    <xf numFmtId="3" fontId="35" fillId="0" borderId="7" xfId="32" applyNumberFormat="1" applyFont="1" applyFill="1" applyBorder="1" applyAlignment="1">
      <alignment horizontal="center" vertical="center"/>
    </xf>
    <xf numFmtId="3" fontId="35" fillId="0" borderId="62" xfId="32" applyNumberFormat="1" applyFont="1" applyFill="1" applyBorder="1" applyAlignment="1">
      <alignment horizontal="center" vertical="center"/>
    </xf>
    <xf numFmtId="0" fontId="66" fillId="29" borderId="0" xfId="0" applyFont="1" applyFill="1"/>
    <xf numFmtId="3" fontId="61" fillId="29" borderId="35" xfId="32" applyNumberFormat="1" applyFont="1" applyFill="1" applyBorder="1" applyAlignment="1">
      <alignment horizontal="center" vertical="center"/>
    </xf>
    <xf numFmtId="0" fontId="117" fillId="30" borderId="0" xfId="32" applyFont="1" applyFill="1"/>
    <xf numFmtId="0" fontId="130" fillId="30" borderId="0" xfId="32" applyFont="1" applyFill="1"/>
    <xf numFmtId="0" fontId="131" fillId="30" borderId="0" xfId="32" applyFont="1" applyFill="1"/>
    <xf numFmtId="3" fontId="36" fillId="30" borderId="53" xfId="32" applyNumberFormat="1" applyFont="1" applyFill="1" applyBorder="1" applyAlignment="1">
      <alignment horizontal="center"/>
    </xf>
    <xf numFmtId="3" fontId="36" fillId="30" borderId="57" xfId="32" applyNumberFormat="1" applyFont="1" applyFill="1" applyBorder="1" applyAlignment="1">
      <alignment horizontal="center"/>
    </xf>
    <xf numFmtId="3" fontId="34" fillId="34" borderId="75" xfId="0" applyNumberFormat="1" applyFont="1" applyFill="1" applyBorder="1" applyAlignment="1">
      <alignment horizontal="center" vertical="center"/>
    </xf>
    <xf numFmtId="3" fontId="35" fillId="30" borderId="49" xfId="32" applyNumberFormat="1" applyFont="1" applyFill="1" applyBorder="1" applyAlignment="1">
      <alignment horizontal="center"/>
    </xf>
    <xf numFmtId="3" fontId="35" fillId="30" borderId="52" xfId="32" applyNumberFormat="1" applyFont="1" applyFill="1" applyBorder="1" applyAlignment="1">
      <alignment horizontal="center"/>
    </xf>
    <xf numFmtId="3" fontId="35" fillId="30" borderId="47" xfId="32" applyNumberFormat="1" applyFont="1" applyFill="1" applyBorder="1" applyAlignment="1">
      <alignment horizontal="center"/>
    </xf>
    <xf numFmtId="3" fontId="35" fillId="30" borderId="56" xfId="32" applyNumberFormat="1" applyFont="1" applyFill="1" applyBorder="1" applyAlignment="1">
      <alignment horizontal="center"/>
    </xf>
    <xf numFmtId="3" fontId="34" fillId="34" borderId="72" xfId="0" applyNumberFormat="1" applyFont="1" applyFill="1" applyBorder="1" applyAlignment="1">
      <alignment horizontal="center" vertical="center"/>
    </xf>
    <xf numFmtId="3" fontId="5" fillId="30" borderId="32" xfId="32" applyNumberFormat="1" applyFont="1" applyFill="1" applyBorder="1" applyAlignment="1">
      <alignment horizontal="center"/>
    </xf>
    <xf numFmtId="3" fontId="5" fillId="30" borderId="7" xfId="32" applyNumberFormat="1" applyFont="1" applyFill="1" applyBorder="1" applyAlignment="1">
      <alignment horizontal="center"/>
    </xf>
    <xf numFmtId="3" fontId="5" fillId="30" borderId="53" xfId="32" applyNumberFormat="1" applyFont="1" applyFill="1" applyBorder="1" applyAlignment="1">
      <alignment horizontal="center"/>
    </xf>
    <xf numFmtId="3" fontId="5" fillId="30" borderId="52" xfId="32" applyNumberFormat="1" applyFont="1" applyFill="1" applyBorder="1" applyAlignment="1">
      <alignment horizontal="center"/>
    </xf>
    <xf numFmtId="3" fontId="5" fillId="30" borderId="62" xfId="32" applyNumberFormat="1" applyFont="1" applyFill="1" applyBorder="1" applyAlignment="1">
      <alignment horizontal="center"/>
    </xf>
    <xf numFmtId="3" fontId="5" fillId="30" borderId="69" xfId="32" applyNumberFormat="1" applyFont="1" applyFill="1" applyBorder="1" applyAlignment="1">
      <alignment horizontal="center"/>
    </xf>
    <xf numFmtId="3" fontId="5" fillId="30" borderId="63" xfId="32" applyNumberFormat="1" applyFont="1" applyFill="1" applyBorder="1" applyAlignment="1">
      <alignment horizontal="center"/>
    </xf>
    <xf numFmtId="3" fontId="5" fillId="30" borderId="55" xfId="32" applyNumberFormat="1" applyFont="1" applyFill="1" applyBorder="1" applyAlignment="1">
      <alignment horizontal="center"/>
    </xf>
    <xf numFmtId="3" fontId="5" fillId="30" borderId="54" xfId="32" applyNumberFormat="1" applyFont="1" applyFill="1" applyBorder="1" applyAlignment="1">
      <alignment horizontal="center"/>
    </xf>
    <xf numFmtId="3" fontId="5" fillId="30" borderId="64" xfId="32" applyNumberFormat="1" applyFont="1" applyFill="1" applyBorder="1" applyAlignment="1">
      <alignment horizontal="center"/>
    </xf>
    <xf numFmtId="3" fontId="5" fillId="30" borderId="79" xfId="32" applyNumberFormat="1" applyFont="1" applyFill="1" applyBorder="1" applyAlignment="1">
      <alignment horizontal="center"/>
    </xf>
    <xf numFmtId="3" fontId="5" fillId="30" borderId="77" xfId="32" applyNumberFormat="1" applyFont="1" applyFill="1" applyBorder="1" applyAlignment="1">
      <alignment horizontal="center"/>
    </xf>
    <xf numFmtId="3" fontId="5" fillId="30" borderId="57" xfId="32" applyNumberFormat="1" applyFont="1" applyFill="1" applyBorder="1" applyAlignment="1">
      <alignment horizontal="center"/>
    </xf>
    <xf numFmtId="3" fontId="5" fillId="30" borderId="56" xfId="32" applyNumberFormat="1" applyFont="1" applyFill="1" applyBorder="1" applyAlignment="1">
      <alignment horizontal="center"/>
    </xf>
    <xf numFmtId="3" fontId="5" fillId="30" borderId="78" xfId="32" applyNumberFormat="1" applyFont="1" applyFill="1" applyBorder="1" applyAlignment="1">
      <alignment horizontal="center"/>
    </xf>
    <xf numFmtId="3" fontId="34" fillId="34" borderId="72" xfId="32" applyNumberFormat="1" applyFont="1" applyFill="1" applyBorder="1" applyAlignment="1">
      <alignment horizontal="center" vertical="center"/>
    </xf>
    <xf numFmtId="3" fontId="35" fillId="30" borderId="32" xfId="32" applyNumberFormat="1" applyFont="1" applyFill="1" applyBorder="1" applyAlignment="1">
      <alignment horizontal="center"/>
    </xf>
    <xf numFmtId="3" fontId="35" fillId="30" borderId="69" xfId="32" applyNumberFormat="1" applyFont="1" applyFill="1" applyBorder="1" applyAlignment="1">
      <alignment horizontal="center"/>
    </xf>
    <xf numFmtId="3" fontId="40" fillId="34" borderId="76" xfId="32" applyNumberFormat="1" applyFont="1" applyFill="1" applyBorder="1" applyAlignment="1">
      <alignment horizontal="center" vertical="center"/>
    </xf>
    <xf numFmtId="3" fontId="36" fillId="30" borderId="55" xfId="32" applyNumberFormat="1" applyFont="1" applyFill="1" applyBorder="1" applyAlignment="1">
      <alignment horizontal="center"/>
    </xf>
    <xf numFmtId="9" fontId="36" fillId="30" borderId="76" xfId="1" applyFont="1" applyFill="1" applyBorder="1" applyAlignment="1">
      <alignment horizontal="center"/>
    </xf>
    <xf numFmtId="9" fontId="36" fillId="30" borderId="53" xfId="1" applyFont="1" applyFill="1" applyBorder="1" applyAlignment="1">
      <alignment horizontal="center"/>
    </xf>
    <xf numFmtId="9" fontId="36" fillId="30" borderId="57" xfId="1" applyFont="1" applyFill="1" applyBorder="1" applyAlignment="1">
      <alignment horizontal="center"/>
    </xf>
    <xf numFmtId="3" fontId="35" fillId="30" borderId="61" xfId="32" applyNumberFormat="1" applyFont="1" applyFill="1" applyBorder="1" applyAlignment="1">
      <alignment horizontal="center"/>
    </xf>
    <xf numFmtId="3" fontId="35" fillId="30" borderId="110" xfId="32" applyNumberFormat="1" applyFont="1" applyFill="1" applyBorder="1" applyAlignment="1">
      <alignment horizontal="center"/>
    </xf>
    <xf numFmtId="3" fontId="35" fillId="30" borderId="70" xfId="32" applyNumberFormat="1" applyFont="1" applyFill="1" applyBorder="1" applyAlignment="1">
      <alignment horizontal="center"/>
    </xf>
    <xf numFmtId="3" fontId="35" fillId="30" borderId="79" xfId="32" applyNumberFormat="1" applyFont="1" applyFill="1" applyBorder="1" applyAlignment="1">
      <alignment horizontal="center"/>
    </xf>
    <xf numFmtId="3" fontId="36" fillId="30" borderId="44" xfId="32" applyNumberFormat="1" applyFont="1" applyFill="1" applyBorder="1" applyAlignment="1">
      <alignment horizontal="center"/>
    </xf>
    <xf numFmtId="3" fontId="36" fillId="30" borderId="79" xfId="32" applyNumberFormat="1" applyFont="1" applyFill="1" applyBorder="1" applyAlignment="1">
      <alignment horizontal="center"/>
    </xf>
    <xf numFmtId="3" fontId="36" fillId="30" borderId="50" xfId="32" applyNumberFormat="1" applyFont="1" applyFill="1" applyBorder="1" applyAlignment="1">
      <alignment horizontal="center"/>
    </xf>
    <xf numFmtId="3" fontId="36" fillId="30" borderId="48" xfId="32" applyNumberFormat="1" applyFont="1" applyFill="1" applyBorder="1" applyAlignment="1">
      <alignment horizontal="center"/>
    </xf>
    <xf numFmtId="3" fontId="36" fillId="30" borderId="70" xfId="32" applyNumberFormat="1" applyFont="1" applyFill="1" applyBorder="1" applyAlignment="1">
      <alignment horizontal="center"/>
    </xf>
    <xf numFmtId="3" fontId="34" fillId="30" borderId="36" xfId="32" applyNumberFormat="1" applyFont="1" applyFill="1" applyBorder="1" applyAlignment="1">
      <alignment horizontal="center" vertical="center"/>
    </xf>
    <xf numFmtId="3" fontId="34" fillId="34" borderId="29" xfId="32" applyNumberFormat="1" applyFont="1" applyFill="1" applyBorder="1" applyAlignment="1">
      <alignment horizontal="center" vertical="center"/>
    </xf>
    <xf numFmtId="3" fontId="34" fillId="30" borderId="30" xfId="32" applyNumberFormat="1" applyFont="1" applyFill="1" applyBorder="1" applyAlignment="1">
      <alignment horizontal="center" vertical="center"/>
    </xf>
    <xf numFmtId="3" fontId="35" fillId="0" borderId="25" xfId="49" applyNumberFormat="1" applyFont="1" applyFill="1" applyBorder="1" applyAlignment="1">
      <alignment horizontal="center" vertical="center" wrapText="1"/>
    </xf>
    <xf numFmtId="3" fontId="36" fillId="30" borderId="17" xfId="32" applyNumberFormat="1" applyFont="1" applyFill="1" applyBorder="1" applyAlignment="1">
      <alignment horizontal="left" vertical="center" wrapText="1"/>
    </xf>
    <xf numFmtId="3" fontId="36" fillId="0" borderId="17" xfId="32" applyNumberFormat="1" applyFont="1" applyFill="1" applyBorder="1" applyAlignment="1">
      <alignment horizontal="left" vertical="center" wrapText="1"/>
    </xf>
    <xf numFmtId="3" fontId="36" fillId="30" borderId="21" xfId="32" applyNumberFormat="1" applyFont="1" applyFill="1" applyBorder="1" applyAlignment="1">
      <alignment horizontal="left" vertical="center" wrapText="1"/>
    </xf>
    <xf numFmtId="3" fontId="34" fillId="29" borderId="75" xfId="0" applyNumberFormat="1" applyFont="1" applyFill="1" applyBorder="1" applyAlignment="1">
      <alignment horizontal="center" vertical="center"/>
    </xf>
    <xf numFmtId="3" fontId="34" fillId="29" borderId="73" xfId="0" applyNumberFormat="1" applyFont="1" applyFill="1" applyBorder="1" applyAlignment="1">
      <alignment horizontal="center" vertical="center"/>
    </xf>
    <xf numFmtId="3" fontId="34" fillId="29" borderId="76" xfId="0" applyNumberFormat="1" applyFont="1" applyFill="1" applyBorder="1" applyAlignment="1">
      <alignment horizontal="center" vertical="center"/>
    </xf>
    <xf numFmtId="3" fontId="35" fillId="0" borderId="72" xfId="49" applyNumberFormat="1" applyFont="1" applyFill="1" applyBorder="1" applyAlignment="1">
      <alignment horizontal="center" vertical="center" wrapText="1"/>
    </xf>
    <xf numFmtId="164" fontId="39" fillId="0" borderId="0" xfId="55" applyFont="1" applyAlignment="1" applyProtection="1">
      <alignment vertical="center"/>
    </xf>
    <xf numFmtId="10" fontId="41" fillId="22" borderId="53" xfId="41" applyNumberFormat="1" applyFont="1" applyFill="1" applyBorder="1" applyAlignment="1" applyProtection="1">
      <alignment horizontal="center" vertical="center"/>
    </xf>
    <xf numFmtId="168" fontId="35" fillId="30" borderId="15" xfId="49" applyNumberFormat="1" applyFont="1" applyFill="1" applyBorder="1" applyAlignment="1" applyProtection="1">
      <alignment horizontal="center" vertical="center" wrapText="1"/>
    </xf>
    <xf numFmtId="0" fontId="36" fillId="30" borderId="53" xfId="49" applyFont="1" applyFill="1" applyBorder="1" applyAlignment="1" applyProtection="1">
      <alignment horizontal="left" vertical="center" wrapText="1" indent="1"/>
    </xf>
    <xf numFmtId="0" fontId="35" fillId="0" borderId="53" xfId="49" applyFont="1" applyFill="1" applyBorder="1" applyAlignment="1" applyProtection="1">
      <alignment horizontal="left" vertical="center" wrapText="1"/>
    </xf>
    <xf numFmtId="0" fontId="35" fillId="30" borderId="53" xfId="49" applyFont="1" applyFill="1" applyBorder="1" applyAlignment="1" applyProtection="1">
      <alignment horizontal="left" vertical="center" wrapText="1"/>
    </xf>
    <xf numFmtId="0" fontId="35" fillId="30" borderId="76" xfId="49" applyFont="1" applyFill="1" applyBorder="1" applyAlignment="1" applyProtection="1">
      <alignment horizontal="left" vertical="center" wrapText="1"/>
    </xf>
    <xf numFmtId="0" fontId="35" fillId="0" borderId="76" xfId="49" applyFont="1" applyFill="1" applyBorder="1" applyAlignment="1" applyProtection="1">
      <alignment horizontal="left" vertical="center" wrapText="1"/>
    </xf>
    <xf numFmtId="0" fontId="35" fillId="30" borderId="57" xfId="49" applyFont="1" applyFill="1" applyBorder="1" applyAlignment="1" applyProtection="1">
      <alignment horizontal="left" vertical="center" wrapText="1"/>
    </xf>
    <xf numFmtId="0" fontId="35" fillId="0" borderId="50" xfId="49" applyFont="1" applyFill="1" applyBorder="1" applyAlignment="1" applyProtection="1">
      <alignment horizontal="left" vertical="center" wrapText="1"/>
    </xf>
    <xf numFmtId="0" fontId="35" fillId="30" borderId="48" xfId="31" applyFont="1" applyFill="1" applyBorder="1" applyAlignment="1" applyProtection="1">
      <alignment horizontal="left" vertical="center" wrapText="1"/>
    </xf>
    <xf numFmtId="0" fontId="39" fillId="0" borderId="0" xfId="40" applyFont="1" applyBorder="1" applyAlignment="1" applyProtection="1">
      <alignment wrapText="1"/>
    </xf>
    <xf numFmtId="168" fontId="86" fillId="3" borderId="7" xfId="49" applyNumberFormat="1" applyFont="1" applyFill="1" applyBorder="1" applyAlignment="1" applyProtection="1">
      <alignment horizontal="center" vertical="center" wrapText="1"/>
      <protection locked="0"/>
    </xf>
    <xf numFmtId="176" fontId="39" fillId="0" borderId="0" xfId="55" applyNumberFormat="1" applyFont="1" applyAlignment="1" applyProtection="1">
      <alignment vertical="center"/>
    </xf>
    <xf numFmtId="9" fontId="34" fillId="30" borderId="29" xfId="1" applyFont="1" applyFill="1" applyBorder="1" applyAlignment="1">
      <alignment horizontal="center" vertical="center"/>
    </xf>
    <xf numFmtId="9" fontId="34" fillId="30" borderId="24" xfId="1" applyFont="1" applyFill="1" applyBorder="1" applyAlignment="1">
      <alignment horizontal="center" vertical="center"/>
    </xf>
    <xf numFmtId="9" fontId="34" fillId="30" borderId="30" xfId="1" applyFont="1" applyFill="1" applyBorder="1" applyAlignment="1">
      <alignment horizontal="center" vertical="center"/>
    </xf>
    <xf numFmtId="3" fontId="5" fillId="0" borderId="52" xfId="32" applyNumberFormat="1" applyFont="1" applyFill="1" applyBorder="1" applyAlignment="1">
      <alignment horizontal="center"/>
    </xf>
    <xf numFmtId="3" fontId="5" fillId="0" borderId="54" xfId="32" applyNumberFormat="1" applyFont="1" applyFill="1" applyBorder="1" applyAlignment="1">
      <alignment horizontal="center"/>
    </xf>
    <xf numFmtId="0" fontId="35" fillId="0" borderId="21" xfId="49" applyFont="1" applyFill="1" applyBorder="1" applyAlignment="1">
      <alignment horizontal="center" vertical="center"/>
    </xf>
    <xf numFmtId="49" fontId="34" fillId="21" borderId="52" xfId="32" applyNumberFormat="1" applyFont="1" applyFill="1" applyBorder="1" applyAlignment="1" applyProtection="1">
      <alignment horizontal="center" vertical="center" wrapText="1"/>
    </xf>
    <xf numFmtId="0" fontId="34" fillId="0" borderId="23" xfId="32" applyFont="1" applyFill="1" applyBorder="1" applyAlignment="1" applyProtection="1">
      <alignment vertical="center" wrapText="1"/>
    </xf>
    <xf numFmtId="167" fontId="34" fillId="21" borderId="52" xfId="32" applyNumberFormat="1" applyFont="1" applyFill="1" applyBorder="1" applyAlignment="1" applyProtection="1">
      <alignment horizontal="right" vertical="center"/>
      <protection locked="0"/>
    </xf>
    <xf numFmtId="167" fontId="34" fillId="21" borderId="7" xfId="32" applyNumberFormat="1" applyFont="1" applyFill="1" applyBorder="1" applyAlignment="1" applyProtection="1">
      <alignment horizontal="right" vertical="center"/>
      <protection locked="0"/>
    </xf>
    <xf numFmtId="167" fontId="34" fillId="21" borderId="53" xfId="32" applyNumberFormat="1" applyFont="1" applyFill="1" applyBorder="1" applyAlignment="1" applyProtection="1">
      <alignment horizontal="right" vertical="center"/>
      <protection locked="0"/>
    </xf>
    <xf numFmtId="0" fontId="34" fillId="0" borderId="0" xfId="32" applyFont="1" applyAlignment="1" applyProtection="1">
      <alignment vertical="center"/>
    </xf>
    <xf numFmtId="49" fontId="34" fillId="0" borderId="52" xfId="32" applyNumberFormat="1" applyFont="1" applyFill="1" applyBorder="1" applyAlignment="1" applyProtection="1">
      <alignment horizontal="center" vertical="center" wrapText="1"/>
    </xf>
    <xf numFmtId="167" fontId="34" fillId="0" borderId="52" xfId="32" applyNumberFormat="1" applyFont="1" applyFill="1" applyBorder="1" applyAlignment="1" applyProtection="1">
      <alignment horizontal="right" vertical="center"/>
      <protection locked="0"/>
    </xf>
    <xf numFmtId="167" fontId="34" fillId="0" borderId="7" xfId="32" applyNumberFormat="1" applyFont="1" applyFill="1" applyBorder="1" applyAlignment="1" applyProtection="1">
      <alignment horizontal="right" vertical="center"/>
      <protection locked="0"/>
    </xf>
    <xf numFmtId="167" fontId="34" fillId="0" borderId="53" xfId="32" applyNumberFormat="1" applyFont="1" applyFill="1" applyBorder="1" applyAlignment="1" applyProtection="1">
      <alignment horizontal="right" vertical="center"/>
      <protection locked="0"/>
    </xf>
    <xf numFmtId="49" fontId="34" fillId="21" borderId="49" xfId="32" applyNumberFormat="1" applyFont="1" applyFill="1" applyBorder="1" applyAlignment="1" applyProtection="1">
      <alignment horizontal="center" vertical="center" wrapText="1"/>
    </xf>
    <xf numFmtId="0" fontId="34" fillId="0" borderId="33" xfId="32" applyFont="1" applyFill="1" applyBorder="1" applyAlignment="1" applyProtection="1">
      <alignment vertical="center" wrapText="1"/>
    </xf>
    <xf numFmtId="167" fontId="34" fillId="21" borderId="49" xfId="32" applyNumberFormat="1" applyFont="1" applyFill="1" applyBorder="1" applyAlignment="1" applyProtection="1">
      <alignment horizontal="right" vertical="center"/>
      <protection locked="0"/>
    </xf>
    <xf numFmtId="167" fontId="34" fillId="21" borderId="31" xfId="32" applyNumberFormat="1" applyFont="1" applyFill="1" applyBorder="1" applyAlignment="1" applyProtection="1">
      <alignment horizontal="right" vertical="center"/>
      <protection locked="0"/>
    </xf>
    <xf numFmtId="167" fontId="34" fillId="21" borderId="50" xfId="32" applyNumberFormat="1" applyFont="1" applyFill="1" applyBorder="1" applyAlignment="1" applyProtection="1">
      <alignment horizontal="right" vertical="center"/>
      <protection locked="0"/>
    </xf>
    <xf numFmtId="49" fontId="34" fillId="0" borderId="52" xfId="32" applyNumberFormat="1" applyFont="1" applyBorder="1" applyAlignment="1" applyProtection="1">
      <alignment horizontal="center" vertical="center" wrapText="1"/>
    </xf>
    <xf numFmtId="3" fontId="34" fillId="0" borderId="106" xfId="32" applyNumberFormat="1" applyFont="1" applyFill="1" applyBorder="1" applyAlignment="1">
      <alignment horizontal="right" vertical="center" wrapText="1"/>
    </xf>
    <xf numFmtId="3" fontId="34" fillId="0" borderId="7" xfId="32" applyNumberFormat="1" applyFont="1" applyFill="1" applyBorder="1" applyAlignment="1">
      <alignment horizontal="right" vertical="center" wrapText="1"/>
    </xf>
    <xf numFmtId="3" fontId="34" fillId="0" borderId="53" xfId="32" applyNumberFormat="1" applyFont="1" applyFill="1" applyBorder="1" applyAlignment="1">
      <alignment horizontal="right" vertical="center" wrapText="1"/>
    </xf>
    <xf numFmtId="0" fontId="34" fillId="0" borderId="54" xfId="32" applyFont="1" applyBorder="1" applyAlignment="1" applyProtection="1">
      <alignment horizontal="center" vertical="center"/>
    </xf>
    <xf numFmtId="0" fontId="34" fillId="0" borderId="37" xfId="32" applyFont="1" applyFill="1" applyBorder="1" applyAlignment="1" applyProtection="1">
      <alignment vertical="center" wrapText="1"/>
    </xf>
    <xf numFmtId="167" fontId="34" fillId="21" borderId="54" xfId="32" applyNumberFormat="1" applyFont="1" applyFill="1" applyBorder="1" applyAlignment="1" applyProtection="1">
      <alignment horizontal="right" vertical="center"/>
      <protection locked="0"/>
    </xf>
    <xf numFmtId="167" fontId="34" fillId="21" borderId="63" xfId="32" applyNumberFormat="1" applyFont="1" applyFill="1" applyBorder="1" applyAlignment="1" applyProtection="1">
      <alignment horizontal="right" vertical="center"/>
      <protection locked="0"/>
    </xf>
    <xf numFmtId="167" fontId="34" fillId="21" borderId="55" xfId="32" applyNumberFormat="1" applyFont="1" applyFill="1" applyBorder="1" applyAlignment="1" applyProtection="1">
      <alignment horizontal="right" vertical="center"/>
      <protection locked="0"/>
    </xf>
    <xf numFmtId="0" fontId="0" fillId="29" borderId="0" xfId="0" applyFill="1" applyAlignment="1">
      <alignment horizontal="center" vertical="center"/>
    </xf>
    <xf numFmtId="0" fontId="0" fillId="29" borderId="0" xfId="0" applyFill="1" applyAlignment="1">
      <alignment vertical="center"/>
    </xf>
    <xf numFmtId="0" fontId="0" fillId="30" borderId="0" xfId="0" applyFill="1" applyAlignment="1">
      <alignment vertical="center"/>
    </xf>
    <xf numFmtId="0" fontId="0" fillId="30" borderId="0" xfId="0" applyFill="1" applyAlignment="1">
      <alignment horizontal="center" vertical="center"/>
    </xf>
    <xf numFmtId="0" fontId="12" fillId="29" borderId="0" xfId="0" applyFont="1" applyFill="1" applyBorder="1" applyAlignment="1" applyProtection="1">
      <alignment vertical="center" wrapText="1"/>
    </xf>
    <xf numFmtId="0" fontId="12" fillId="29" borderId="0" xfId="0" applyFont="1" applyFill="1" applyBorder="1" applyAlignment="1" applyProtection="1">
      <alignment horizontal="center" vertical="center" wrapText="1"/>
    </xf>
    <xf numFmtId="170" fontId="34" fillId="40" borderId="7" xfId="0" applyNumberFormat="1" applyFont="1" applyFill="1" applyBorder="1" applyAlignment="1" applyProtection="1">
      <alignment horizontal="center" vertical="center" wrapText="1"/>
    </xf>
    <xf numFmtId="3" fontId="35" fillId="32" borderId="7" xfId="49" applyNumberFormat="1" applyFont="1" applyFill="1" applyBorder="1" applyAlignment="1" applyProtection="1">
      <alignment horizontal="right" vertical="center"/>
      <protection locked="0"/>
    </xf>
    <xf numFmtId="0" fontId="0" fillId="30" borderId="0" xfId="0" applyFill="1" applyBorder="1" applyAlignment="1">
      <alignment vertical="center"/>
    </xf>
    <xf numFmtId="3" fontId="35" fillId="30" borderId="0" xfId="49" applyNumberFormat="1" applyFont="1" applyFill="1" applyBorder="1" applyAlignment="1" applyProtection="1">
      <alignment horizontal="center" vertical="center"/>
      <protection locked="0"/>
    </xf>
    <xf numFmtId="3" fontId="0" fillId="30" borderId="0" xfId="0" applyNumberFormat="1" applyFill="1" applyBorder="1" applyAlignment="1">
      <alignment horizontal="center" vertical="center"/>
    </xf>
    <xf numFmtId="0" fontId="0" fillId="30" borderId="0" xfId="0" applyFill="1" applyBorder="1" applyAlignment="1">
      <alignment horizontal="center" vertical="center"/>
    </xf>
    <xf numFmtId="0" fontId="104" fillId="30" borderId="0" xfId="49" applyFont="1" applyFill="1" applyBorder="1" applyAlignment="1">
      <alignment horizontal="left" vertical="center" wrapText="1"/>
    </xf>
    <xf numFmtId="0" fontId="0" fillId="30" borderId="0" xfId="0" applyFill="1" applyBorder="1" applyAlignment="1">
      <alignment horizontal="left" vertical="center" wrapText="1"/>
    </xf>
    <xf numFmtId="14" fontId="35" fillId="29" borderId="0" xfId="0" applyNumberFormat="1" applyFont="1" applyFill="1" applyBorder="1" applyAlignment="1">
      <alignment vertical="center"/>
    </xf>
    <xf numFmtId="14" fontId="34" fillId="29" borderId="0" xfId="0" applyNumberFormat="1" applyFont="1" applyFill="1" applyBorder="1" applyAlignment="1">
      <alignment vertical="center"/>
    </xf>
    <xf numFmtId="0" fontId="35" fillId="29" borderId="0" xfId="0" applyFont="1" applyFill="1" applyBorder="1" applyAlignment="1">
      <alignment horizontal="center" vertical="center"/>
    </xf>
    <xf numFmtId="0" fontId="35" fillId="29" borderId="0" xfId="0" applyFont="1" applyFill="1" applyBorder="1" applyAlignment="1">
      <alignment vertical="center"/>
    </xf>
    <xf numFmtId="0" fontId="35" fillId="29" borderId="0" xfId="0" applyNumberFormat="1" applyFont="1" applyFill="1" applyBorder="1" applyAlignment="1">
      <alignment vertical="center"/>
    </xf>
    <xf numFmtId="0" fontId="35" fillId="29" borderId="0" xfId="0" applyNumberFormat="1" applyFont="1" applyFill="1" applyBorder="1" applyAlignment="1">
      <alignment horizontal="center" vertical="center"/>
    </xf>
    <xf numFmtId="0" fontId="34" fillId="29" borderId="0" xfId="0" applyNumberFormat="1" applyFont="1" applyFill="1" applyBorder="1" applyAlignment="1">
      <alignment horizontal="center" vertical="center"/>
    </xf>
    <xf numFmtId="49" fontId="35" fillId="29" borderId="0" xfId="0" applyNumberFormat="1" applyFont="1" applyFill="1" applyBorder="1" applyAlignment="1">
      <alignment horizontal="center" vertical="center"/>
    </xf>
    <xf numFmtId="0" fontId="36" fillId="29" borderId="0" xfId="0" applyNumberFormat="1" applyFont="1" applyFill="1" applyBorder="1" applyAlignment="1">
      <alignment horizontal="center" vertical="center"/>
    </xf>
    <xf numFmtId="0" fontId="35" fillId="30" borderId="0" xfId="0" applyFont="1" applyFill="1" applyAlignment="1">
      <alignment horizontal="center" vertical="center"/>
    </xf>
    <xf numFmtId="0" fontId="36" fillId="30" borderId="0" xfId="31" applyFont="1" applyFill="1" applyBorder="1" applyAlignment="1">
      <alignment horizontal="center" vertical="center"/>
    </xf>
    <xf numFmtId="0" fontId="34" fillId="30" borderId="0" xfId="0" applyFont="1" applyFill="1" applyAlignment="1">
      <alignment horizontal="center" vertical="center"/>
    </xf>
    <xf numFmtId="0" fontId="34" fillId="30" borderId="0" xfId="0" applyFont="1" applyFill="1" applyBorder="1" applyAlignment="1">
      <alignment horizontal="center" vertical="center"/>
    </xf>
    <xf numFmtId="3" fontId="34" fillId="30" borderId="0" xfId="0" applyNumberFormat="1" applyFont="1" applyFill="1" applyAlignment="1">
      <alignment horizontal="center" vertical="center"/>
    </xf>
    <xf numFmtId="0" fontId="21" fillId="30" borderId="0" xfId="32" applyFill="1" applyAlignment="1">
      <alignment vertical="center"/>
    </xf>
    <xf numFmtId="0" fontId="66" fillId="30" borderId="0" xfId="32" applyFont="1" applyFill="1" applyAlignment="1">
      <alignment vertical="center"/>
    </xf>
    <xf numFmtId="0" fontId="21" fillId="29" borderId="0" xfId="32" applyFill="1" applyAlignment="1">
      <alignment vertical="center"/>
    </xf>
    <xf numFmtId="170" fontId="34" fillId="40" borderId="56" xfId="0" applyNumberFormat="1" applyFont="1" applyFill="1" applyBorder="1" applyAlignment="1" applyProtection="1">
      <alignment horizontal="center" vertical="center" wrapText="1"/>
    </xf>
    <xf numFmtId="170" fontId="34" fillId="40" borderId="77" xfId="0" applyNumberFormat="1" applyFont="1" applyFill="1" applyBorder="1" applyAlignment="1" applyProtection="1">
      <alignment horizontal="center" vertical="center" wrapText="1"/>
    </xf>
    <xf numFmtId="170" fontId="34" fillId="40" borderId="57" xfId="0" applyNumberFormat="1" applyFont="1" applyFill="1" applyBorder="1" applyAlignment="1" applyProtection="1">
      <alignment horizontal="center" vertical="center" wrapText="1"/>
    </xf>
    <xf numFmtId="170" fontId="34" fillId="40" borderId="56" xfId="32" applyNumberFormat="1" applyFont="1" applyFill="1" applyBorder="1" applyAlignment="1" applyProtection="1">
      <alignment horizontal="center" vertical="center" wrapText="1"/>
    </xf>
    <xf numFmtId="170" fontId="34" fillId="40" borderId="77" xfId="32" applyNumberFormat="1" applyFont="1" applyFill="1" applyBorder="1" applyAlignment="1" applyProtection="1">
      <alignment horizontal="center" vertical="center" wrapText="1"/>
    </xf>
    <xf numFmtId="170" fontId="34" fillId="40" borderId="57" xfId="32" applyNumberFormat="1" applyFont="1" applyFill="1" applyBorder="1" applyAlignment="1" applyProtection="1">
      <alignment horizontal="center" vertical="center" wrapText="1"/>
    </xf>
    <xf numFmtId="170" fontId="34" fillId="34" borderId="75" xfId="0" applyNumberFormat="1" applyFont="1" applyFill="1" applyBorder="1" applyAlignment="1" applyProtection="1">
      <alignment horizontal="center" vertical="center" wrapText="1"/>
    </xf>
    <xf numFmtId="170" fontId="34" fillId="34" borderId="73" xfId="0" applyNumberFormat="1" applyFont="1" applyFill="1" applyBorder="1" applyAlignment="1" applyProtection="1">
      <alignment horizontal="center" vertical="center" wrapText="1"/>
    </xf>
    <xf numFmtId="170" fontId="34" fillId="34" borderId="76" xfId="0" applyNumberFormat="1" applyFont="1" applyFill="1" applyBorder="1" applyAlignment="1" applyProtection="1">
      <alignment horizontal="center" vertical="center" wrapText="1"/>
    </xf>
    <xf numFmtId="170" fontId="34" fillId="34" borderId="75" xfId="32" applyNumberFormat="1" applyFont="1" applyFill="1" applyBorder="1" applyAlignment="1" applyProtection="1">
      <alignment horizontal="center" vertical="center" wrapText="1"/>
    </xf>
    <xf numFmtId="170" fontId="34" fillId="34" borderId="73" xfId="32" applyNumberFormat="1" applyFont="1" applyFill="1" applyBorder="1" applyAlignment="1" applyProtection="1">
      <alignment horizontal="center" vertical="center" wrapText="1"/>
    </xf>
    <xf numFmtId="170" fontId="34" fillId="34" borderId="76" xfId="32" applyNumberFormat="1" applyFont="1" applyFill="1" applyBorder="1" applyAlignment="1" applyProtection="1">
      <alignment horizontal="center" vertical="center" wrapText="1"/>
    </xf>
    <xf numFmtId="0" fontId="21" fillId="29" borderId="0" xfId="32" applyFont="1" applyFill="1" applyAlignment="1">
      <alignment vertical="center"/>
    </xf>
    <xf numFmtId="0" fontId="21" fillId="29" borderId="0" xfId="0" applyFont="1" applyFill="1" applyAlignment="1">
      <alignment vertical="center"/>
    </xf>
    <xf numFmtId="0" fontId="66" fillId="30" borderId="0" xfId="0" applyFont="1" applyFill="1" applyAlignment="1">
      <alignment vertical="center"/>
    </xf>
    <xf numFmtId="0" fontId="66" fillId="30" borderId="0" xfId="0" applyFont="1" applyFill="1" applyAlignment="1">
      <alignment horizontal="center" vertical="center"/>
    </xf>
    <xf numFmtId="0" fontId="95" fillId="30" borderId="0" xfId="0" applyFont="1" applyFill="1" applyAlignment="1">
      <alignment vertical="center"/>
    </xf>
    <xf numFmtId="0" fontId="21" fillId="30" borderId="0" xfId="32" applyFill="1" applyAlignment="1">
      <alignment horizontal="center" vertical="center"/>
    </xf>
    <xf numFmtId="0" fontId="35" fillId="29" borderId="0" xfId="32" applyNumberFormat="1" applyFont="1" applyFill="1" applyBorder="1" applyAlignment="1">
      <alignment horizontal="center" vertical="center"/>
    </xf>
    <xf numFmtId="0" fontId="34" fillId="29" borderId="0" xfId="32" applyNumberFormat="1" applyFont="1" applyFill="1" applyBorder="1" applyAlignment="1">
      <alignment horizontal="center" vertical="center"/>
    </xf>
    <xf numFmtId="0" fontId="35" fillId="29" borderId="0" xfId="32" applyFont="1" applyFill="1" applyBorder="1" applyAlignment="1">
      <alignment horizontal="center" vertical="center"/>
    </xf>
    <xf numFmtId="14" fontId="34" fillId="29" borderId="0" xfId="32" applyNumberFormat="1" applyFont="1" applyFill="1" applyBorder="1" applyAlignment="1">
      <alignment horizontal="center" vertical="center"/>
    </xf>
    <xf numFmtId="14" fontId="34" fillId="29" borderId="0" xfId="32" applyNumberFormat="1" applyFont="1" applyFill="1" applyBorder="1" applyAlignment="1">
      <alignment vertical="center"/>
    </xf>
    <xf numFmtId="49" fontId="35" fillId="29" borderId="0" xfId="32" applyNumberFormat="1" applyFont="1" applyFill="1" applyBorder="1" applyAlignment="1">
      <alignment horizontal="center" vertical="center"/>
    </xf>
    <xf numFmtId="0" fontId="36" fillId="29" borderId="0" xfId="32" applyNumberFormat="1" applyFont="1" applyFill="1" applyBorder="1" applyAlignment="1">
      <alignment horizontal="center" vertical="center"/>
    </xf>
    <xf numFmtId="0" fontId="35" fillId="29" borderId="0" xfId="32" applyFont="1" applyFill="1" applyBorder="1" applyAlignment="1">
      <alignment vertical="center"/>
    </xf>
    <xf numFmtId="0" fontId="35" fillId="30" borderId="0" xfId="32" applyFont="1" applyFill="1" applyAlignment="1">
      <alignment horizontal="center" vertical="center"/>
    </xf>
    <xf numFmtId="0" fontId="34" fillId="30" borderId="0" xfId="32" applyFont="1" applyFill="1" applyAlignment="1">
      <alignment horizontal="center" vertical="center"/>
    </xf>
    <xf numFmtId="3" fontId="34" fillId="30" borderId="0" xfId="32" applyNumberFormat="1" applyFont="1" applyFill="1" applyAlignment="1">
      <alignment horizontal="center" vertical="center"/>
    </xf>
    <xf numFmtId="0" fontId="62" fillId="25" borderId="35" xfId="52" applyFont="1" applyFill="1" applyBorder="1" applyAlignment="1" applyProtection="1">
      <alignment horizontal="center" vertical="center" wrapText="1"/>
    </xf>
    <xf numFmtId="49" fontId="62" fillId="34" borderId="29" xfId="52" applyNumberFormat="1" applyFont="1" applyFill="1" applyBorder="1" applyAlignment="1" applyProtection="1">
      <alignment horizontal="center" vertical="center" wrapText="1"/>
    </xf>
    <xf numFmtId="49" fontId="53" fillId="30" borderId="24" xfId="52" applyNumberFormat="1" applyFont="1" applyFill="1" applyBorder="1" applyAlignment="1" applyProtection="1">
      <alignment horizontal="center" vertical="center" wrapText="1"/>
    </xf>
    <xf numFmtId="49" fontId="53" fillId="30" borderId="30" xfId="52" applyNumberFormat="1" applyFont="1" applyFill="1" applyBorder="1" applyAlignment="1" applyProtection="1">
      <alignment horizontal="center" vertical="center" wrapText="1"/>
    </xf>
    <xf numFmtId="0" fontId="62" fillId="34" borderId="29" xfId="52" applyFont="1" applyFill="1" applyBorder="1" applyAlignment="1" applyProtection="1">
      <alignment horizontal="left" vertical="center" wrapText="1"/>
    </xf>
    <xf numFmtId="0" fontId="62" fillId="25" borderId="11" xfId="52" applyFont="1" applyFill="1" applyBorder="1" applyAlignment="1" applyProtection="1">
      <alignment horizontal="center" vertical="center" wrapText="1"/>
    </xf>
    <xf numFmtId="0" fontId="62" fillId="25" borderId="41" xfId="52" applyFont="1" applyFill="1" applyBorder="1" applyAlignment="1" applyProtection="1">
      <alignment horizontal="center" vertical="center" wrapText="1"/>
    </xf>
    <xf numFmtId="2" fontId="35" fillId="2" borderId="26" xfId="0" applyNumberFormat="1" applyFont="1" applyFill="1" applyBorder="1" applyAlignment="1">
      <alignment horizontal="center" vertical="center"/>
    </xf>
    <xf numFmtId="0" fontId="62" fillId="40" borderId="2" xfId="52" applyFont="1" applyFill="1" applyBorder="1" applyAlignment="1" applyProtection="1">
      <alignment horizontal="center" vertical="center" wrapText="1"/>
    </xf>
    <xf numFmtId="0" fontId="62" fillId="40" borderId="9" xfId="54" applyFont="1" applyFill="1" applyBorder="1" applyAlignment="1" applyProtection="1">
      <alignment horizontal="center" vertical="center" wrapText="1"/>
    </xf>
    <xf numFmtId="0" fontId="62" fillId="40" borderId="10" xfId="54" applyFont="1" applyFill="1" applyBorder="1" applyAlignment="1" applyProtection="1">
      <alignment horizontal="center" vertical="center" wrapText="1"/>
    </xf>
    <xf numFmtId="3" fontId="35" fillId="3" borderId="7" xfId="0" applyNumberFormat="1" applyFont="1" applyFill="1" applyBorder="1" applyAlignment="1" applyProtection="1">
      <alignment horizontal="center" vertical="center"/>
      <protection locked="0"/>
    </xf>
    <xf numFmtId="0" fontId="6" fillId="30" borderId="0" xfId="32" applyFont="1" applyFill="1" applyBorder="1" applyAlignment="1">
      <alignment horizontal="center" vertical="center"/>
    </xf>
    <xf numFmtId="0" fontId="13" fillId="30" borderId="0" xfId="49" applyFont="1" applyFill="1" applyBorder="1" applyAlignment="1">
      <alignment horizontal="center" vertical="center"/>
    </xf>
    <xf numFmtId="0" fontId="34" fillId="2" borderId="35" xfId="0" applyFont="1" applyFill="1" applyBorder="1" applyAlignment="1">
      <alignment horizontal="center" vertical="center"/>
    </xf>
    <xf numFmtId="0" fontId="34" fillId="2" borderId="34" xfId="0" applyFont="1" applyFill="1" applyBorder="1" applyAlignment="1">
      <alignment horizontal="center" vertical="center"/>
    </xf>
    <xf numFmtId="0" fontId="34" fillId="2" borderId="1" xfId="0" applyFont="1" applyFill="1" applyBorder="1" applyAlignment="1">
      <alignment horizontal="center" vertical="center"/>
    </xf>
    <xf numFmtId="0" fontId="34" fillId="2" borderId="8" xfId="0" applyFont="1" applyFill="1" applyBorder="1" applyAlignment="1">
      <alignment horizontal="center" vertical="center"/>
    </xf>
    <xf numFmtId="0" fontId="34" fillId="2" borderId="3" xfId="0" applyFont="1" applyFill="1" applyBorder="1" applyAlignment="1">
      <alignment horizontal="center" vertical="center"/>
    </xf>
    <xf numFmtId="0" fontId="13" fillId="0" borderId="0" xfId="0" applyFont="1" applyAlignment="1">
      <alignment horizontal="center"/>
    </xf>
    <xf numFmtId="49" fontId="34" fillId="26" borderId="1" xfId="49" applyNumberFormat="1" applyFont="1" applyFill="1" applyBorder="1" applyAlignment="1">
      <alignment horizontal="center" vertical="center"/>
    </xf>
    <xf numFmtId="0" fontId="34" fillId="26" borderId="1" xfId="49" applyFont="1" applyFill="1" applyBorder="1" applyAlignment="1">
      <alignment horizontal="center" vertical="center"/>
    </xf>
    <xf numFmtId="49" fontId="5" fillId="30" borderId="0" xfId="49" applyNumberFormat="1" applyFont="1" applyFill="1" applyBorder="1" applyAlignment="1" applyProtection="1">
      <alignment horizontal="center" vertical="center" wrapText="1"/>
    </xf>
    <xf numFmtId="0" fontId="35" fillId="29" borderId="5" xfId="49" applyFont="1" applyFill="1" applyBorder="1" applyAlignment="1">
      <alignment wrapText="1"/>
    </xf>
    <xf numFmtId="0" fontId="35" fillId="29" borderId="17" xfId="49" applyFont="1" applyFill="1" applyBorder="1" applyAlignment="1">
      <alignment wrapText="1"/>
    </xf>
    <xf numFmtId="49" fontId="35" fillId="29" borderId="17" xfId="49" applyNumberFormat="1" applyFont="1" applyFill="1" applyBorder="1" applyAlignment="1">
      <alignment wrapText="1"/>
    </xf>
    <xf numFmtId="49" fontId="35" fillId="29" borderId="17" xfId="49" applyNumberFormat="1" applyFont="1" applyFill="1" applyBorder="1" applyAlignment="1">
      <alignment horizontal="right" wrapText="1"/>
    </xf>
    <xf numFmtId="49" fontId="35" fillId="29" borderId="17" xfId="49" applyNumberFormat="1" applyFont="1" applyFill="1" applyBorder="1" applyAlignment="1">
      <alignment horizontal="left" wrapText="1"/>
    </xf>
    <xf numFmtId="0" fontId="35" fillId="29" borderId="17" xfId="49" applyFont="1" applyFill="1" applyBorder="1" applyAlignment="1">
      <alignment horizontal="right" vertical="center" wrapText="1"/>
    </xf>
    <xf numFmtId="49" fontId="35" fillId="29" borderId="17" xfId="49" applyNumberFormat="1" applyFont="1" applyFill="1" applyBorder="1" applyAlignment="1">
      <alignment horizontal="left" vertical="center" wrapText="1"/>
    </xf>
    <xf numFmtId="0" fontId="35" fillId="29" borderId="17" xfId="49" applyFont="1" applyFill="1" applyBorder="1" applyAlignment="1">
      <alignment horizontal="left" vertical="center" wrapText="1"/>
    </xf>
    <xf numFmtId="0" fontId="35" fillId="29" borderId="5" xfId="49" applyFont="1" applyFill="1" applyBorder="1" applyAlignment="1">
      <alignment horizontal="center" vertical="center"/>
    </xf>
    <xf numFmtId="9" fontId="35" fillId="29" borderId="5" xfId="49" applyNumberFormat="1" applyFont="1" applyFill="1" applyBorder="1" applyAlignment="1">
      <alignment horizontal="center" vertical="center"/>
    </xf>
    <xf numFmtId="0" fontId="35" fillId="29" borderId="17" xfId="49" applyFont="1" applyFill="1" applyBorder="1" applyAlignment="1">
      <alignment horizontal="center" vertical="center"/>
    </xf>
    <xf numFmtId="9" fontId="35" fillId="29" borderId="17" xfId="49" applyNumberFormat="1" applyFont="1" applyFill="1" applyBorder="1" applyAlignment="1">
      <alignment horizontal="center" vertical="center"/>
    </xf>
    <xf numFmtId="9" fontId="35" fillId="29" borderId="24" xfId="49" applyNumberFormat="1" applyFont="1" applyFill="1" applyBorder="1" applyAlignment="1">
      <alignment horizontal="center" vertical="center"/>
    </xf>
    <xf numFmtId="0" fontId="35" fillId="29" borderId="24" xfId="49" applyFont="1" applyFill="1" applyBorder="1" applyAlignment="1">
      <alignment horizontal="center" vertical="center"/>
    </xf>
    <xf numFmtId="9" fontId="35" fillId="29" borderId="17" xfId="49" applyNumberFormat="1" applyFont="1" applyFill="1" applyBorder="1" applyAlignment="1">
      <alignment horizontal="left" vertical="center"/>
    </xf>
    <xf numFmtId="9" fontId="35" fillId="29" borderId="17" xfId="50" applyFont="1" applyFill="1" applyBorder="1" applyAlignment="1">
      <alignment horizontal="center" vertical="center"/>
    </xf>
    <xf numFmtId="0" fontId="35" fillId="29" borderId="17" xfId="49" applyFont="1" applyFill="1" applyBorder="1" applyAlignment="1">
      <alignment vertical="center" wrapText="1"/>
    </xf>
    <xf numFmtId="0" fontId="5" fillId="30" borderId="0" xfId="49" applyFont="1" applyFill="1" applyAlignment="1">
      <alignment horizontal="center" wrapText="1"/>
    </xf>
    <xf numFmtId="0" fontId="5" fillId="30" borderId="0" xfId="49" applyFont="1" applyFill="1" applyAlignment="1">
      <alignment wrapText="1"/>
    </xf>
    <xf numFmtId="167" fontId="5" fillId="30" borderId="0" xfId="49" applyNumberFormat="1" applyFont="1" applyFill="1" applyAlignment="1">
      <alignment wrapText="1"/>
    </xf>
    <xf numFmtId="0" fontId="80" fillId="30" borderId="0" xfId="49" applyFill="1" applyAlignment="1">
      <alignment wrapText="1"/>
    </xf>
    <xf numFmtId="0" fontId="7" fillId="30" borderId="0" xfId="49" applyFont="1" applyFill="1" applyAlignment="1">
      <alignment wrapText="1"/>
    </xf>
    <xf numFmtId="0" fontId="9" fillId="30" borderId="0" xfId="49" applyFont="1" applyFill="1" applyAlignment="1">
      <alignment wrapText="1"/>
    </xf>
    <xf numFmtId="0" fontId="12" fillId="30" borderId="0" xfId="49" applyFont="1" applyFill="1" applyBorder="1" applyAlignment="1">
      <alignment vertical="center" wrapText="1"/>
    </xf>
    <xf numFmtId="0" fontId="46" fillId="30" borderId="0" xfId="49" applyFont="1" applyFill="1" applyBorder="1" applyAlignment="1">
      <alignment vertical="center" wrapText="1"/>
    </xf>
    <xf numFmtId="0" fontId="13" fillId="30" borderId="0" xfId="49" applyFont="1" applyFill="1" applyBorder="1" applyAlignment="1">
      <alignment horizontal="center" vertical="center" wrapText="1"/>
    </xf>
    <xf numFmtId="0" fontId="14" fillId="30" borderId="0" xfId="49" applyFont="1" applyFill="1" applyAlignment="1">
      <alignment wrapText="1"/>
    </xf>
    <xf numFmtId="1" fontId="34" fillId="42" borderId="38" xfId="21" applyFont="1" applyFill="1" applyBorder="1" applyAlignment="1">
      <alignment horizontal="center" vertical="center" wrapText="1"/>
    </xf>
    <xf numFmtId="1" fontId="34" fillId="42" borderId="9" xfId="21" applyFont="1" applyFill="1" applyBorder="1" applyAlignment="1">
      <alignment horizontal="center" vertical="center" wrapText="1"/>
    </xf>
    <xf numFmtId="1" fontId="34" fillId="42" borderId="10" xfId="21" applyFont="1" applyFill="1" applyBorder="1" applyAlignment="1">
      <alignment horizontal="center" vertical="center" wrapText="1"/>
    </xf>
    <xf numFmtId="1" fontId="34" fillId="42" borderId="65" xfId="21" applyFont="1" applyFill="1" applyBorder="1" applyAlignment="1">
      <alignment horizontal="center" vertical="center" wrapText="1"/>
    </xf>
    <xf numFmtId="0" fontId="34" fillId="35" borderId="42" xfId="49" applyFont="1" applyFill="1" applyBorder="1" applyAlignment="1">
      <alignment horizontal="center" vertical="center" wrapText="1"/>
    </xf>
    <xf numFmtId="0" fontId="34" fillId="35" borderId="34" xfId="49" applyFont="1" applyFill="1" applyBorder="1" applyAlignment="1">
      <alignment horizontal="left" vertical="center" wrapText="1"/>
    </xf>
    <xf numFmtId="0" fontId="34" fillId="35" borderId="2" xfId="49" applyFont="1" applyFill="1" applyBorder="1" applyAlignment="1">
      <alignment horizontal="center" vertical="center" wrapText="1"/>
    </xf>
    <xf numFmtId="0" fontId="34" fillId="35" borderId="65" xfId="49" applyFont="1" applyFill="1" applyBorder="1" applyAlignment="1">
      <alignment horizontal="left" vertical="center" wrapText="1"/>
    </xf>
    <xf numFmtId="0" fontId="34" fillId="35" borderId="9" xfId="49" applyFont="1" applyFill="1" applyBorder="1" applyAlignment="1">
      <alignment horizontal="left" vertical="center" wrapText="1"/>
    </xf>
    <xf numFmtId="3" fontId="34" fillId="35" borderId="9" xfId="49" applyNumberFormat="1" applyFont="1" applyFill="1" applyBorder="1" applyAlignment="1">
      <alignment horizontal="left" vertical="center" wrapText="1"/>
    </xf>
    <xf numFmtId="0" fontId="34" fillId="35" borderId="10" xfId="49" applyFont="1" applyFill="1" applyBorder="1" applyAlignment="1">
      <alignment horizontal="left" vertical="center" wrapText="1"/>
    </xf>
    <xf numFmtId="0" fontId="34" fillId="35" borderId="34" xfId="49" applyFont="1" applyFill="1" applyBorder="1" applyAlignment="1">
      <alignment horizontal="center" vertical="center" wrapText="1"/>
    </xf>
    <xf numFmtId="0" fontId="34" fillId="35" borderId="38" xfId="49" applyFont="1" applyFill="1" applyBorder="1" applyAlignment="1">
      <alignment horizontal="left" vertical="center" wrapText="1"/>
    </xf>
    <xf numFmtId="0" fontId="72" fillId="30" borderId="0" xfId="49" applyFont="1" applyFill="1" applyAlignment="1">
      <alignment wrapText="1"/>
    </xf>
    <xf numFmtId="167" fontId="105" fillId="30" borderId="91" xfId="49" applyNumberFormat="1" applyFont="1" applyFill="1" applyBorder="1" applyAlignment="1">
      <alignment horizontal="center" wrapText="1"/>
    </xf>
    <xf numFmtId="0" fontId="66" fillId="30" borderId="0" xfId="49" applyFont="1" applyFill="1" applyAlignment="1">
      <alignment wrapText="1"/>
    </xf>
    <xf numFmtId="49" fontId="34" fillId="26" borderId="1" xfId="49" applyNumberFormat="1" applyFont="1" applyFill="1" applyBorder="1" applyAlignment="1">
      <alignment horizontal="center" vertical="center" wrapText="1"/>
    </xf>
    <xf numFmtId="49" fontId="34" fillId="26" borderId="1" xfId="49" applyNumberFormat="1" applyFont="1" applyFill="1" applyBorder="1" applyAlignment="1">
      <alignment vertical="center" wrapText="1"/>
    </xf>
    <xf numFmtId="3" fontId="14" fillId="30" borderId="0" xfId="0" applyNumberFormat="1" applyFont="1" applyFill="1" applyAlignment="1">
      <alignment wrapText="1"/>
    </xf>
    <xf numFmtId="1" fontId="75" fillId="30" borderId="89" xfId="0" applyNumberFormat="1" applyFont="1" applyFill="1" applyBorder="1" applyAlignment="1">
      <alignment horizontal="center" wrapText="1"/>
    </xf>
    <xf numFmtId="0" fontId="35" fillId="30" borderId="5" xfId="49" applyFont="1" applyFill="1" applyBorder="1" applyAlignment="1">
      <alignment horizontal="center" vertical="center" wrapText="1"/>
    </xf>
    <xf numFmtId="0" fontId="35" fillId="29" borderId="5" xfId="49" applyFont="1" applyFill="1" applyBorder="1" applyAlignment="1">
      <alignment horizontal="center" vertical="center" wrapText="1"/>
    </xf>
    <xf numFmtId="9" fontId="35" fillId="29" borderId="5" xfId="49" applyNumberFormat="1" applyFont="1" applyFill="1" applyBorder="1" applyAlignment="1">
      <alignment horizontal="center" vertical="center" wrapText="1"/>
    </xf>
    <xf numFmtId="0" fontId="0" fillId="30" borderId="0" xfId="0" applyFill="1" applyAlignment="1">
      <alignment wrapText="1"/>
    </xf>
    <xf numFmtId="3" fontId="21" fillId="30" borderId="91" xfId="0" applyNumberFormat="1" applyFont="1" applyFill="1" applyBorder="1" applyAlignment="1">
      <alignment wrapText="1"/>
    </xf>
    <xf numFmtId="0" fontId="35" fillId="30" borderId="17" xfId="49" applyFont="1" applyFill="1" applyBorder="1" applyAlignment="1">
      <alignment horizontal="center" vertical="center" wrapText="1"/>
    </xf>
    <xf numFmtId="0" fontId="35" fillId="29" borderId="17" xfId="49" applyFont="1" applyFill="1" applyBorder="1" applyAlignment="1">
      <alignment horizontal="center" vertical="center" wrapText="1"/>
    </xf>
    <xf numFmtId="9" fontId="35" fillId="29" borderId="17" xfId="49" applyNumberFormat="1" applyFont="1" applyFill="1" applyBorder="1" applyAlignment="1">
      <alignment horizontal="center" vertical="center" wrapText="1"/>
    </xf>
    <xf numFmtId="3" fontId="75" fillId="30" borderId="91" xfId="0" applyNumberFormat="1" applyFont="1" applyFill="1" applyBorder="1" applyAlignment="1">
      <alignment wrapText="1"/>
    </xf>
    <xf numFmtId="3" fontId="34" fillId="30" borderId="17" xfId="49" applyNumberFormat="1" applyFont="1" applyFill="1" applyBorder="1" applyAlignment="1">
      <alignment horizontal="center" vertical="center" wrapText="1"/>
    </xf>
    <xf numFmtId="0" fontId="7" fillId="30" borderId="91" xfId="0" applyFont="1" applyFill="1" applyBorder="1" applyAlignment="1">
      <alignment wrapText="1"/>
    </xf>
    <xf numFmtId="9" fontId="35" fillId="29" borderId="24" xfId="49" applyNumberFormat="1" applyFont="1" applyFill="1" applyBorder="1" applyAlignment="1">
      <alignment horizontal="center" vertical="center" wrapText="1"/>
    </xf>
    <xf numFmtId="0" fontId="21" fillId="30" borderId="0" xfId="0" applyFont="1" applyFill="1" applyAlignment="1">
      <alignment wrapText="1"/>
    </xf>
    <xf numFmtId="0" fontId="80" fillId="30" borderId="0" xfId="49" applyFont="1" applyFill="1" applyAlignment="1">
      <alignment wrapText="1"/>
    </xf>
    <xf numFmtId="3" fontId="34" fillId="21" borderId="17" xfId="49" applyNumberFormat="1" applyFont="1" applyFill="1" applyBorder="1" applyAlignment="1">
      <alignment horizontal="center" vertical="center" wrapText="1"/>
    </xf>
    <xf numFmtId="3" fontId="34" fillId="21" borderId="32" xfId="49" applyNumberFormat="1" applyFont="1" applyFill="1" applyBorder="1" applyAlignment="1">
      <alignment horizontal="center" vertical="center" wrapText="1"/>
    </xf>
    <xf numFmtId="3" fontId="34" fillId="21" borderId="7" xfId="49" applyNumberFormat="1" applyFont="1" applyFill="1" applyBorder="1" applyAlignment="1">
      <alignment horizontal="center" vertical="center" wrapText="1"/>
    </xf>
    <xf numFmtId="3" fontId="34" fillId="21" borderId="53" xfId="49" applyNumberFormat="1" applyFont="1" applyFill="1" applyBorder="1" applyAlignment="1">
      <alignment horizontal="center" vertical="center" wrapText="1"/>
    </xf>
    <xf numFmtId="0" fontId="35" fillId="30" borderId="24" xfId="49" applyFont="1" applyFill="1" applyBorder="1" applyAlignment="1">
      <alignment horizontal="center" vertical="center" wrapText="1"/>
    </xf>
    <xf numFmtId="0" fontId="35" fillId="29" borderId="24" xfId="49" applyFont="1" applyFill="1" applyBorder="1" applyAlignment="1">
      <alignment horizontal="center" vertical="center" wrapText="1"/>
    </xf>
    <xf numFmtId="0" fontId="35" fillId="29" borderId="24" xfId="0" applyFont="1" applyFill="1" applyBorder="1" applyAlignment="1">
      <alignment horizontal="center" vertical="center" wrapText="1"/>
    </xf>
    <xf numFmtId="0" fontId="35" fillId="0" borderId="24" xfId="49" applyFont="1" applyFill="1" applyBorder="1" applyAlignment="1">
      <alignment horizontal="center" vertical="center" wrapText="1"/>
    </xf>
    <xf numFmtId="9" fontId="35" fillId="30" borderId="24" xfId="49" applyNumberFormat="1" applyFont="1" applyFill="1" applyBorder="1" applyAlignment="1">
      <alignment horizontal="center" vertical="center" wrapText="1"/>
    </xf>
    <xf numFmtId="0" fontId="35" fillId="31" borderId="17" xfId="0" applyFont="1" applyFill="1" applyBorder="1" applyAlignment="1">
      <alignment horizontal="center" vertical="center" wrapText="1"/>
    </xf>
    <xf numFmtId="0" fontId="35" fillId="30" borderId="36" xfId="49" applyFont="1" applyFill="1" applyBorder="1" applyAlignment="1">
      <alignment horizontal="center" vertical="center" wrapText="1"/>
    </xf>
    <xf numFmtId="9" fontId="35" fillId="30" borderId="36" xfId="49" applyNumberFormat="1" applyFont="1" applyFill="1" applyBorder="1" applyAlignment="1">
      <alignment horizontal="center" vertical="center" wrapText="1"/>
    </xf>
    <xf numFmtId="0" fontId="34" fillId="26" borderId="1" xfId="49" applyFont="1" applyFill="1" applyBorder="1" applyAlignment="1">
      <alignment horizontal="center" vertical="center" wrapText="1"/>
    </xf>
    <xf numFmtId="0" fontId="34" fillId="26" borderId="1" xfId="49" applyFont="1" applyFill="1" applyBorder="1" applyAlignment="1">
      <alignment horizontal="left" vertical="center" wrapText="1"/>
    </xf>
    <xf numFmtId="0" fontId="35" fillId="29" borderId="5" xfId="0" applyFont="1" applyFill="1" applyBorder="1" applyAlignment="1">
      <alignment horizontal="center" vertical="center" wrapText="1"/>
    </xf>
    <xf numFmtId="1" fontId="0" fillId="30" borderId="0" xfId="0" applyNumberFormat="1" applyFill="1" applyAlignment="1">
      <alignment wrapText="1"/>
    </xf>
    <xf numFmtId="1" fontId="75" fillId="0" borderId="90" xfId="0" applyNumberFormat="1" applyFont="1" applyFill="1" applyBorder="1" applyAlignment="1">
      <alignment horizontal="center" wrapText="1"/>
    </xf>
    <xf numFmtId="0" fontId="35" fillId="29" borderId="17" xfId="0" applyFont="1" applyFill="1" applyBorder="1" applyAlignment="1">
      <alignment horizontal="center" vertical="center" wrapText="1"/>
    </xf>
    <xf numFmtId="3" fontId="34" fillId="30" borderId="0" xfId="0" applyNumberFormat="1" applyFont="1" applyFill="1" applyBorder="1" applyAlignment="1">
      <alignment horizontal="center" vertical="center" wrapText="1"/>
    </xf>
    <xf numFmtId="0" fontId="21" fillId="30" borderId="91" xfId="0" applyFont="1" applyFill="1" applyBorder="1" applyAlignment="1">
      <alignment wrapText="1"/>
    </xf>
    <xf numFmtId="0" fontId="5" fillId="30" borderId="91" xfId="0" applyFont="1" applyFill="1" applyBorder="1" applyAlignment="1">
      <alignment wrapText="1"/>
    </xf>
    <xf numFmtId="0" fontId="35" fillId="30" borderId="24" xfId="0" applyFont="1" applyFill="1" applyBorder="1" applyAlignment="1">
      <alignment horizontal="center" vertical="center" wrapText="1"/>
    </xf>
    <xf numFmtId="9" fontId="35" fillId="30" borderId="5" xfId="49" applyNumberFormat="1" applyFont="1" applyFill="1" applyBorder="1" applyAlignment="1">
      <alignment horizontal="center" vertical="center" wrapText="1"/>
    </xf>
    <xf numFmtId="0" fontId="35" fillId="30" borderId="36" xfId="0" applyFont="1" applyFill="1" applyBorder="1" applyAlignment="1">
      <alignment horizontal="center" vertical="center" wrapText="1"/>
    </xf>
    <xf numFmtId="9" fontId="35" fillId="30" borderId="17" xfId="49" applyNumberFormat="1" applyFont="1" applyFill="1" applyBorder="1" applyAlignment="1">
      <alignment horizontal="center" vertical="center" wrapText="1"/>
    </xf>
    <xf numFmtId="9" fontId="35" fillId="30" borderId="36" xfId="1" applyFont="1" applyFill="1" applyBorder="1" applyAlignment="1">
      <alignment horizontal="center" vertical="center" wrapText="1"/>
    </xf>
    <xf numFmtId="3" fontId="75" fillId="30" borderId="89" xfId="0" applyNumberFormat="1" applyFont="1" applyFill="1" applyBorder="1" applyAlignment="1">
      <alignment horizontal="center" wrapText="1"/>
    </xf>
    <xf numFmtId="3" fontId="81" fillId="30" borderId="91" xfId="0" applyNumberFormat="1" applyFont="1" applyFill="1" applyBorder="1" applyAlignment="1">
      <alignment wrapText="1"/>
    </xf>
    <xf numFmtId="3" fontId="34" fillId="30" borderId="44" xfId="49" applyNumberFormat="1" applyFont="1" applyFill="1" applyBorder="1" applyAlignment="1">
      <alignment horizontal="center" vertical="center" wrapText="1"/>
    </xf>
    <xf numFmtId="3" fontId="34" fillId="30" borderId="31" xfId="49" applyNumberFormat="1" applyFont="1" applyFill="1" applyBorder="1" applyAlignment="1">
      <alignment horizontal="center" vertical="center" wrapText="1"/>
    </xf>
    <xf numFmtId="0" fontId="45" fillId="30" borderId="0" xfId="0" applyFont="1" applyFill="1" applyAlignment="1">
      <alignment wrapText="1"/>
    </xf>
    <xf numFmtId="0" fontId="34" fillId="35" borderId="1" xfId="49" applyFont="1" applyFill="1" applyBorder="1" applyAlignment="1">
      <alignment horizontal="center" vertical="center" wrapText="1"/>
    </xf>
    <xf numFmtId="0" fontId="34" fillId="35" borderId="2" xfId="49" applyFont="1" applyFill="1" applyBorder="1" applyAlignment="1">
      <alignment horizontal="left" vertical="center" wrapText="1"/>
    </xf>
    <xf numFmtId="3" fontId="34" fillId="35" borderId="38" xfId="49" applyNumberFormat="1" applyFont="1" applyFill="1" applyBorder="1" applyAlignment="1">
      <alignment horizontal="left" vertical="center" wrapText="1"/>
    </xf>
    <xf numFmtId="3" fontId="34" fillId="35" borderId="10" xfId="49" applyNumberFormat="1" applyFont="1" applyFill="1" applyBorder="1" applyAlignment="1">
      <alignment horizontal="left" vertical="center" wrapText="1"/>
    </xf>
    <xf numFmtId="0" fontId="72" fillId="30" borderId="0" xfId="0" applyFont="1" applyFill="1" applyAlignment="1">
      <alignment wrapText="1"/>
    </xf>
    <xf numFmtId="167" fontId="34" fillId="26" borderId="1" xfId="49" applyNumberFormat="1" applyFont="1" applyFill="1" applyBorder="1" applyAlignment="1">
      <alignment horizontal="center" vertical="center" wrapText="1"/>
    </xf>
    <xf numFmtId="3" fontId="34" fillId="26" borderId="38" xfId="49" applyNumberFormat="1" applyFont="1" applyFill="1" applyBorder="1" applyAlignment="1">
      <alignment horizontal="center" vertical="center" wrapText="1"/>
    </xf>
    <xf numFmtId="3" fontId="34" fillId="26" borderId="9" xfId="49" applyNumberFormat="1" applyFont="1" applyFill="1" applyBorder="1" applyAlignment="1">
      <alignment horizontal="center" vertical="center" wrapText="1"/>
    </xf>
    <xf numFmtId="3" fontId="34" fillId="26" borderId="8" xfId="49" applyNumberFormat="1" applyFont="1" applyFill="1" applyBorder="1" applyAlignment="1">
      <alignment horizontal="center" vertical="center" wrapText="1"/>
    </xf>
    <xf numFmtId="167" fontId="34" fillId="26" borderId="38" xfId="49" applyNumberFormat="1" applyFont="1" applyFill="1" applyBorder="1" applyAlignment="1">
      <alignment horizontal="center" vertical="center" wrapText="1"/>
    </xf>
    <xf numFmtId="167" fontId="34" fillId="26" borderId="9" xfId="49" applyNumberFormat="1" applyFont="1" applyFill="1" applyBorder="1" applyAlignment="1">
      <alignment horizontal="center" vertical="center" wrapText="1"/>
    </xf>
    <xf numFmtId="167" fontId="34" fillId="26" borderId="8" xfId="49" applyNumberFormat="1" applyFont="1" applyFill="1" applyBorder="1" applyAlignment="1">
      <alignment horizontal="center" vertical="center" wrapText="1"/>
    </xf>
    <xf numFmtId="3" fontId="34" fillId="26" borderId="10" xfId="49" applyNumberFormat="1" applyFont="1" applyFill="1" applyBorder="1" applyAlignment="1">
      <alignment horizontal="center" vertical="center" wrapText="1"/>
    </xf>
    <xf numFmtId="0" fontId="35" fillId="30" borderId="0" xfId="49" applyFont="1" applyFill="1" applyAlignment="1">
      <alignment wrapText="1"/>
    </xf>
    <xf numFmtId="9" fontId="35" fillId="29" borderId="17" xfId="49" applyNumberFormat="1" applyFont="1" applyFill="1" applyBorder="1" applyAlignment="1">
      <alignment horizontal="left" vertical="center" wrapText="1"/>
    </xf>
    <xf numFmtId="9" fontId="35" fillId="29" borderId="17" xfId="50" applyFont="1" applyFill="1" applyBorder="1" applyAlignment="1">
      <alignment horizontal="center" vertical="center" wrapText="1"/>
    </xf>
    <xf numFmtId="0" fontId="35" fillId="0" borderId="17" xfId="49" applyFont="1" applyFill="1" applyBorder="1" applyAlignment="1">
      <alignment horizontal="center" vertical="center" wrapText="1"/>
    </xf>
    <xf numFmtId="167" fontId="34" fillId="26" borderId="10" xfId="49" applyNumberFormat="1" applyFont="1" applyFill="1" applyBorder="1" applyAlignment="1">
      <alignment horizontal="center" vertical="center" wrapText="1"/>
    </xf>
    <xf numFmtId="0" fontId="35" fillId="0" borderId="5" xfId="49" applyFont="1" applyFill="1" applyBorder="1" applyAlignment="1">
      <alignment horizontal="center" vertical="center" wrapText="1"/>
    </xf>
    <xf numFmtId="0" fontId="34" fillId="39" borderId="1" xfId="49" applyFont="1" applyFill="1" applyBorder="1" applyAlignment="1">
      <alignment horizontal="center" vertical="center" wrapText="1"/>
    </xf>
    <xf numFmtId="0" fontId="34" fillId="39" borderId="1" xfId="49" applyFont="1" applyFill="1" applyBorder="1" applyAlignment="1">
      <alignment horizontal="left" vertical="center" wrapText="1"/>
    </xf>
    <xf numFmtId="0" fontId="21" fillId="30" borderId="92" xfId="0" applyFont="1" applyFill="1" applyBorder="1" applyAlignment="1">
      <alignment wrapText="1"/>
    </xf>
    <xf numFmtId="167" fontId="5" fillId="30" borderId="0" xfId="49" applyNumberFormat="1" applyFont="1" applyFill="1" applyBorder="1" applyAlignment="1" applyProtection="1">
      <alignment horizontal="center" vertical="center" wrapText="1"/>
      <protection locked="0"/>
    </xf>
    <xf numFmtId="167" fontId="5" fillId="30" borderId="0" xfId="49" applyNumberFormat="1" applyFont="1" applyFill="1" applyBorder="1" applyAlignment="1" applyProtection="1">
      <alignment horizontal="right" vertical="center" wrapText="1"/>
      <protection locked="0"/>
    </xf>
    <xf numFmtId="0" fontId="5" fillId="30" borderId="0" xfId="49" applyFont="1" applyFill="1" applyAlignment="1">
      <alignment horizontal="center" vertical="center" wrapText="1"/>
    </xf>
    <xf numFmtId="0" fontId="5" fillId="30" borderId="0" xfId="49" applyFont="1" applyFill="1" applyAlignment="1">
      <alignment vertical="center" wrapText="1"/>
    </xf>
    <xf numFmtId="0" fontId="14" fillId="30" borderId="0" xfId="49" applyFont="1" applyFill="1" applyAlignment="1">
      <alignment horizontal="center" wrapText="1"/>
    </xf>
    <xf numFmtId="0" fontId="5" fillId="30" borderId="0" xfId="49" applyNumberFormat="1" applyFont="1" applyFill="1" applyAlignment="1">
      <alignment wrapText="1"/>
    </xf>
    <xf numFmtId="3" fontId="5" fillId="30" borderId="0" xfId="49" applyNumberFormat="1" applyFont="1" applyFill="1" applyAlignment="1">
      <alignment wrapText="1"/>
    </xf>
    <xf numFmtId="0" fontId="5" fillId="30" borderId="0" xfId="0" applyFont="1" applyFill="1" applyAlignment="1">
      <alignment vertical="center" wrapText="1"/>
    </xf>
    <xf numFmtId="0" fontId="5" fillId="30" borderId="0" xfId="0" applyNumberFormat="1" applyFont="1" applyFill="1" applyAlignment="1">
      <alignment wrapText="1"/>
    </xf>
    <xf numFmtId="0" fontId="5" fillId="30" borderId="0" xfId="0" applyFont="1" applyFill="1" applyAlignment="1">
      <alignment wrapText="1"/>
    </xf>
    <xf numFmtId="0" fontId="5" fillId="30" borderId="0" xfId="0" applyNumberFormat="1" applyFont="1" applyFill="1" applyAlignment="1">
      <alignment horizontal="center" wrapText="1"/>
    </xf>
    <xf numFmtId="49" fontId="5" fillId="30" borderId="0" xfId="0" applyNumberFormat="1" applyFont="1" applyFill="1" applyAlignment="1">
      <alignment horizontal="right" wrapText="1"/>
    </xf>
    <xf numFmtId="0" fontId="5" fillId="30" borderId="0" xfId="31" applyFont="1" applyFill="1" applyAlignment="1">
      <alignment wrapText="1"/>
    </xf>
    <xf numFmtId="0" fontId="30" fillId="30" borderId="0" xfId="0" applyNumberFormat="1" applyFont="1" applyFill="1" applyAlignment="1">
      <alignment horizontal="center" wrapText="1"/>
    </xf>
    <xf numFmtId="49" fontId="14" fillId="30" borderId="0" xfId="0" applyNumberFormat="1" applyFont="1" applyFill="1" applyAlignment="1">
      <alignment horizontal="right" wrapText="1"/>
    </xf>
    <xf numFmtId="0" fontId="5" fillId="30" borderId="0" xfId="31" applyFont="1" applyFill="1" applyAlignment="1">
      <alignment horizontal="center" wrapText="1"/>
    </xf>
    <xf numFmtId="0" fontId="37" fillId="30" borderId="0" xfId="31" applyFont="1" applyFill="1" applyBorder="1" applyAlignment="1">
      <alignment wrapText="1"/>
    </xf>
    <xf numFmtId="0" fontId="34" fillId="30" borderId="17" xfId="32" applyFont="1" applyFill="1" applyBorder="1" applyAlignment="1">
      <alignment horizontal="center" vertical="center"/>
    </xf>
    <xf numFmtId="0" fontId="34" fillId="24" borderId="17" xfId="32" applyFont="1" applyFill="1" applyBorder="1" applyAlignment="1">
      <alignment horizontal="center" vertical="center"/>
    </xf>
    <xf numFmtId="0" fontId="35" fillId="24" borderId="17" xfId="32" applyFont="1" applyFill="1" applyBorder="1" applyAlignment="1">
      <alignment horizontal="center" vertical="center"/>
    </xf>
    <xf numFmtId="0" fontId="66" fillId="29" borderId="0" xfId="0" applyFont="1" applyFill="1" applyAlignment="1">
      <alignment horizontal="center"/>
    </xf>
    <xf numFmtId="0" fontId="35" fillId="29" borderId="0" xfId="0" applyFont="1" applyFill="1" applyBorder="1" applyAlignment="1">
      <alignment horizontal="center"/>
    </xf>
    <xf numFmtId="3" fontId="35" fillId="0" borderId="17" xfId="32" applyNumberFormat="1" applyFont="1" applyFill="1" applyBorder="1" applyAlignment="1">
      <alignment horizontal="left" vertical="center" wrapText="1"/>
    </xf>
    <xf numFmtId="0" fontId="34" fillId="29" borderId="5" xfId="32" applyFont="1" applyFill="1" applyBorder="1" applyAlignment="1">
      <alignment vertical="center" wrapText="1"/>
    </xf>
    <xf numFmtId="0" fontId="35" fillId="30" borderId="0" xfId="32" applyFont="1" applyFill="1" applyAlignment="1">
      <alignment wrapText="1"/>
    </xf>
    <xf numFmtId="0" fontId="34" fillId="34" borderId="29" xfId="32" applyFont="1" applyFill="1" applyBorder="1" applyAlignment="1">
      <alignment vertical="center" wrapText="1"/>
    </xf>
    <xf numFmtId="0" fontId="35" fillId="30" borderId="24" xfId="32" applyFont="1" applyFill="1" applyBorder="1" applyAlignment="1">
      <alignment wrapText="1"/>
    </xf>
    <xf numFmtId="0" fontId="35" fillId="30" borderId="36" xfId="32" applyFont="1" applyFill="1" applyBorder="1" applyAlignment="1">
      <alignment wrapText="1"/>
    </xf>
    <xf numFmtId="0" fontId="35" fillId="30" borderId="29" xfId="32" applyFont="1" applyFill="1" applyBorder="1" applyAlignment="1">
      <alignment wrapText="1"/>
    </xf>
    <xf numFmtId="0" fontId="35" fillId="30" borderId="30" xfId="32" applyFont="1" applyFill="1" applyBorder="1" applyAlignment="1">
      <alignment wrapText="1"/>
    </xf>
    <xf numFmtId="0" fontId="35" fillId="30" borderId="0" xfId="32" applyFont="1" applyFill="1" applyAlignment="1">
      <alignment vertical="center" wrapText="1"/>
    </xf>
    <xf numFmtId="0" fontId="34" fillId="34" borderId="29" xfId="0" applyFont="1" applyFill="1" applyBorder="1" applyAlignment="1">
      <alignment vertical="center" wrapText="1"/>
    </xf>
    <xf numFmtId="0" fontId="0" fillId="29" borderId="0" xfId="0" applyFill="1" applyAlignment="1">
      <alignment wrapText="1"/>
    </xf>
    <xf numFmtId="9" fontId="35" fillId="29" borderId="17" xfId="1" applyFont="1" applyFill="1" applyBorder="1" applyAlignment="1">
      <alignment horizontal="center" vertical="center"/>
    </xf>
    <xf numFmtId="9" fontId="35" fillId="29" borderId="29" xfId="1" applyFont="1" applyFill="1" applyBorder="1" applyAlignment="1">
      <alignment horizontal="center"/>
    </xf>
    <xf numFmtId="9" fontId="35" fillId="29" borderId="76" xfId="1" applyFont="1" applyFill="1" applyBorder="1" applyAlignment="1">
      <alignment horizontal="center"/>
    </xf>
    <xf numFmtId="9" fontId="35" fillId="29" borderId="22" xfId="1" applyFont="1" applyFill="1" applyBorder="1" applyAlignment="1">
      <alignment horizontal="center"/>
    </xf>
    <xf numFmtId="9" fontId="35" fillId="29" borderId="74" xfId="1" applyFont="1" applyFill="1" applyBorder="1" applyAlignment="1">
      <alignment horizontal="center"/>
    </xf>
    <xf numFmtId="9" fontId="35" fillId="29" borderId="75" xfId="1" applyFont="1" applyFill="1" applyBorder="1" applyAlignment="1">
      <alignment horizontal="center"/>
    </xf>
    <xf numFmtId="9" fontId="35" fillId="29" borderId="24" xfId="1" applyFont="1" applyFill="1" applyBorder="1" applyAlignment="1">
      <alignment horizontal="center"/>
    </xf>
    <xf numFmtId="9" fontId="35" fillId="29" borderId="53" xfId="1" applyFont="1" applyFill="1" applyBorder="1" applyAlignment="1">
      <alignment horizontal="center"/>
    </xf>
    <xf numFmtId="9" fontId="35" fillId="29" borderId="23" xfId="1" applyFont="1" applyFill="1" applyBorder="1" applyAlignment="1">
      <alignment horizontal="center"/>
    </xf>
    <xf numFmtId="9" fontId="35" fillId="29" borderId="62" xfId="1" applyFont="1" applyFill="1" applyBorder="1" applyAlignment="1">
      <alignment horizontal="center"/>
    </xf>
    <xf numFmtId="9" fontId="35" fillId="29" borderId="52" xfId="1" applyFont="1" applyFill="1" applyBorder="1" applyAlignment="1">
      <alignment horizontal="center"/>
    </xf>
    <xf numFmtId="9" fontId="35" fillId="29" borderId="30" xfId="1" applyFont="1" applyFill="1" applyBorder="1" applyAlignment="1">
      <alignment horizontal="center"/>
    </xf>
    <xf numFmtId="9" fontId="35" fillId="29" borderId="57" xfId="1" applyFont="1" applyFill="1" applyBorder="1" applyAlignment="1">
      <alignment horizontal="center"/>
    </xf>
    <xf numFmtId="9" fontId="35" fillId="29" borderId="28" xfId="1" applyFont="1" applyFill="1" applyBorder="1" applyAlignment="1">
      <alignment horizontal="center"/>
    </xf>
    <xf numFmtId="9" fontId="35" fillId="29" borderId="78" xfId="1" applyFont="1" applyFill="1" applyBorder="1" applyAlignment="1">
      <alignment horizontal="center"/>
    </xf>
    <xf numFmtId="9" fontId="35" fillId="29" borderId="56" xfId="1" applyFont="1" applyFill="1" applyBorder="1" applyAlignment="1">
      <alignment horizontal="center"/>
    </xf>
    <xf numFmtId="3" fontId="35" fillId="32" borderId="7" xfId="49" applyNumberFormat="1" applyFont="1" applyFill="1" applyBorder="1" applyAlignment="1" applyProtection="1">
      <alignment horizontal="center"/>
      <protection locked="0"/>
    </xf>
    <xf numFmtId="0" fontId="120" fillId="30" borderId="0" xfId="32" applyFont="1" applyFill="1" applyAlignment="1">
      <alignment horizontal="center"/>
    </xf>
    <xf numFmtId="0" fontId="130" fillId="30" borderId="0" xfId="32" applyFont="1" applyFill="1" applyAlignment="1">
      <alignment horizontal="center"/>
    </xf>
    <xf numFmtId="0" fontId="117" fillId="30" borderId="0" xfId="32" applyFont="1" applyFill="1" applyAlignment="1">
      <alignment horizontal="center"/>
    </xf>
    <xf numFmtId="0" fontId="5" fillId="30" borderId="0" xfId="32" applyFont="1" applyFill="1" applyAlignment="1">
      <alignment horizontal="left"/>
    </xf>
    <xf numFmtId="0" fontId="9" fillId="30" borderId="0" xfId="32" applyFont="1" applyFill="1" applyAlignment="1">
      <alignment horizontal="left"/>
    </xf>
    <xf numFmtId="0" fontId="21" fillId="30" borderId="0" xfId="32" applyFont="1" applyFill="1" applyAlignment="1">
      <alignment horizontal="left"/>
    </xf>
    <xf numFmtId="3" fontId="35" fillId="32" borderId="53" xfId="49" applyNumberFormat="1" applyFont="1" applyFill="1" applyBorder="1" applyAlignment="1" applyProtection="1">
      <alignment horizontal="left"/>
      <protection locked="0"/>
    </xf>
    <xf numFmtId="0" fontId="66" fillId="30" borderId="0" xfId="32" applyFont="1" applyFill="1" applyAlignment="1">
      <alignment horizontal="left"/>
    </xf>
    <xf numFmtId="0" fontId="36" fillId="29" borderId="0" xfId="0" applyNumberFormat="1" applyFont="1" applyFill="1" applyBorder="1" applyAlignment="1">
      <alignment horizontal="left"/>
    </xf>
    <xf numFmtId="0" fontId="35" fillId="29" borderId="0" xfId="0" applyFont="1" applyFill="1" applyBorder="1" applyAlignment="1">
      <alignment horizontal="left"/>
    </xf>
    <xf numFmtId="0" fontId="0" fillId="29" borderId="0" xfId="0" applyFill="1" applyAlignment="1">
      <alignment horizontal="left"/>
    </xf>
    <xf numFmtId="49" fontId="35" fillId="29" borderId="0" xfId="0" applyNumberFormat="1" applyFont="1" applyFill="1" applyBorder="1" applyAlignment="1">
      <alignment horizontal="left"/>
    </xf>
    <xf numFmtId="0" fontId="36" fillId="30" borderId="0" xfId="31" applyFont="1" applyFill="1" applyBorder="1" applyAlignment="1">
      <alignment horizontal="left"/>
    </xf>
    <xf numFmtId="3" fontId="36" fillId="29" borderId="17" xfId="32" applyNumberFormat="1" applyFont="1" applyFill="1" applyBorder="1" applyAlignment="1">
      <alignment horizontal="left" vertical="center" wrapText="1"/>
    </xf>
    <xf numFmtId="49" fontId="35" fillId="0" borderId="5" xfId="27" applyFont="1" applyFill="1" applyBorder="1">
      <alignment vertical="top" wrapText="1"/>
    </xf>
    <xf numFmtId="49" fontId="35" fillId="0" borderId="17" xfId="27" applyFont="1" applyFill="1" applyBorder="1">
      <alignment vertical="top" wrapText="1"/>
    </xf>
    <xf numFmtId="49" fontId="35" fillId="0" borderId="21" xfId="27" applyFont="1" applyFill="1" applyBorder="1">
      <alignment vertical="top" wrapText="1"/>
    </xf>
    <xf numFmtId="0" fontId="34" fillId="30" borderId="51" xfId="49" applyFont="1" applyFill="1" applyBorder="1" applyAlignment="1">
      <alignment horizontal="center" vertical="center"/>
    </xf>
    <xf numFmtId="9" fontId="34" fillId="30" borderId="51" xfId="49" applyNumberFormat="1" applyFont="1" applyFill="1" applyBorder="1" applyAlignment="1">
      <alignment horizontal="center" vertical="center"/>
    </xf>
    <xf numFmtId="0" fontId="34" fillId="30" borderId="51" xfId="49" applyFont="1" applyFill="1" applyBorder="1" applyAlignment="1">
      <alignment wrapText="1"/>
    </xf>
    <xf numFmtId="0" fontId="34" fillId="0" borderId="29" xfId="49" applyFont="1" applyFill="1" applyBorder="1" applyAlignment="1">
      <alignment horizontal="center" vertical="center" wrapText="1"/>
    </xf>
    <xf numFmtId="0" fontId="35" fillId="0" borderId="42" xfId="49" applyFont="1" applyFill="1" applyBorder="1" applyAlignment="1">
      <alignment horizontal="center" vertical="center" wrapText="1"/>
    </xf>
    <xf numFmtId="0" fontId="34" fillId="29" borderId="17" xfId="49" applyFont="1" applyFill="1" applyBorder="1" applyAlignment="1">
      <alignment horizontal="center" vertical="center"/>
    </xf>
    <xf numFmtId="9" fontId="34" fillId="29" borderId="17" xfId="49" applyNumberFormat="1" applyFont="1" applyFill="1" applyBorder="1" applyAlignment="1">
      <alignment horizontal="center" vertical="center"/>
    </xf>
    <xf numFmtId="0" fontId="34" fillId="29" borderId="17" xfId="49" applyFont="1" applyFill="1" applyBorder="1" applyAlignment="1">
      <alignment wrapText="1"/>
    </xf>
    <xf numFmtId="49" fontId="34" fillId="29" borderId="17" xfId="49" applyNumberFormat="1" applyFont="1" applyFill="1" applyBorder="1" applyAlignment="1">
      <alignment wrapText="1"/>
    </xf>
    <xf numFmtId="0" fontId="36" fillId="29" borderId="17" xfId="49" applyFont="1" applyFill="1" applyBorder="1" applyAlignment="1">
      <alignment horizontal="center" vertical="center"/>
    </xf>
    <xf numFmtId="9" fontId="36" fillId="29" borderId="17" xfId="50" applyFont="1" applyFill="1" applyBorder="1" applyAlignment="1">
      <alignment horizontal="center" vertical="center"/>
    </xf>
    <xf numFmtId="49" fontId="36" fillId="29" borderId="17" xfId="49" applyNumberFormat="1" applyFont="1" applyFill="1" applyBorder="1" applyAlignment="1">
      <alignment horizontal="right" wrapText="1"/>
    </xf>
    <xf numFmtId="9" fontId="36" fillId="29" borderId="17" xfId="49" applyNumberFormat="1" applyFont="1" applyFill="1" applyBorder="1" applyAlignment="1">
      <alignment horizontal="center" vertical="center"/>
    </xf>
    <xf numFmtId="49" fontId="34" fillId="29" borderId="17" xfId="49" applyNumberFormat="1" applyFont="1" applyFill="1" applyBorder="1" applyAlignment="1">
      <alignment horizontal="left" wrapText="1"/>
    </xf>
    <xf numFmtId="0" fontId="36" fillId="29" borderId="17" xfId="49" applyFont="1" applyFill="1" applyBorder="1" applyAlignment="1">
      <alignment horizontal="right" vertical="center" wrapText="1"/>
    </xf>
    <xf numFmtId="0" fontId="34" fillId="29" borderId="24" xfId="49" applyFont="1" applyFill="1" applyBorder="1" applyAlignment="1">
      <alignment horizontal="center" vertical="center"/>
    </xf>
    <xf numFmtId="9" fontId="34" fillId="29" borderId="24" xfId="49" applyNumberFormat="1" applyFont="1" applyFill="1" applyBorder="1" applyAlignment="1">
      <alignment horizontal="center" vertical="center"/>
    </xf>
    <xf numFmtId="0" fontId="5" fillId="29" borderId="24" xfId="49" applyFont="1" applyFill="1" applyBorder="1" applyAlignment="1">
      <alignment horizontal="center" vertical="center"/>
    </xf>
    <xf numFmtId="9" fontId="5" fillId="29" borderId="24" xfId="49" applyNumberFormat="1" applyFont="1" applyFill="1" applyBorder="1" applyAlignment="1">
      <alignment horizontal="center" vertical="center"/>
    </xf>
    <xf numFmtId="49" fontId="5" fillId="29" borderId="17" xfId="49" applyNumberFormat="1" applyFont="1" applyFill="1" applyBorder="1" applyAlignment="1">
      <alignment horizontal="left" wrapText="1"/>
    </xf>
    <xf numFmtId="0" fontId="34" fillId="29" borderId="17" xfId="49" applyFont="1" applyFill="1" applyBorder="1" applyAlignment="1">
      <alignment horizontal="left" vertical="center" wrapText="1"/>
    </xf>
    <xf numFmtId="9" fontId="34" fillId="29" borderId="30" xfId="49" applyNumberFormat="1" applyFont="1" applyFill="1" applyBorder="1" applyAlignment="1">
      <alignment horizontal="center" vertical="center"/>
    </xf>
    <xf numFmtId="49" fontId="34" fillId="29" borderId="21" xfId="49" applyNumberFormat="1" applyFont="1" applyFill="1" applyBorder="1" applyAlignment="1">
      <alignment wrapText="1"/>
    </xf>
    <xf numFmtId="49" fontId="14" fillId="30" borderId="0" xfId="49" applyNumberFormat="1" applyFont="1" applyFill="1" applyBorder="1" applyAlignment="1">
      <alignment horizontal="center" vertical="center"/>
    </xf>
    <xf numFmtId="0" fontId="12" fillId="26" borderId="1" xfId="49" applyFont="1" applyFill="1" applyBorder="1" applyAlignment="1">
      <alignment horizontal="center" vertical="center"/>
    </xf>
    <xf numFmtId="0" fontId="5" fillId="29" borderId="5" xfId="49" applyFont="1" applyFill="1" applyBorder="1" applyAlignment="1">
      <alignment horizontal="center" vertical="center"/>
    </xf>
    <xf numFmtId="9" fontId="5" fillId="29" borderId="5" xfId="49" applyNumberFormat="1" applyFont="1" applyFill="1" applyBorder="1" applyAlignment="1">
      <alignment horizontal="center" vertical="center"/>
    </xf>
    <xf numFmtId="0" fontId="5" fillId="29" borderId="17" xfId="49" applyFont="1" applyFill="1" applyBorder="1" applyAlignment="1">
      <alignment vertical="center" wrapText="1"/>
    </xf>
    <xf numFmtId="0" fontId="14" fillId="29" borderId="17" xfId="49" applyFont="1" applyFill="1" applyBorder="1" applyAlignment="1">
      <alignment horizontal="center" vertical="center"/>
    </xf>
    <xf numFmtId="9" fontId="14" fillId="29" borderId="17" xfId="49" applyNumberFormat="1" applyFont="1" applyFill="1" applyBorder="1" applyAlignment="1">
      <alignment horizontal="center" vertical="center"/>
    </xf>
    <xf numFmtId="0" fontId="5" fillId="29" borderId="17" xfId="49" applyFont="1" applyFill="1" applyBorder="1" applyAlignment="1">
      <alignment horizontal="center" vertical="center"/>
    </xf>
    <xf numFmtId="9" fontId="5" fillId="29" borderId="17" xfId="49" applyNumberFormat="1" applyFont="1" applyFill="1" applyBorder="1" applyAlignment="1">
      <alignment horizontal="center" vertical="center"/>
    </xf>
    <xf numFmtId="49" fontId="14" fillId="29" borderId="17" xfId="49" applyNumberFormat="1" applyFont="1" applyFill="1" applyBorder="1" applyAlignment="1">
      <alignment wrapText="1"/>
    </xf>
    <xf numFmtId="0" fontId="37" fillId="29" borderId="17" xfId="49" applyFont="1" applyFill="1" applyBorder="1" applyAlignment="1">
      <alignment horizontal="center" vertical="center"/>
    </xf>
    <xf numFmtId="9" fontId="37" fillId="29" borderId="17" xfId="50" applyFont="1" applyFill="1" applyBorder="1" applyAlignment="1">
      <alignment horizontal="center" vertical="center"/>
    </xf>
    <xf numFmtId="49" fontId="37" fillId="29" borderId="17" xfId="49" applyNumberFormat="1" applyFont="1" applyFill="1" applyBorder="1" applyAlignment="1">
      <alignment horizontal="right" wrapText="1"/>
    </xf>
    <xf numFmtId="9" fontId="5" fillId="29" borderId="17" xfId="50" applyFont="1" applyFill="1" applyBorder="1" applyAlignment="1">
      <alignment horizontal="center" vertical="center"/>
    </xf>
    <xf numFmtId="9" fontId="37" fillId="29" borderId="17" xfId="49" applyNumberFormat="1" applyFont="1" applyFill="1" applyBorder="1" applyAlignment="1">
      <alignment horizontal="center" vertical="center"/>
    </xf>
    <xf numFmtId="49" fontId="14" fillId="29" borderId="17" xfId="49" applyNumberFormat="1" applyFont="1" applyFill="1" applyBorder="1" applyAlignment="1">
      <alignment horizontal="left" wrapText="1"/>
    </xf>
    <xf numFmtId="0" fontId="37" fillId="29" borderId="17" xfId="49" applyFont="1" applyFill="1" applyBorder="1" applyAlignment="1">
      <alignment horizontal="right" vertical="center" wrapText="1"/>
    </xf>
    <xf numFmtId="0" fontId="5" fillId="29" borderId="17" xfId="49" applyFont="1" applyFill="1" applyBorder="1" applyAlignment="1">
      <alignment horizontal="left" vertical="center" wrapText="1"/>
    </xf>
    <xf numFmtId="0" fontId="14" fillId="29" borderId="24" xfId="49" applyFont="1" applyFill="1" applyBorder="1" applyAlignment="1">
      <alignment horizontal="center" vertical="center"/>
    </xf>
    <xf numFmtId="9" fontId="14" fillId="29" borderId="24" xfId="49" applyNumberFormat="1" applyFont="1" applyFill="1" applyBorder="1" applyAlignment="1">
      <alignment horizontal="center" vertical="center"/>
    </xf>
    <xf numFmtId="0" fontId="14" fillId="29" borderId="17" xfId="49" applyFont="1" applyFill="1" applyBorder="1" applyAlignment="1">
      <alignment horizontal="left" vertical="center" wrapText="1"/>
    </xf>
    <xf numFmtId="0" fontId="35" fillId="29" borderId="21" xfId="49" applyFont="1" applyFill="1" applyBorder="1" applyAlignment="1">
      <alignment horizontal="center" vertical="center"/>
    </xf>
    <xf numFmtId="49" fontId="35" fillId="29" borderId="21" xfId="49" applyNumberFormat="1" applyFont="1" applyFill="1" applyBorder="1" applyAlignment="1">
      <alignment horizontal="left" wrapText="1"/>
    </xf>
    <xf numFmtId="0" fontId="137" fillId="30" borderId="0" xfId="0" applyNumberFormat="1" applyFont="1" applyFill="1" applyAlignment="1">
      <alignment horizontal="center"/>
    </xf>
    <xf numFmtId="0" fontId="37" fillId="30" borderId="0" xfId="0" applyNumberFormat="1" applyFont="1" applyFill="1"/>
    <xf numFmtId="0" fontId="0" fillId="0" borderId="0" xfId="0" applyAlignment="1">
      <alignment horizontal="center"/>
    </xf>
    <xf numFmtId="0" fontId="96" fillId="30" borderId="0" xfId="49" applyFont="1" applyFill="1" applyAlignment="1" applyProtection="1">
      <alignment wrapText="1"/>
    </xf>
    <xf numFmtId="0" fontId="35" fillId="0" borderId="29" xfId="0" applyFont="1" applyBorder="1" applyAlignment="1">
      <alignment vertical="center"/>
    </xf>
    <xf numFmtId="0" fontId="35" fillId="0" borderId="24" xfId="0" applyFont="1" applyBorder="1" applyAlignment="1">
      <alignment vertical="center"/>
    </xf>
    <xf numFmtId="0" fontId="34" fillId="22" borderId="1" xfId="0" applyFont="1" applyFill="1" applyBorder="1" applyAlignment="1">
      <alignment vertical="center" wrapText="1"/>
    </xf>
    <xf numFmtId="0" fontId="34" fillId="0" borderId="25" xfId="0" applyFont="1" applyBorder="1" applyAlignment="1">
      <alignment horizontal="right" vertical="center"/>
    </xf>
    <xf numFmtId="0" fontId="35" fillId="0" borderId="24" xfId="0" applyFont="1" applyBorder="1" applyAlignment="1">
      <alignment vertical="center" wrapText="1"/>
    </xf>
    <xf numFmtId="0" fontId="35" fillId="0" borderId="36" xfId="0" applyFont="1" applyBorder="1" applyAlignment="1">
      <alignment vertical="center" wrapText="1"/>
    </xf>
    <xf numFmtId="3" fontId="35" fillId="32" borderId="17" xfId="49" applyNumberFormat="1" applyFont="1" applyFill="1" applyBorder="1" applyAlignment="1" applyProtection="1">
      <alignment horizontal="center" vertical="center"/>
      <protection locked="0"/>
    </xf>
    <xf numFmtId="1" fontId="14" fillId="27" borderId="9" xfId="21" applyFont="1" applyFill="1" applyBorder="1" applyAlignment="1">
      <alignment horizontal="center" vertical="center" wrapText="1"/>
    </xf>
    <xf numFmtId="1" fontId="14" fillId="27" borderId="65" xfId="21" applyFont="1" applyFill="1" applyBorder="1" applyAlignment="1">
      <alignment horizontal="center" vertical="center" wrapText="1"/>
    </xf>
    <xf numFmtId="1" fontId="14" fillId="27" borderId="10" xfId="21" applyFont="1" applyFill="1" applyBorder="1" applyAlignment="1">
      <alignment horizontal="center" vertical="center" wrapText="1"/>
    </xf>
    <xf numFmtId="0" fontId="0" fillId="0" borderId="11" xfId="0" applyBorder="1" applyAlignment="1">
      <alignment horizontal="center"/>
    </xf>
    <xf numFmtId="3" fontId="39" fillId="0" borderId="7" xfId="0" applyNumberFormat="1" applyFont="1" applyBorder="1" applyAlignment="1">
      <alignment horizontal="center" vertical="center"/>
    </xf>
    <xf numFmtId="3" fontId="39" fillId="0" borderId="53" xfId="0" applyNumberFormat="1" applyFont="1" applyBorder="1" applyAlignment="1">
      <alignment horizontal="center" vertical="center"/>
    </xf>
    <xf numFmtId="3" fontId="39" fillId="0" borderId="32" xfId="0" applyNumberFormat="1" applyFont="1" applyBorder="1" applyAlignment="1">
      <alignment horizontal="center" vertical="center"/>
    </xf>
    <xf numFmtId="3" fontId="41" fillId="0" borderId="52" xfId="0" applyNumberFormat="1" applyFont="1" applyBorder="1" applyAlignment="1">
      <alignment horizontal="center" vertical="center"/>
    </xf>
    <xf numFmtId="3" fontId="41" fillId="0" borderId="7" xfId="0" applyNumberFormat="1" applyFont="1" applyBorder="1" applyAlignment="1">
      <alignment horizontal="center" vertical="center"/>
    </xf>
    <xf numFmtId="3" fontId="41" fillId="0" borderId="53" xfId="0" applyNumberFormat="1" applyFont="1" applyBorder="1" applyAlignment="1">
      <alignment horizontal="center" vertical="center"/>
    </xf>
    <xf numFmtId="3" fontId="41" fillId="0" borderId="32" xfId="0" applyNumberFormat="1" applyFont="1" applyBorder="1" applyAlignment="1">
      <alignment horizontal="center" vertical="center"/>
    </xf>
    <xf numFmtId="3" fontId="39" fillId="32" borderId="32" xfId="49" applyNumberFormat="1" applyFont="1" applyFill="1" applyBorder="1" applyAlignment="1" applyProtection="1">
      <alignment horizontal="center"/>
      <protection locked="0"/>
    </xf>
    <xf numFmtId="3" fontId="39" fillId="32" borderId="7" xfId="49" applyNumberFormat="1" applyFont="1" applyFill="1" applyBorder="1" applyAlignment="1" applyProtection="1">
      <alignment horizontal="center"/>
      <protection locked="0"/>
    </xf>
    <xf numFmtId="3" fontId="39" fillId="32" borderId="53" xfId="49" applyNumberFormat="1" applyFont="1" applyFill="1" applyBorder="1" applyAlignment="1" applyProtection="1">
      <alignment horizontal="center"/>
      <protection locked="0"/>
    </xf>
    <xf numFmtId="3" fontId="39" fillId="32" borderId="52" xfId="49" applyNumberFormat="1" applyFont="1" applyFill="1" applyBorder="1" applyAlignment="1" applyProtection="1">
      <alignment horizontal="center"/>
      <protection locked="0"/>
    </xf>
    <xf numFmtId="3" fontId="41" fillId="0" borderId="32" xfId="0" applyNumberFormat="1" applyFont="1" applyFill="1" applyBorder="1" applyAlignment="1">
      <alignment horizontal="center"/>
    </xf>
    <xf numFmtId="3" fontId="41" fillId="0" borderId="7" xfId="0" applyNumberFormat="1" applyFont="1" applyFill="1" applyBorder="1" applyAlignment="1">
      <alignment horizontal="center"/>
    </xf>
    <xf numFmtId="3" fontId="41" fillId="0" borderId="53" xfId="0" applyNumberFormat="1" applyFont="1" applyFill="1" applyBorder="1" applyAlignment="1">
      <alignment horizontal="center"/>
    </xf>
    <xf numFmtId="3" fontId="41" fillId="0" borderId="52" xfId="0" applyNumberFormat="1" applyFont="1" applyFill="1" applyBorder="1" applyAlignment="1">
      <alignment horizontal="center"/>
    </xf>
    <xf numFmtId="3" fontId="39" fillId="32" borderId="23" xfId="49" applyNumberFormat="1" applyFont="1" applyFill="1" applyBorder="1" applyAlignment="1" applyProtection="1">
      <alignment horizontal="center"/>
      <protection locked="0"/>
    </xf>
    <xf numFmtId="3" fontId="39" fillId="32" borderId="56" xfId="49" applyNumberFormat="1" applyFont="1" applyFill="1" applyBorder="1" applyAlignment="1" applyProtection="1">
      <alignment horizontal="center"/>
      <protection locked="0"/>
    </xf>
    <xf numFmtId="3" fontId="39" fillId="32" borderId="77" xfId="49" applyNumberFormat="1" applyFont="1" applyFill="1" applyBorder="1" applyAlignment="1" applyProtection="1">
      <alignment horizontal="center"/>
      <protection locked="0"/>
    </xf>
    <xf numFmtId="3" fontId="39" fillId="32" borderId="57" xfId="49" applyNumberFormat="1" applyFont="1" applyFill="1" applyBorder="1" applyAlignment="1" applyProtection="1">
      <alignment horizontal="center"/>
      <protection locked="0"/>
    </xf>
    <xf numFmtId="3" fontId="39" fillId="32" borderId="28" xfId="49" applyNumberFormat="1" applyFont="1" applyFill="1" applyBorder="1" applyAlignment="1" applyProtection="1">
      <alignment horizontal="center"/>
      <protection locked="0"/>
    </xf>
    <xf numFmtId="3" fontId="39" fillId="32" borderId="79" xfId="49" applyNumberFormat="1" applyFont="1" applyFill="1" applyBorder="1" applyAlignment="1" applyProtection="1">
      <alignment horizontal="center"/>
      <protection locked="0"/>
    </xf>
    <xf numFmtId="3" fontId="41" fillId="0" borderId="56" xfId="0" applyNumberFormat="1" applyFont="1" applyFill="1" applyBorder="1" applyAlignment="1">
      <alignment horizontal="center"/>
    </xf>
    <xf numFmtId="3" fontId="41" fillId="0" borderId="77" xfId="0" applyNumberFormat="1" applyFont="1" applyFill="1" applyBorder="1" applyAlignment="1">
      <alignment horizontal="center"/>
    </xf>
    <xf numFmtId="3" fontId="41" fillId="0" borderId="57" xfId="0" applyNumberFormat="1" applyFont="1" applyFill="1" applyBorder="1" applyAlignment="1">
      <alignment horizontal="center"/>
    </xf>
    <xf numFmtId="3" fontId="5" fillId="0" borderId="0" xfId="0" applyNumberFormat="1" applyFont="1" applyFill="1" applyBorder="1" applyAlignment="1">
      <alignment horizontal="center"/>
    </xf>
    <xf numFmtId="0" fontId="52" fillId="0" borderId="0" xfId="0" applyFont="1" applyAlignment="1">
      <alignment horizontal="center"/>
    </xf>
    <xf numFmtId="2" fontId="33" fillId="0" borderId="0" xfId="0" applyNumberFormat="1" applyFont="1" applyAlignment="1">
      <alignment horizontal="center"/>
    </xf>
    <xf numFmtId="1" fontId="33" fillId="0" borderId="0" xfId="0" applyNumberFormat="1" applyFont="1" applyFill="1" applyAlignment="1">
      <alignment horizontal="center"/>
    </xf>
    <xf numFmtId="0" fontId="21" fillId="0" borderId="0" xfId="0" applyFont="1" applyAlignment="1">
      <alignment horizontal="center"/>
    </xf>
    <xf numFmtId="0" fontId="5" fillId="0" borderId="11" xfId="0" applyFont="1" applyBorder="1" applyAlignment="1">
      <alignment horizontal="center"/>
    </xf>
    <xf numFmtId="0" fontId="5" fillId="0" borderId="41" xfId="0" applyFont="1" applyBorder="1" applyAlignment="1">
      <alignment horizontal="center"/>
    </xf>
    <xf numFmtId="0" fontId="5" fillId="0" borderId="0" xfId="0" applyFont="1" applyBorder="1" applyAlignment="1">
      <alignment horizontal="center"/>
    </xf>
    <xf numFmtId="49" fontId="5" fillId="30" borderId="0" xfId="0" applyNumberFormat="1" applyFont="1" applyFill="1" applyAlignment="1">
      <alignment horizontal="center"/>
    </xf>
    <xf numFmtId="49" fontId="14" fillId="30" borderId="0" xfId="0" applyNumberFormat="1" applyFont="1" applyFill="1" applyAlignment="1">
      <alignment horizontal="center"/>
    </xf>
    <xf numFmtId="0" fontId="37" fillId="30" borderId="0" xfId="0" applyFont="1" applyFill="1" applyAlignment="1">
      <alignment horizontal="center"/>
    </xf>
    <xf numFmtId="3" fontId="41" fillId="0" borderId="32" xfId="0" applyNumberFormat="1" applyFont="1" applyFill="1" applyBorder="1" applyAlignment="1">
      <alignment horizontal="center" vertical="center"/>
    </xf>
    <xf numFmtId="3" fontId="41" fillId="0" borderId="7" xfId="0" applyNumberFormat="1" applyFont="1" applyFill="1" applyBorder="1" applyAlignment="1">
      <alignment horizontal="center" vertical="center"/>
    </xf>
    <xf numFmtId="3" fontId="41" fillId="0" borderId="53" xfId="0" applyNumberFormat="1" applyFont="1" applyFill="1" applyBorder="1" applyAlignment="1">
      <alignment horizontal="center" vertical="center"/>
    </xf>
    <xf numFmtId="3" fontId="41" fillId="0" borderId="52" xfId="0" applyNumberFormat="1" applyFont="1" applyFill="1" applyBorder="1" applyAlignment="1">
      <alignment horizontal="center" vertical="center"/>
    </xf>
    <xf numFmtId="0" fontId="8" fillId="30" borderId="0" xfId="32" applyFont="1" applyFill="1" applyAlignment="1" applyProtection="1">
      <alignment vertical="center" wrapText="1"/>
    </xf>
    <xf numFmtId="0" fontId="13" fillId="30" borderId="0" xfId="32" applyFont="1" applyFill="1" applyAlignment="1" applyProtection="1">
      <alignment vertical="center" wrapText="1"/>
    </xf>
    <xf numFmtId="0" fontId="47" fillId="30" borderId="20" xfId="32" applyFont="1" applyFill="1" applyBorder="1" applyAlignment="1" applyProtection="1">
      <alignment vertical="center" wrapText="1"/>
    </xf>
    <xf numFmtId="3" fontId="5" fillId="3" borderId="55" xfId="32" applyNumberFormat="1" applyFont="1" applyFill="1" applyBorder="1" applyAlignment="1" applyProtection="1">
      <alignment horizontal="center" vertical="center"/>
      <protection locked="0"/>
    </xf>
    <xf numFmtId="3" fontId="5" fillId="3" borderId="69" xfId="32" applyNumberFormat="1" applyFont="1" applyFill="1" applyBorder="1" applyAlignment="1" applyProtection="1">
      <alignment horizontal="center" vertical="center"/>
      <protection locked="0"/>
    </xf>
    <xf numFmtId="3" fontId="5" fillId="3" borderId="72" xfId="0" applyNumberFormat="1" applyFont="1" applyFill="1" applyBorder="1" applyAlignment="1" applyProtection="1">
      <alignment horizontal="center" vertical="center"/>
      <protection locked="0"/>
    </xf>
    <xf numFmtId="3" fontId="5" fillId="3" borderId="73" xfId="0" applyNumberFormat="1" applyFont="1" applyFill="1" applyBorder="1" applyAlignment="1" applyProtection="1">
      <alignment horizontal="center" vertical="center"/>
      <protection locked="0"/>
    </xf>
    <xf numFmtId="3" fontId="5" fillId="3" borderId="73" xfId="0" applyNumberFormat="1" applyFont="1" applyFill="1" applyBorder="1" applyAlignment="1" applyProtection="1">
      <alignment horizontal="center" vertical="center" wrapText="1"/>
      <protection locked="0"/>
    </xf>
    <xf numFmtId="3" fontId="5" fillId="3" borderId="76" xfId="0" applyNumberFormat="1" applyFont="1" applyFill="1" applyBorder="1" applyAlignment="1" applyProtection="1">
      <alignment horizontal="center" vertical="center" wrapText="1"/>
      <protection locked="0"/>
    </xf>
    <xf numFmtId="3" fontId="5" fillId="3" borderId="32" xfId="0" applyNumberFormat="1" applyFont="1" applyFill="1" applyBorder="1" applyAlignment="1" applyProtection="1">
      <alignment horizontal="center" vertical="center"/>
      <protection locked="0"/>
    </xf>
    <xf numFmtId="3" fontId="5" fillId="3" borderId="7" xfId="0" applyNumberFormat="1" applyFont="1" applyFill="1" applyBorder="1" applyAlignment="1" applyProtection="1">
      <alignment horizontal="center" vertical="center"/>
      <protection locked="0"/>
    </xf>
    <xf numFmtId="3" fontId="5" fillId="3" borderId="7" xfId="0" applyNumberFormat="1" applyFont="1" applyFill="1" applyBorder="1" applyAlignment="1" applyProtection="1">
      <alignment horizontal="center" vertical="center" wrapText="1"/>
      <protection locked="0"/>
    </xf>
    <xf numFmtId="3" fontId="5" fillId="3" borderId="53" xfId="0" applyNumberFormat="1" applyFont="1" applyFill="1" applyBorder="1" applyAlignment="1" applyProtection="1">
      <alignment horizontal="center" vertical="center" wrapText="1"/>
      <protection locked="0"/>
    </xf>
    <xf numFmtId="3" fontId="5" fillId="3" borderId="32" xfId="0" applyNumberFormat="1" applyFont="1" applyFill="1" applyBorder="1" applyAlignment="1" applyProtection="1">
      <alignment horizontal="center" vertical="center" wrapText="1"/>
      <protection locked="0"/>
    </xf>
    <xf numFmtId="3" fontId="5" fillId="3" borderId="79" xfId="0" applyNumberFormat="1" applyFont="1" applyFill="1" applyBorder="1" applyAlignment="1" applyProtection="1">
      <alignment horizontal="center" vertical="center"/>
      <protection locked="0"/>
    </xf>
    <xf numFmtId="3" fontId="5" fillId="3" borderId="77" xfId="0" applyNumberFormat="1" applyFont="1" applyFill="1" applyBorder="1" applyAlignment="1" applyProtection="1">
      <alignment horizontal="center" vertical="center"/>
      <protection locked="0"/>
    </xf>
    <xf numFmtId="3" fontId="5" fillId="3" borderId="77" xfId="0" applyNumberFormat="1" applyFont="1" applyFill="1" applyBorder="1" applyAlignment="1" applyProtection="1">
      <alignment horizontal="center" vertical="center" wrapText="1"/>
      <protection locked="0"/>
    </xf>
    <xf numFmtId="3" fontId="5" fillId="3" borderId="57" xfId="0" applyNumberFormat="1" applyFont="1" applyFill="1" applyBorder="1" applyAlignment="1" applyProtection="1">
      <alignment horizontal="center" vertical="center" wrapText="1"/>
      <protection locked="0"/>
    </xf>
    <xf numFmtId="3" fontId="5" fillId="3" borderId="44" xfId="0" applyNumberFormat="1" applyFont="1" applyFill="1" applyBorder="1" applyAlignment="1" applyProtection="1">
      <alignment horizontal="center" vertical="center"/>
      <protection locked="0"/>
    </xf>
    <xf numFmtId="3" fontId="5" fillId="3" borderId="31" xfId="0" applyNumberFormat="1" applyFont="1" applyFill="1" applyBorder="1" applyAlignment="1" applyProtection="1">
      <alignment horizontal="center" vertical="center"/>
      <protection locked="0"/>
    </xf>
    <xf numFmtId="3" fontId="5" fillId="3" borderId="31" xfId="0" applyNumberFormat="1" applyFont="1" applyFill="1" applyBorder="1" applyAlignment="1" applyProtection="1">
      <alignment horizontal="center" vertical="center" wrapText="1"/>
      <protection locked="0"/>
    </xf>
    <xf numFmtId="3" fontId="5" fillId="3" borderId="50" xfId="0" applyNumberFormat="1" applyFont="1" applyFill="1" applyBorder="1" applyAlignment="1" applyProtection="1">
      <alignment horizontal="center" vertical="center" wrapText="1"/>
      <protection locked="0"/>
    </xf>
    <xf numFmtId="3" fontId="5" fillId="3" borderId="62" xfId="0" applyNumberFormat="1" applyFont="1" applyFill="1" applyBorder="1" applyAlignment="1" applyProtection="1">
      <alignment horizontal="center" vertical="center" wrapText="1"/>
      <protection locked="0"/>
    </xf>
    <xf numFmtId="3" fontId="5" fillId="3" borderId="15" xfId="0" applyNumberFormat="1" applyFont="1" applyFill="1" applyBorder="1" applyAlignment="1" applyProtection="1">
      <alignment horizontal="center" vertical="center" wrapText="1"/>
      <protection locked="0"/>
    </xf>
    <xf numFmtId="3" fontId="5" fillId="3" borderId="72" xfId="0" applyNumberFormat="1" applyFont="1" applyFill="1" applyBorder="1" applyAlignment="1" applyProtection="1">
      <alignment horizontal="center" vertical="center" wrapText="1"/>
      <protection locked="0"/>
    </xf>
    <xf numFmtId="3" fontId="5" fillId="3" borderId="79" xfId="0" applyNumberFormat="1" applyFont="1" applyFill="1" applyBorder="1" applyAlignment="1" applyProtection="1">
      <alignment horizontal="center" vertical="center" wrapText="1"/>
      <protection locked="0"/>
    </xf>
    <xf numFmtId="172" fontId="5" fillId="3" borderId="32" xfId="0" applyNumberFormat="1" applyFont="1" applyFill="1" applyBorder="1" applyAlignment="1" applyProtection="1">
      <alignment horizontal="center" vertical="center" wrapText="1"/>
      <protection locked="0"/>
    </xf>
    <xf numFmtId="172" fontId="5" fillId="3" borderId="7" xfId="0" applyNumberFormat="1" applyFont="1" applyFill="1" applyBorder="1" applyAlignment="1" applyProtection="1">
      <alignment horizontal="center" vertical="center" wrapText="1"/>
      <protection locked="0"/>
    </xf>
    <xf numFmtId="172" fontId="5" fillId="3" borderId="53" xfId="0" applyNumberFormat="1" applyFont="1" applyFill="1" applyBorder="1" applyAlignment="1" applyProtection="1">
      <alignment horizontal="center" vertical="center" wrapText="1"/>
      <protection locked="0"/>
    </xf>
    <xf numFmtId="3" fontId="5" fillId="3" borderId="44" xfId="0" applyNumberFormat="1" applyFont="1" applyFill="1" applyBorder="1" applyAlignment="1" applyProtection="1">
      <alignment horizontal="center" vertical="center" wrapText="1"/>
      <protection locked="0"/>
    </xf>
    <xf numFmtId="10" fontId="5" fillId="22" borderId="12" xfId="1" applyNumberFormat="1" applyFont="1" applyFill="1" applyBorder="1" applyAlignment="1">
      <alignment horizontal="center" vertical="center"/>
    </xf>
    <xf numFmtId="10" fontId="5" fillId="22" borderId="107" xfId="1" applyNumberFormat="1" applyFont="1" applyFill="1" applyBorder="1" applyAlignment="1">
      <alignment horizontal="center" vertical="center"/>
    </xf>
    <xf numFmtId="2" fontId="5" fillId="22" borderId="12" xfId="1" applyNumberFormat="1" applyFont="1" applyFill="1" applyBorder="1" applyAlignment="1">
      <alignment horizontal="center" vertical="center"/>
    </xf>
    <xf numFmtId="2" fontId="5" fillId="22" borderId="107" xfId="1" applyNumberFormat="1" applyFont="1" applyFill="1" applyBorder="1" applyAlignment="1">
      <alignment horizontal="center" vertical="center"/>
    </xf>
    <xf numFmtId="2" fontId="5" fillId="22" borderId="83" xfId="1" applyNumberFormat="1" applyFont="1" applyFill="1" applyBorder="1" applyAlignment="1">
      <alignment horizontal="center" vertical="center"/>
    </xf>
    <xf numFmtId="2" fontId="5" fillId="22" borderId="108" xfId="1" applyNumberFormat="1" applyFont="1" applyFill="1" applyBorder="1" applyAlignment="1">
      <alignment horizontal="center" vertical="center"/>
    </xf>
    <xf numFmtId="10" fontId="5" fillId="22" borderId="83" xfId="1" applyNumberFormat="1" applyFont="1" applyFill="1" applyBorder="1" applyAlignment="1">
      <alignment horizontal="center" vertical="center"/>
    </xf>
    <xf numFmtId="10" fontId="5" fillId="22" borderId="108" xfId="1" applyNumberFormat="1" applyFont="1" applyFill="1" applyBorder="1" applyAlignment="1">
      <alignment horizontal="center" vertical="center"/>
    </xf>
    <xf numFmtId="4" fontId="5" fillId="22" borderId="83" xfId="1" applyNumberFormat="1" applyFont="1" applyFill="1" applyBorder="1" applyAlignment="1">
      <alignment horizontal="center" vertical="center"/>
    </xf>
    <xf numFmtId="4" fontId="5" fillId="22" borderId="108" xfId="1" applyNumberFormat="1" applyFont="1" applyFill="1" applyBorder="1" applyAlignment="1">
      <alignment horizontal="center" vertical="center"/>
    </xf>
    <xf numFmtId="4" fontId="5" fillId="22" borderId="12" xfId="1" applyNumberFormat="1" applyFont="1" applyFill="1" applyBorder="1" applyAlignment="1">
      <alignment horizontal="center" vertical="center"/>
    </xf>
    <xf numFmtId="4" fontId="5" fillId="22" borderId="107" xfId="1" applyNumberFormat="1" applyFont="1" applyFill="1" applyBorder="1" applyAlignment="1">
      <alignment horizontal="center" vertical="center"/>
    </xf>
    <xf numFmtId="169" fontId="5" fillId="22" borderId="12" xfId="1" applyNumberFormat="1" applyFont="1" applyFill="1" applyBorder="1" applyAlignment="1">
      <alignment horizontal="center" vertical="center"/>
    </xf>
    <xf numFmtId="169" fontId="5" fillId="22" borderId="107" xfId="1" applyNumberFormat="1" applyFont="1" applyFill="1" applyBorder="1" applyAlignment="1">
      <alignment horizontal="center" vertical="center"/>
    </xf>
    <xf numFmtId="2" fontId="5" fillId="22" borderId="84" xfId="1" applyNumberFormat="1" applyFont="1" applyFill="1" applyBorder="1" applyAlignment="1">
      <alignment horizontal="center" vertical="center"/>
    </xf>
    <xf numFmtId="2" fontId="5" fillId="22" borderId="109" xfId="1" applyNumberFormat="1" applyFont="1" applyFill="1" applyBorder="1" applyAlignment="1">
      <alignment horizontal="center" vertical="center"/>
    </xf>
    <xf numFmtId="3" fontId="62" fillId="26" borderId="44" xfId="52" applyNumberFormat="1" applyFont="1" applyFill="1" applyBorder="1" applyAlignment="1" applyProtection="1">
      <alignment horizontal="center" vertical="center" wrapText="1"/>
    </xf>
    <xf numFmtId="3" fontId="62" fillId="26" borderId="31" xfId="52" applyNumberFormat="1" applyFont="1" applyFill="1" applyBorder="1" applyAlignment="1" applyProtection="1">
      <alignment horizontal="center" vertical="center" wrapText="1"/>
    </xf>
    <xf numFmtId="3" fontId="62" fillId="26" borderId="50" xfId="52" applyNumberFormat="1" applyFont="1" applyFill="1" applyBorder="1" applyAlignment="1" applyProtection="1">
      <alignment horizontal="center" vertical="center" wrapText="1"/>
    </xf>
    <xf numFmtId="172" fontId="62" fillId="26" borderId="69" xfId="52" applyNumberFormat="1" applyFont="1" applyFill="1" applyBorder="1" applyAlignment="1" applyProtection="1">
      <alignment horizontal="center" vertical="center" wrapText="1"/>
    </xf>
    <xf numFmtId="172" fontId="62" fillId="26" borderId="63" xfId="52" applyNumberFormat="1" applyFont="1" applyFill="1" applyBorder="1" applyAlignment="1" applyProtection="1">
      <alignment horizontal="center" vertical="center" wrapText="1"/>
    </xf>
    <xf numFmtId="172" fontId="62" fillId="26" borderId="55" xfId="52" applyNumberFormat="1" applyFont="1" applyFill="1" applyBorder="1" applyAlignment="1" applyProtection="1">
      <alignment horizontal="center" vertical="center" wrapText="1"/>
    </xf>
    <xf numFmtId="3" fontId="62" fillId="34" borderId="72" xfId="52" applyNumberFormat="1" applyFont="1" applyFill="1" applyBorder="1" applyAlignment="1" applyProtection="1">
      <alignment horizontal="center" vertical="center"/>
    </xf>
    <xf numFmtId="3" fontId="62" fillId="34" borderId="14" xfId="52" applyNumberFormat="1" applyFont="1" applyFill="1" applyBorder="1" applyAlignment="1" applyProtection="1">
      <alignment horizontal="center" vertical="center"/>
    </xf>
    <xf numFmtId="3" fontId="53" fillId="3" borderId="32" xfId="52" applyNumberFormat="1" applyFont="1" applyFill="1" applyBorder="1" applyAlignment="1" applyProtection="1">
      <alignment horizontal="center" vertical="center"/>
      <protection locked="0"/>
    </xf>
    <xf numFmtId="3" fontId="53" fillId="3" borderId="15" xfId="52" applyNumberFormat="1" applyFont="1" applyFill="1" applyBorder="1" applyAlignment="1" applyProtection="1">
      <alignment horizontal="center" vertical="center"/>
      <protection locked="0"/>
    </xf>
    <xf numFmtId="3" fontId="53" fillId="3" borderId="7" xfId="52" applyNumberFormat="1" applyFont="1" applyFill="1" applyBorder="1" applyAlignment="1" applyProtection="1">
      <alignment horizontal="center" vertical="center"/>
      <protection locked="0"/>
    </xf>
    <xf numFmtId="3" fontId="53" fillId="3" borderId="53" xfId="52" applyNumberFormat="1" applyFont="1" applyFill="1" applyBorder="1" applyAlignment="1" applyProtection="1">
      <alignment horizontal="center" vertical="center"/>
      <protection locked="0"/>
    </xf>
    <xf numFmtId="3" fontId="53" fillId="3" borderId="79" xfId="52" applyNumberFormat="1" applyFont="1" applyFill="1" applyBorder="1" applyAlignment="1" applyProtection="1">
      <alignment horizontal="center" vertical="center"/>
      <protection locked="0"/>
    </xf>
    <xf numFmtId="3" fontId="53" fillId="3" borderId="77" xfId="52" applyNumberFormat="1" applyFont="1" applyFill="1" applyBorder="1" applyAlignment="1" applyProtection="1">
      <alignment horizontal="center" vertical="center"/>
      <protection locked="0"/>
    </xf>
    <xf numFmtId="3" fontId="53" fillId="3" borderId="57" xfId="52" applyNumberFormat="1" applyFont="1" applyFill="1" applyBorder="1" applyAlignment="1" applyProtection="1">
      <alignment horizontal="center" vertical="center"/>
      <protection locked="0"/>
    </xf>
    <xf numFmtId="3" fontId="62" fillId="34" borderId="44" xfId="52" applyNumberFormat="1" applyFont="1" applyFill="1" applyBorder="1" applyAlignment="1" applyProtection="1">
      <alignment horizontal="center" vertical="center"/>
    </xf>
    <xf numFmtId="3" fontId="62" fillId="34" borderId="31" xfId="52" applyNumberFormat="1" applyFont="1" applyFill="1" applyBorder="1" applyAlignment="1" applyProtection="1">
      <alignment horizontal="center" vertical="center"/>
    </xf>
    <xf numFmtId="3" fontId="62" fillId="34" borderId="50" xfId="52" applyNumberFormat="1" applyFont="1" applyFill="1" applyBorder="1" applyAlignment="1" applyProtection="1">
      <alignment horizontal="center" vertical="center"/>
    </xf>
    <xf numFmtId="172" fontId="62" fillId="34" borderId="69" xfId="52" applyNumberFormat="1" applyFont="1" applyFill="1" applyBorder="1" applyAlignment="1" applyProtection="1">
      <alignment horizontal="center" vertical="center"/>
    </xf>
    <xf numFmtId="172" fontId="62" fillId="34" borderId="63" xfId="52" applyNumberFormat="1" applyFont="1" applyFill="1" applyBorder="1" applyAlignment="1" applyProtection="1">
      <alignment horizontal="center" vertical="center"/>
    </xf>
    <xf numFmtId="172" fontId="62" fillId="34" borderId="55" xfId="52" applyNumberFormat="1" applyFont="1" applyFill="1" applyBorder="1" applyAlignment="1" applyProtection="1">
      <alignment horizontal="center" vertical="center"/>
    </xf>
    <xf numFmtId="3" fontId="62" fillId="30" borderId="72" xfId="52" applyNumberFormat="1" applyFont="1" applyFill="1" applyBorder="1" applyAlignment="1" applyProtection="1">
      <alignment horizontal="center" vertical="center"/>
    </xf>
    <xf numFmtId="3" fontId="62" fillId="30" borderId="73" xfId="52" applyNumberFormat="1" applyFont="1" applyFill="1" applyBorder="1" applyAlignment="1" applyProtection="1">
      <alignment horizontal="center" vertical="center"/>
    </xf>
    <xf numFmtId="3" fontId="62" fillId="30" borderId="76" xfId="52" applyNumberFormat="1" applyFont="1" applyFill="1" applyBorder="1" applyAlignment="1" applyProtection="1">
      <alignment horizontal="center" vertical="center"/>
    </xf>
    <xf numFmtId="172" fontId="62" fillId="30" borderId="32" xfId="52" applyNumberFormat="1" applyFont="1" applyFill="1" applyBorder="1" applyAlignment="1" applyProtection="1">
      <alignment horizontal="center" vertical="center"/>
    </xf>
    <xf numFmtId="172" fontId="62" fillId="30" borderId="7" xfId="52" applyNumberFormat="1" applyFont="1" applyFill="1" applyBorder="1" applyAlignment="1" applyProtection="1">
      <alignment horizontal="center" vertical="center"/>
    </xf>
    <xf numFmtId="172" fontId="62" fillId="30" borderId="53" xfId="52" applyNumberFormat="1" applyFont="1" applyFill="1" applyBorder="1" applyAlignment="1" applyProtection="1">
      <alignment horizontal="center" vertical="center"/>
    </xf>
    <xf numFmtId="3" fontId="62" fillId="30" borderId="32" xfId="52" applyNumberFormat="1" applyFont="1" applyFill="1" applyBorder="1" applyAlignment="1" applyProtection="1">
      <alignment horizontal="center" vertical="center"/>
    </xf>
    <xf numFmtId="3" fontId="62" fillId="30" borderId="7" xfId="52" applyNumberFormat="1" applyFont="1" applyFill="1" applyBorder="1" applyAlignment="1" applyProtection="1">
      <alignment horizontal="center" vertical="center"/>
    </xf>
    <xf numFmtId="3" fontId="62" fillId="30" borderId="53" xfId="52" applyNumberFormat="1" applyFont="1" applyFill="1" applyBorder="1" applyAlignment="1" applyProtection="1">
      <alignment horizontal="center" vertical="center"/>
    </xf>
    <xf numFmtId="3" fontId="62" fillId="30" borderId="44" xfId="52" applyNumberFormat="1" applyFont="1" applyFill="1" applyBorder="1" applyAlignment="1" applyProtection="1">
      <alignment horizontal="center" vertical="center"/>
    </xf>
    <xf numFmtId="3" fontId="62" fillId="30" borderId="31" xfId="52" applyNumberFormat="1" applyFont="1" applyFill="1" applyBorder="1" applyAlignment="1" applyProtection="1">
      <alignment horizontal="center" vertical="center"/>
    </xf>
    <xf numFmtId="3" fontId="62" fillId="30" borderId="50" xfId="52" applyNumberFormat="1" applyFont="1" applyFill="1" applyBorder="1" applyAlignment="1" applyProtection="1">
      <alignment horizontal="center" vertical="center"/>
    </xf>
    <xf numFmtId="10" fontId="62" fillId="30" borderId="32" xfId="52" applyNumberFormat="1" applyFont="1" applyFill="1" applyBorder="1" applyAlignment="1" applyProtection="1">
      <alignment horizontal="center" vertical="center"/>
    </xf>
    <xf numFmtId="10" fontId="62" fillId="30" borderId="7" xfId="52" applyNumberFormat="1" applyFont="1" applyFill="1" applyBorder="1" applyAlignment="1" applyProtection="1">
      <alignment horizontal="center" vertical="center"/>
    </xf>
    <xf numFmtId="10" fontId="62" fillId="30" borderId="53" xfId="52" applyNumberFormat="1" applyFont="1" applyFill="1" applyBorder="1" applyAlignment="1" applyProtection="1">
      <alignment horizontal="center" vertical="center"/>
    </xf>
    <xf numFmtId="3" fontId="53" fillId="3" borderId="19" xfId="52" applyNumberFormat="1" applyFont="1" applyFill="1" applyBorder="1" applyAlignment="1" applyProtection="1">
      <alignment horizontal="center" vertical="center"/>
      <protection locked="0"/>
    </xf>
    <xf numFmtId="3" fontId="62" fillId="34" borderId="73" xfId="52" applyNumberFormat="1" applyFont="1" applyFill="1" applyBorder="1" applyAlignment="1" applyProtection="1">
      <alignment horizontal="center" vertical="center"/>
    </xf>
    <xf numFmtId="3" fontId="62" fillId="34" borderId="76" xfId="52" applyNumberFormat="1" applyFont="1" applyFill="1" applyBorder="1" applyAlignment="1" applyProtection="1">
      <alignment horizontal="center" vertical="center"/>
    </xf>
    <xf numFmtId="172" fontId="62" fillId="34" borderId="32" xfId="52" applyNumberFormat="1" applyFont="1" applyFill="1" applyBorder="1" applyAlignment="1" applyProtection="1">
      <alignment horizontal="center" vertical="center"/>
    </xf>
    <xf numFmtId="172" fontId="62" fillId="34" borderId="7" xfId="52" applyNumberFormat="1" applyFont="1" applyFill="1" applyBorder="1" applyAlignment="1" applyProtection="1">
      <alignment horizontal="center" vertical="center"/>
    </xf>
    <xf numFmtId="172" fontId="62" fillId="34" borderId="53" xfId="52" applyNumberFormat="1" applyFont="1" applyFill="1" applyBorder="1" applyAlignment="1" applyProtection="1">
      <alignment horizontal="center" vertical="center"/>
    </xf>
    <xf numFmtId="4" fontId="62" fillId="34" borderId="69" xfId="52" applyNumberFormat="1" applyFont="1" applyFill="1" applyBorder="1" applyAlignment="1" applyProtection="1">
      <alignment horizontal="center" vertical="center"/>
    </xf>
    <xf numFmtId="4" fontId="62" fillId="34" borderId="63" xfId="52" applyNumberFormat="1" applyFont="1" applyFill="1" applyBorder="1" applyAlignment="1" applyProtection="1">
      <alignment horizontal="center" vertical="center"/>
    </xf>
    <xf numFmtId="4" fontId="62" fillId="34" borderId="55" xfId="52" applyNumberFormat="1" applyFont="1" applyFill="1" applyBorder="1" applyAlignment="1" applyProtection="1">
      <alignment horizontal="center" vertical="center"/>
    </xf>
    <xf numFmtId="3" fontId="62" fillId="29" borderId="72" xfId="52" applyNumberFormat="1" applyFont="1" applyFill="1" applyBorder="1" applyAlignment="1" applyProtection="1">
      <alignment horizontal="center" vertical="center"/>
    </xf>
    <xf numFmtId="3" fontId="62" fillId="29" borderId="73" xfId="52" applyNumberFormat="1" applyFont="1" applyFill="1" applyBorder="1" applyAlignment="1" applyProtection="1">
      <alignment horizontal="center" vertical="center"/>
    </xf>
    <xf numFmtId="3" fontId="62" fillId="29" borderId="76" xfId="52" applyNumberFormat="1" applyFont="1" applyFill="1" applyBorder="1" applyAlignment="1" applyProtection="1">
      <alignment horizontal="center" vertical="center"/>
    </xf>
    <xf numFmtId="172" fontId="62" fillId="29" borderId="32" xfId="52" applyNumberFormat="1" applyFont="1" applyFill="1" applyBorder="1" applyAlignment="1" applyProtection="1">
      <alignment horizontal="center" vertical="center"/>
    </xf>
    <xf numFmtId="172" fontId="62" fillId="29" borderId="7" xfId="52" applyNumberFormat="1" applyFont="1" applyFill="1" applyBorder="1" applyAlignment="1" applyProtection="1">
      <alignment horizontal="center" vertical="center"/>
    </xf>
    <xf numFmtId="172" fontId="62" fillId="29" borderId="53" xfId="52" applyNumberFormat="1" applyFont="1" applyFill="1" applyBorder="1" applyAlignment="1" applyProtection="1">
      <alignment horizontal="center" vertical="center"/>
    </xf>
    <xf numFmtId="4" fontId="62" fillId="34" borderId="32" xfId="52" applyNumberFormat="1" applyFont="1" applyFill="1" applyBorder="1" applyAlignment="1" applyProtection="1">
      <alignment horizontal="center" vertical="center"/>
    </xf>
    <xf numFmtId="4" fontId="62" fillId="34" borderId="7" xfId="52" applyNumberFormat="1" applyFont="1" applyFill="1" applyBorder="1" applyAlignment="1" applyProtection="1">
      <alignment horizontal="center" vertical="center"/>
    </xf>
    <xf numFmtId="4" fontId="62" fillId="34" borderId="53" xfId="52" applyNumberFormat="1" applyFont="1" applyFill="1" applyBorder="1" applyAlignment="1" applyProtection="1">
      <alignment horizontal="center" vertical="center"/>
    </xf>
    <xf numFmtId="3" fontId="110" fillId="34" borderId="79" xfId="52" applyNumberFormat="1" applyFont="1" applyFill="1" applyBorder="1" applyAlignment="1" applyProtection="1">
      <alignment horizontal="center" vertical="center"/>
    </xf>
    <xf numFmtId="3" fontId="110" fillId="34" borderId="77" xfId="52" applyNumberFormat="1" applyFont="1" applyFill="1" applyBorder="1" applyAlignment="1" applyProtection="1">
      <alignment horizontal="center" vertical="center"/>
    </xf>
    <xf numFmtId="3" fontId="110" fillId="34" borderId="57" xfId="52" applyNumberFormat="1" applyFont="1" applyFill="1" applyBorder="1" applyAlignment="1" applyProtection="1">
      <alignment horizontal="center" vertical="center"/>
    </xf>
    <xf numFmtId="1" fontId="85" fillId="25" borderId="8" xfId="52" applyNumberFormat="1" applyFont="1" applyFill="1" applyBorder="1" applyAlignment="1">
      <alignment horizontal="center" vertical="center"/>
    </xf>
    <xf numFmtId="1" fontId="85" fillId="25" borderId="3" xfId="52" applyNumberFormat="1" applyFont="1" applyFill="1" applyBorder="1" applyAlignment="1">
      <alignment horizontal="center" vertical="center"/>
    </xf>
    <xf numFmtId="3" fontId="62" fillId="30" borderId="32" xfId="52" applyNumberFormat="1" applyFont="1" applyFill="1" applyBorder="1" applyAlignment="1">
      <alignment horizontal="center" vertical="center"/>
    </xf>
    <xf numFmtId="3" fontId="62" fillId="30" borderId="7" xfId="52" applyNumberFormat="1" applyFont="1" applyFill="1" applyBorder="1" applyAlignment="1">
      <alignment horizontal="center" vertical="center"/>
    </xf>
    <xf numFmtId="3" fontId="62" fillId="30" borderId="53" xfId="52" applyNumberFormat="1" applyFont="1" applyFill="1" applyBorder="1" applyAlignment="1">
      <alignment horizontal="center" vertical="center"/>
    </xf>
    <xf numFmtId="3" fontId="35" fillId="32" borderId="52" xfId="49" applyNumberFormat="1" applyFont="1" applyFill="1" applyBorder="1" applyAlignment="1" applyProtection="1">
      <alignment horizontal="center" vertical="center"/>
      <protection locked="0"/>
    </xf>
    <xf numFmtId="3" fontId="35" fillId="32" borderId="7" xfId="49" applyNumberFormat="1" applyFont="1" applyFill="1" applyBorder="1" applyAlignment="1" applyProtection="1">
      <alignment horizontal="center" vertical="center"/>
      <protection locked="0"/>
    </xf>
    <xf numFmtId="3" fontId="35" fillId="32" borderId="53" xfId="49" applyNumberFormat="1" applyFont="1" applyFill="1" applyBorder="1" applyAlignment="1" applyProtection="1">
      <alignment horizontal="center" vertical="center"/>
      <protection locked="0"/>
    </xf>
    <xf numFmtId="3" fontId="35" fillId="32" borderId="77" xfId="49" applyNumberFormat="1" applyFont="1" applyFill="1" applyBorder="1" applyAlignment="1" applyProtection="1">
      <alignment horizontal="center" vertical="center"/>
      <protection locked="0"/>
    </xf>
    <xf numFmtId="3" fontId="35" fillId="32" borderId="57" xfId="49" applyNumberFormat="1" applyFont="1" applyFill="1" applyBorder="1" applyAlignment="1" applyProtection="1">
      <alignment horizontal="center" vertical="center"/>
      <protection locked="0"/>
    </xf>
    <xf numFmtId="3" fontId="53" fillId="25" borderId="8" xfId="52" applyNumberFormat="1" applyFont="1" applyFill="1" applyBorder="1" applyAlignment="1">
      <alignment horizontal="center" vertical="center"/>
    </xf>
    <xf numFmtId="3" fontId="53" fillId="25" borderId="3" xfId="52" applyNumberFormat="1" applyFont="1" applyFill="1" applyBorder="1" applyAlignment="1">
      <alignment horizontal="center" vertical="center"/>
    </xf>
    <xf numFmtId="9" fontId="35" fillId="3" borderId="24" xfId="32" applyNumberFormat="1" applyFont="1" applyFill="1" applyBorder="1" applyAlignment="1" applyProtection="1">
      <alignment horizontal="center" vertical="center"/>
      <protection locked="0"/>
    </xf>
    <xf numFmtId="9" fontId="35" fillId="3" borderId="17" xfId="32" applyNumberFormat="1" applyFont="1" applyFill="1" applyBorder="1" applyAlignment="1" applyProtection="1">
      <alignment horizontal="center" vertical="center"/>
      <protection locked="0"/>
    </xf>
    <xf numFmtId="3" fontId="35" fillId="31" borderId="24" xfId="32" applyNumberFormat="1" applyFont="1" applyFill="1" applyBorder="1" applyAlignment="1" applyProtection="1">
      <alignment horizontal="center" vertical="center"/>
      <protection locked="0"/>
    </xf>
    <xf numFmtId="14" fontId="35" fillId="30" borderId="0" xfId="32" applyNumberFormat="1" applyFont="1" applyFill="1" applyBorder="1" applyAlignment="1">
      <alignment wrapText="1"/>
    </xf>
    <xf numFmtId="0" fontId="14" fillId="30" borderId="0" xfId="32" applyFont="1" applyFill="1" applyBorder="1" applyAlignment="1"/>
    <xf numFmtId="0" fontId="37" fillId="30" borderId="0" xfId="32" applyFont="1" applyFill="1" applyBorder="1" applyAlignment="1">
      <alignment horizontal="center" wrapText="1"/>
    </xf>
    <xf numFmtId="0" fontId="37" fillId="29" borderId="0" xfId="0" applyFont="1" applyFill="1" applyAlignment="1">
      <alignment horizontal="center"/>
    </xf>
    <xf numFmtId="0" fontId="14" fillId="29" borderId="0" xfId="0" applyFont="1" applyFill="1"/>
    <xf numFmtId="9" fontId="14" fillId="24" borderId="50" xfId="0" applyNumberFormat="1" applyFont="1" applyFill="1" applyBorder="1" applyAlignment="1">
      <alignment horizontal="center" vertical="center"/>
    </xf>
    <xf numFmtId="9" fontId="14" fillId="24" borderId="53" xfId="0" applyNumberFormat="1" applyFont="1" applyFill="1" applyBorder="1" applyAlignment="1">
      <alignment horizontal="center" vertical="center"/>
    </xf>
    <xf numFmtId="0" fontId="14" fillId="24" borderId="53" xfId="0" applyFont="1" applyFill="1" applyBorder="1" applyAlignment="1">
      <alignment horizontal="center" vertical="center"/>
    </xf>
    <xf numFmtId="10" fontId="14" fillId="24" borderId="53" xfId="0" applyNumberFormat="1" applyFont="1" applyFill="1" applyBorder="1" applyAlignment="1">
      <alignment horizontal="center" vertical="center"/>
    </xf>
    <xf numFmtId="0" fontId="14" fillId="24" borderId="57" xfId="0" applyFont="1" applyFill="1" applyBorder="1" applyAlignment="1">
      <alignment horizontal="center" vertical="center"/>
    </xf>
    <xf numFmtId="0" fontId="8" fillId="30" borderId="0" xfId="49" applyFont="1" applyFill="1" applyAlignment="1">
      <alignment wrapText="1"/>
    </xf>
    <xf numFmtId="0" fontId="13" fillId="30" borderId="0" xfId="49" applyFont="1" applyFill="1" applyBorder="1" applyAlignment="1">
      <alignment vertical="center"/>
    </xf>
    <xf numFmtId="0" fontId="8" fillId="30" borderId="0" xfId="49" applyFont="1" applyFill="1" applyAlignment="1" applyProtection="1">
      <alignment wrapText="1"/>
    </xf>
    <xf numFmtId="0" fontId="13" fillId="30" borderId="0" xfId="49" applyFont="1" applyFill="1" applyBorder="1" applyAlignment="1"/>
    <xf numFmtId="0" fontId="14" fillId="35" borderId="1" xfId="49" applyFont="1" applyFill="1" applyBorder="1" applyAlignment="1">
      <alignment vertical="center" wrapText="1"/>
    </xf>
    <xf numFmtId="0" fontId="14" fillId="35" borderId="8" xfId="49" applyFont="1" applyFill="1" applyBorder="1" applyAlignment="1">
      <alignment vertical="center" wrapText="1"/>
    </xf>
    <xf numFmtId="0" fontId="14" fillId="35" borderId="3" xfId="49" applyFont="1" applyFill="1" applyBorder="1" applyAlignment="1">
      <alignment vertical="center" wrapText="1"/>
    </xf>
    <xf numFmtId="1" fontId="14" fillId="42" borderId="60" xfId="21" applyFont="1" applyFill="1" applyBorder="1">
      <alignment horizontal="center" vertical="center" wrapText="1"/>
    </xf>
    <xf numFmtId="3" fontId="14" fillId="30" borderId="74" xfId="49" applyNumberFormat="1" applyFont="1" applyFill="1" applyBorder="1" applyAlignment="1">
      <alignment horizontal="center" vertical="center" wrapText="1"/>
    </xf>
    <xf numFmtId="3" fontId="14" fillId="30" borderId="62" xfId="49" applyNumberFormat="1" applyFont="1" applyFill="1" applyBorder="1" applyAlignment="1">
      <alignment horizontal="center" vertical="center"/>
    </xf>
    <xf numFmtId="3" fontId="5" fillId="36" borderId="62" xfId="49" applyNumberFormat="1" applyFont="1" applyFill="1" applyBorder="1" applyAlignment="1">
      <alignment horizontal="center" vertical="center"/>
    </xf>
    <xf numFmtId="3" fontId="14" fillId="21" borderId="62" xfId="49" applyNumberFormat="1" applyFont="1" applyFill="1" applyBorder="1" applyAlignment="1">
      <alignment horizontal="center" vertical="center"/>
    </xf>
    <xf numFmtId="3" fontId="14" fillId="34" borderId="60" xfId="49" applyNumberFormat="1" applyFont="1" applyFill="1" applyBorder="1" applyAlignment="1">
      <alignment horizontal="center" wrapText="1"/>
    </xf>
    <xf numFmtId="3" fontId="14" fillId="36" borderId="62" xfId="49" applyNumberFormat="1" applyFont="1" applyFill="1" applyBorder="1" applyAlignment="1">
      <alignment horizontal="center" vertical="center"/>
    </xf>
    <xf numFmtId="3" fontId="14" fillId="30" borderId="62" xfId="49" applyNumberFormat="1" applyFont="1" applyFill="1" applyBorder="1" applyAlignment="1">
      <alignment horizontal="center" vertical="center" wrapText="1"/>
    </xf>
    <xf numFmtId="3" fontId="14" fillId="30" borderId="78" xfId="49" applyNumberFormat="1" applyFont="1" applyFill="1" applyBorder="1" applyAlignment="1">
      <alignment horizontal="center" vertical="center" wrapText="1"/>
    </xf>
    <xf numFmtId="3" fontId="34" fillId="34" borderId="1" xfId="49" applyNumberFormat="1" applyFont="1" applyFill="1" applyBorder="1" applyAlignment="1">
      <alignment horizontal="center" wrapText="1"/>
    </xf>
    <xf numFmtId="170" fontId="34" fillId="40" borderId="43" xfId="49" applyNumberFormat="1" applyFont="1" applyFill="1" applyBorder="1" applyAlignment="1" applyProtection="1">
      <alignment horizontal="center" wrapText="1"/>
    </xf>
    <xf numFmtId="167" fontId="34" fillId="26" borderId="3" xfId="49" applyNumberFormat="1" applyFont="1" applyFill="1" applyBorder="1" applyAlignment="1" applyProtection="1">
      <alignment horizontal="center" vertical="center" wrapText="1"/>
    </xf>
    <xf numFmtId="0" fontId="35" fillId="0" borderId="53" xfId="31" applyFont="1" applyFill="1" applyBorder="1" applyAlignment="1" applyProtection="1">
      <alignment vertical="center" wrapText="1"/>
    </xf>
    <xf numFmtId="0" fontId="34" fillId="0" borderId="1" xfId="31" applyFont="1" applyFill="1" applyBorder="1" applyAlignment="1" applyProtection="1">
      <alignment horizontal="center" vertical="center" wrapText="1"/>
    </xf>
    <xf numFmtId="0" fontId="34" fillId="0" borderId="3" xfId="31" applyFont="1" applyFill="1" applyBorder="1" applyAlignment="1" applyProtection="1">
      <alignment horizontal="center" vertical="center" wrapText="1"/>
    </xf>
    <xf numFmtId="173" fontId="34" fillId="40" borderId="56" xfId="31" applyNumberFormat="1" applyFont="1" applyFill="1" applyBorder="1" applyAlignment="1">
      <alignment horizontal="center" vertical="center"/>
    </xf>
    <xf numFmtId="173" fontId="34" fillId="40" borderId="77" xfId="31" applyNumberFormat="1" applyFont="1" applyFill="1" applyBorder="1" applyAlignment="1">
      <alignment horizontal="center" vertical="center"/>
    </xf>
    <xf numFmtId="173" fontId="34" fillId="40" borderId="57" xfId="31" applyNumberFormat="1" applyFont="1" applyFill="1" applyBorder="1" applyAlignment="1">
      <alignment horizontal="center" vertical="center"/>
    </xf>
    <xf numFmtId="173" fontId="34" fillId="40" borderId="79" xfId="31" applyNumberFormat="1" applyFont="1" applyFill="1" applyBorder="1" applyAlignment="1">
      <alignment horizontal="center" vertical="center"/>
    </xf>
    <xf numFmtId="173" fontId="34" fillId="40" borderId="69" xfId="31" applyNumberFormat="1" applyFont="1" applyFill="1" applyBorder="1" applyAlignment="1">
      <alignment horizontal="center" vertical="center"/>
    </xf>
    <xf numFmtId="173" fontId="34" fillId="40" borderId="63" xfId="31" applyNumberFormat="1" applyFont="1" applyFill="1" applyBorder="1" applyAlignment="1">
      <alignment horizontal="center" vertical="center"/>
    </xf>
    <xf numFmtId="173" fontId="34" fillId="40" borderId="55" xfId="31" applyNumberFormat="1" applyFont="1" applyFill="1" applyBorder="1" applyAlignment="1">
      <alignment horizontal="center" vertical="center"/>
    </xf>
    <xf numFmtId="3" fontId="35" fillId="30" borderId="72" xfId="49" applyNumberFormat="1" applyFont="1" applyFill="1" applyBorder="1" applyAlignment="1">
      <alignment horizontal="center" vertical="center" wrapText="1"/>
    </xf>
    <xf numFmtId="3" fontId="35" fillId="30" borderId="51" xfId="49" applyNumberFormat="1" applyFont="1" applyFill="1" applyBorder="1" applyAlignment="1">
      <alignment horizontal="center" vertical="center" wrapText="1"/>
    </xf>
    <xf numFmtId="3" fontId="35" fillId="30" borderId="17" xfId="49" applyNumberFormat="1" applyFont="1" applyFill="1" applyBorder="1" applyAlignment="1">
      <alignment horizontal="center" vertical="center" wrapText="1"/>
    </xf>
    <xf numFmtId="3" fontId="34" fillId="30" borderId="5" xfId="49" applyNumberFormat="1" applyFont="1" applyFill="1" applyBorder="1" applyAlignment="1">
      <alignment horizontal="center" vertical="center" wrapText="1"/>
    </xf>
    <xf numFmtId="3" fontId="35" fillId="30" borderId="21" xfId="49" applyNumberFormat="1" applyFont="1" applyFill="1" applyBorder="1" applyAlignment="1">
      <alignment horizontal="center" vertical="center" wrapText="1"/>
    </xf>
    <xf numFmtId="3" fontId="35" fillId="30" borderId="74" xfId="49" applyNumberFormat="1" applyFont="1" applyFill="1" applyBorder="1" applyAlignment="1">
      <alignment horizontal="center" vertical="center" wrapText="1"/>
    </xf>
    <xf numFmtId="3" fontId="34" fillId="30" borderId="61" xfId="49" applyNumberFormat="1" applyFont="1" applyFill="1" applyBorder="1" applyAlignment="1">
      <alignment horizontal="center" vertical="center" wrapText="1"/>
    </xf>
    <xf numFmtId="3" fontId="34" fillId="0" borderId="29" xfId="49" applyNumberFormat="1" applyFont="1" applyFill="1" applyBorder="1" applyAlignment="1">
      <alignment horizontal="center" vertical="center" wrapText="1"/>
    </xf>
    <xf numFmtId="3" fontId="34" fillId="30" borderId="24" xfId="49" applyNumberFormat="1" applyFont="1" applyFill="1" applyBorder="1" applyAlignment="1">
      <alignment horizontal="center" vertical="center"/>
    </xf>
    <xf numFmtId="3" fontId="35" fillId="36" borderId="24" xfId="49" applyNumberFormat="1" applyFont="1" applyFill="1" applyBorder="1" applyAlignment="1">
      <alignment horizontal="center" vertical="center"/>
    </xf>
    <xf numFmtId="3" fontId="34" fillId="21" borderId="24" xfId="49" applyNumberFormat="1" applyFont="1" applyFill="1" applyBorder="1" applyAlignment="1">
      <alignment horizontal="center" vertical="center"/>
    </xf>
    <xf numFmtId="170" fontId="34" fillId="40" borderId="30" xfId="49" applyNumberFormat="1" applyFont="1" applyFill="1" applyBorder="1" applyAlignment="1" applyProtection="1">
      <alignment horizontal="center" wrapText="1"/>
    </xf>
    <xf numFmtId="168" fontId="34" fillId="26" borderId="1" xfId="49" applyNumberFormat="1" applyFont="1" applyFill="1" applyBorder="1" applyAlignment="1" applyProtection="1">
      <alignment horizontal="center" vertical="center" wrapText="1"/>
    </xf>
    <xf numFmtId="168" fontId="35" fillId="36" borderId="25" xfId="49" applyNumberFormat="1" applyFont="1" applyFill="1" applyBorder="1" applyAlignment="1" applyProtection="1">
      <alignment horizontal="center" vertical="center" wrapText="1"/>
    </xf>
    <xf numFmtId="167" fontId="34" fillId="26" borderId="122" xfId="49" applyNumberFormat="1" applyFont="1" applyFill="1" applyBorder="1" applyAlignment="1" applyProtection="1">
      <alignment horizontal="center" vertical="center" wrapText="1"/>
    </xf>
    <xf numFmtId="168" fontId="34" fillId="0" borderId="1" xfId="49" applyNumberFormat="1" applyFont="1" applyFill="1" applyBorder="1" applyAlignment="1" applyProtection="1">
      <alignment horizontal="center" vertical="center" wrapText="1"/>
    </xf>
    <xf numFmtId="168" fontId="34" fillId="0" borderId="1" xfId="31" applyNumberFormat="1" applyFont="1" applyFill="1" applyBorder="1" applyAlignment="1" applyProtection="1">
      <alignment horizontal="center" vertical="center" wrapText="1"/>
    </xf>
    <xf numFmtId="168" fontId="35" fillId="36" borderId="72" xfId="49" applyNumberFormat="1" applyFont="1" applyFill="1" applyBorder="1" applyAlignment="1" applyProtection="1">
      <alignment horizontal="center" vertical="center" wrapText="1"/>
    </xf>
    <xf numFmtId="167" fontId="34" fillId="26" borderId="65" xfId="49" applyNumberFormat="1" applyFont="1" applyFill="1" applyBorder="1" applyAlignment="1" applyProtection="1">
      <alignment horizontal="center" vertical="center" wrapText="1"/>
    </xf>
    <xf numFmtId="168" fontId="34" fillId="0" borderId="65" xfId="31" applyNumberFormat="1" applyFont="1" applyFill="1" applyBorder="1" applyAlignment="1" applyProtection="1">
      <alignment horizontal="center" vertical="center" wrapText="1"/>
    </xf>
    <xf numFmtId="170" fontId="34" fillId="40" borderId="2" xfId="49" applyNumberFormat="1" applyFont="1" applyFill="1" applyBorder="1" applyAlignment="1" applyProtection="1">
      <alignment horizontal="center" wrapText="1"/>
    </xf>
    <xf numFmtId="167" fontId="34" fillId="26" borderId="8" xfId="49" applyNumberFormat="1" applyFont="1" applyFill="1" applyBorder="1" applyAlignment="1" applyProtection="1">
      <alignment horizontal="center" vertical="center" wrapText="1"/>
    </xf>
    <xf numFmtId="170" fontId="34" fillId="40" borderId="42" xfId="49" applyNumberFormat="1" applyFont="1" applyFill="1" applyBorder="1" applyAlignment="1" applyProtection="1">
      <alignment horizontal="center" wrapText="1"/>
    </xf>
    <xf numFmtId="168" fontId="34" fillId="26" borderId="123" xfId="49" applyNumberFormat="1" applyFont="1" applyFill="1" applyBorder="1" applyAlignment="1" applyProtection="1">
      <alignment horizontal="center" vertical="center" wrapText="1"/>
    </xf>
    <xf numFmtId="168" fontId="34" fillId="26" borderId="85" xfId="49" applyNumberFormat="1" applyFont="1" applyFill="1" applyBorder="1" applyAlignment="1" applyProtection="1">
      <alignment horizontal="center" vertical="center" wrapText="1"/>
    </xf>
    <xf numFmtId="174" fontId="107" fillId="40" borderId="57" xfId="49" applyNumberFormat="1" applyFont="1" applyFill="1" applyBorder="1" applyAlignment="1" applyProtection="1">
      <alignment horizontal="center" wrapText="1"/>
    </xf>
    <xf numFmtId="170" fontId="34" fillId="40" borderId="51" xfId="49" applyNumberFormat="1" applyFont="1" applyFill="1" applyBorder="1" applyAlignment="1" applyProtection="1">
      <alignment horizontal="center" wrapText="1"/>
    </xf>
    <xf numFmtId="170" fontId="35" fillId="40" borderId="21" xfId="49" applyNumberFormat="1" applyFont="1" applyFill="1" applyBorder="1" applyAlignment="1" applyProtection="1">
      <alignment horizontal="center" wrapText="1"/>
    </xf>
    <xf numFmtId="170" fontId="34" fillId="40" borderId="22" xfId="49" applyNumberFormat="1" applyFont="1" applyFill="1" applyBorder="1" applyAlignment="1" applyProtection="1">
      <alignment horizontal="center"/>
    </xf>
    <xf numFmtId="170" fontId="35" fillId="40" borderId="28" xfId="49" applyNumberFormat="1" applyFont="1" applyFill="1" applyBorder="1" applyAlignment="1" applyProtection="1">
      <alignment horizontal="center" wrapText="1"/>
    </xf>
    <xf numFmtId="170" fontId="115" fillId="40" borderId="56" xfId="49" applyNumberFormat="1" applyFont="1" applyFill="1" applyBorder="1" applyAlignment="1" applyProtection="1">
      <alignment horizontal="center" wrapText="1"/>
    </xf>
    <xf numFmtId="168" fontId="124" fillId="29" borderId="3" xfId="49" applyNumberFormat="1" applyFont="1" applyFill="1" applyBorder="1" applyAlignment="1" applyProtection="1">
      <alignment horizontal="center" vertical="center" wrapText="1"/>
      <protection locked="0"/>
    </xf>
    <xf numFmtId="2" fontId="34" fillId="40" borderId="51" xfId="49" applyNumberFormat="1" applyFont="1" applyFill="1" applyBorder="1" applyAlignment="1" applyProtection="1">
      <alignment horizontal="center" vertical="center" wrapText="1"/>
    </xf>
    <xf numFmtId="170" fontId="35" fillId="40" borderId="39" xfId="49" applyNumberFormat="1" applyFont="1" applyFill="1" applyBorder="1" applyAlignment="1" applyProtection="1">
      <alignment horizontal="center" wrapText="1"/>
    </xf>
    <xf numFmtId="168" fontId="124" fillId="29" borderId="2" xfId="49" applyNumberFormat="1" applyFont="1" applyFill="1" applyBorder="1" applyAlignment="1" applyProtection="1">
      <alignment horizontal="center" vertical="center" wrapText="1"/>
      <protection locked="0"/>
    </xf>
    <xf numFmtId="3" fontId="35" fillId="32" borderId="5" xfId="49" applyNumberFormat="1" applyFont="1" applyFill="1" applyBorder="1" applyAlignment="1" applyProtection="1">
      <alignment horizontal="right"/>
      <protection locked="0"/>
    </xf>
    <xf numFmtId="3" fontId="35" fillId="32" borderId="17" xfId="49" applyNumberFormat="1" applyFont="1" applyFill="1" applyBorder="1" applyAlignment="1" applyProtection="1">
      <alignment horizontal="right"/>
      <protection locked="0"/>
    </xf>
    <xf numFmtId="3" fontId="35" fillId="32" borderId="21" xfId="49" applyNumberFormat="1" applyFont="1" applyFill="1" applyBorder="1" applyAlignment="1" applyProtection="1">
      <alignment horizontal="right"/>
      <protection locked="0"/>
    </xf>
    <xf numFmtId="168" fontId="124" fillId="29" borderId="1" xfId="49" applyNumberFormat="1" applyFont="1" applyFill="1" applyBorder="1" applyAlignment="1" applyProtection="1">
      <alignment horizontal="center" vertical="center" wrapText="1"/>
      <protection locked="0"/>
    </xf>
    <xf numFmtId="3" fontId="34" fillId="33" borderId="53" xfId="32" applyNumberFormat="1" applyFont="1" applyFill="1" applyBorder="1" applyAlignment="1">
      <alignment horizontal="center"/>
    </xf>
    <xf numFmtId="3" fontId="34" fillId="34" borderId="53" xfId="32" applyNumberFormat="1" applyFont="1" applyFill="1" applyBorder="1" applyAlignment="1">
      <alignment horizontal="center"/>
    </xf>
    <xf numFmtId="3" fontId="35" fillId="0" borderId="53" xfId="32" applyNumberFormat="1" applyFont="1" applyFill="1" applyBorder="1" applyAlignment="1">
      <alignment horizontal="center"/>
    </xf>
    <xf numFmtId="3" fontId="34" fillId="37" borderId="53" xfId="32" applyNumberFormat="1" applyFont="1" applyFill="1" applyBorder="1" applyAlignment="1">
      <alignment horizontal="center"/>
    </xf>
    <xf numFmtId="3" fontId="34" fillId="37" borderId="77" xfId="32" applyNumberFormat="1" applyFont="1" applyFill="1" applyBorder="1" applyAlignment="1">
      <alignment horizontal="center"/>
    </xf>
    <xf numFmtId="3" fontId="34" fillId="37" borderId="57" xfId="32" applyNumberFormat="1" applyFont="1" applyFill="1" applyBorder="1" applyAlignment="1">
      <alignment horizontal="center"/>
    </xf>
    <xf numFmtId="3" fontId="34" fillId="33" borderId="32" xfId="32" applyNumberFormat="1" applyFont="1" applyFill="1" applyBorder="1" applyAlignment="1">
      <alignment horizontal="center"/>
    </xf>
    <xf numFmtId="3" fontId="34" fillId="34" borderId="32" xfId="32" applyNumberFormat="1" applyFont="1" applyFill="1" applyBorder="1" applyAlignment="1">
      <alignment horizontal="center"/>
    </xf>
    <xf numFmtId="3" fontId="35" fillId="0" borderId="32" xfId="32" applyNumberFormat="1" applyFont="1" applyFill="1" applyBorder="1" applyAlignment="1">
      <alignment horizontal="center"/>
    </xf>
    <xf numFmtId="3" fontId="34" fillId="37" borderId="32" xfId="32" applyNumberFormat="1" applyFont="1" applyFill="1" applyBorder="1" applyAlignment="1">
      <alignment horizontal="center"/>
    </xf>
    <xf numFmtId="3" fontId="34" fillId="37" borderId="79" xfId="32" applyNumberFormat="1" applyFont="1" applyFill="1" applyBorder="1" applyAlignment="1">
      <alignment horizontal="center"/>
    </xf>
    <xf numFmtId="0" fontId="34" fillId="34" borderId="24" xfId="32" applyFont="1" applyFill="1" applyBorder="1" applyAlignment="1"/>
    <xf numFmtId="0" fontId="35" fillId="30" borderId="24" xfId="47" applyFont="1" applyFill="1" applyBorder="1" applyAlignment="1" applyProtection="1">
      <alignment horizontal="left" vertical="center" wrapText="1"/>
      <protection hidden="1"/>
    </xf>
    <xf numFmtId="0" fontId="35" fillId="21" borderId="24" xfId="47" applyFont="1" applyFill="1" applyBorder="1" applyAlignment="1" applyProtection="1">
      <alignment horizontal="left" vertical="center" wrapText="1"/>
      <protection hidden="1"/>
    </xf>
    <xf numFmtId="0" fontId="123" fillId="30" borderId="24" xfId="47" applyFont="1" applyFill="1" applyBorder="1" applyAlignment="1" applyProtection="1">
      <alignment horizontal="left" vertical="center" wrapText="1"/>
      <protection hidden="1"/>
    </xf>
    <xf numFmtId="0" fontId="35" fillId="29" borderId="24" xfId="47" applyFont="1" applyFill="1" applyBorder="1" applyAlignment="1" applyProtection="1">
      <alignment horizontal="left" vertical="center" wrapText="1"/>
      <protection hidden="1"/>
    </xf>
    <xf numFmtId="0" fontId="35" fillId="29" borderId="24" xfId="32" applyFont="1" applyFill="1" applyBorder="1"/>
    <xf numFmtId="0" fontId="34" fillId="34" borderId="24" xfId="47" applyFont="1" applyFill="1" applyBorder="1" applyAlignment="1" applyProtection="1">
      <alignment horizontal="left" vertical="center" wrapText="1"/>
      <protection hidden="1"/>
    </xf>
    <xf numFmtId="0" fontId="34" fillId="33" borderId="24" xfId="32" applyFont="1" applyFill="1" applyBorder="1"/>
    <xf numFmtId="0" fontId="34" fillId="34" borderId="24" xfId="47" applyFont="1" applyFill="1" applyBorder="1" applyAlignment="1" applyProtection="1">
      <alignment horizontal="left" vertical="top" wrapText="1"/>
      <protection hidden="1"/>
    </xf>
    <xf numFmtId="0" fontId="35" fillId="30" borderId="24" xfId="32" applyFont="1" applyFill="1" applyBorder="1"/>
    <xf numFmtId="0" fontId="34" fillId="37" borderId="24" xfId="47" applyFont="1" applyFill="1" applyBorder="1" applyAlignment="1" applyProtection="1">
      <alignment horizontal="left" vertical="center" wrapText="1"/>
      <protection hidden="1"/>
    </xf>
    <xf numFmtId="0" fontId="34" fillId="30" borderId="24" xfId="32" applyFont="1" applyFill="1" applyBorder="1"/>
    <xf numFmtId="0" fontId="34" fillId="30" borderId="24" xfId="47" applyFont="1" applyFill="1" applyBorder="1" applyAlignment="1" applyProtection="1">
      <alignment horizontal="left" vertical="center" wrapText="1"/>
      <protection hidden="1"/>
    </xf>
    <xf numFmtId="0" fontId="34" fillId="37" borderId="30" xfId="47" applyFont="1" applyFill="1" applyBorder="1" applyAlignment="1" applyProtection="1">
      <alignment horizontal="left" vertical="center" wrapText="1"/>
      <protection hidden="1"/>
    </xf>
    <xf numFmtId="3" fontId="34" fillId="33" borderId="15" xfId="32" applyNumberFormat="1" applyFont="1" applyFill="1" applyBorder="1" applyAlignment="1">
      <alignment horizontal="center"/>
    </xf>
    <xf numFmtId="3" fontId="34" fillId="34" borderId="15" xfId="32" applyNumberFormat="1" applyFont="1" applyFill="1" applyBorder="1" applyAlignment="1">
      <alignment horizontal="center"/>
    </xf>
    <xf numFmtId="3" fontId="35" fillId="30" borderId="15" xfId="32" applyNumberFormat="1" applyFont="1" applyFill="1" applyBorder="1" applyAlignment="1">
      <alignment horizontal="center"/>
    </xf>
    <xf numFmtId="3" fontId="35" fillId="0" borderId="15" xfId="32" applyNumberFormat="1" applyFont="1" applyFill="1" applyBorder="1" applyAlignment="1">
      <alignment horizontal="center"/>
    </xf>
    <xf numFmtId="3" fontId="34" fillId="37" borderId="15" xfId="32" applyNumberFormat="1" applyFont="1" applyFill="1" applyBorder="1" applyAlignment="1">
      <alignment horizontal="center"/>
    </xf>
    <xf numFmtId="3" fontId="34" fillId="37" borderId="19" xfId="32" applyNumberFormat="1" applyFont="1" applyFill="1" applyBorder="1" applyAlignment="1">
      <alignment horizontal="center"/>
    </xf>
    <xf numFmtId="3" fontId="34" fillId="33" borderId="17" xfId="32" applyNumberFormat="1" applyFont="1" applyFill="1" applyBorder="1" applyAlignment="1">
      <alignment horizontal="center"/>
    </xf>
    <xf numFmtId="3" fontId="34" fillId="34" borderId="17" xfId="32" applyNumberFormat="1" applyFont="1" applyFill="1" applyBorder="1" applyAlignment="1">
      <alignment horizontal="center"/>
    </xf>
    <xf numFmtId="3" fontId="35" fillId="30" borderId="17" xfId="32" applyNumberFormat="1" applyFont="1" applyFill="1" applyBorder="1" applyAlignment="1">
      <alignment horizontal="center"/>
    </xf>
    <xf numFmtId="3" fontId="35" fillId="0" borderId="17" xfId="32" applyNumberFormat="1" applyFont="1" applyFill="1" applyBorder="1" applyAlignment="1">
      <alignment horizontal="center"/>
    </xf>
    <xf numFmtId="3" fontId="34" fillId="37" borderId="17" xfId="32" applyNumberFormat="1" applyFont="1" applyFill="1" applyBorder="1" applyAlignment="1">
      <alignment horizontal="center"/>
    </xf>
    <xf numFmtId="3" fontId="34" fillId="37" borderId="21" xfId="32" applyNumberFormat="1" applyFont="1" applyFill="1" applyBorder="1" applyAlignment="1">
      <alignment horizontal="center"/>
    </xf>
    <xf numFmtId="0" fontId="34" fillId="33" borderId="25" xfId="32" applyFont="1" applyFill="1" applyBorder="1" applyAlignment="1"/>
    <xf numFmtId="3" fontId="34" fillId="33" borderId="5" xfId="32" applyNumberFormat="1" applyFont="1" applyFill="1" applyBorder="1" applyAlignment="1">
      <alignment horizontal="center"/>
    </xf>
    <xf numFmtId="3" fontId="34" fillId="33" borderId="6" xfId="32" applyNumberFormat="1" applyFont="1" applyFill="1" applyBorder="1" applyAlignment="1">
      <alignment horizontal="center"/>
    </xf>
    <xf numFmtId="3" fontId="34" fillId="33" borderId="44" xfId="32" applyNumberFormat="1" applyFont="1" applyFill="1" applyBorder="1" applyAlignment="1">
      <alignment horizontal="center"/>
    </xf>
    <xf numFmtId="3" fontId="34" fillId="33" borderId="31" xfId="32" applyNumberFormat="1" applyFont="1" applyFill="1" applyBorder="1" applyAlignment="1">
      <alignment horizontal="center"/>
    </xf>
    <xf numFmtId="3" fontId="34" fillId="33" borderId="50" xfId="32" applyNumberFormat="1" applyFont="1" applyFill="1" applyBorder="1" applyAlignment="1">
      <alignment horizontal="center"/>
    </xf>
    <xf numFmtId="0" fontId="34" fillId="40" borderId="1" xfId="32" applyFont="1" applyFill="1" applyBorder="1" applyAlignment="1">
      <alignment vertical="center" wrapText="1"/>
    </xf>
    <xf numFmtId="170" fontId="34" fillId="40" borderId="2" xfId="32" applyNumberFormat="1" applyFont="1" applyFill="1" applyBorder="1" applyAlignment="1" applyProtection="1">
      <alignment horizontal="center" wrapText="1"/>
    </xf>
    <xf numFmtId="170" fontId="34" fillId="40" borderId="3" xfId="32" applyNumberFormat="1" applyFont="1" applyFill="1" applyBorder="1" applyAlignment="1" applyProtection="1">
      <alignment horizontal="center" wrapText="1"/>
    </xf>
    <xf numFmtId="170" fontId="34" fillId="40" borderId="65" xfId="32" applyNumberFormat="1" applyFont="1" applyFill="1" applyBorder="1" applyAlignment="1" applyProtection="1">
      <alignment horizontal="center" wrapText="1"/>
    </xf>
    <xf numFmtId="170" fontId="34" fillId="40" borderId="9" xfId="32" applyNumberFormat="1" applyFont="1" applyFill="1" applyBorder="1" applyAlignment="1" applyProtection="1">
      <alignment horizontal="center" wrapText="1"/>
    </xf>
    <xf numFmtId="170" fontId="34" fillId="40" borderId="10" xfId="32" applyNumberFormat="1" applyFont="1" applyFill="1" applyBorder="1" applyAlignment="1" applyProtection="1">
      <alignment horizontal="center" wrapText="1"/>
    </xf>
    <xf numFmtId="3" fontId="34" fillId="38" borderId="53" xfId="32" applyNumberFormat="1" applyFont="1" applyFill="1" applyBorder="1" applyAlignment="1">
      <alignment horizontal="center"/>
    </xf>
    <xf numFmtId="3" fontId="34" fillId="38" borderId="77" xfId="32" applyNumberFormat="1" applyFont="1" applyFill="1" applyBorder="1" applyAlignment="1">
      <alignment horizontal="center"/>
    </xf>
    <xf numFmtId="3" fontId="34" fillId="38" borderId="57" xfId="32" applyNumberFormat="1" applyFont="1" applyFill="1" applyBorder="1" applyAlignment="1">
      <alignment horizontal="center"/>
    </xf>
    <xf numFmtId="3" fontId="34" fillId="38" borderId="32" xfId="32" applyNumberFormat="1" applyFont="1" applyFill="1" applyBorder="1" applyAlignment="1">
      <alignment horizontal="center"/>
    </xf>
    <xf numFmtId="3" fontId="34" fillId="38" borderId="79" xfId="32" applyNumberFormat="1" applyFont="1" applyFill="1" applyBorder="1" applyAlignment="1">
      <alignment horizontal="center"/>
    </xf>
    <xf numFmtId="0" fontId="34" fillId="33" borderId="24" xfId="47" applyFont="1" applyFill="1" applyBorder="1" applyAlignment="1" applyProtection="1">
      <alignment horizontal="left" vertical="center" wrapText="1"/>
      <protection hidden="1"/>
    </xf>
    <xf numFmtId="0" fontId="34" fillId="38" borderId="24" xfId="47" applyFont="1" applyFill="1" applyBorder="1" applyAlignment="1" applyProtection="1">
      <alignment horizontal="left" vertical="center" wrapText="1"/>
      <protection hidden="1"/>
    </xf>
    <xf numFmtId="0" fontId="34" fillId="38" borderId="30" xfId="47" applyFont="1" applyFill="1" applyBorder="1" applyAlignment="1" applyProtection="1">
      <alignment horizontal="left" vertical="center" wrapText="1"/>
      <protection hidden="1"/>
    </xf>
    <xf numFmtId="3" fontId="34" fillId="38" borderId="15" xfId="32" applyNumberFormat="1" applyFont="1" applyFill="1" applyBorder="1" applyAlignment="1">
      <alignment horizontal="center"/>
    </xf>
    <xf numFmtId="3" fontId="34" fillId="38" borderId="19" xfId="32" applyNumberFormat="1" applyFont="1" applyFill="1" applyBorder="1" applyAlignment="1">
      <alignment horizontal="center"/>
    </xf>
    <xf numFmtId="3" fontId="34" fillId="38" borderId="21" xfId="32" applyNumberFormat="1" applyFont="1" applyFill="1" applyBorder="1" applyAlignment="1">
      <alignment horizontal="center"/>
    </xf>
    <xf numFmtId="1" fontId="14" fillId="27" borderId="2" xfId="21" applyFont="1" applyFill="1" applyBorder="1" applyAlignment="1">
      <alignment horizontal="center" vertical="center" wrapText="1"/>
    </xf>
    <xf numFmtId="3" fontId="39" fillId="0" borderId="31" xfId="0" applyNumberFormat="1" applyFont="1" applyBorder="1" applyAlignment="1">
      <alignment horizontal="center" vertical="center"/>
    </xf>
    <xf numFmtId="3" fontId="39" fillId="0" borderId="50" xfId="0" applyNumberFormat="1" applyFont="1" applyBorder="1" applyAlignment="1">
      <alignment horizontal="center" vertical="center"/>
    </xf>
    <xf numFmtId="170" fontId="41" fillId="40" borderId="77" xfId="0" applyNumberFormat="1" applyFont="1" applyFill="1" applyBorder="1" applyAlignment="1" applyProtection="1">
      <alignment horizontal="center" wrapText="1"/>
    </xf>
    <xf numFmtId="170" fontId="41" fillId="40" borderId="57" xfId="0" applyNumberFormat="1" applyFont="1" applyFill="1" applyBorder="1" applyAlignment="1" applyProtection="1">
      <alignment horizontal="center" wrapText="1"/>
    </xf>
    <xf numFmtId="170" fontId="41" fillId="40" borderId="56" xfId="0" applyNumberFormat="1" applyFont="1" applyFill="1" applyBorder="1" applyAlignment="1" applyProtection="1">
      <alignment horizontal="center" wrapText="1"/>
    </xf>
    <xf numFmtId="0" fontId="35" fillId="0" borderId="29" xfId="0" applyFont="1" applyBorder="1" applyAlignment="1">
      <alignment horizontal="center"/>
    </xf>
    <xf numFmtId="0" fontId="35" fillId="0" borderId="24" xfId="0" applyFont="1" applyBorder="1" applyAlignment="1">
      <alignment horizontal="center"/>
    </xf>
    <xf numFmtId="0" fontId="35" fillId="0" borderId="30" xfId="0" applyFont="1" applyBorder="1" applyAlignment="1">
      <alignment horizontal="center"/>
    </xf>
    <xf numFmtId="3" fontId="39" fillId="32" borderId="75" xfId="49" applyNumberFormat="1" applyFont="1" applyFill="1" applyBorder="1" applyAlignment="1" applyProtection="1">
      <alignment horizontal="center"/>
      <protection locked="0"/>
    </xf>
    <xf numFmtId="3" fontId="39" fillId="32" borderId="73" xfId="49" applyNumberFormat="1" applyFont="1" applyFill="1" applyBorder="1" applyAlignment="1" applyProtection="1">
      <alignment horizontal="center"/>
      <protection locked="0"/>
    </xf>
    <xf numFmtId="0" fontId="39" fillId="0" borderId="53" xfId="0" applyFont="1" applyBorder="1" applyAlignment="1">
      <alignment horizontal="left" vertical="center" wrapText="1"/>
    </xf>
    <xf numFmtId="3" fontId="39" fillId="32" borderId="52" xfId="49" applyNumberFormat="1" applyFont="1" applyFill="1" applyBorder="1" applyAlignment="1" applyProtection="1">
      <alignment horizontal="center" vertical="center"/>
      <protection locked="0"/>
    </xf>
    <xf numFmtId="3" fontId="39" fillId="32" borderId="7" xfId="49" applyNumberFormat="1" applyFont="1" applyFill="1" applyBorder="1" applyAlignment="1" applyProtection="1">
      <alignment horizontal="center" vertical="center"/>
      <protection locked="0"/>
    </xf>
    <xf numFmtId="3" fontId="39" fillId="32" borderId="53" xfId="49" applyNumberFormat="1" applyFont="1" applyFill="1" applyBorder="1" applyAlignment="1" applyProtection="1">
      <alignment horizontal="center" vertical="center"/>
      <protection locked="0"/>
    </xf>
    <xf numFmtId="0" fontId="0" fillId="0" borderId="0" xfId="0" applyAlignment="1">
      <alignment vertical="center"/>
    </xf>
    <xf numFmtId="170" fontId="34" fillId="40" borderId="77" xfId="0" applyNumberFormat="1" applyFont="1" applyFill="1" applyBorder="1" applyAlignment="1" applyProtection="1">
      <alignment horizontal="center" wrapText="1"/>
    </xf>
    <xf numFmtId="170" fontId="34" fillId="40" borderId="57" xfId="0" applyNumberFormat="1" applyFont="1" applyFill="1" applyBorder="1" applyAlignment="1" applyProtection="1">
      <alignment horizontal="center" wrapText="1"/>
    </xf>
    <xf numFmtId="0" fontId="41" fillId="0" borderId="49" xfId="0" applyFont="1" applyFill="1" applyBorder="1" applyAlignment="1" applyProtection="1">
      <alignment horizontal="center" vertical="center" wrapText="1"/>
    </xf>
    <xf numFmtId="0" fontId="41" fillId="0" borderId="31" xfId="0" applyFont="1" applyFill="1" applyBorder="1" applyAlignment="1" applyProtection="1">
      <alignment horizontal="left" vertical="center" wrapText="1"/>
    </xf>
    <xf numFmtId="0" fontId="41" fillId="0" borderId="31" xfId="0" applyFont="1" applyFill="1" applyBorder="1" applyAlignment="1" applyProtection="1">
      <alignment horizontal="center" vertical="center" wrapText="1"/>
    </xf>
    <xf numFmtId="0" fontId="41" fillId="40" borderId="38" xfId="0" applyFont="1" applyFill="1" applyBorder="1" applyAlignment="1" applyProtection="1">
      <alignment horizontal="center" vertical="center" wrapText="1"/>
    </xf>
    <xf numFmtId="0" fontId="41" fillId="40" borderId="9" xfId="0" applyFont="1" applyFill="1" applyBorder="1" applyAlignment="1" applyProtection="1">
      <alignment horizontal="center" vertical="center" wrapText="1"/>
    </xf>
    <xf numFmtId="0" fontId="41" fillId="40" borderId="9" xfId="40" applyFont="1" applyFill="1" applyBorder="1" applyAlignment="1" applyProtection="1">
      <alignment horizontal="center" vertical="center"/>
    </xf>
    <xf numFmtId="170" fontId="41" fillId="40" borderId="9" xfId="0" applyNumberFormat="1" applyFont="1" applyFill="1" applyBorder="1" applyAlignment="1" applyProtection="1">
      <alignment horizontal="center" wrapText="1"/>
    </xf>
    <xf numFmtId="170" fontId="41" fillId="40" borderId="10" xfId="0" applyNumberFormat="1" applyFont="1" applyFill="1" applyBorder="1" applyAlignment="1" applyProtection="1">
      <alignment horizontal="center" wrapText="1"/>
    </xf>
    <xf numFmtId="0" fontId="39" fillId="0" borderId="62" xfId="0" applyFont="1" applyBorder="1" applyAlignment="1" applyProtection="1">
      <alignment horizontal="center" vertical="center" wrapText="1"/>
    </xf>
    <xf numFmtId="170" fontId="34" fillId="40" borderId="56" xfId="0" applyNumberFormat="1" applyFont="1" applyFill="1" applyBorder="1" applyAlignment="1" applyProtection="1">
      <alignment horizontal="center" wrapText="1"/>
    </xf>
    <xf numFmtId="171" fontId="34" fillId="28" borderId="71" xfId="0" applyNumberFormat="1" applyFont="1" applyFill="1" applyBorder="1" applyAlignment="1">
      <alignment vertical="center"/>
    </xf>
    <xf numFmtId="171" fontId="34" fillId="28" borderId="48" xfId="0" applyNumberFormat="1" applyFont="1" applyFill="1" applyBorder="1" applyAlignment="1">
      <alignment vertical="center"/>
    </xf>
    <xf numFmtId="2" fontId="35" fillId="2" borderId="1" xfId="0" applyNumberFormat="1" applyFont="1" applyFill="1" applyBorder="1"/>
    <xf numFmtId="2" fontId="35" fillId="2" borderId="8" xfId="0" applyNumberFormat="1" applyFont="1" applyFill="1" applyBorder="1"/>
    <xf numFmtId="2" fontId="35" fillId="2" borderId="3" xfId="0" applyNumberFormat="1" applyFont="1" applyFill="1" applyBorder="1"/>
    <xf numFmtId="0" fontId="35" fillId="2" borderId="75" xfId="0" applyFont="1" applyFill="1" applyBorder="1"/>
    <xf numFmtId="0" fontId="35" fillId="2" borderId="73" xfId="0" applyFont="1" applyFill="1" applyBorder="1"/>
    <xf numFmtId="0" fontId="35" fillId="2" borderId="76" xfId="0" applyFont="1" applyFill="1" applyBorder="1"/>
    <xf numFmtId="0" fontId="35" fillId="2" borderId="52" xfId="0" applyFont="1" applyFill="1" applyBorder="1"/>
    <xf numFmtId="0" fontId="35" fillId="2" borderId="7" xfId="0" applyFont="1" applyFill="1" applyBorder="1"/>
    <xf numFmtId="0" fontId="35" fillId="2" borderId="53" xfId="0" applyFont="1" applyFill="1" applyBorder="1"/>
    <xf numFmtId="0" fontId="35" fillId="2" borderId="56" xfId="0" applyFont="1" applyFill="1" applyBorder="1"/>
    <xf numFmtId="0" fontId="35" fillId="2" borderId="77" xfId="0" applyFont="1" applyFill="1" applyBorder="1"/>
    <xf numFmtId="0" fontId="35" fillId="2" borderId="57" xfId="0" applyFont="1" applyFill="1" applyBorder="1"/>
    <xf numFmtId="0" fontId="14" fillId="35" borderId="2" xfId="49" applyFont="1" applyFill="1" applyBorder="1" applyAlignment="1">
      <alignment vertical="center" wrapText="1"/>
    </xf>
    <xf numFmtId="3" fontId="34" fillId="40" borderId="65" xfId="32" applyNumberFormat="1" applyFont="1" applyFill="1" applyBorder="1" applyAlignment="1">
      <alignment horizontal="center" vertical="center"/>
    </xf>
    <xf numFmtId="3" fontId="40" fillId="40" borderId="10" xfId="32" applyNumberFormat="1" applyFont="1" applyFill="1" applyBorder="1" applyAlignment="1">
      <alignment horizontal="center" vertical="center"/>
    </xf>
    <xf numFmtId="1" fontId="40" fillId="40" borderId="65" xfId="32" applyNumberFormat="1" applyFont="1" applyFill="1" applyBorder="1" applyAlignment="1">
      <alignment horizontal="center" vertical="center" wrapText="1"/>
    </xf>
    <xf numFmtId="1" fontId="34" fillId="40" borderId="47" xfId="32" applyNumberFormat="1" applyFont="1" applyFill="1" applyBorder="1" applyAlignment="1">
      <alignment horizontal="center" vertical="center"/>
    </xf>
    <xf numFmtId="1" fontId="34" fillId="40" borderId="71" xfId="32" applyNumberFormat="1" applyFont="1" applyFill="1" applyBorder="1" applyAlignment="1">
      <alignment horizontal="center" vertical="center"/>
    </xf>
    <xf numFmtId="1" fontId="34" fillId="40" borderId="48" xfId="32" applyNumberFormat="1" applyFont="1" applyFill="1" applyBorder="1" applyAlignment="1">
      <alignment vertical="center"/>
    </xf>
    <xf numFmtId="3" fontId="35" fillId="32" borderId="73" xfId="49" applyNumberFormat="1" applyFont="1" applyFill="1" applyBorder="1" applyAlignment="1" applyProtection="1">
      <alignment horizontal="center"/>
      <protection locked="0"/>
    </xf>
    <xf numFmtId="0" fontId="8" fillId="30" borderId="0" xfId="32" applyFont="1" applyFill="1" applyAlignment="1">
      <alignment wrapText="1"/>
    </xf>
    <xf numFmtId="0" fontId="13" fillId="30" borderId="0" xfId="32" applyFont="1" applyFill="1" applyBorder="1" applyAlignment="1">
      <alignment vertical="center"/>
    </xf>
    <xf numFmtId="0" fontId="46" fillId="29" borderId="0" xfId="32" applyFont="1" applyFill="1" applyAlignment="1">
      <alignment vertical="center"/>
    </xf>
    <xf numFmtId="3" fontId="35" fillId="44" borderId="40" xfId="49" applyNumberFormat="1" applyFont="1" applyFill="1" applyBorder="1" applyAlignment="1" applyProtection="1">
      <alignment horizontal="right"/>
      <protection locked="0"/>
    </xf>
    <xf numFmtId="3" fontId="35" fillId="44" borderId="11" xfId="49" applyNumberFormat="1" applyFont="1" applyFill="1" applyBorder="1" applyAlignment="1" applyProtection="1">
      <alignment horizontal="right"/>
      <protection locked="0"/>
    </xf>
    <xf numFmtId="3" fontId="35" fillId="44" borderId="41" xfId="49" applyNumberFormat="1" applyFont="1" applyFill="1" applyBorder="1" applyAlignment="1" applyProtection="1">
      <alignment horizontal="right"/>
      <protection locked="0"/>
    </xf>
    <xf numFmtId="3" fontId="35" fillId="44" borderId="27" xfId="49" applyNumberFormat="1" applyFont="1" applyFill="1" applyBorder="1" applyAlignment="1" applyProtection="1">
      <alignment horizontal="right"/>
      <protection locked="0"/>
    </xf>
    <xf numFmtId="3" fontId="35" fillId="44" borderId="0" xfId="49" applyNumberFormat="1" applyFont="1" applyFill="1" applyBorder="1" applyAlignment="1" applyProtection="1">
      <alignment horizontal="right"/>
      <protection locked="0"/>
    </xf>
    <xf numFmtId="3" fontId="35" fillId="44" borderId="16" xfId="49" applyNumberFormat="1" applyFont="1" applyFill="1" applyBorder="1" applyAlignment="1" applyProtection="1">
      <alignment horizontal="right"/>
      <protection locked="0"/>
    </xf>
    <xf numFmtId="3" fontId="35" fillId="44" borderId="42" xfId="49" applyNumberFormat="1" applyFont="1" applyFill="1" applyBorder="1" applyAlignment="1" applyProtection="1">
      <alignment horizontal="right"/>
      <protection locked="0"/>
    </xf>
    <xf numFmtId="3" fontId="35" fillId="44" borderId="20" xfId="49" applyNumberFormat="1" applyFont="1" applyFill="1" applyBorder="1" applyAlignment="1" applyProtection="1">
      <alignment horizontal="right"/>
      <protection locked="0"/>
    </xf>
    <xf numFmtId="3" fontId="35" fillId="44" borderId="43" xfId="49" applyNumberFormat="1" applyFont="1" applyFill="1" applyBorder="1" applyAlignment="1" applyProtection="1">
      <alignment horizontal="right"/>
      <protection locked="0"/>
    </xf>
    <xf numFmtId="0" fontId="14" fillId="30" borderId="0" xfId="0" applyFont="1" applyFill="1" applyAlignment="1">
      <alignment horizontal="left" indent="1"/>
    </xf>
    <xf numFmtId="0" fontId="37" fillId="30" borderId="0" xfId="0" applyFont="1" applyFill="1" applyAlignment="1">
      <alignment horizontal="left" indent="1"/>
    </xf>
    <xf numFmtId="0" fontId="107" fillId="29" borderId="60" xfId="31" applyFont="1" applyFill="1" applyBorder="1" applyAlignment="1">
      <alignment wrapText="1"/>
    </xf>
    <xf numFmtId="173" fontId="107" fillId="29" borderId="45" xfId="37" applyNumberFormat="1" applyFont="1" applyFill="1" applyBorder="1" applyAlignment="1" applyProtection="1">
      <alignment horizontal="right" vertical="center" wrapText="1"/>
    </xf>
    <xf numFmtId="173" fontId="107" fillId="29" borderId="58" xfId="37" applyNumberFormat="1" applyFont="1" applyFill="1" applyBorder="1" applyAlignment="1" applyProtection="1">
      <alignment horizontal="right" vertical="center" wrapText="1"/>
    </xf>
    <xf numFmtId="173" fontId="107" fillId="29" borderId="46" xfId="37" applyNumberFormat="1" applyFont="1" applyFill="1" applyBorder="1" applyAlignment="1" applyProtection="1">
      <alignment horizontal="right" vertical="center" wrapText="1"/>
    </xf>
    <xf numFmtId="173" fontId="107" fillId="29" borderId="80" xfId="37" applyNumberFormat="1" applyFont="1" applyFill="1" applyBorder="1" applyAlignment="1" applyProtection="1">
      <alignment horizontal="right" vertical="center" wrapText="1"/>
    </xf>
    <xf numFmtId="173" fontId="107" fillId="29" borderId="59" xfId="37" applyNumberFormat="1" applyFont="1" applyFill="1" applyBorder="1" applyAlignment="1" applyProtection="1">
      <alignment horizontal="right" vertical="center" wrapText="1"/>
    </xf>
    <xf numFmtId="0" fontId="107" fillId="29" borderId="110" xfId="31" applyFont="1" applyFill="1" applyBorder="1" applyAlignment="1">
      <alignment wrapText="1"/>
    </xf>
    <xf numFmtId="173" fontId="107" fillId="29" borderId="38" xfId="37" applyNumberFormat="1" applyFont="1" applyFill="1" applyBorder="1" applyAlignment="1" applyProtection="1">
      <alignment horizontal="right" vertical="center" wrapText="1"/>
    </xf>
    <xf numFmtId="173" fontId="107" fillId="29" borderId="9" xfId="37" applyNumberFormat="1" applyFont="1" applyFill="1" applyBorder="1" applyAlignment="1" applyProtection="1">
      <alignment horizontal="right" vertical="center" wrapText="1"/>
    </xf>
    <xf numFmtId="173" fontId="107" fillId="29" borderId="60" xfId="37" applyNumberFormat="1" applyFont="1" applyFill="1" applyBorder="1" applyAlignment="1" applyProtection="1">
      <alignment horizontal="right" vertical="center" wrapText="1"/>
    </xf>
    <xf numFmtId="173" fontId="107" fillId="29" borderId="10" xfId="37" applyNumberFormat="1" applyFont="1" applyFill="1" applyBorder="1" applyAlignment="1" applyProtection="1">
      <alignment horizontal="right" vertical="center" wrapText="1"/>
    </xf>
    <xf numFmtId="173" fontId="107" fillId="29" borderId="65" xfId="37" applyNumberFormat="1" applyFont="1" applyFill="1" applyBorder="1" applyAlignment="1" applyProtection="1">
      <alignment horizontal="right" vertical="center" wrapText="1"/>
    </xf>
    <xf numFmtId="173" fontId="108" fillId="29" borderId="9" xfId="37" applyNumberFormat="1" applyFont="1" applyFill="1" applyBorder="1" applyAlignment="1" applyProtection="1">
      <alignment horizontal="left" vertical="center" wrapText="1"/>
    </xf>
    <xf numFmtId="173" fontId="107" fillId="29" borderId="9" xfId="37" applyNumberFormat="1" applyFont="1" applyFill="1" applyBorder="1" applyAlignment="1" applyProtection="1">
      <alignment horizontal="center" vertical="center" wrapText="1"/>
    </xf>
    <xf numFmtId="10" fontId="35" fillId="29" borderId="24" xfId="1" applyNumberFormat="1" applyFont="1" applyFill="1" applyBorder="1" applyAlignment="1">
      <alignment horizontal="right" vertical="center" wrapText="1"/>
    </xf>
    <xf numFmtId="10" fontId="35" fillId="29" borderId="7" xfId="1" applyNumberFormat="1" applyFont="1" applyFill="1" applyBorder="1" applyAlignment="1">
      <alignment horizontal="right" vertical="center" wrapText="1"/>
    </xf>
    <xf numFmtId="3" fontId="35" fillId="30" borderId="24" xfId="32" applyNumberFormat="1" applyFont="1" applyFill="1" applyBorder="1" applyAlignment="1">
      <alignment horizontal="left" vertical="center" wrapText="1"/>
    </xf>
    <xf numFmtId="3" fontId="35" fillId="0" borderId="24" xfId="32" applyNumberFormat="1" applyFont="1" applyFill="1" applyBorder="1" applyAlignment="1">
      <alignment horizontal="left" vertical="center" wrapText="1"/>
    </xf>
    <xf numFmtId="3" fontId="34" fillId="30" borderId="23" xfId="32" applyNumberFormat="1" applyFont="1" applyFill="1" applyBorder="1" applyAlignment="1">
      <alignment horizontal="center" vertical="center"/>
    </xf>
    <xf numFmtId="3" fontId="81" fillId="29" borderId="53" xfId="32" applyNumberFormat="1" applyFont="1" applyFill="1" applyBorder="1" applyAlignment="1">
      <alignment horizontal="center" vertical="center"/>
    </xf>
    <xf numFmtId="3" fontId="36" fillId="29" borderId="52" xfId="32" applyNumberFormat="1" applyFont="1" applyFill="1" applyBorder="1" applyAlignment="1">
      <alignment horizontal="center" vertical="center"/>
    </xf>
    <xf numFmtId="3" fontId="36" fillId="29" borderId="62" xfId="32" applyNumberFormat="1" applyFont="1" applyFill="1" applyBorder="1" applyAlignment="1">
      <alignment horizontal="center" vertical="center"/>
    </xf>
    <xf numFmtId="3" fontId="36" fillId="29" borderId="7" xfId="32" applyNumberFormat="1" applyFont="1" applyFill="1" applyBorder="1" applyAlignment="1">
      <alignment horizontal="center" vertical="center"/>
    </xf>
    <xf numFmtId="3" fontId="36" fillId="29" borderId="53" xfId="32" applyNumberFormat="1" applyFont="1" applyFill="1" applyBorder="1" applyAlignment="1">
      <alignment horizontal="center" vertical="center"/>
    </xf>
    <xf numFmtId="3" fontId="5" fillId="3" borderId="56" xfId="32" applyNumberFormat="1" applyFont="1" applyFill="1" applyBorder="1" applyAlignment="1" applyProtection="1">
      <alignment horizontal="center" vertical="center"/>
      <protection locked="0"/>
    </xf>
    <xf numFmtId="3" fontId="5" fillId="3" borderId="57" xfId="32" applyNumberFormat="1" applyFont="1" applyFill="1" applyBorder="1" applyAlignment="1" applyProtection="1">
      <alignment horizontal="center" vertical="center"/>
      <protection locked="0"/>
    </xf>
    <xf numFmtId="3" fontId="5" fillId="3" borderId="24" xfId="32" applyNumberFormat="1" applyFont="1" applyFill="1" applyBorder="1" applyAlignment="1" applyProtection="1">
      <alignment horizontal="center" vertical="center"/>
      <protection locked="0"/>
    </xf>
    <xf numFmtId="3" fontId="5" fillId="3" borderId="51" xfId="32" applyNumberFormat="1" applyFont="1" applyFill="1" applyBorder="1" applyAlignment="1" applyProtection="1">
      <alignment horizontal="center" vertical="center"/>
      <protection locked="0"/>
    </xf>
    <xf numFmtId="3" fontId="5" fillId="3" borderId="17" xfId="32" applyNumberFormat="1" applyFont="1" applyFill="1" applyBorder="1" applyAlignment="1" applyProtection="1">
      <alignment horizontal="center" vertical="center"/>
      <protection locked="0"/>
    </xf>
    <xf numFmtId="3" fontId="5" fillId="3" borderId="21" xfId="32" applyNumberFormat="1" applyFont="1" applyFill="1" applyBorder="1" applyAlignment="1" applyProtection="1">
      <alignment horizontal="center" vertical="center"/>
      <protection locked="0"/>
    </xf>
    <xf numFmtId="3" fontId="5" fillId="3" borderId="79" xfId="32" applyNumberFormat="1" applyFont="1" applyFill="1" applyBorder="1" applyAlignment="1" applyProtection="1">
      <alignment horizontal="center" vertical="center"/>
      <protection locked="0"/>
    </xf>
    <xf numFmtId="3" fontId="5" fillId="3" borderId="77" xfId="32" applyNumberFormat="1" applyFont="1" applyFill="1" applyBorder="1" applyAlignment="1" applyProtection="1">
      <alignment horizontal="center" vertical="center"/>
      <protection locked="0"/>
    </xf>
    <xf numFmtId="3" fontId="40" fillId="29" borderId="52" xfId="32" applyNumberFormat="1" applyFont="1" applyFill="1" applyBorder="1" applyAlignment="1">
      <alignment horizontal="center" vertical="center"/>
    </xf>
    <xf numFmtId="3" fontId="40" fillId="29" borderId="53" xfId="32" applyNumberFormat="1" applyFont="1" applyFill="1" applyBorder="1" applyAlignment="1">
      <alignment horizontal="center" vertical="center"/>
    </xf>
    <xf numFmtId="3" fontId="34" fillId="29" borderId="32" xfId="32" applyNumberFormat="1" applyFont="1" applyFill="1" applyBorder="1" applyAlignment="1">
      <alignment horizontal="center" vertical="center"/>
    </xf>
    <xf numFmtId="3" fontId="34" fillId="29" borderId="7" xfId="32" applyNumberFormat="1" applyFont="1" applyFill="1" applyBorder="1" applyAlignment="1">
      <alignment horizontal="center" vertical="center"/>
    </xf>
    <xf numFmtId="3" fontId="34" fillId="29" borderId="53" xfId="32" applyNumberFormat="1" applyFont="1" applyFill="1" applyBorder="1" applyAlignment="1">
      <alignment horizontal="center" vertical="center"/>
    </xf>
    <xf numFmtId="3" fontId="34" fillId="29" borderId="62" xfId="32" applyNumberFormat="1" applyFont="1" applyFill="1" applyBorder="1" applyAlignment="1">
      <alignment horizontal="center" vertical="center"/>
    </xf>
    <xf numFmtId="0" fontId="35" fillId="24" borderId="39" xfId="32" applyFont="1" applyFill="1" applyBorder="1" applyAlignment="1">
      <alignment horizontal="center" vertical="center"/>
    </xf>
    <xf numFmtId="0" fontId="35" fillId="30" borderId="39" xfId="32" applyFont="1" applyFill="1" applyBorder="1" applyAlignment="1">
      <alignment horizontal="center" vertical="center"/>
    </xf>
    <xf numFmtId="9" fontId="35" fillId="30" borderId="39" xfId="1" applyFont="1" applyFill="1" applyBorder="1" applyAlignment="1">
      <alignment horizontal="center" vertical="center"/>
    </xf>
    <xf numFmtId="3" fontId="35" fillId="30" borderId="39" xfId="32" applyNumberFormat="1" applyFont="1" applyFill="1" applyBorder="1" applyAlignment="1">
      <alignment horizontal="left" vertical="center" wrapText="1"/>
    </xf>
    <xf numFmtId="3" fontId="36" fillId="0" borderId="54" xfId="32" applyNumberFormat="1" applyFont="1" applyFill="1" applyBorder="1" applyAlignment="1">
      <alignment horizontal="center" vertical="center"/>
    </xf>
    <xf numFmtId="3" fontId="36" fillId="0" borderId="55" xfId="32" applyNumberFormat="1" applyFont="1" applyFill="1" applyBorder="1" applyAlignment="1">
      <alignment horizontal="center" vertical="center"/>
    </xf>
    <xf numFmtId="3" fontId="35" fillId="0" borderId="69" xfId="32" applyNumberFormat="1" applyFont="1" applyFill="1" applyBorder="1" applyAlignment="1">
      <alignment horizontal="center" vertical="center"/>
    </xf>
    <xf numFmtId="3" fontId="35" fillId="0" borderId="63" xfId="32" applyNumberFormat="1" applyFont="1" applyFill="1" applyBorder="1" applyAlignment="1">
      <alignment horizontal="center" vertical="center"/>
    </xf>
    <xf numFmtId="3" fontId="35" fillId="0" borderId="64" xfId="32" applyNumberFormat="1" applyFont="1" applyFill="1" applyBorder="1" applyAlignment="1">
      <alignment horizontal="center" vertical="center"/>
    </xf>
    <xf numFmtId="3" fontId="81" fillId="3" borderId="55" xfId="32" applyNumberFormat="1" applyFont="1" applyFill="1" applyBorder="1" applyAlignment="1">
      <alignment horizontal="center" vertical="center"/>
    </xf>
    <xf numFmtId="0" fontId="34" fillId="34" borderId="51" xfId="32" applyFont="1" applyFill="1" applyBorder="1" applyAlignment="1">
      <alignment horizontal="center" vertical="center"/>
    </xf>
    <xf numFmtId="0" fontId="34" fillId="34" borderId="51" xfId="32" applyFont="1" applyFill="1" applyBorder="1" applyAlignment="1">
      <alignment horizontal="left" vertical="center"/>
    </xf>
    <xf numFmtId="0" fontId="34" fillId="34" borderId="51" xfId="32" applyFont="1" applyFill="1" applyBorder="1" applyAlignment="1">
      <alignment vertical="center" wrapText="1"/>
    </xf>
    <xf numFmtId="3" fontId="76" fillId="34" borderId="14" xfId="32" applyNumberFormat="1" applyFont="1" applyFill="1" applyBorder="1" applyAlignment="1">
      <alignment horizontal="center" vertical="center"/>
    </xf>
    <xf numFmtId="0" fontId="34" fillId="29" borderId="34" xfId="32" applyFont="1" applyFill="1" applyBorder="1" applyAlignment="1">
      <alignment horizontal="center" vertical="center"/>
    </xf>
    <xf numFmtId="0" fontId="34" fillId="29" borderId="34" xfId="32" applyFont="1" applyFill="1" applyBorder="1" applyAlignment="1">
      <alignment horizontal="left" vertical="center"/>
    </xf>
    <xf numFmtId="0" fontId="34" fillId="29" borderId="34" xfId="32" applyFont="1" applyFill="1" applyBorder="1" applyAlignment="1">
      <alignment vertical="center" wrapText="1"/>
    </xf>
    <xf numFmtId="3" fontId="40" fillId="29" borderId="56" xfId="32" applyNumberFormat="1" applyFont="1" applyFill="1" applyBorder="1" applyAlignment="1">
      <alignment horizontal="center" vertical="center"/>
    </xf>
    <xf numFmtId="3" fontId="40" fillId="29" borderId="57" xfId="32" applyNumberFormat="1" applyFont="1" applyFill="1" applyBorder="1" applyAlignment="1">
      <alignment horizontal="center" vertical="center"/>
    </xf>
    <xf numFmtId="3" fontId="34" fillId="29" borderId="70" xfId="32" applyNumberFormat="1" applyFont="1" applyFill="1" applyBorder="1" applyAlignment="1">
      <alignment horizontal="center" vertical="center"/>
    </xf>
    <xf numFmtId="3" fontId="34" fillId="29" borderId="71" xfId="32" applyNumberFormat="1" applyFont="1" applyFill="1" applyBorder="1" applyAlignment="1">
      <alignment horizontal="center" vertical="center"/>
    </xf>
    <xf numFmtId="3" fontId="34" fillId="29" borderId="48" xfId="32" applyNumberFormat="1" applyFont="1" applyFill="1" applyBorder="1" applyAlignment="1">
      <alignment horizontal="center" vertical="center"/>
    </xf>
    <xf numFmtId="3" fontId="34" fillId="29" borderId="110" xfId="32" applyNumberFormat="1" applyFont="1" applyFill="1" applyBorder="1" applyAlignment="1">
      <alignment horizontal="center" vertical="center"/>
    </xf>
    <xf numFmtId="3" fontId="40" fillId="29" borderId="47" xfId="32" applyNumberFormat="1" applyFont="1" applyFill="1" applyBorder="1" applyAlignment="1">
      <alignment horizontal="center" vertical="center"/>
    </xf>
    <xf numFmtId="3" fontId="40" fillId="29" borderId="48" xfId="32" applyNumberFormat="1" applyFont="1" applyFill="1" applyBorder="1" applyAlignment="1">
      <alignment horizontal="center" vertical="center"/>
    </xf>
    <xf numFmtId="3" fontId="61" fillId="29" borderId="43" xfId="32" applyNumberFormat="1" applyFont="1" applyFill="1" applyBorder="1" applyAlignment="1">
      <alignment horizontal="center" vertical="center"/>
    </xf>
    <xf numFmtId="3" fontId="5" fillId="3" borderId="15" xfId="32" applyNumberFormat="1" applyFont="1" applyFill="1" applyBorder="1" applyAlignment="1" applyProtection="1">
      <alignment horizontal="center" vertical="center"/>
      <protection locked="0"/>
    </xf>
    <xf numFmtId="0" fontId="34" fillId="30" borderId="5" xfId="32" applyFont="1" applyFill="1" applyBorder="1" applyAlignment="1">
      <alignment horizontal="center" vertical="center"/>
    </xf>
    <xf numFmtId="0" fontId="35" fillId="0" borderId="5" xfId="0" applyFont="1" applyFill="1" applyBorder="1" applyAlignment="1">
      <alignment horizontal="center" vertical="center"/>
    </xf>
    <xf numFmtId="9" fontId="35" fillId="30" borderId="5" xfId="1" applyFont="1" applyFill="1" applyBorder="1" applyAlignment="1">
      <alignment horizontal="center" vertical="center"/>
    </xf>
    <xf numFmtId="3" fontId="35" fillId="30" borderId="25" xfId="32" applyNumberFormat="1" applyFont="1" applyFill="1" applyBorder="1" applyAlignment="1">
      <alignment horizontal="left" vertical="center" wrapText="1"/>
    </xf>
    <xf numFmtId="3" fontId="5" fillId="3" borderId="49" xfId="32" applyNumberFormat="1" applyFont="1" applyFill="1" applyBorder="1" applyAlignment="1" applyProtection="1">
      <alignment horizontal="center" vertical="center"/>
      <protection locked="0"/>
    </xf>
    <xf numFmtId="3" fontId="5" fillId="3" borderId="50" xfId="32" applyNumberFormat="1" applyFont="1" applyFill="1" applyBorder="1" applyAlignment="1" applyProtection="1">
      <alignment horizontal="center" vertical="center"/>
      <protection locked="0"/>
    </xf>
    <xf numFmtId="3" fontId="5" fillId="3" borderId="44" xfId="32" applyNumberFormat="1" applyFont="1" applyFill="1" applyBorder="1" applyAlignment="1" applyProtection="1">
      <alignment horizontal="center" vertical="center"/>
      <protection locked="0"/>
    </xf>
    <xf numFmtId="3" fontId="5" fillId="3" borderId="31" xfId="32" applyNumberFormat="1" applyFont="1" applyFill="1" applyBorder="1" applyAlignment="1" applyProtection="1">
      <alignment horizontal="center" vertical="center"/>
      <protection locked="0"/>
    </xf>
    <xf numFmtId="3" fontId="34" fillId="30" borderId="33" xfId="32" applyNumberFormat="1" applyFont="1" applyFill="1" applyBorder="1" applyAlignment="1">
      <alignment horizontal="center" vertical="center"/>
    </xf>
    <xf numFmtId="3" fontId="36" fillId="0" borderId="49" xfId="32" applyNumberFormat="1" applyFont="1" applyFill="1" applyBorder="1" applyAlignment="1">
      <alignment horizontal="center" vertical="center"/>
    </xf>
    <xf numFmtId="3" fontId="36" fillId="0" borderId="50" xfId="32" applyNumberFormat="1" applyFont="1" applyFill="1" applyBorder="1" applyAlignment="1">
      <alignment horizontal="center" vertical="center"/>
    </xf>
    <xf numFmtId="3" fontId="35" fillId="0" borderId="44" xfId="32" applyNumberFormat="1" applyFont="1" applyFill="1" applyBorder="1" applyAlignment="1">
      <alignment horizontal="center" vertical="center"/>
    </xf>
    <xf numFmtId="3" fontId="35" fillId="0" borderId="31" xfId="32" applyNumberFormat="1" applyFont="1" applyFill="1" applyBorder="1" applyAlignment="1">
      <alignment horizontal="center" vertical="center"/>
    </xf>
    <xf numFmtId="3" fontId="35" fillId="0" borderId="61" xfId="32" applyNumberFormat="1" applyFont="1" applyFill="1" applyBorder="1" applyAlignment="1">
      <alignment horizontal="center" vertical="center"/>
    </xf>
    <xf numFmtId="3" fontId="81" fillId="29" borderId="50" xfId="32" applyNumberFormat="1" applyFont="1" applyFill="1" applyBorder="1" applyAlignment="1">
      <alignment horizontal="center" vertical="center"/>
    </xf>
    <xf numFmtId="3" fontId="5" fillId="3" borderId="25" xfId="32" applyNumberFormat="1" applyFont="1" applyFill="1" applyBorder="1" applyAlignment="1" applyProtection="1">
      <alignment horizontal="center" vertical="center"/>
      <protection locked="0"/>
    </xf>
    <xf numFmtId="3" fontId="5" fillId="3" borderId="5" xfId="32" applyNumberFormat="1" applyFont="1" applyFill="1" applyBorder="1" applyAlignment="1" applyProtection="1">
      <alignment horizontal="center" vertical="center"/>
      <protection locked="0"/>
    </xf>
    <xf numFmtId="3" fontId="36" fillId="30" borderId="5" xfId="32" applyNumberFormat="1" applyFont="1" applyFill="1" applyBorder="1" applyAlignment="1">
      <alignment horizontal="left" vertical="center" wrapText="1"/>
    </xf>
    <xf numFmtId="0" fontId="34" fillId="34" borderId="2" xfId="32" applyFont="1" applyFill="1" applyBorder="1" applyAlignment="1">
      <alignment horizontal="center" vertical="center"/>
    </xf>
    <xf numFmtId="0" fontId="34" fillId="34" borderId="2" xfId="32" applyFont="1" applyFill="1" applyBorder="1" applyAlignment="1">
      <alignment horizontal="left" vertical="center"/>
    </xf>
    <xf numFmtId="0" fontId="34" fillId="34" borderId="2" xfId="32" applyFont="1" applyFill="1" applyBorder="1" applyAlignment="1">
      <alignment vertical="center" wrapText="1"/>
    </xf>
    <xf numFmtId="3" fontId="40" fillId="34" borderId="38" xfId="32" applyNumberFormat="1" applyFont="1" applyFill="1" applyBorder="1" applyAlignment="1">
      <alignment horizontal="center" vertical="center"/>
    </xf>
    <xf numFmtId="3" fontId="40" fillId="34" borderId="10" xfId="32" applyNumberFormat="1" applyFont="1" applyFill="1" applyBorder="1" applyAlignment="1">
      <alignment horizontal="center" vertical="center"/>
    </xf>
    <xf numFmtId="3" fontId="34" fillId="34" borderId="65" xfId="32" applyNumberFormat="1" applyFont="1" applyFill="1" applyBorder="1" applyAlignment="1">
      <alignment horizontal="center" vertical="center"/>
    </xf>
    <xf numFmtId="3" fontId="34" fillId="34" borderId="9" xfId="32" applyNumberFormat="1" applyFont="1" applyFill="1" applyBorder="1" applyAlignment="1">
      <alignment horizontal="center" vertical="center"/>
    </xf>
    <xf numFmtId="3" fontId="34" fillId="34" borderId="10" xfId="32" applyNumberFormat="1" applyFont="1" applyFill="1" applyBorder="1" applyAlignment="1">
      <alignment horizontal="center" vertical="center"/>
    </xf>
    <xf numFmtId="3" fontId="34" fillId="34" borderId="1" xfId="32" applyNumberFormat="1" applyFont="1" applyFill="1" applyBorder="1" applyAlignment="1">
      <alignment horizontal="center" vertical="center"/>
    </xf>
    <xf numFmtId="3" fontId="34" fillId="34" borderId="60" xfId="32" applyNumberFormat="1" applyFont="1" applyFill="1" applyBorder="1" applyAlignment="1">
      <alignment horizontal="center" vertical="center"/>
    </xf>
    <xf numFmtId="3" fontId="61" fillId="34" borderId="3" xfId="32" applyNumberFormat="1" applyFont="1" applyFill="1" applyBorder="1" applyAlignment="1">
      <alignment horizontal="center" vertical="center"/>
    </xf>
    <xf numFmtId="3" fontId="35" fillId="32" borderId="38" xfId="49" applyNumberFormat="1" applyFont="1" applyFill="1" applyBorder="1" applyAlignment="1" applyProtection="1">
      <alignment horizontal="right"/>
      <protection locked="0"/>
    </xf>
    <xf numFmtId="3" fontId="35" fillId="32" borderId="60" xfId="49" applyNumberFormat="1" applyFont="1" applyFill="1" applyBorder="1" applyAlignment="1" applyProtection="1">
      <alignment horizontal="right"/>
      <protection locked="0"/>
    </xf>
    <xf numFmtId="3" fontId="35" fillId="32" borderId="2" xfId="49" applyNumberFormat="1" applyFont="1" applyFill="1" applyBorder="1" applyAlignment="1" applyProtection="1">
      <alignment horizontal="center"/>
      <protection locked="0"/>
    </xf>
    <xf numFmtId="3" fontId="35" fillId="32" borderId="65" xfId="49" applyNumberFormat="1" applyFont="1" applyFill="1" applyBorder="1" applyAlignment="1" applyProtection="1">
      <alignment horizontal="center"/>
      <protection locked="0"/>
    </xf>
    <xf numFmtId="3" fontId="35" fillId="32" borderId="9" xfId="49" applyNumberFormat="1" applyFont="1" applyFill="1" applyBorder="1" applyAlignment="1" applyProtection="1">
      <alignment horizontal="center"/>
      <protection locked="0"/>
    </xf>
    <xf numFmtId="3" fontId="35" fillId="32" borderId="10" xfId="49" applyNumberFormat="1" applyFont="1" applyFill="1" applyBorder="1" applyAlignment="1" applyProtection="1">
      <alignment horizontal="right"/>
      <protection locked="0"/>
    </xf>
    <xf numFmtId="3" fontId="35" fillId="32" borderId="3" xfId="49" applyNumberFormat="1" applyFont="1" applyFill="1" applyBorder="1" applyAlignment="1" applyProtection="1">
      <alignment horizontal="left"/>
      <protection locked="0"/>
    </xf>
    <xf numFmtId="3" fontId="35" fillId="0" borderId="5" xfId="32" applyNumberFormat="1" applyFont="1" applyFill="1" applyBorder="1" applyAlignment="1">
      <alignment horizontal="center" vertical="center" wrapText="1"/>
    </xf>
    <xf numFmtId="3" fontId="35" fillId="0" borderId="17" xfId="32" applyNumberFormat="1" applyFont="1" applyFill="1" applyBorder="1" applyAlignment="1">
      <alignment horizontal="center" vertical="center" wrapText="1"/>
    </xf>
    <xf numFmtId="1" fontId="34" fillId="40" borderId="43" xfId="32" applyNumberFormat="1" applyFont="1" applyFill="1" applyBorder="1" applyAlignment="1">
      <alignment horizontal="center" vertical="center"/>
    </xf>
    <xf numFmtId="3" fontId="35" fillId="32" borderId="3" xfId="49" applyNumberFormat="1" applyFont="1" applyFill="1" applyBorder="1" applyAlignment="1" applyProtection="1">
      <alignment horizontal="center"/>
      <protection locked="0"/>
    </xf>
    <xf numFmtId="3" fontId="36" fillId="29" borderId="32" xfId="32" applyNumberFormat="1" applyFont="1" applyFill="1" applyBorder="1" applyAlignment="1">
      <alignment horizontal="center" vertical="center"/>
    </xf>
    <xf numFmtId="3" fontId="35" fillId="29" borderId="5" xfId="32" applyNumberFormat="1" applyFont="1" applyFill="1" applyBorder="1" applyAlignment="1">
      <alignment horizontal="center" vertical="center" wrapText="1"/>
    </xf>
    <xf numFmtId="0" fontId="34" fillId="40" borderId="2" xfId="0" applyFont="1" applyFill="1" applyBorder="1" applyAlignment="1">
      <alignment horizontal="center" vertical="center" wrapText="1"/>
    </xf>
    <xf numFmtId="0" fontId="34" fillId="24" borderId="39" xfId="32" applyFont="1" applyFill="1" applyBorder="1" applyAlignment="1">
      <alignment horizontal="center" vertical="center"/>
    </xf>
    <xf numFmtId="0" fontId="35" fillId="0" borderId="39" xfId="0" applyFont="1" applyFill="1" applyBorder="1" applyAlignment="1">
      <alignment horizontal="center" vertical="center"/>
    </xf>
    <xf numFmtId="3" fontId="35" fillId="30" borderId="36" xfId="32" applyNumberFormat="1" applyFont="1" applyFill="1" applyBorder="1" applyAlignment="1">
      <alignment horizontal="left" vertical="center" wrapText="1"/>
    </xf>
    <xf numFmtId="3" fontId="34" fillId="30" borderId="37" xfId="32" applyNumberFormat="1" applyFont="1" applyFill="1" applyBorder="1" applyAlignment="1">
      <alignment horizontal="center" vertical="center"/>
    </xf>
    <xf numFmtId="3" fontId="81" fillId="29" borderId="55" xfId="32" applyNumberFormat="1" applyFont="1" applyFill="1" applyBorder="1" applyAlignment="1">
      <alignment horizontal="center" vertical="center"/>
    </xf>
    <xf numFmtId="3" fontId="5" fillId="3" borderId="39" xfId="32" applyNumberFormat="1" applyFont="1" applyFill="1" applyBorder="1" applyAlignment="1" applyProtection="1">
      <alignment horizontal="center" vertical="center"/>
      <protection locked="0"/>
    </xf>
    <xf numFmtId="3" fontId="35" fillId="0" borderId="39" xfId="32" applyNumberFormat="1" applyFont="1" applyFill="1" applyBorder="1" applyAlignment="1">
      <alignment horizontal="center" vertical="center" wrapText="1"/>
    </xf>
    <xf numFmtId="3" fontId="36" fillId="0" borderId="39" xfId="32" applyNumberFormat="1" applyFont="1" applyFill="1" applyBorder="1" applyAlignment="1">
      <alignment horizontal="left" vertical="center" wrapText="1"/>
    </xf>
    <xf numFmtId="0" fontId="35" fillId="30" borderId="5" xfId="32" applyFont="1" applyFill="1" applyBorder="1" applyAlignment="1">
      <alignment horizontal="center" vertical="center"/>
    </xf>
    <xf numFmtId="0" fontId="35" fillId="0" borderId="5" xfId="32" applyFont="1" applyFill="1" applyBorder="1" applyAlignment="1">
      <alignment horizontal="center" vertical="center"/>
    </xf>
    <xf numFmtId="3" fontId="35" fillId="30" borderId="5" xfId="32" applyNumberFormat="1" applyFont="1" applyFill="1" applyBorder="1" applyAlignment="1">
      <alignment horizontal="left" vertical="center" wrapText="1"/>
    </xf>
    <xf numFmtId="3" fontId="34" fillId="30" borderId="25" xfId="32" applyNumberFormat="1" applyFont="1" applyFill="1" applyBorder="1" applyAlignment="1">
      <alignment horizontal="center" vertical="center"/>
    </xf>
    <xf numFmtId="3" fontId="81" fillId="3" borderId="50" xfId="32" applyNumberFormat="1" applyFont="1" applyFill="1" applyBorder="1" applyAlignment="1">
      <alignment horizontal="center" vertical="center"/>
    </xf>
    <xf numFmtId="3" fontId="36" fillId="29" borderId="5" xfId="32" applyNumberFormat="1" applyFont="1" applyFill="1" applyBorder="1" applyAlignment="1">
      <alignment horizontal="left" vertical="center" wrapText="1"/>
    </xf>
    <xf numFmtId="3" fontId="61" fillId="34" borderId="10" xfId="32" applyNumberFormat="1" applyFont="1" applyFill="1" applyBorder="1" applyAlignment="1">
      <alignment horizontal="center" vertical="center"/>
    </xf>
    <xf numFmtId="3" fontId="34" fillId="34" borderId="2" xfId="32" applyNumberFormat="1" applyFont="1" applyFill="1" applyBorder="1" applyAlignment="1">
      <alignment horizontal="right" vertical="center" wrapText="1"/>
    </xf>
    <xf numFmtId="3" fontId="34" fillId="34" borderId="10" xfId="32" applyNumberFormat="1" applyFont="1" applyFill="1" applyBorder="1" applyAlignment="1">
      <alignment horizontal="right" vertical="center" wrapText="1"/>
    </xf>
    <xf numFmtId="3" fontId="34" fillId="34" borderId="2" xfId="32" applyNumberFormat="1" applyFont="1" applyFill="1" applyBorder="1" applyAlignment="1">
      <alignment horizontal="center" vertical="center" wrapText="1"/>
    </xf>
    <xf numFmtId="3" fontId="34" fillId="34" borderId="65" xfId="32" applyNumberFormat="1" applyFont="1" applyFill="1" applyBorder="1" applyAlignment="1">
      <alignment horizontal="center" vertical="center" wrapText="1"/>
    </xf>
    <xf numFmtId="3" fontId="34" fillId="34" borderId="9" xfId="32" applyNumberFormat="1" applyFont="1" applyFill="1" applyBorder="1" applyAlignment="1">
      <alignment horizontal="center" vertical="center" wrapText="1"/>
    </xf>
    <xf numFmtId="3" fontId="34" fillId="34" borderId="10" xfId="32" applyNumberFormat="1" applyFont="1" applyFill="1" applyBorder="1" applyAlignment="1">
      <alignment horizontal="center" vertical="center" wrapText="1"/>
    </xf>
    <xf numFmtId="0" fontId="40" fillId="34" borderId="2" xfId="32" applyFont="1" applyFill="1" applyBorder="1" applyAlignment="1">
      <alignment horizontal="left" vertical="center" wrapText="1"/>
    </xf>
    <xf numFmtId="0" fontId="35" fillId="0" borderId="39" xfId="32" applyFont="1" applyFill="1" applyBorder="1" applyAlignment="1">
      <alignment horizontal="center" vertical="center"/>
    </xf>
    <xf numFmtId="3" fontId="35" fillId="0" borderId="5" xfId="32" applyNumberFormat="1" applyFont="1" applyFill="1" applyBorder="1" applyAlignment="1">
      <alignment horizontal="left" vertical="center" wrapText="1"/>
    </xf>
    <xf numFmtId="9" fontId="35" fillId="0" borderId="5" xfId="1" applyFont="1" applyFill="1" applyBorder="1" applyAlignment="1">
      <alignment horizontal="center" vertical="center"/>
    </xf>
    <xf numFmtId="3" fontId="5" fillId="3" borderId="6" xfId="32" applyNumberFormat="1" applyFont="1" applyFill="1" applyBorder="1" applyAlignment="1" applyProtection="1">
      <alignment horizontal="center" vertical="center"/>
      <protection locked="0"/>
    </xf>
    <xf numFmtId="3" fontId="36" fillId="0" borderId="5" xfId="32" applyNumberFormat="1" applyFont="1" applyFill="1" applyBorder="1" applyAlignment="1">
      <alignment horizontal="left" vertical="center" wrapText="1"/>
    </xf>
    <xf numFmtId="9" fontId="35" fillId="0" borderId="39" xfId="1" applyFont="1" applyFill="1" applyBorder="1" applyAlignment="1">
      <alignment horizontal="center" vertical="center"/>
    </xf>
    <xf numFmtId="3" fontId="35" fillId="0" borderId="39" xfId="32" applyNumberFormat="1" applyFont="1" applyFill="1" applyBorder="1" applyAlignment="1">
      <alignment horizontal="left" vertical="center" wrapText="1"/>
    </xf>
    <xf numFmtId="3" fontId="5" fillId="3" borderId="18" xfId="32" applyNumberFormat="1" applyFont="1" applyFill="1" applyBorder="1" applyAlignment="1" applyProtection="1">
      <alignment horizontal="center" vertical="center"/>
      <protection locked="0"/>
    </xf>
    <xf numFmtId="0" fontId="35" fillId="24" borderId="5" xfId="32" applyFont="1" applyFill="1" applyBorder="1" applyAlignment="1">
      <alignment horizontal="center" vertical="center"/>
    </xf>
    <xf numFmtId="9" fontId="35" fillId="29" borderId="5" xfId="1" applyFont="1" applyFill="1" applyBorder="1" applyAlignment="1">
      <alignment horizontal="center" vertical="center"/>
    </xf>
    <xf numFmtId="3" fontId="35" fillId="32" borderId="73" xfId="49" applyNumberFormat="1" applyFont="1" applyFill="1" applyBorder="1" applyAlignment="1" applyProtection="1">
      <alignment horizontal="right"/>
      <protection locked="0"/>
    </xf>
    <xf numFmtId="3" fontId="35" fillId="32" borderId="76" xfId="49" applyNumberFormat="1" applyFont="1" applyFill="1" applyBorder="1" applyAlignment="1" applyProtection="1">
      <alignment horizontal="left"/>
      <protection locked="0"/>
    </xf>
    <xf numFmtId="3" fontId="35" fillId="32" borderId="77" xfId="49" applyNumberFormat="1" applyFont="1" applyFill="1" applyBorder="1" applyAlignment="1" applyProtection="1">
      <alignment horizontal="center"/>
      <protection locked="0"/>
    </xf>
    <xf numFmtId="3" fontId="35" fillId="32" borderId="57" xfId="49" applyNumberFormat="1" applyFont="1" applyFill="1" applyBorder="1" applyAlignment="1" applyProtection="1">
      <alignment horizontal="left"/>
      <protection locked="0"/>
    </xf>
    <xf numFmtId="1" fontId="34" fillId="0" borderId="54" xfId="21" applyNumberFormat="1" applyFont="1" applyFill="1" applyBorder="1">
      <alignment horizontal="center" vertical="center" wrapText="1"/>
    </xf>
    <xf numFmtId="1" fontId="34" fillId="0" borderId="63" xfId="21" applyNumberFormat="1" applyFont="1" applyFill="1" applyBorder="1">
      <alignment horizontal="center" vertical="center" wrapText="1"/>
    </xf>
    <xf numFmtId="1" fontId="34" fillId="0" borderId="55" xfId="21" applyNumberFormat="1" applyFont="1" applyFill="1" applyBorder="1">
      <alignment horizontal="center" vertical="center" wrapText="1"/>
    </xf>
    <xf numFmtId="1" fontId="34" fillId="0" borderId="69" xfId="21" applyNumberFormat="1" applyFont="1" applyFill="1" applyBorder="1">
      <alignment horizontal="center" vertical="center" wrapText="1"/>
    </xf>
    <xf numFmtId="1" fontId="34" fillId="0" borderId="64" xfId="21" applyNumberFormat="1" applyFont="1" applyFill="1" applyBorder="1">
      <alignment horizontal="center" vertical="center" wrapText="1"/>
    </xf>
    <xf numFmtId="3" fontId="5" fillId="3" borderId="38" xfId="32" applyNumberFormat="1" applyFont="1" applyFill="1" applyBorder="1" applyAlignment="1" applyProtection="1">
      <alignment horizontal="center" vertical="center"/>
      <protection locked="0"/>
    </xf>
    <xf numFmtId="3" fontId="5" fillId="3" borderId="9" xfId="32" applyNumberFormat="1" applyFont="1" applyFill="1" applyBorder="1" applyAlignment="1" applyProtection="1">
      <alignment horizontal="center" vertical="center"/>
      <protection locked="0"/>
    </xf>
    <xf numFmtId="3" fontId="5" fillId="3" borderId="65" xfId="32" applyNumberFormat="1" applyFont="1" applyFill="1" applyBorder="1" applyAlignment="1" applyProtection="1">
      <alignment horizontal="center" vertical="center"/>
      <protection locked="0"/>
    </xf>
    <xf numFmtId="10" fontId="35" fillId="29" borderId="15" xfId="1" applyNumberFormat="1" applyFont="1" applyFill="1" applyBorder="1" applyAlignment="1">
      <alignment horizontal="right" vertical="center" wrapText="1"/>
    </xf>
    <xf numFmtId="173" fontId="34" fillId="40" borderId="54" xfId="31" applyNumberFormat="1" applyFont="1" applyFill="1" applyBorder="1" applyAlignment="1">
      <alignment vertical="center"/>
    </xf>
    <xf numFmtId="173" fontId="34" fillId="40" borderId="63" xfId="31" applyNumberFormat="1" applyFont="1" applyFill="1" applyBorder="1" applyAlignment="1">
      <alignment vertical="center"/>
    </xf>
    <xf numFmtId="173" fontId="34" fillId="40" borderId="55" xfId="31" applyNumberFormat="1" applyFont="1" applyFill="1" applyBorder="1" applyAlignment="1">
      <alignment vertical="center"/>
    </xf>
    <xf numFmtId="38" fontId="35" fillId="0" borderId="79" xfId="28" applyFont="1" applyFill="1" applyBorder="1">
      <alignment horizontal="right" vertical="center" wrapText="1"/>
    </xf>
    <xf numFmtId="0" fontId="5" fillId="0" borderId="54" xfId="0" applyFont="1" applyFill="1" applyBorder="1" applyAlignment="1">
      <alignment horizontal="center"/>
    </xf>
    <xf numFmtId="0" fontId="34" fillId="0" borderId="64" xfId="49" applyFont="1" applyFill="1" applyBorder="1" applyAlignment="1" applyProtection="1">
      <alignment horizontal="left" vertical="center" wrapText="1"/>
    </xf>
    <xf numFmtId="0" fontId="5" fillId="0" borderId="38" xfId="0" applyFont="1" applyFill="1" applyBorder="1" applyAlignment="1">
      <alignment horizontal="center"/>
    </xf>
    <xf numFmtId="0" fontId="5" fillId="0" borderId="66" xfId="0" applyFont="1" applyFill="1" applyBorder="1" applyAlignment="1">
      <alignment horizontal="center"/>
    </xf>
    <xf numFmtId="9" fontId="34" fillId="0" borderId="4" xfId="21" applyNumberFormat="1" applyFont="1" applyFill="1" applyBorder="1">
      <alignment horizontal="center" vertical="center" wrapText="1"/>
    </xf>
    <xf numFmtId="9" fontId="34" fillId="0" borderId="67" xfId="21" applyNumberFormat="1" applyFont="1" applyFill="1" applyBorder="1">
      <alignment horizontal="center" vertical="center" wrapText="1"/>
    </xf>
    <xf numFmtId="9" fontId="34" fillId="0" borderId="66" xfId="21" applyNumberFormat="1" applyFont="1" applyFill="1" applyBorder="1">
      <alignment horizontal="center" vertical="center" wrapText="1"/>
    </xf>
    <xf numFmtId="9" fontId="34" fillId="0" borderId="68" xfId="21" applyNumberFormat="1" applyFont="1" applyFill="1" applyBorder="1">
      <alignment horizontal="center" vertical="center" wrapText="1"/>
    </xf>
    <xf numFmtId="9" fontId="34" fillId="0" borderId="13" xfId="21" applyNumberFormat="1" applyFont="1" applyFill="1" applyBorder="1">
      <alignment horizontal="center" vertical="center" wrapText="1"/>
    </xf>
    <xf numFmtId="0" fontId="5" fillId="0" borderId="51" xfId="0" applyFont="1" applyBorder="1" applyAlignment="1">
      <alignment horizontal="center"/>
    </xf>
    <xf numFmtId="0" fontId="5" fillId="0" borderId="17" xfId="0" applyFont="1" applyBorder="1" applyAlignment="1">
      <alignment horizontal="center"/>
    </xf>
    <xf numFmtId="16" fontId="5" fillId="0" borderId="21" xfId="0" applyNumberFormat="1" applyFont="1" applyBorder="1" applyAlignment="1">
      <alignment horizontal="center"/>
    </xf>
    <xf numFmtId="0" fontId="35" fillId="29" borderId="25" xfId="49" applyFont="1" applyFill="1" applyBorder="1" applyAlignment="1">
      <alignment wrapText="1"/>
    </xf>
    <xf numFmtId="0" fontId="35" fillId="29" borderId="24" xfId="49" applyFont="1" applyFill="1" applyBorder="1" applyAlignment="1">
      <alignment wrapText="1"/>
    </xf>
    <xf numFmtId="3" fontId="34" fillId="34" borderId="35" xfId="49" applyNumberFormat="1" applyFont="1" applyFill="1" applyBorder="1" applyAlignment="1">
      <alignment horizontal="center" wrapText="1"/>
    </xf>
    <xf numFmtId="49" fontId="35" fillId="29" borderId="24" xfId="49" applyNumberFormat="1" applyFont="1" applyFill="1" applyBorder="1" applyAlignment="1">
      <alignment wrapText="1"/>
    </xf>
    <xf numFmtId="49" fontId="35" fillId="29" borderId="24" xfId="49" applyNumberFormat="1" applyFont="1" applyFill="1" applyBorder="1" applyAlignment="1">
      <alignment horizontal="right" wrapText="1"/>
    </xf>
    <xf numFmtId="49" fontId="35" fillId="29" borderId="24" xfId="49" applyNumberFormat="1" applyFont="1" applyFill="1" applyBorder="1" applyAlignment="1">
      <alignment horizontal="left" wrapText="1"/>
    </xf>
    <xf numFmtId="0" fontId="35" fillId="29" borderId="24" xfId="49" applyFont="1" applyFill="1" applyBorder="1" applyAlignment="1">
      <alignment horizontal="right" vertical="center" wrapText="1"/>
    </xf>
    <xf numFmtId="49" fontId="35" fillId="29" borderId="24" xfId="49" applyNumberFormat="1" applyFont="1" applyFill="1" applyBorder="1" applyAlignment="1">
      <alignment horizontal="left" vertical="center" wrapText="1"/>
    </xf>
    <xf numFmtId="0" fontId="35" fillId="29" borderId="24" xfId="49" applyFont="1" applyFill="1" applyBorder="1" applyAlignment="1">
      <alignment horizontal="left" vertical="center" wrapText="1"/>
    </xf>
    <xf numFmtId="0" fontId="35" fillId="29" borderId="25" xfId="0" applyFont="1" applyFill="1" applyBorder="1" applyAlignment="1">
      <alignment vertical="center" wrapText="1"/>
    </xf>
    <xf numFmtId="49" fontId="35" fillId="30" borderId="24" xfId="49" applyNumberFormat="1" applyFont="1" applyFill="1" applyBorder="1" applyAlignment="1">
      <alignment wrapText="1"/>
    </xf>
    <xf numFmtId="49" fontId="35" fillId="30" borderId="36" xfId="49" applyNumberFormat="1" applyFont="1" applyFill="1" applyBorder="1" applyAlignment="1">
      <alignment wrapText="1"/>
    </xf>
    <xf numFmtId="0" fontId="5" fillId="29" borderId="25" xfId="49" applyFont="1" applyFill="1" applyBorder="1" applyAlignment="1">
      <alignment wrapText="1"/>
    </xf>
    <xf numFmtId="3" fontId="14" fillId="30" borderId="58" xfId="49" applyNumberFormat="1" applyFont="1" applyFill="1" applyBorder="1" applyAlignment="1">
      <alignment horizontal="center" vertical="center" wrapText="1"/>
    </xf>
    <xf numFmtId="3" fontId="14" fillId="30" borderId="59" xfId="49" applyNumberFormat="1" applyFont="1" applyFill="1" applyBorder="1" applyAlignment="1">
      <alignment horizontal="center" vertical="center" wrapText="1"/>
    </xf>
    <xf numFmtId="3" fontId="14" fillId="30" borderId="26" xfId="49" applyNumberFormat="1" applyFont="1" applyFill="1" applyBorder="1" applyAlignment="1">
      <alignment horizontal="center" vertical="center" wrapText="1"/>
    </xf>
    <xf numFmtId="3" fontId="14" fillId="30" borderId="80" xfId="49" applyNumberFormat="1" applyFont="1" applyFill="1" applyBorder="1" applyAlignment="1">
      <alignment horizontal="center" vertical="center" wrapText="1"/>
    </xf>
    <xf numFmtId="0" fontId="14" fillId="30" borderId="25" xfId="49" applyFont="1" applyFill="1" applyBorder="1" applyAlignment="1">
      <alignment wrapText="1"/>
    </xf>
    <xf numFmtId="0" fontId="5" fillId="29" borderId="24" xfId="49" applyFont="1" applyFill="1" applyBorder="1" applyAlignment="1">
      <alignment vertical="center" wrapText="1"/>
    </xf>
    <xf numFmtId="0" fontId="14" fillId="29" borderId="24" xfId="49" applyFont="1" applyFill="1" applyBorder="1" applyAlignment="1">
      <alignment wrapText="1"/>
    </xf>
    <xf numFmtId="9" fontId="5" fillId="29" borderId="24" xfId="49" applyNumberFormat="1" applyFont="1" applyFill="1" applyBorder="1" applyAlignment="1">
      <alignment horizontal="left" vertical="center"/>
    </xf>
    <xf numFmtId="49" fontId="14" fillId="29" borderId="24" xfId="49" applyNumberFormat="1" applyFont="1" applyFill="1" applyBorder="1" applyAlignment="1">
      <alignment wrapText="1"/>
    </xf>
    <xf numFmtId="49" fontId="5" fillId="29" borderId="24" xfId="49" applyNumberFormat="1" applyFont="1" applyFill="1" applyBorder="1" applyAlignment="1">
      <alignment horizontal="left" wrapText="1"/>
    </xf>
    <xf numFmtId="49" fontId="37" fillId="29" borderId="24" xfId="49" applyNumberFormat="1" applyFont="1" applyFill="1" applyBorder="1" applyAlignment="1">
      <alignment horizontal="right" wrapText="1"/>
    </xf>
    <xf numFmtId="49" fontId="14" fillId="29" borderId="24" xfId="49" applyNumberFormat="1" applyFont="1" applyFill="1" applyBorder="1" applyAlignment="1">
      <alignment horizontal="left" wrapText="1"/>
    </xf>
    <xf numFmtId="0" fontId="37" fillId="29" borderId="24" xfId="49" applyFont="1" applyFill="1" applyBorder="1" applyAlignment="1">
      <alignment horizontal="right" vertical="center" wrapText="1"/>
    </xf>
    <xf numFmtId="0" fontId="5" fillId="29" borderId="24" xfId="49" applyFont="1" applyFill="1" applyBorder="1" applyAlignment="1">
      <alignment horizontal="left" vertical="center" wrapText="1"/>
    </xf>
    <xf numFmtId="0" fontId="14" fillId="29" borderId="24" xfId="49" applyFont="1" applyFill="1" applyBorder="1" applyAlignment="1">
      <alignment horizontal="left" vertical="center" wrapText="1"/>
    </xf>
    <xf numFmtId="49" fontId="14" fillId="30" borderId="30" xfId="49" applyNumberFormat="1" applyFont="1" applyFill="1" applyBorder="1" applyAlignment="1">
      <alignment wrapText="1"/>
    </xf>
    <xf numFmtId="3" fontId="14" fillId="21" borderId="32" xfId="49" applyNumberFormat="1" applyFont="1" applyFill="1" applyBorder="1" applyAlignment="1">
      <alignment horizontal="center" vertical="center"/>
    </xf>
    <xf numFmtId="3" fontId="5" fillId="3" borderId="62" xfId="32" applyNumberFormat="1" applyFont="1" applyFill="1" applyBorder="1" applyAlignment="1" applyProtection="1">
      <alignment horizontal="center" vertical="center"/>
      <protection locked="0"/>
    </xf>
    <xf numFmtId="9" fontId="14" fillId="29" borderId="30" xfId="49" applyNumberFormat="1" applyFont="1" applyFill="1" applyBorder="1" applyAlignment="1">
      <alignment horizontal="center" vertical="center"/>
    </xf>
    <xf numFmtId="168" fontId="36" fillId="0" borderId="17" xfId="49" applyNumberFormat="1" applyFont="1" applyFill="1" applyBorder="1" applyAlignment="1" applyProtection="1">
      <alignment horizontal="center" vertical="center" wrapText="1"/>
    </xf>
    <xf numFmtId="168" fontId="36" fillId="30" borderId="32" xfId="49" applyNumberFormat="1" applyFont="1" applyFill="1" applyBorder="1" applyAlignment="1" applyProtection="1">
      <alignment horizontal="center" vertical="center" wrapText="1"/>
    </xf>
    <xf numFmtId="168" fontId="36" fillId="30" borderId="15" xfId="49" applyNumberFormat="1" applyFont="1" applyFill="1" applyBorder="1" applyAlignment="1" applyProtection="1">
      <alignment horizontal="center" vertical="center" wrapText="1"/>
    </xf>
    <xf numFmtId="168" fontId="35" fillId="0" borderId="24" xfId="49" applyNumberFormat="1" applyFont="1" applyFill="1" applyBorder="1" applyAlignment="1" applyProtection="1">
      <alignment horizontal="center" vertical="center" wrapText="1"/>
    </xf>
    <xf numFmtId="168" fontId="36" fillId="30" borderId="17" xfId="49" applyNumberFormat="1" applyFont="1" applyFill="1" applyBorder="1" applyAlignment="1" applyProtection="1">
      <alignment horizontal="center" vertical="center" wrapText="1"/>
    </xf>
    <xf numFmtId="168" fontId="35" fillId="0" borderId="17" xfId="49" applyNumberFormat="1" applyFont="1" applyFill="1" applyBorder="1" applyAlignment="1" applyProtection="1">
      <alignment horizontal="center" vertical="center" wrapText="1"/>
    </xf>
    <xf numFmtId="168" fontId="35" fillId="30" borderId="32" xfId="49" applyNumberFormat="1" applyFont="1" applyFill="1" applyBorder="1" applyAlignment="1" applyProtection="1">
      <alignment horizontal="center" vertical="center" wrapText="1"/>
    </xf>
    <xf numFmtId="168" fontId="35" fillId="41" borderId="29" xfId="49" applyNumberFormat="1" applyFont="1" applyFill="1" applyBorder="1" applyAlignment="1" applyProtection="1">
      <alignment horizontal="center" vertical="center" wrapText="1"/>
    </xf>
    <xf numFmtId="168" fontId="35" fillId="41" borderId="51" xfId="49" applyNumberFormat="1" applyFont="1" applyFill="1" applyBorder="1" applyAlignment="1" applyProtection="1">
      <alignment horizontal="center" vertical="center" wrapText="1"/>
    </xf>
    <xf numFmtId="168" fontId="35" fillId="41" borderId="72" xfId="49" applyNumberFormat="1" applyFont="1" applyFill="1" applyBorder="1" applyAlignment="1" applyProtection="1">
      <alignment horizontal="center" vertical="center" wrapText="1"/>
    </xf>
    <xf numFmtId="168" fontId="35" fillId="41" borderId="73" xfId="49" applyNumberFormat="1" applyFont="1" applyFill="1" applyBorder="1" applyAlignment="1" applyProtection="1">
      <alignment horizontal="center" vertical="center" wrapText="1"/>
    </xf>
    <xf numFmtId="168" fontId="35" fillId="41" borderId="76" xfId="49" applyNumberFormat="1" applyFont="1" applyFill="1" applyBorder="1" applyAlignment="1" applyProtection="1">
      <alignment horizontal="center" vertical="center" wrapText="1"/>
    </xf>
    <xf numFmtId="168" fontId="35" fillId="41" borderId="24" xfId="49" applyNumberFormat="1" applyFont="1" applyFill="1" applyBorder="1" applyAlignment="1" applyProtection="1">
      <alignment horizontal="center" vertical="center" wrapText="1"/>
    </xf>
    <xf numFmtId="168" fontId="35" fillId="41" borderId="17" xfId="49" applyNumberFormat="1" applyFont="1" applyFill="1" applyBorder="1" applyAlignment="1" applyProtection="1">
      <alignment horizontal="center" vertical="center" wrapText="1"/>
    </xf>
    <xf numFmtId="168" fontId="35" fillId="41" borderId="32" xfId="49" applyNumberFormat="1" applyFont="1" applyFill="1" applyBorder="1" applyAlignment="1" applyProtection="1">
      <alignment horizontal="center" vertical="center" wrapText="1"/>
    </xf>
    <xf numFmtId="168" fontId="35" fillId="41" borderId="7" xfId="49" applyNumberFormat="1" applyFont="1" applyFill="1" applyBorder="1" applyAlignment="1" applyProtection="1">
      <alignment horizontal="center" vertical="center" wrapText="1"/>
    </xf>
    <xf numFmtId="168" fontId="35" fillId="41" borderId="53" xfId="49" applyNumberFormat="1" applyFont="1" applyFill="1" applyBorder="1" applyAlignment="1" applyProtection="1">
      <alignment horizontal="center" vertical="center" wrapText="1"/>
    </xf>
    <xf numFmtId="168" fontId="35" fillId="41" borderId="30" xfId="49" applyNumberFormat="1" applyFont="1" applyFill="1" applyBorder="1" applyAlignment="1" applyProtection="1">
      <alignment horizontal="center" vertical="center" wrapText="1"/>
    </xf>
    <xf numFmtId="168" fontId="35" fillId="41" borderId="21" xfId="49" applyNumberFormat="1" applyFont="1" applyFill="1" applyBorder="1" applyAlignment="1" applyProtection="1">
      <alignment horizontal="center" vertical="center" wrapText="1"/>
    </xf>
    <xf numFmtId="168" fontId="35" fillId="41" borderId="79" xfId="49" applyNumberFormat="1" applyFont="1" applyFill="1" applyBorder="1" applyAlignment="1" applyProtection="1">
      <alignment horizontal="center" vertical="center" wrapText="1"/>
    </xf>
    <xf numFmtId="168" fontId="35" fillId="41" borderId="77" xfId="49" applyNumberFormat="1" applyFont="1" applyFill="1" applyBorder="1" applyAlignment="1" applyProtection="1">
      <alignment horizontal="center" vertical="center" wrapText="1"/>
    </xf>
    <xf numFmtId="168" fontId="35" fillId="41" borderId="57" xfId="49" applyNumberFormat="1" applyFont="1" applyFill="1" applyBorder="1" applyAlignment="1" applyProtection="1">
      <alignment horizontal="center" vertical="center" wrapText="1"/>
    </xf>
    <xf numFmtId="3" fontId="35" fillId="32" borderId="25" xfId="49" applyNumberFormat="1" applyFont="1" applyFill="1" applyBorder="1" applyAlignment="1" applyProtection="1">
      <alignment horizontal="right"/>
      <protection locked="0"/>
    </xf>
    <xf numFmtId="3" fontId="35" fillId="32" borderId="24" xfId="49" applyNumberFormat="1" applyFont="1" applyFill="1" applyBorder="1" applyAlignment="1" applyProtection="1">
      <alignment horizontal="right"/>
      <protection locked="0"/>
    </xf>
    <xf numFmtId="3" fontId="35" fillId="32" borderId="30" xfId="49" applyNumberFormat="1" applyFont="1" applyFill="1" applyBorder="1" applyAlignment="1" applyProtection="1">
      <alignment horizontal="right"/>
      <protection locked="0"/>
    </xf>
    <xf numFmtId="168" fontId="124" fillId="29" borderId="27" xfId="49" applyNumberFormat="1" applyFont="1" applyFill="1" applyBorder="1" applyAlignment="1" applyProtection="1">
      <alignment horizontal="center" vertical="center" wrapText="1"/>
      <protection locked="0"/>
    </xf>
    <xf numFmtId="168" fontId="124" fillId="29" borderId="16" xfId="49" applyNumberFormat="1" applyFont="1" applyFill="1" applyBorder="1" applyAlignment="1" applyProtection="1">
      <alignment horizontal="center" vertical="center" wrapText="1"/>
      <protection locked="0"/>
    </xf>
    <xf numFmtId="168" fontId="34" fillId="26" borderId="26" xfId="49" applyNumberFormat="1" applyFont="1" applyFill="1" applyBorder="1" applyAlignment="1" applyProtection="1">
      <alignment horizontal="center" vertical="center" wrapText="1"/>
    </xf>
    <xf numFmtId="168" fontId="34" fillId="26" borderId="66" xfId="49" applyNumberFormat="1" applyFont="1" applyFill="1" applyBorder="1" applyAlignment="1" applyProtection="1">
      <alignment horizontal="center" vertical="center" wrapText="1"/>
    </xf>
    <xf numFmtId="174" fontId="118" fillId="26" borderId="68" xfId="49" applyNumberFormat="1" applyFont="1" applyFill="1" applyBorder="1" applyAlignment="1" applyProtection="1">
      <alignment horizontal="center" vertical="center" wrapText="1"/>
    </xf>
    <xf numFmtId="168" fontId="34" fillId="26" borderId="13" xfId="49" applyNumberFormat="1" applyFont="1" applyFill="1" applyBorder="1" applyAlignment="1" applyProtection="1">
      <alignment horizontal="center" vertical="center" wrapText="1"/>
    </xf>
    <xf numFmtId="168" fontId="34" fillId="26" borderId="0" xfId="49" applyNumberFormat="1" applyFont="1" applyFill="1" applyBorder="1" applyAlignment="1" applyProtection="1">
      <alignment horizontal="center" vertical="center" wrapText="1"/>
    </xf>
    <xf numFmtId="168" fontId="35" fillId="30" borderId="51" xfId="49" applyNumberFormat="1" applyFont="1" applyFill="1" applyBorder="1" applyAlignment="1" applyProtection="1">
      <alignment horizontal="center" vertical="center" wrapText="1"/>
    </xf>
    <xf numFmtId="168" fontId="35" fillId="30" borderId="22" xfId="49" applyNumberFormat="1" applyFont="1" applyFill="1" applyBorder="1" applyAlignment="1" applyProtection="1">
      <alignment horizontal="center" vertical="center" wrapText="1"/>
    </xf>
    <xf numFmtId="3" fontId="5" fillId="3" borderId="23" xfId="32" applyNumberFormat="1" applyFont="1" applyFill="1" applyBorder="1" applyAlignment="1" applyProtection="1">
      <alignment horizontal="center" vertical="center"/>
      <protection locked="0"/>
    </xf>
    <xf numFmtId="168" fontId="35" fillId="30" borderId="23" xfId="49" applyNumberFormat="1" applyFont="1" applyFill="1" applyBorder="1" applyAlignment="1" applyProtection="1">
      <alignment horizontal="center" vertical="center" wrapText="1"/>
    </xf>
    <xf numFmtId="3" fontId="5" fillId="3" borderId="28" xfId="32" applyNumberFormat="1" applyFont="1" applyFill="1" applyBorder="1" applyAlignment="1" applyProtection="1">
      <alignment horizontal="center" vertical="center"/>
      <protection locked="0"/>
    </xf>
    <xf numFmtId="170" fontId="115" fillId="40" borderId="79" xfId="49" applyNumberFormat="1" applyFont="1" applyFill="1" applyBorder="1" applyAlignment="1" applyProtection="1">
      <alignment horizontal="center" wrapText="1"/>
    </xf>
    <xf numFmtId="168" fontId="123" fillId="30" borderId="72" xfId="49" applyNumberFormat="1" applyFont="1" applyFill="1" applyBorder="1" applyAlignment="1" applyProtection="1">
      <alignment horizontal="center" vertical="center" wrapText="1"/>
    </xf>
    <xf numFmtId="168" fontId="115" fillId="30" borderId="32" xfId="49" applyNumberFormat="1" applyFont="1" applyFill="1" applyBorder="1" applyAlignment="1" applyProtection="1">
      <alignment horizontal="center" vertical="center" wrapText="1"/>
    </xf>
    <xf numFmtId="174" fontId="107" fillId="40" borderId="78" xfId="49" applyNumberFormat="1" applyFont="1" applyFill="1" applyBorder="1" applyAlignment="1" applyProtection="1">
      <alignment horizontal="center" wrapText="1"/>
    </xf>
    <xf numFmtId="174" fontId="118" fillId="26" borderId="67" xfId="49" applyNumberFormat="1" applyFont="1" applyFill="1" applyBorder="1" applyAlignment="1" applyProtection="1">
      <alignment horizontal="center" vertical="center" wrapText="1"/>
    </xf>
    <xf numFmtId="174" fontId="107" fillId="30" borderId="74" xfId="49" applyNumberFormat="1" applyFont="1" applyFill="1" applyBorder="1" applyAlignment="1" applyProtection="1">
      <alignment horizontal="center" vertical="center" wrapText="1"/>
    </xf>
    <xf numFmtId="174" fontId="107" fillId="30" borderId="62" xfId="49" applyNumberFormat="1" applyFont="1" applyFill="1" applyBorder="1" applyAlignment="1" applyProtection="1">
      <alignment horizontal="center" vertical="center" wrapText="1"/>
    </xf>
    <xf numFmtId="3" fontId="5" fillId="3" borderId="78" xfId="32" applyNumberFormat="1" applyFont="1" applyFill="1" applyBorder="1" applyAlignment="1" applyProtection="1">
      <alignment horizontal="center" vertical="center"/>
      <protection locked="0"/>
    </xf>
    <xf numFmtId="170" fontId="34" fillId="40" borderId="51" xfId="49" applyNumberFormat="1" applyFont="1" applyFill="1" applyBorder="1" applyAlignment="1" applyProtection="1">
      <alignment horizontal="center"/>
    </xf>
    <xf numFmtId="168" fontId="123" fillId="30" borderId="51" xfId="49" applyNumberFormat="1" applyFont="1" applyFill="1" applyBorder="1" applyAlignment="1" applyProtection="1">
      <alignment horizontal="center" vertical="center" wrapText="1"/>
    </xf>
    <xf numFmtId="168" fontId="116" fillId="26" borderId="0" xfId="49" applyNumberFormat="1" applyFont="1" applyFill="1" applyBorder="1" applyAlignment="1" applyProtection="1">
      <alignment horizontal="center" vertical="center" wrapText="1"/>
    </xf>
    <xf numFmtId="168" fontId="123" fillId="30" borderId="22" xfId="49" applyNumberFormat="1" applyFont="1" applyFill="1" applyBorder="1" applyAlignment="1" applyProtection="1">
      <alignment horizontal="center" vertical="center" wrapText="1"/>
    </xf>
    <xf numFmtId="0" fontId="34" fillId="2" borderId="42" xfId="0" applyFont="1" applyFill="1" applyBorder="1" applyAlignment="1">
      <alignment horizontal="center" vertical="center"/>
    </xf>
    <xf numFmtId="4" fontId="35" fillId="0" borderId="72" xfId="0" applyNumberFormat="1" applyFont="1" applyFill="1" applyBorder="1" applyAlignment="1" applyProtection="1">
      <alignment horizontal="center" vertical="center"/>
    </xf>
    <xf numFmtId="4" fontId="35" fillId="0" borderId="14" xfId="0" applyNumberFormat="1" applyFont="1" applyFill="1" applyBorder="1" applyAlignment="1" applyProtection="1">
      <alignment horizontal="center" vertical="center"/>
    </xf>
    <xf numFmtId="4" fontId="35" fillId="0" borderId="32" xfId="0" applyNumberFormat="1" applyFont="1" applyFill="1" applyBorder="1" applyAlignment="1" applyProtection="1">
      <alignment horizontal="center" vertical="center"/>
    </xf>
    <xf numFmtId="4" fontId="35" fillId="0" borderId="15" xfId="0" applyNumberFormat="1" applyFont="1" applyFill="1" applyBorder="1" applyAlignment="1" applyProtection="1">
      <alignment horizontal="center" vertical="center"/>
    </xf>
    <xf numFmtId="4" fontId="34" fillId="21" borderId="32" xfId="0" applyNumberFormat="1" applyFont="1" applyFill="1" applyBorder="1" applyAlignment="1" applyProtection="1">
      <alignment horizontal="center" vertical="center"/>
    </xf>
    <xf numFmtId="4" fontId="34" fillId="21" borderId="15" xfId="0" applyNumberFormat="1" applyFont="1" applyFill="1" applyBorder="1" applyAlignment="1" applyProtection="1">
      <alignment horizontal="center" vertical="center"/>
    </xf>
    <xf numFmtId="4" fontId="35" fillId="0" borderId="7" xfId="0" applyNumberFormat="1" applyFont="1" applyFill="1" applyBorder="1" applyAlignment="1" applyProtection="1">
      <alignment horizontal="center" vertical="center"/>
    </xf>
    <xf numFmtId="4" fontId="35" fillId="21" borderId="32" xfId="0" applyNumberFormat="1" applyFont="1" applyFill="1" applyBorder="1" applyAlignment="1" applyProtection="1">
      <alignment horizontal="center" vertical="center"/>
    </xf>
    <xf numFmtId="4" fontId="35" fillId="21" borderId="7" xfId="0" applyNumberFormat="1" applyFont="1" applyFill="1" applyBorder="1" applyAlignment="1" applyProtection="1">
      <alignment horizontal="center" vertical="center"/>
    </xf>
    <xf numFmtId="4" fontId="35" fillId="21" borderId="15" xfId="0" applyNumberFormat="1" applyFont="1" applyFill="1" applyBorder="1" applyAlignment="1" applyProtection="1">
      <alignment horizontal="center" vertical="center"/>
    </xf>
    <xf numFmtId="4" fontId="35" fillId="0" borderId="53" xfId="0" applyNumberFormat="1" applyFont="1" applyFill="1" applyBorder="1" applyAlignment="1" applyProtection="1">
      <alignment horizontal="center" vertical="center"/>
    </xf>
    <xf numFmtId="10" fontId="35" fillId="0" borderId="69" xfId="1" applyNumberFormat="1" applyFont="1" applyFill="1" applyBorder="1" applyAlignment="1" applyProtection="1">
      <alignment horizontal="center" vertical="center"/>
    </xf>
    <xf numFmtId="10" fontId="35" fillId="0" borderId="63" xfId="1" applyNumberFormat="1" applyFont="1" applyFill="1" applyBorder="1" applyAlignment="1" applyProtection="1">
      <alignment horizontal="center" vertical="center"/>
    </xf>
    <xf numFmtId="10" fontId="35" fillId="0" borderId="55" xfId="1" applyNumberFormat="1" applyFont="1" applyFill="1" applyBorder="1" applyAlignment="1" applyProtection="1">
      <alignment horizontal="center" vertical="center"/>
    </xf>
    <xf numFmtId="4" fontId="35" fillId="21" borderId="69" xfId="0" applyNumberFormat="1" applyFont="1" applyFill="1" applyBorder="1" applyAlignment="1" applyProtection="1">
      <alignment horizontal="center" vertical="center"/>
    </xf>
    <xf numFmtId="4" fontId="35" fillId="21" borderId="63" xfId="0" applyNumberFormat="1" applyFont="1" applyFill="1" applyBorder="1" applyAlignment="1" applyProtection="1">
      <alignment horizontal="center" vertical="center"/>
    </xf>
    <xf numFmtId="4" fontId="35" fillId="21" borderId="55" xfId="0" applyNumberFormat="1" applyFont="1" applyFill="1" applyBorder="1" applyAlignment="1" applyProtection="1">
      <alignment horizontal="center" vertical="center"/>
    </xf>
    <xf numFmtId="4" fontId="34" fillId="22" borderId="65" xfId="0" applyNumberFormat="1" applyFont="1" applyFill="1" applyBorder="1" applyAlignment="1" applyProtection="1">
      <alignment horizontal="center" vertical="center"/>
    </xf>
    <xf numFmtId="4" fontId="34" fillId="22" borderId="9" xfId="0" applyNumberFormat="1" applyFont="1" applyFill="1" applyBorder="1" applyAlignment="1" applyProtection="1">
      <alignment horizontal="center" vertical="center"/>
    </xf>
    <xf numFmtId="4" fontId="34" fillId="22" borderId="10" xfId="0" applyNumberFormat="1" applyFont="1" applyFill="1" applyBorder="1" applyAlignment="1" applyProtection="1">
      <alignment horizontal="center" vertical="center"/>
    </xf>
    <xf numFmtId="170" fontId="41" fillId="40" borderId="54" xfId="32" applyNumberFormat="1" applyFont="1" applyFill="1" applyBorder="1" applyAlignment="1" applyProtection="1">
      <alignment horizontal="center" wrapText="1"/>
    </xf>
    <xf numFmtId="170" fontId="41" fillId="40" borderId="63" xfId="32" applyNumberFormat="1" applyFont="1" applyFill="1" applyBorder="1" applyAlignment="1" applyProtection="1">
      <alignment horizontal="center" wrapText="1"/>
    </xf>
    <xf numFmtId="0" fontId="14" fillId="0" borderId="40" xfId="40" quotePrefix="1" applyFont="1" applyBorder="1" applyAlignment="1" applyProtection="1">
      <alignment horizontal="center" vertical="center" wrapText="1"/>
    </xf>
    <xf numFmtId="0" fontId="14" fillId="0" borderId="35" xfId="0" applyFont="1" applyBorder="1"/>
    <xf numFmtId="170" fontId="41" fillId="40" borderId="63" xfId="0" applyNumberFormat="1" applyFont="1" applyFill="1" applyBorder="1" applyAlignment="1" applyProtection="1">
      <alignment horizontal="center" wrapText="1"/>
    </xf>
    <xf numFmtId="170" fontId="41" fillId="40" borderId="55" xfId="0" applyNumberFormat="1" applyFont="1" applyFill="1" applyBorder="1" applyAlignment="1" applyProtection="1">
      <alignment horizontal="center" wrapText="1"/>
    </xf>
    <xf numFmtId="3" fontId="39" fillId="0" borderId="72" xfId="0" applyNumberFormat="1" applyFont="1" applyBorder="1" applyAlignment="1">
      <alignment horizontal="center" vertical="center"/>
    </xf>
    <xf numFmtId="3" fontId="39" fillId="0" borderId="73" xfId="0" applyNumberFormat="1" applyFont="1" applyBorder="1" applyAlignment="1">
      <alignment horizontal="center" vertical="center"/>
    </xf>
    <xf numFmtId="3" fontId="39" fillId="0" borderId="76" xfId="0" applyNumberFormat="1" applyFont="1" applyBorder="1" applyAlignment="1">
      <alignment horizontal="center" vertical="center"/>
    </xf>
    <xf numFmtId="3" fontId="39" fillId="32" borderId="24" xfId="49" applyNumberFormat="1" applyFont="1" applyFill="1" applyBorder="1" applyAlignment="1" applyProtection="1">
      <alignment horizontal="center"/>
      <protection locked="0"/>
    </xf>
    <xf numFmtId="3" fontId="39" fillId="32" borderId="30" xfId="49" applyNumberFormat="1" applyFont="1" applyFill="1" applyBorder="1" applyAlignment="1" applyProtection="1">
      <alignment horizontal="center"/>
      <protection locked="0"/>
    </xf>
    <xf numFmtId="170" fontId="15" fillId="40" borderId="58" xfId="0" applyNumberFormat="1" applyFont="1" applyFill="1" applyBorder="1" applyAlignment="1" applyProtection="1">
      <alignment horizontal="center" wrapText="1"/>
    </xf>
    <xf numFmtId="170" fontId="15" fillId="40" borderId="41" xfId="0" applyNumberFormat="1" applyFont="1" applyFill="1" applyBorder="1" applyAlignment="1" applyProtection="1">
      <alignment horizontal="center" wrapText="1"/>
    </xf>
    <xf numFmtId="0" fontId="14" fillId="40" borderId="45" xfId="0" applyFont="1" applyFill="1" applyBorder="1" applyAlignment="1" applyProtection="1">
      <alignment horizontal="center" vertical="center" wrapText="1"/>
    </xf>
    <xf numFmtId="0" fontId="34" fillId="40" borderId="58" xfId="0" applyFont="1" applyFill="1" applyBorder="1" applyAlignment="1" applyProtection="1">
      <alignment horizontal="center" vertical="center" wrapText="1"/>
    </xf>
    <xf numFmtId="49" fontId="14" fillId="0" borderId="75" xfId="0" applyNumberFormat="1" applyFont="1" applyBorder="1" applyAlignment="1" applyProtection="1">
      <alignment horizontal="center" vertical="center"/>
    </xf>
    <xf numFmtId="0" fontId="5" fillId="0" borderId="73" xfId="0" applyFont="1" applyFill="1" applyBorder="1" applyAlignment="1" applyProtection="1">
      <alignment vertical="center" wrapText="1"/>
    </xf>
    <xf numFmtId="49" fontId="5" fillId="0" borderId="56" xfId="0" applyNumberFormat="1" applyFont="1" applyBorder="1" applyAlignment="1" applyProtection="1">
      <alignment horizontal="center" vertical="center"/>
    </xf>
    <xf numFmtId="0" fontId="5" fillId="0" borderId="77" xfId="0" applyFont="1" applyFill="1" applyBorder="1" applyAlignment="1" applyProtection="1">
      <alignment horizontal="left" vertical="center" wrapText="1"/>
    </xf>
    <xf numFmtId="0" fontId="5" fillId="0" borderId="77" xfId="0" applyFont="1" applyFill="1" applyBorder="1" applyAlignment="1" applyProtection="1">
      <alignment horizontal="center" vertical="center"/>
    </xf>
    <xf numFmtId="0" fontId="14" fillId="0" borderId="11" xfId="0" applyFont="1" applyBorder="1" applyAlignment="1">
      <alignment horizontal="center" vertical="center"/>
    </xf>
    <xf numFmtId="0" fontId="14" fillId="0" borderId="0" xfId="0" applyFont="1" applyAlignment="1">
      <alignment horizontal="center" vertical="center"/>
    </xf>
    <xf numFmtId="0" fontId="5" fillId="0" borderId="0" xfId="0" applyNumberFormat="1" applyFont="1" applyAlignment="1">
      <alignment horizontal="center"/>
    </xf>
    <xf numFmtId="0" fontId="5" fillId="0" borderId="0" xfId="0" applyFont="1" applyAlignment="1">
      <alignment horizontal="right"/>
    </xf>
    <xf numFmtId="3" fontId="41" fillId="0" borderId="4" xfId="0" applyNumberFormat="1" applyFont="1" applyBorder="1" applyAlignment="1" applyProtection="1">
      <alignment horizontal="center" vertical="center"/>
    </xf>
    <xf numFmtId="3" fontId="41" fillId="0" borderId="68" xfId="0" applyNumberFormat="1" applyFont="1" applyBorder="1" applyAlignment="1" applyProtection="1">
      <alignment horizontal="center" vertical="center"/>
    </xf>
    <xf numFmtId="0" fontId="39" fillId="0" borderId="0" xfId="40" applyFont="1" applyAlignment="1" applyProtection="1">
      <alignment horizontal="right" vertical="center"/>
    </xf>
    <xf numFmtId="3" fontId="35" fillId="32" borderId="7" xfId="49" applyNumberFormat="1" applyFont="1" applyFill="1" applyBorder="1" applyAlignment="1" applyProtection="1">
      <alignment horizontal="right"/>
    </xf>
    <xf numFmtId="3" fontId="35" fillId="32" borderId="77" xfId="49" applyNumberFormat="1" applyFont="1" applyFill="1" applyBorder="1" applyAlignment="1" applyProtection="1">
      <alignment horizontal="right"/>
    </xf>
    <xf numFmtId="0" fontId="35" fillId="0" borderId="29" xfId="0" applyFont="1" applyFill="1" applyBorder="1" applyAlignment="1">
      <alignment horizontal="right"/>
    </xf>
    <xf numFmtId="0" fontId="35" fillId="0" borderId="24" xfId="0" applyFont="1" applyFill="1" applyBorder="1" applyAlignment="1">
      <alignment horizontal="right"/>
    </xf>
    <xf numFmtId="0" fontId="35" fillId="0" borderId="30" xfId="0" applyFont="1" applyFill="1" applyBorder="1" applyAlignment="1">
      <alignment horizontal="right"/>
    </xf>
    <xf numFmtId="2" fontId="35" fillId="2" borderId="51" xfId="0" applyNumberFormat="1" applyFont="1" applyFill="1" applyBorder="1" applyAlignment="1">
      <alignment horizontal="center" vertical="center"/>
    </xf>
    <xf numFmtId="2" fontId="35" fillId="2" borderId="17" xfId="0" applyNumberFormat="1" applyFont="1" applyFill="1" applyBorder="1" applyAlignment="1">
      <alignment horizontal="center" vertical="center"/>
    </xf>
    <xf numFmtId="2" fontId="35" fillId="2" borderId="21" xfId="0" applyNumberFormat="1" applyFont="1" applyFill="1" applyBorder="1" applyAlignment="1">
      <alignment horizontal="center" vertical="center"/>
    </xf>
    <xf numFmtId="3" fontId="5" fillId="0" borderId="72" xfId="0" applyNumberFormat="1" applyFont="1" applyFill="1" applyBorder="1" applyAlignment="1" applyProtection="1">
      <alignment horizontal="center" vertical="center" wrapText="1"/>
    </xf>
    <xf numFmtId="3" fontId="5" fillId="0" borderId="73" xfId="0" applyNumberFormat="1" applyFont="1" applyFill="1" applyBorder="1" applyAlignment="1" applyProtection="1">
      <alignment horizontal="center" vertical="center" wrapText="1"/>
    </xf>
    <xf numFmtId="3" fontId="5" fillId="0" borderId="76" xfId="0" applyNumberFormat="1" applyFont="1" applyFill="1" applyBorder="1" applyAlignment="1" applyProtection="1">
      <alignment horizontal="center" vertical="center" wrapText="1"/>
    </xf>
    <xf numFmtId="3" fontId="5" fillId="0" borderId="79" xfId="0" applyNumberFormat="1" applyFont="1" applyFill="1" applyBorder="1" applyAlignment="1" applyProtection="1">
      <alignment horizontal="center" vertical="center" wrapText="1"/>
    </xf>
    <xf numFmtId="3" fontId="5" fillId="0" borderId="77" xfId="0" applyNumberFormat="1" applyFont="1" applyFill="1" applyBorder="1" applyAlignment="1" applyProtection="1">
      <alignment horizontal="center" vertical="center" wrapText="1"/>
    </xf>
    <xf numFmtId="3" fontId="5" fillId="0" borderId="57" xfId="0" applyNumberFormat="1" applyFont="1" applyFill="1" applyBorder="1" applyAlignment="1" applyProtection="1">
      <alignment horizontal="center" vertical="center" wrapText="1"/>
    </xf>
    <xf numFmtId="3" fontId="5" fillId="0" borderId="32" xfId="1" applyNumberFormat="1" applyFont="1" applyFill="1" applyBorder="1" applyAlignment="1" applyProtection="1">
      <alignment horizontal="center" vertical="center"/>
    </xf>
    <xf numFmtId="3" fontId="5" fillId="0" borderId="7" xfId="1" applyNumberFormat="1" applyFont="1" applyFill="1" applyBorder="1" applyAlignment="1" applyProtection="1">
      <alignment horizontal="center" vertical="center"/>
    </xf>
    <xf numFmtId="3" fontId="5" fillId="0" borderId="53" xfId="1" applyNumberFormat="1" applyFont="1" applyFill="1" applyBorder="1" applyAlignment="1" applyProtection="1">
      <alignment horizontal="center" vertical="center"/>
    </xf>
    <xf numFmtId="3" fontId="5" fillId="0" borderId="72" xfId="1" applyNumberFormat="1" applyFont="1" applyFill="1" applyBorder="1" applyAlignment="1" applyProtection="1">
      <alignment horizontal="center" vertical="center"/>
    </xf>
    <xf numFmtId="3" fontId="5" fillId="0" borderId="73" xfId="1" applyNumberFormat="1" applyFont="1" applyFill="1" applyBorder="1" applyAlignment="1" applyProtection="1">
      <alignment horizontal="center" vertical="center"/>
    </xf>
    <xf numFmtId="3" fontId="5" fillId="0" borderId="76" xfId="1" applyNumberFormat="1" applyFont="1" applyFill="1" applyBorder="1" applyAlignment="1" applyProtection="1">
      <alignment horizontal="center" vertical="center"/>
    </xf>
    <xf numFmtId="3" fontId="5" fillId="0" borderId="32" xfId="0" applyNumberFormat="1" applyFont="1" applyFill="1" applyBorder="1" applyAlignment="1" applyProtection="1">
      <alignment horizontal="center" vertical="center" wrapText="1"/>
    </xf>
    <xf numFmtId="3" fontId="5" fillId="0" borderId="7" xfId="0" applyNumberFormat="1" applyFont="1" applyFill="1" applyBorder="1" applyAlignment="1" applyProtection="1">
      <alignment horizontal="center" vertical="center" wrapText="1"/>
    </xf>
    <xf numFmtId="3" fontId="5" fillId="0" borderId="53" xfId="0" applyNumberFormat="1" applyFont="1" applyFill="1" applyBorder="1" applyAlignment="1" applyProtection="1">
      <alignment horizontal="center" vertical="center" wrapText="1"/>
    </xf>
    <xf numFmtId="3" fontId="5" fillId="29" borderId="72" xfId="0" applyNumberFormat="1" applyFont="1" applyFill="1" applyBorder="1" applyAlignment="1" applyProtection="1">
      <alignment horizontal="center" vertical="center" wrapText="1"/>
    </xf>
    <xf numFmtId="3" fontId="5" fillId="29" borderId="73" xfId="0" applyNumberFormat="1" applyFont="1" applyFill="1" applyBorder="1" applyAlignment="1" applyProtection="1">
      <alignment horizontal="center" vertical="center" wrapText="1"/>
    </xf>
    <xf numFmtId="3" fontId="5" fillId="29" borderId="76" xfId="0" applyNumberFormat="1" applyFont="1" applyFill="1" applyBorder="1" applyAlignment="1" applyProtection="1">
      <alignment horizontal="center" vertical="center" wrapText="1"/>
    </xf>
    <xf numFmtId="3" fontId="5" fillId="29" borderId="79" xfId="0" applyNumberFormat="1" applyFont="1" applyFill="1" applyBorder="1" applyAlignment="1" applyProtection="1">
      <alignment horizontal="center" vertical="center" wrapText="1"/>
    </xf>
    <xf numFmtId="3" fontId="5" fillId="29" borderId="77" xfId="0" applyNumberFormat="1" applyFont="1" applyFill="1" applyBorder="1" applyAlignment="1" applyProtection="1">
      <alignment horizontal="center" vertical="center" wrapText="1"/>
    </xf>
    <xf numFmtId="3" fontId="5" fillId="29" borderId="57" xfId="0" applyNumberFormat="1" applyFont="1" applyFill="1" applyBorder="1" applyAlignment="1" applyProtection="1">
      <alignment horizontal="center" vertical="center" wrapText="1"/>
    </xf>
    <xf numFmtId="172" fontId="14" fillId="29" borderId="32" xfId="0" applyNumberFormat="1" applyFont="1" applyFill="1" applyBorder="1" applyAlignment="1" applyProtection="1">
      <alignment horizontal="center" vertical="center" wrapText="1"/>
    </xf>
    <xf numFmtId="172" fontId="14" fillId="29" borderId="7" xfId="0" applyNumberFormat="1" applyFont="1" applyFill="1" applyBorder="1" applyAlignment="1" applyProtection="1">
      <alignment horizontal="center" vertical="center" wrapText="1"/>
    </xf>
    <xf numFmtId="172" fontId="14" fillId="29" borderId="53" xfId="0" applyNumberFormat="1" applyFont="1" applyFill="1" applyBorder="1" applyAlignment="1" applyProtection="1">
      <alignment horizontal="center" vertical="center" wrapText="1"/>
    </xf>
    <xf numFmtId="3" fontId="14" fillId="0" borderId="32" xfId="0" applyNumberFormat="1" applyFont="1" applyFill="1" applyBorder="1" applyAlignment="1" applyProtection="1">
      <alignment horizontal="center" vertical="center"/>
    </xf>
    <xf numFmtId="3" fontId="14" fillId="0" borderId="7" xfId="0" applyNumberFormat="1" applyFont="1" applyFill="1" applyBorder="1" applyAlignment="1" applyProtection="1">
      <alignment horizontal="center" vertical="center"/>
    </xf>
    <xf numFmtId="3" fontId="14" fillId="0" borderId="53" xfId="0" applyNumberFormat="1" applyFont="1" applyFill="1" applyBorder="1" applyAlignment="1" applyProtection="1">
      <alignment horizontal="center" vertical="center"/>
    </xf>
    <xf numFmtId="3" fontId="14" fillId="0" borderId="72" xfId="0" applyNumberFormat="1" applyFont="1" applyFill="1" applyBorder="1" applyAlignment="1" applyProtection="1">
      <alignment horizontal="center" vertical="center"/>
    </xf>
    <xf numFmtId="3" fontId="14" fillId="0" borderId="73" xfId="0" applyNumberFormat="1" applyFont="1" applyFill="1" applyBorder="1" applyAlignment="1" applyProtection="1">
      <alignment horizontal="center" vertical="center"/>
    </xf>
    <xf numFmtId="3" fontId="14" fillId="0" borderId="76" xfId="0" applyNumberFormat="1" applyFont="1" applyFill="1" applyBorder="1" applyAlignment="1" applyProtection="1">
      <alignment horizontal="center" vertical="center"/>
    </xf>
    <xf numFmtId="3" fontId="35" fillId="31" borderId="52" xfId="0" applyNumberFormat="1" applyFont="1" applyFill="1" applyBorder="1" applyAlignment="1" applyProtection="1">
      <alignment horizontal="center" vertical="center"/>
      <protection locked="0"/>
    </xf>
    <xf numFmtId="3" fontId="35" fillId="31" borderId="7" xfId="0" applyNumberFormat="1" applyFont="1" applyFill="1" applyBorder="1" applyAlignment="1" applyProtection="1">
      <alignment horizontal="center" vertical="center"/>
      <protection locked="0"/>
    </xf>
    <xf numFmtId="3" fontId="35" fillId="31" borderId="53" xfId="0" applyNumberFormat="1" applyFont="1" applyFill="1" applyBorder="1" applyAlignment="1" applyProtection="1">
      <alignment horizontal="center" vertical="center"/>
      <protection locked="0"/>
    </xf>
    <xf numFmtId="3" fontId="35" fillId="31" borderId="52" xfId="0" applyNumberFormat="1" applyFont="1" applyFill="1" applyBorder="1" applyAlignment="1" applyProtection="1">
      <alignment horizontal="right" vertical="center"/>
      <protection locked="0"/>
    </xf>
    <xf numFmtId="3" fontId="35" fillId="31" borderId="7" xfId="0" applyNumberFormat="1" applyFont="1" applyFill="1" applyBorder="1" applyAlignment="1" applyProtection="1">
      <alignment horizontal="right" vertical="center"/>
      <protection locked="0"/>
    </xf>
    <xf numFmtId="3" fontId="35" fillId="31" borderId="53" xfId="0" applyNumberFormat="1" applyFont="1" applyFill="1" applyBorder="1" applyAlignment="1" applyProtection="1">
      <alignment horizontal="right" vertical="center"/>
      <protection locked="0"/>
    </xf>
    <xf numFmtId="3" fontId="36" fillId="31" borderId="52" xfId="0" applyNumberFormat="1" applyFont="1" applyFill="1" applyBorder="1" applyAlignment="1" applyProtection="1">
      <alignment horizontal="center" vertical="center"/>
      <protection locked="0"/>
    </xf>
    <xf numFmtId="3" fontId="36" fillId="31" borderId="7" xfId="0" applyNumberFormat="1" applyFont="1" applyFill="1" applyBorder="1" applyAlignment="1" applyProtection="1">
      <alignment horizontal="center" vertical="center"/>
      <protection locked="0"/>
    </xf>
    <xf numFmtId="3" fontId="36" fillId="31" borderId="53" xfId="0" applyNumberFormat="1" applyFont="1" applyFill="1" applyBorder="1" applyAlignment="1" applyProtection="1">
      <alignment horizontal="center" vertical="center"/>
      <protection locked="0"/>
    </xf>
    <xf numFmtId="3" fontId="36" fillId="31" borderId="56" xfId="0" applyNumberFormat="1" applyFont="1" applyFill="1" applyBorder="1" applyAlignment="1" applyProtection="1">
      <alignment horizontal="center" vertical="center"/>
      <protection locked="0"/>
    </xf>
    <xf numFmtId="3" fontId="36" fillId="31" borderId="77" xfId="0" applyNumberFormat="1" applyFont="1" applyFill="1" applyBorder="1" applyAlignment="1" applyProtection="1">
      <alignment horizontal="center" vertical="center"/>
      <protection locked="0"/>
    </xf>
    <xf numFmtId="3" fontId="36" fillId="31" borderId="57" xfId="0" applyNumberFormat="1" applyFont="1" applyFill="1" applyBorder="1" applyAlignment="1" applyProtection="1">
      <alignment horizontal="center" vertical="center"/>
      <protection locked="0"/>
    </xf>
    <xf numFmtId="171" fontId="35" fillId="30" borderId="7" xfId="0" applyNumberFormat="1" applyFont="1" applyFill="1" applyBorder="1" applyAlignment="1" applyProtection="1">
      <alignment horizontal="center" vertical="center"/>
    </xf>
    <xf numFmtId="171" fontId="35" fillId="30" borderId="7" xfId="0" applyNumberFormat="1" applyFont="1" applyFill="1" applyBorder="1" applyAlignment="1" applyProtection="1">
      <alignment horizontal="center" vertical="center" wrapText="1"/>
    </xf>
    <xf numFmtId="171" fontId="34" fillId="26" borderId="7" xfId="0" applyNumberFormat="1" applyFont="1" applyFill="1" applyBorder="1" applyAlignment="1" applyProtection="1">
      <alignment horizontal="center" vertical="center"/>
    </xf>
    <xf numFmtId="3" fontId="35" fillId="32" borderId="7" xfId="49" applyNumberFormat="1" applyFont="1" applyFill="1" applyBorder="1" applyAlignment="1" applyProtection="1">
      <alignment horizontal="right" vertical="center"/>
    </xf>
    <xf numFmtId="4" fontId="7" fillId="29" borderId="7" xfId="0" applyNumberFormat="1" applyFont="1" applyFill="1" applyBorder="1" applyAlignment="1" applyProtection="1">
      <alignment horizontal="center" vertical="center"/>
    </xf>
    <xf numFmtId="3" fontId="34" fillId="26" borderId="7" xfId="0" applyNumberFormat="1" applyFont="1" applyFill="1" applyBorder="1" applyAlignment="1" applyProtection="1">
      <alignment horizontal="center" vertical="center"/>
    </xf>
    <xf numFmtId="3" fontId="7" fillId="29" borderId="7" xfId="0" applyNumberFormat="1" applyFont="1" applyFill="1" applyBorder="1" applyAlignment="1" applyProtection="1">
      <alignment horizontal="center" vertical="center"/>
    </xf>
    <xf numFmtId="171" fontId="116" fillId="29" borderId="7" xfId="49" applyNumberFormat="1" applyFont="1" applyFill="1" applyBorder="1" applyAlignment="1" applyProtection="1">
      <alignment horizontal="center" vertical="center"/>
    </xf>
    <xf numFmtId="171" fontId="116" fillId="29" borderId="62" xfId="49" applyNumberFormat="1" applyFont="1" applyFill="1" applyBorder="1" applyAlignment="1" applyProtection="1">
      <alignment horizontal="center" vertical="center"/>
    </xf>
    <xf numFmtId="3" fontId="0" fillId="30" borderId="95" xfId="0" applyNumberFormat="1" applyFill="1" applyBorder="1" applyAlignment="1" applyProtection="1">
      <alignment horizontal="center" vertical="center"/>
    </xf>
    <xf numFmtId="0" fontId="0" fillId="30" borderId="95" xfId="0" applyFill="1" applyBorder="1" applyAlignment="1" applyProtection="1">
      <alignment horizontal="center" vertical="center"/>
    </xf>
    <xf numFmtId="0" fontId="0" fillId="30" borderId="93" xfId="0" applyFill="1" applyBorder="1" applyAlignment="1" applyProtection="1">
      <alignment horizontal="center" vertical="center"/>
    </xf>
    <xf numFmtId="3" fontId="81" fillId="30" borderId="89" xfId="49" applyNumberFormat="1" applyFont="1" applyFill="1" applyBorder="1" applyAlignment="1" applyProtection="1">
      <alignment horizontal="center" vertical="center"/>
    </xf>
    <xf numFmtId="3" fontId="35" fillId="30" borderId="0" xfId="49" applyNumberFormat="1" applyFont="1" applyFill="1" applyBorder="1" applyAlignment="1" applyProtection="1">
      <alignment horizontal="center" vertical="center"/>
    </xf>
    <xf numFmtId="3" fontId="0" fillId="30" borderId="0" xfId="0" applyNumberFormat="1" applyFill="1" applyBorder="1" applyAlignment="1" applyProtection="1">
      <alignment horizontal="center" vertical="center"/>
    </xf>
    <xf numFmtId="0" fontId="0" fillId="30" borderId="0" xfId="0" applyFill="1" applyBorder="1" applyAlignment="1" applyProtection="1">
      <alignment horizontal="center" vertical="center"/>
    </xf>
    <xf numFmtId="0" fontId="7" fillId="29" borderId="7" xfId="0" applyFont="1" applyFill="1" applyBorder="1" applyAlignment="1" applyProtection="1">
      <alignment horizontal="center" vertical="center"/>
    </xf>
    <xf numFmtId="0" fontId="115" fillId="0" borderId="7" xfId="0" applyFont="1" applyFill="1" applyBorder="1" applyAlignment="1" applyProtection="1">
      <alignment horizontal="left" vertical="center" wrapText="1"/>
    </xf>
    <xf numFmtId="0" fontId="0" fillId="30" borderId="0" xfId="0" applyFill="1" applyBorder="1" applyAlignment="1" applyProtection="1">
      <alignment vertical="center"/>
    </xf>
    <xf numFmtId="3" fontId="35" fillId="32" borderId="63" xfId="49" applyNumberFormat="1" applyFont="1" applyFill="1" applyBorder="1" applyAlignment="1" applyProtection="1">
      <alignment horizontal="right" vertical="center"/>
    </xf>
    <xf numFmtId="4" fontId="7" fillId="29" borderId="63" xfId="0" applyNumberFormat="1" applyFont="1" applyFill="1" applyBorder="1" applyAlignment="1" applyProtection="1">
      <alignment horizontal="center" vertical="center"/>
    </xf>
    <xf numFmtId="3" fontId="34" fillId="26" borderId="7" xfId="0" applyNumberFormat="1" applyFont="1" applyFill="1" applyBorder="1" applyAlignment="1" applyProtection="1">
      <alignment horizontal="left" vertical="center" wrapText="1"/>
    </xf>
    <xf numFmtId="0" fontId="7" fillId="29" borderId="63" xfId="0" applyFont="1" applyFill="1" applyBorder="1" applyAlignment="1" applyProtection="1">
      <alignment horizontal="center" vertical="center"/>
    </xf>
    <xf numFmtId="3" fontId="7" fillId="29" borderId="63" xfId="0" applyNumberFormat="1" applyFont="1" applyFill="1" applyBorder="1" applyAlignment="1" applyProtection="1">
      <alignment horizontal="center" vertical="center"/>
    </xf>
    <xf numFmtId="0" fontId="35" fillId="29" borderId="7" xfId="0" applyFont="1" applyFill="1" applyBorder="1" applyAlignment="1" applyProtection="1">
      <alignment horizontal="center" vertical="center"/>
    </xf>
    <xf numFmtId="3" fontId="35" fillId="30" borderId="7" xfId="0" applyNumberFormat="1" applyFont="1" applyFill="1" applyBorder="1" applyAlignment="1" applyProtection="1">
      <alignment horizontal="center" vertical="center"/>
    </xf>
    <xf numFmtId="3" fontId="35" fillId="30" borderId="7" xfId="0" applyNumberFormat="1" applyFont="1" applyFill="1" applyBorder="1" applyAlignment="1" applyProtection="1">
      <alignment horizontal="center" vertical="center" wrapText="1"/>
    </xf>
    <xf numFmtId="3" fontId="35" fillId="30" borderId="63" xfId="0" applyNumberFormat="1" applyFont="1" applyFill="1" applyBorder="1" applyAlignment="1" applyProtection="1">
      <alignment horizontal="center" vertical="center"/>
    </xf>
    <xf numFmtId="171" fontId="35" fillId="30" borderId="63" xfId="0" applyNumberFormat="1" applyFont="1" applyFill="1" applyBorder="1" applyAlignment="1" applyProtection="1">
      <alignment horizontal="center" vertical="center"/>
    </xf>
    <xf numFmtId="3" fontId="34" fillId="26" borderId="9" xfId="0" applyNumberFormat="1" applyFont="1" applyFill="1" applyBorder="1" applyAlignment="1" applyProtection="1">
      <alignment horizontal="center" vertical="center"/>
    </xf>
    <xf numFmtId="4" fontId="34" fillId="26" borderId="9" xfId="0" applyNumberFormat="1" applyFont="1" applyFill="1" applyBorder="1" applyAlignment="1" applyProtection="1">
      <alignment horizontal="center" vertical="center"/>
    </xf>
    <xf numFmtId="4" fontId="34" fillId="26" borderId="10" xfId="0" applyNumberFormat="1" applyFont="1" applyFill="1" applyBorder="1" applyAlignment="1" applyProtection="1">
      <alignment horizontal="center" vertical="center"/>
    </xf>
    <xf numFmtId="171" fontId="35" fillId="30" borderId="31" xfId="0" applyNumberFormat="1" applyFont="1" applyFill="1" applyBorder="1" applyAlignment="1" applyProtection="1">
      <alignment horizontal="center" vertical="center"/>
    </xf>
    <xf numFmtId="3" fontId="34" fillId="26" borderId="17" xfId="32" applyNumberFormat="1" applyFont="1" applyFill="1" applyBorder="1" applyAlignment="1" applyProtection="1">
      <alignment horizontal="center" vertical="center"/>
    </xf>
    <xf numFmtId="3" fontId="35" fillId="29" borderId="17" xfId="32" applyNumberFormat="1" applyFont="1" applyFill="1" applyBorder="1" applyAlignment="1" applyProtection="1">
      <alignment horizontal="center" vertical="center"/>
    </xf>
    <xf numFmtId="3" fontId="35" fillId="29" borderId="23" xfId="32" applyNumberFormat="1" applyFont="1" applyFill="1" applyBorder="1" applyAlignment="1" applyProtection="1">
      <alignment horizontal="center" vertical="center"/>
    </xf>
    <xf numFmtId="3" fontId="35" fillId="29" borderId="24" xfId="32" applyNumberFormat="1" applyFont="1" applyFill="1" applyBorder="1" applyAlignment="1" applyProtection="1">
      <alignment horizontal="center" vertical="center"/>
    </xf>
    <xf numFmtId="3" fontId="34" fillId="34" borderId="17" xfId="32" applyNumberFormat="1" applyFont="1" applyFill="1" applyBorder="1" applyAlignment="1" applyProtection="1">
      <alignment horizontal="center" vertical="center"/>
    </xf>
    <xf numFmtId="175" fontId="34" fillId="26" borderId="17" xfId="32" applyNumberFormat="1" applyFont="1" applyFill="1" applyBorder="1" applyAlignment="1" applyProtection="1">
      <alignment horizontal="center" vertical="center"/>
    </xf>
    <xf numFmtId="175" fontId="34" fillId="0" borderId="0" xfId="32" applyNumberFormat="1" applyFont="1" applyFill="1" applyBorder="1" applyAlignment="1" applyProtection="1">
      <alignment horizontal="center" vertical="center"/>
    </xf>
    <xf numFmtId="3" fontId="81" fillId="0" borderId="89" xfId="32" applyNumberFormat="1" applyFont="1" applyFill="1" applyBorder="1" applyAlignment="1" applyProtection="1">
      <alignment horizontal="center" vertical="center"/>
    </xf>
    <xf numFmtId="3" fontId="34" fillId="34" borderId="38" xfId="32" applyNumberFormat="1" applyFont="1" applyFill="1" applyBorder="1" applyAlignment="1" applyProtection="1">
      <alignment horizontal="center" vertical="center"/>
    </xf>
    <xf numFmtId="3" fontId="34" fillId="34" borderId="9" xfId="32" applyNumberFormat="1" applyFont="1" applyFill="1" applyBorder="1" applyAlignment="1" applyProtection="1">
      <alignment horizontal="center" vertical="center"/>
    </xf>
    <xf numFmtId="3" fontId="34" fillId="34" borderId="10" xfId="32" applyNumberFormat="1" applyFont="1" applyFill="1" applyBorder="1" applyAlignment="1" applyProtection="1">
      <alignment horizontal="center" vertical="center"/>
    </xf>
    <xf numFmtId="3" fontId="14" fillId="34" borderId="38" xfId="32" applyNumberFormat="1" applyFont="1" applyFill="1" applyBorder="1" applyAlignment="1" applyProtection="1">
      <alignment horizontal="center" vertical="center"/>
    </xf>
    <xf numFmtId="3" fontId="14" fillId="34" borderId="9" xfId="32" applyNumberFormat="1" applyFont="1" applyFill="1" applyBorder="1" applyAlignment="1" applyProtection="1">
      <alignment horizontal="center" vertical="center"/>
    </xf>
    <xf numFmtId="3" fontId="14" fillId="34" borderId="10" xfId="32" applyNumberFormat="1" applyFont="1" applyFill="1" applyBorder="1" applyAlignment="1" applyProtection="1">
      <alignment horizontal="center" vertical="center"/>
    </xf>
    <xf numFmtId="3" fontId="35" fillId="32" borderId="38" xfId="49" applyNumberFormat="1" applyFont="1" applyFill="1" applyBorder="1" applyAlignment="1" applyProtection="1">
      <alignment horizontal="right" vertical="center"/>
    </xf>
    <xf numFmtId="3" fontId="35" fillId="32" borderId="9" xfId="49" applyNumberFormat="1" applyFont="1" applyFill="1" applyBorder="1" applyAlignment="1" applyProtection="1">
      <alignment horizontal="right" vertical="center"/>
    </xf>
    <xf numFmtId="3" fontId="35" fillId="32" borderId="10" xfId="49" applyNumberFormat="1" applyFont="1" applyFill="1" applyBorder="1" applyAlignment="1" applyProtection="1">
      <alignment horizontal="right" vertical="center"/>
    </xf>
    <xf numFmtId="3" fontId="61" fillId="29" borderId="9" xfId="32" applyNumberFormat="1" applyFont="1" applyFill="1" applyBorder="1" applyAlignment="1" applyProtection="1">
      <alignment horizontal="center" vertical="center"/>
    </xf>
    <xf numFmtId="3" fontId="61" fillId="29" borderId="10" xfId="32" applyNumberFormat="1" applyFont="1" applyFill="1" applyBorder="1" applyAlignment="1" applyProtection="1">
      <alignment horizontal="center" vertical="center"/>
    </xf>
    <xf numFmtId="3" fontId="34" fillId="34" borderId="65" xfId="32" applyNumberFormat="1" applyFont="1" applyFill="1" applyBorder="1" applyAlignment="1" applyProtection="1">
      <alignment horizontal="center" vertical="center"/>
    </xf>
    <xf numFmtId="3" fontId="118" fillId="29" borderId="65" xfId="32" applyNumberFormat="1" applyFont="1" applyFill="1" applyBorder="1" applyAlignment="1" applyProtection="1">
      <alignment horizontal="center" vertical="center"/>
    </xf>
    <xf numFmtId="3" fontId="118" fillId="29" borderId="9" xfId="32" applyNumberFormat="1" applyFont="1" applyFill="1" applyBorder="1" applyAlignment="1" applyProtection="1">
      <alignment horizontal="center" vertical="center"/>
    </xf>
    <xf numFmtId="3" fontId="118" fillId="29" borderId="10" xfId="32" applyNumberFormat="1" applyFont="1" applyFill="1" applyBorder="1" applyAlignment="1" applyProtection="1">
      <alignment horizontal="center" vertical="center"/>
    </xf>
    <xf numFmtId="3" fontId="34" fillId="34" borderId="80" xfId="32" applyNumberFormat="1" applyFont="1" applyFill="1" applyBorder="1" applyAlignment="1" applyProtection="1">
      <alignment horizontal="center" vertical="center"/>
    </xf>
    <xf numFmtId="3" fontId="34" fillId="34" borderId="58" xfId="32" applyNumberFormat="1" applyFont="1" applyFill="1" applyBorder="1" applyAlignment="1" applyProtection="1">
      <alignment horizontal="center" vertical="center"/>
    </xf>
    <xf numFmtId="3" fontId="34" fillId="34" borderId="46" xfId="32" applyNumberFormat="1" applyFont="1" applyFill="1" applyBorder="1" applyAlignment="1" applyProtection="1">
      <alignment horizontal="center" vertical="center"/>
    </xf>
    <xf numFmtId="3" fontId="61" fillId="30" borderId="65" xfId="32" applyNumberFormat="1" applyFont="1" applyFill="1" applyBorder="1" applyAlignment="1" applyProtection="1">
      <alignment horizontal="center" vertical="center"/>
    </xf>
    <xf numFmtId="3" fontId="61" fillId="30" borderId="9" xfId="32" applyNumberFormat="1" applyFont="1" applyFill="1" applyBorder="1" applyAlignment="1" applyProtection="1">
      <alignment horizontal="center" vertical="center"/>
    </xf>
    <xf numFmtId="3" fontId="61" fillId="30" borderId="10" xfId="32" applyNumberFormat="1" applyFont="1" applyFill="1" applyBorder="1" applyAlignment="1" applyProtection="1">
      <alignment horizontal="center" vertical="center"/>
    </xf>
    <xf numFmtId="0" fontId="5" fillId="0" borderId="21" xfId="0" applyFont="1" applyBorder="1" applyAlignment="1">
      <alignment horizontal="center" vertical="center"/>
    </xf>
    <xf numFmtId="0" fontId="13" fillId="0" borderId="0" xfId="0" applyFont="1" applyFill="1" applyAlignment="1">
      <alignment horizontal="center" vertical="center" wrapText="1"/>
    </xf>
    <xf numFmtId="2" fontId="34" fillId="40" borderId="29" xfId="49" applyNumberFormat="1" applyFont="1" applyFill="1" applyBorder="1" applyAlignment="1" applyProtection="1">
      <alignment horizontal="center" vertical="center" wrapText="1"/>
    </xf>
    <xf numFmtId="2" fontId="34" fillId="40" borderId="14" xfId="49" applyNumberFormat="1" applyFont="1" applyFill="1" applyBorder="1" applyAlignment="1" applyProtection="1">
      <alignment horizontal="center" vertical="center" wrapText="1"/>
    </xf>
    <xf numFmtId="3" fontId="35" fillId="3" borderId="7" xfId="0" applyNumberFormat="1" applyFont="1" applyFill="1" applyBorder="1" applyAlignment="1" applyProtection="1">
      <alignment horizontal="center" vertical="center" wrapText="1"/>
      <protection locked="0"/>
    </xf>
    <xf numFmtId="4" fontId="35" fillId="3" borderId="7" xfId="0" applyNumberFormat="1" applyFont="1" applyFill="1" applyBorder="1" applyAlignment="1" applyProtection="1">
      <alignment horizontal="center" vertical="center"/>
      <protection locked="0"/>
    </xf>
    <xf numFmtId="0" fontId="62" fillId="21" borderId="17" xfId="52" applyFont="1" applyFill="1" applyBorder="1" applyAlignment="1" applyProtection="1">
      <alignment horizontal="left" vertical="center" wrapText="1"/>
    </xf>
    <xf numFmtId="49" fontId="62" fillId="30" borderId="17" xfId="52" applyNumberFormat="1" applyFont="1" applyFill="1" applyBorder="1" applyAlignment="1" applyProtection="1">
      <alignment horizontal="center" vertical="center" wrapText="1"/>
    </xf>
    <xf numFmtId="0" fontId="34" fillId="34" borderId="38" xfId="32" applyFont="1" applyFill="1" applyBorder="1" applyAlignment="1" applyProtection="1">
      <alignment horizontal="center" vertical="center" wrapText="1"/>
    </xf>
    <xf numFmtId="0" fontId="34" fillId="34" borderId="60" xfId="32" applyFont="1" applyFill="1" applyBorder="1" applyAlignment="1" applyProtection="1">
      <alignment horizontal="center" vertical="center" wrapText="1"/>
    </xf>
    <xf numFmtId="49" fontId="34" fillId="26" borderId="9" xfId="32" applyNumberFormat="1" applyFont="1" applyFill="1" applyBorder="1" applyAlignment="1" applyProtection="1">
      <alignment horizontal="left" vertical="center"/>
    </xf>
    <xf numFmtId="0" fontId="35" fillId="30" borderId="49" xfId="32" applyFont="1" applyFill="1" applyBorder="1" applyAlignment="1" applyProtection="1">
      <alignment horizontal="center"/>
    </xf>
    <xf numFmtId="49" fontId="35" fillId="30" borderId="61" xfId="32" applyNumberFormat="1" applyFont="1" applyFill="1" applyBorder="1" applyAlignment="1" applyProtection="1">
      <alignment horizontal="left" vertical="center" wrapText="1"/>
    </xf>
    <xf numFmtId="0" fontId="35" fillId="30" borderId="52" xfId="32" applyFont="1" applyFill="1" applyBorder="1" applyAlignment="1" applyProtection="1">
      <alignment horizontal="center"/>
    </xf>
    <xf numFmtId="49" fontId="35" fillId="30" borderId="62" xfId="32" applyNumberFormat="1" applyFont="1" applyFill="1" applyBorder="1" applyAlignment="1" applyProtection="1">
      <alignment horizontal="left" vertical="center" wrapText="1"/>
    </xf>
    <xf numFmtId="49" fontId="35" fillId="30" borderId="62" xfId="32" applyNumberFormat="1" applyFont="1" applyFill="1" applyBorder="1" applyAlignment="1" applyProtection="1">
      <alignment horizontal="left" vertical="center"/>
    </xf>
    <xf numFmtId="49" fontId="35" fillId="0" borderId="62" xfId="32" applyNumberFormat="1" applyFont="1" applyFill="1" applyBorder="1" applyAlignment="1" applyProtection="1">
      <alignment horizontal="left" vertical="center" wrapText="1"/>
    </xf>
    <xf numFmtId="0" fontId="35" fillId="34" borderId="38" xfId="32" applyFont="1" applyFill="1" applyBorder="1" applyAlignment="1" applyProtection="1">
      <alignment horizontal="center"/>
    </xf>
    <xf numFmtId="49" fontId="14" fillId="34" borderId="60" xfId="32" applyNumberFormat="1" applyFont="1" applyFill="1" applyBorder="1" applyAlignment="1" applyProtection="1">
      <alignment horizontal="left" vertical="center"/>
    </xf>
    <xf numFmtId="49" fontId="35" fillId="34" borderId="2" xfId="32" applyNumberFormat="1" applyFont="1" applyFill="1" applyBorder="1" applyAlignment="1" applyProtection="1">
      <alignment horizontal="center" vertical="center"/>
    </xf>
    <xf numFmtId="0" fontId="35" fillId="29" borderId="38" xfId="32" applyFont="1" applyFill="1" applyBorder="1" applyAlignment="1" applyProtection="1">
      <alignment horizontal="center"/>
    </xf>
    <xf numFmtId="0" fontId="119" fillId="30" borderId="111" xfId="49" applyFont="1" applyFill="1" applyBorder="1" applyAlignment="1" applyProtection="1">
      <alignment horizontal="center" wrapText="1"/>
    </xf>
    <xf numFmtId="3" fontId="35" fillId="32" borderId="2" xfId="49" applyNumberFormat="1" applyFont="1" applyFill="1" applyBorder="1" applyAlignment="1" applyProtection="1">
      <alignment horizontal="right"/>
    </xf>
    <xf numFmtId="0" fontId="34" fillId="34" borderId="45" xfId="32" applyFont="1" applyFill="1" applyBorder="1" applyAlignment="1" applyProtection="1">
      <alignment horizontal="center" vertical="center" wrapText="1"/>
    </xf>
    <xf numFmtId="0" fontId="34" fillId="34" borderId="59" xfId="32" applyFont="1" applyFill="1" applyBorder="1" applyAlignment="1" applyProtection="1">
      <alignment horizontal="center" vertical="center" wrapText="1"/>
    </xf>
    <xf numFmtId="49" fontId="34" fillId="26" borderId="58" xfId="32" applyNumberFormat="1" applyFont="1" applyFill="1" applyBorder="1" applyAlignment="1" applyProtection="1">
      <alignment horizontal="left" vertical="center"/>
    </xf>
    <xf numFmtId="0" fontId="35" fillId="30" borderId="75" xfId="32" applyFont="1" applyFill="1" applyBorder="1" applyAlignment="1" applyProtection="1">
      <alignment horizontal="center"/>
    </xf>
    <xf numFmtId="49" fontId="35" fillId="30" borderId="74" xfId="32" applyNumberFormat="1" applyFont="1" applyFill="1" applyBorder="1" applyAlignment="1" applyProtection="1">
      <alignment horizontal="left" vertical="center" wrapText="1"/>
    </xf>
    <xf numFmtId="0" fontId="35" fillId="30" borderId="54" xfId="32" applyFont="1" applyFill="1" applyBorder="1" applyAlignment="1" applyProtection="1">
      <alignment horizontal="center"/>
    </xf>
    <xf numFmtId="49" fontId="35" fillId="30" borderId="64" xfId="32" applyNumberFormat="1" applyFont="1" applyFill="1" applyBorder="1" applyAlignment="1" applyProtection="1">
      <alignment horizontal="left" vertical="center" wrapText="1"/>
    </xf>
    <xf numFmtId="0" fontId="14" fillId="30" borderId="1" xfId="32" applyFont="1" applyFill="1" applyBorder="1" applyAlignment="1" applyProtection="1">
      <alignment horizontal="center" wrapText="1"/>
    </xf>
    <xf numFmtId="3" fontId="34" fillId="26" borderId="2" xfId="0" applyNumberFormat="1" applyFont="1" applyFill="1" applyBorder="1" applyAlignment="1" applyProtection="1">
      <alignment horizontal="center" vertical="center"/>
    </xf>
    <xf numFmtId="3" fontId="34" fillId="26" borderId="1" xfId="0" applyNumberFormat="1" applyFont="1" applyFill="1" applyBorder="1" applyAlignment="1" applyProtection="1">
      <alignment horizontal="left" vertical="center" wrapText="1"/>
    </xf>
    <xf numFmtId="3" fontId="34" fillId="43" borderId="7" xfId="0" applyNumberFormat="1" applyFont="1" applyFill="1" applyBorder="1" applyAlignment="1" applyProtection="1">
      <alignment vertical="center"/>
    </xf>
    <xf numFmtId="3" fontId="34" fillId="43" borderId="7" xfId="0" applyNumberFormat="1" applyFont="1" applyFill="1" applyBorder="1" applyAlignment="1" applyProtection="1">
      <alignment vertical="center" wrapText="1"/>
    </xf>
    <xf numFmtId="3" fontId="35" fillId="21" borderId="7" xfId="0" applyNumberFormat="1" applyFont="1" applyFill="1" applyBorder="1" applyAlignment="1" applyProtection="1">
      <alignment horizontal="center" vertical="center"/>
    </xf>
    <xf numFmtId="3" fontId="35" fillId="21" borderId="7" xfId="0" applyNumberFormat="1" applyFont="1" applyFill="1" applyBorder="1" applyAlignment="1" applyProtection="1">
      <alignment horizontal="left" vertical="center" wrapText="1"/>
    </xf>
    <xf numFmtId="0" fontId="34" fillId="34" borderId="75" xfId="32" applyFont="1" applyFill="1" applyBorder="1" applyAlignment="1" applyProtection="1">
      <alignment horizontal="center" vertical="center"/>
    </xf>
    <xf numFmtId="0" fontId="34" fillId="34" borderId="76" xfId="32" applyFont="1" applyFill="1" applyBorder="1" applyAlignment="1" applyProtection="1">
      <alignment vertical="center"/>
    </xf>
    <xf numFmtId="16" fontId="35" fillId="29" borderId="52" xfId="32" applyNumberFormat="1" applyFont="1" applyFill="1" applyBorder="1" applyAlignment="1" applyProtection="1">
      <alignment horizontal="center" vertical="center"/>
    </xf>
    <xf numFmtId="0" fontId="35" fillId="29" borderId="53" xfId="0" applyFont="1" applyFill="1" applyBorder="1" applyAlignment="1" applyProtection="1">
      <alignment vertical="center"/>
    </xf>
    <xf numFmtId="0" fontId="35" fillId="29" borderId="52" xfId="32" applyFont="1" applyFill="1" applyBorder="1" applyAlignment="1" applyProtection="1">
      <alignment horizontal="center" vertical="center"/>
    </xf>
    <xf numFmtId="0" fontId="35" fillId="29" borderId="53" xfId="32" applyFont="1" applyFill="1" applyBorder="1" applyAlignment="1" applyProtection="1">
      <alignment vertical="center"/>
    </xf>
    <xf numFmtId="49" fontId="34" fillId="30" borderId="56" xfId="0" applyNumberFormat="1" applyFont="1" applyFill="1" applyBorder="1" applyAlignment="1" applyProtection="1">
      <alignment horizontal="center" vertical="center" wrapText="1"/>
    </xf>
    <xf numFmtId="49" fontId="34" fillId="30" borderId="57" xfId="0" applyNumberFormat="1" applyFont="1" applyFill="1" applyBorder="1" applyAlignment="1" applyProtection="1">
      <alignment vertical="center" wrapText="1"/>
    </xf>
    <xf numFmtId="49" fontId="34" fillId="30" borderId="75" xfId="0" applyNumberFormat="1" applyFont="1" applyFill="1" applyBorder="1" applyAlignment="1" applyProtection="1">
      <alignment horizontal="center" vertical="center" wrapText="1"/>
    </xf>
    <xf numFmtId="49" fontId="40" fillId="0" borderId="76" xfId="0" applyNumberFormat="1" applyFont="1" applyFill="1" applyBorder="1" applyAlignment="1" applyProtection="1">
      <alignment vertical="center" wrapText="1"/>
    </xf>
    <xf numFmtId="49" fontId="34" fillId="30" borderId="52" xfId="0" applyNumberFormat="1" applyFont="1" applyFill="1" applyBorder="1" applyAlignment="1" applyProtection="1">
      <alignment horizontal="center" vertical="center" wrapText="1"/>
    </xf>
    <xf numFmtId="49" fontId="40" fillId="30" borderId="53" xfId="0" applyNumberFormat="1" applyFont="1" applyFill="1" applyBorder="1" applyAlignment="1" applyProtection="1">
      <alignment vertical="center" wrapText="1"/>
    </xf>
    <xf numFmtId="49" fontId="35" fillId="30" borderId="52" xfId="32" applyNumberFormat="1" applyFont="1" applyFill="1" applyBorder="1" applyAlignment="1" applyProtection="1">
      <alignment horizontal="center" vertical="center" wrapText="1"/>
    </xf>
    <xf numFmtId="49" fontId="36" fillId="30" borderId="53" xfId="0" applyNumberFormat="1" applyFont="1" applyFill="1" applyBorder="1" applyAlignment="1" applyProtection="1">
      <alignment vertical="center" wrapText="1"/>
    </xf>
    <xf numFmtId="49" fontId="35" fillId="30" borderId="56" xfId="32" applyNumberFormat="1" applyFont="1" applyFill="1" applyBorder="1" applyAlignment="1" applyProtection="1">
      <alignment horizontal="center" vertical="center" wrapText="1"/>
    </xf>
    <xf numFmtId="49" fontId="36" fillId="30" borderId="57" xfId="0" applyNumberFormat="1" applyFont="1" applyFill="1" applyBorder="1" applyAlignment="1" applyProtection="1">
      <alignment vertical="center" wrapText="1"/>
    </xf>
    <xf numFmtId="49" fontId="34" fillId="30" borderId="75" xfId="32" applyNumberFormat="1" applyFont="1" applyFill="1" applyBorder="1" applyAlignment="1" applyProtection="1">
      <alignment horizontal="center" vertical="center" wrapText="1"/>
    </xf>
    <xf numFmtId="49" fontId="34" fillId="30" borderId="76" xfId="0" applyNumberFormat="1" applyFont="1" applyFill="1" applyBorder="1" applyAlignment="1" applyProtection="1">
      <alignment vertical="center" wrapText="1"/>
    </xf>
    <xf numFmtId="49" fontId="35" fillId="30" borderId="53" xfId="0" applyNumberFormat="1" applyFont="1" applyFill="1" applyBorder="1" applyAlignment="1" applyProtection="1">
      <alignment vertical="center" wrapText="1"/>
    </xf>
    <xf numFmtId="49" fontId="35" fillId="30" borderId="57" xfId="0" applyNumberFormat="1" applyFont="1" applyFill="1" applyBorder="1" applyAlignment="1" applyProtection="1">
      <alignment vertical="center" wrapText="1"/>
    </xf>
    <xf numFmtId="49" fontId="35" fillId="30" borderId="75" xfId="32" applyNumberFormat="1" applyFont="1" applyFill="1" applyBorder="1" applyAlignment="1" applyProtection="1">
      <alignment horizontal="center" vertical="center" wrapText="1"/>
    </xf>
    <xf numFmtId="49" fontId="35" fillId="30" borderId="76" xfId="0" applyNumberFormat="1" applyFont="1" applyFill="1" applyBorder="1" applyAlignment="1" applyProtection="1">
      <alignment vertical="center" wrapText="1"/>
    </xf>
    <xf numFmtId="49" fontId="34" fillId="30" borderId="49" xfId="32" applyNumberFormat="1" applyFont="1" applyFill="1" applyBorder="1" applyAlignment="1" applyProtection="1">
      <alignment horizontal="center" vertical="center" wrapText="1"/>
    </xf>
    <xf numFmtId="49" fontId="35" fillId="30" borderId="53" xfId="32" applyNumberFormat="1" applyFont="1" applyFill="1" applyBorder="1" applyAlignment="1" applyProtection="1">
      <alignment vertical="center" wrapText="1"/>
    </xf>
    <xf numFmtId="49" fontId="35" fillId="30" borderId="57" xfId="32" applyNumberFormat="1" applyFont="1" applyFill="1" applyBorder="1" applyAlignment="1" applyProtection="1">
      <alignment vertical="center" wrapText="1"/>
    </xf>
    <xf numFmtId="49" fontId="14" fillId="40" borderId="35" xfId="0" applyNumberFormat="1" applyFont="1" applyFill="1" applyBorder="1" applyAlignment="1" applyProtection="1">
      <alignment horizontal="center" vertical="center"/>
    </xf>
    <xf numFmtId="49" fontId="14" fillId="40" borderId="41" xfId="0" applyNumberFormat="1" applyFont="1" applyFill="1" applyBorder="1" applyAlignment="1" applyProtection="1">
      <alignment horizontal="center" vertical="center"/>
    </xf>
    <xf numFmtId="0" fontId="14" fillId="40" borderId="35" xfId="0" applyFont="1" applyFill="1" applyBorder="1" applyAlignment="1" applyProtection="1">
      <alignment horizontal="center" vertical="center"/>
    </xf>
    <xf numFmtId="0" fontId="14" fillId="40" borderId="2" xfId="0" applyFont="1" applyFill="1" applyBorder="1" applyAlignment="1" applyProtection="1">
      <alignment horizontal="center" vertical="center" wrapText="1"/>
    </xf>
    <xf numFmtId="0" fontId="14" fillId="40" borderId="3" xfId="0" applyFont="1" applyFill="1" applyBorder="1" applyAlignment="1" applyProtection="1">
      <alignment horizontal="center" vertical="center" wrapText="1"/>
    </xf>
    <xf numFmtId="0" fontId="14" fillId="40" borderId="1" xfId="0" applyFont="1" applyFill="1" applyBorder="1" applyAlignment="1" applyProtection="1">
      <alignment horizontal="center" vertical="center" wrapText="1"/>
    </xf>
    <xf numFmtId="0" fontId="14" fillId="40" borderId="38" xfId="0" applyFont="1" applyFill="1" applyBorder="1" applyAlignment="1" applyProtection="1">
      <alignment horizontal="center" vertical="center" wrapText="1"/>
    </xf>
    <xf numFmtId="0" fontId="14" fillId="40" borderId="10" xfId="0" applyFont="1" applyFill="1" applyBorder="1" applyAlignment="1" applyProtection="1">
      <alignment horizontal="center" vertical="center" wrapText="1"/>
    </xf>
    <xf numFmtId="0" fontId="14" fillId="40" borderId="26" xfId="0" applyFont="1" applyFill="1" applyBorder="1" applyAlignment="1" applyProtection="1">
      <alignment horizontal="center" vertical="center" wrapText="1"/>
    </xf>
    <xf numFmtId="0" fontId="14" fillId="40" borderId="13" xfId="0" applyFont="1" applyFill="1" applyBorder="1" applyAlignment="1" applyProtection="1">
      <alignment horizontal="center" vertical="center" wrapText="1"/>
    </xf>
    <xf numFmtId="0" fontId="14" fillId="40" borderId="4" xfId="0" applyFont="1" applyFill="1" applyBorder="1" applyAlignment="1" applyProtection="1">
      <alignment horizontal="center" vertical="center" wrapText="1"/>
    </xf>
    <xf numFmtId="0" fontId="14" fillId="40" borderId="68" xfId="0" applyFont="1" applyFill="1" applyBorder="1" applyAlignment="1" applyProtection="1">
      <alignment horizontal="center" vertical="center" wrapText="1"/>
    </xf>
    <xf numFmtId="0" fontId="14" fillId="40" borderId="67" xfId="0" applyFont="1" applyFill="1" applyBorder="1" applyAlignment="1" applyProtection="1">
      <alignment horizontal="center" vertical="center" wrapText="1"/>
    </xf>
    <xf numFmtId="0" fontId="5" fillId="0" borderId="0" xfId="0" applyFont="1" applyAlignment="1">
      <alignment horizontal="center" vertical="center"/>
    </xf>
    <xf numFmtId="0" fontId="35" fillId="0" borderId="0" xfId="0" applyFont="1" applyAlignment="1">
      <alignment horizontal="center" vertical="center"/>
    </xf>
    <xf numFmtId="0" fontId="5" fillId="0" borderId="0" xfId="0" applyFont="1" applyFill="1" applyAlignment="1">
      <alignment horizontal="center" vertical="center"/>
    </xf>
    <xf numFmtId="0" fontId="6" fillId="0" borderId="0" xfId="0" applyFont="1" applyAlignment="1">
      <alignment horizontal="center" vertical="center"/>
    </xf>
    <xf numFmtId="0" fontId="9" fillId="0" borderId="0" xfId="0" applyFont="1" applyAlignment="1">
      <alignment horizontal="center" vertical="center"/>
    </xf>
    <xf numFmtId="0" fontId="12" fillId="0" borderId="0" xfId="0" applyFont="1" applyFill="1" applyAlignment="1">
      <alignment horizontal="center" vertical="center"/>
    </xf>
    <xf numFmtId="3" fontId="5" fillId="3" borderId="51" xfId="0" applyNumberFormat="1" applyFont="1" applyFill="1" applyBorder="1" applyAlignment="1" applyProtection="1">
      <alignment horizontal="center" vertical="center"/>
      <protection locked="0"/>
    </xf>
    <xf numFmtId="3" fontId="5" fillId="3" borderId="17" xfId="0" applyNumberFormat="1" applyFont="1" applyFill="1" applyBorder="1" applyAlignment="1" applyProtection="1">
      <alignment horizontal="center" vertical="center"/>
      <protection locked="0"/>
    </xf>
    <xf numFmtId="3" fontId="5" fillId="3" borderId="17" xfId="0" applyNumberFormat="1" applyFont="1" applyFill="1" applyBorder="1" applyAlignment="1" applyProtection="1">
      <alignment horizontal="center" vertical="center" wrapText="1"/>
      <protection locked="0"/>
    </xf>
    <xf numFmtId="3" fontId="5" fillId="3" borderId="21" xfId="0" applyNumberFormat="1" applyFont="1" applyFill="1" applyBorder="1" applyAlignment="1" applyProtection="1">
      <alignment horizontal="center" vertical="center"/>
      <protection locked="0"/>
    </xf>
    <xf numFmtId="3" fontId="5" fillId="3" borderId="5" xfId="0" applyNumberFormat="1" applyFont="1" applyFill="1" applyBorder="1" applyAlignment="1" applyProtection="1">
      <alignment horizontal="center" vertical="center"/>
      <protection locked="0"/>
    </xf>
    <xf numFmtId="3" fontId="14" fillId="0" borderId="51" xfId="0" applyNumberFormat="1" applyFont="1" applyFill="1" applyBorder="1" applyAlignment="1" applyProtection="1">
      <alignment horizontal="center" vertical="center"/>
    </xf>
    <xf numFmtId="3" fontId="14" fillId="0" borderId="17" xfId="0" applyNumberFormat="1" applyFont="1" applyFill="1" applyBorder="1" applyAlignment="1" applyProtection="1">
      <alignment horizontal="center" vertical="center"/>
    </xf>
    <xf numFmtId="3" fontId="5" fillId="3" borderId="51" xfId="0" applyNumberFormat="1" applyFont="1" applyFill="1" applyBorder="1" applyAlignment="1" applyProtection="1">
      <alignment horizontal="center" vertical="center" wrapText="1"/>
      <protection locked="0"/>
    </xf>
    <xf numFmtId="3" fontId="5" fillId="3" borderId="21" xfId="0" applyNumberFormat="1" applyFont="1" applyFill="1" applyBorder="1" applyAlignment="1" applyProtection="1">
      <alignment horizontal="center" vertical="center" wrapText="1"/>
      <protection locked="0"/>
    </xf>
    <xf numFmtId="3" fontId="5" fillId="0" borderId="51" xfId="0" applyNumberFormat="1" applyFont="1" applyFill="1" applyBorder="1" applyAlignment="1" applyProtection="1">
      <alignment horizontal="center" vertical="center" wrapText="1"/>
    </xf>
    <xf numFmtId="3" fontId="5" fillId="0" borderId="17" xfId="0" applyNumberFormat="1" applyFont="1" applyFill="1" applyBorder="1" applyAlignment="1" applyProtection="1">
      <alignment horizontal="center" vertical="center" wrapText="1"/>
    </xf>
    <xf numFmtId="3" fontId="5" fillId="0" borderId="39" xfId="0" applyNumberFormat="1" applyFont="1" applyFill="1" applyBorder="1" applyAlignment="1" applyProtection="1">
      <alignment horizontal="center" vertical="center" wrapText="1"/>
    </xf>
    <xf numFmtId="172" fontId="5" fillId="3" borderId="17" xfId="0" applyNumberFormat="1" applyFont="1" applyFill="1" applyBorder="1" applyAlignment="1" applyProtection="1">
      <alignment horizontal="center" vertical="center" wrapText="1"/>
      <protection locked="0"/>
    </xf>
    <xf numFmtId="172" fontId="14" fillId="29" borderId="17" xfId="0" applyNumberFormat="1" applyFont="1" applyFill="1" applyBorder="1" applyAlignment="1" applyProtection="1">
      <alignment horizontal="center" vertical="center" wrapText="1"/>
    </xf>
    <xf numFmtId="3" fontId="5" fillId="3" borderId="5" xfId="0" applyNumberFormat="1" applyFont="1" applyFill="1" applyBorder="1" applyAlignment="1" applyProtection="1">
      <alignment horizontal="center" vertical="center" wrapText="1"/>
      <protection locked="0"/>
    </xf>
    <xf numFmtId="3" fontId="5" fillId="29" borderId="51" xfId="0" applyNumberFormat="1" applyFont="1" applyFill="1" applyBorder="1" applyAlignment="1" applyProtection="1">
      <alignment horizontal="center" vertical="center" wrapText="1"/>
    </xf>
    <xf numFmtId="3" fontId="5" fillId="29" borderId="21" xfId="0" applyNumberFormat="1" applyFont="1" applyFill="1" applyBorder="1" applyAlignment="1" applyProtection="1">
      <alignment horizontal="center" vertical="center" wrapText="1"/>
    </xf>
    <xf numFmtId="3" fontId="5" fillId="0" borderId="51" xfId="1" applyNumberFormat="1" applyFont="1" applyFill="1" applyBorder="1" applyAlignment="1" applyProtection="1">
      <alignment horizontal="center" vertical="center"/>
    </xf>
    <xf numFmtId="3" fontId="5" fillId="0" borderId="17" xfId="1" applyNumberFormat="1" applyFont="1" applyFill="1" applyBorder="1" applyAlignment="1" applyProtection="1">
      <alignment horizontal="center" vertical="center"/>
    </xf>
    <xf numFmtId="3" fontId="5" fillId="0" borderId="21" xfId="0" applyNumberFormat="1" applyFont="1" applyFill="1" applyBorder="1" applyAlignment="1" applyProtection="1">
      <alignment horizontal="center" vertical="center" wrapText="1"/>
    </xf>
    <xf numFmtId="0" fontId="62" fillId="0" borderId="0" xfId="0" applyFont="1" applyAlignment="1">
      <alignment horizontal="center" vertical="center"/>
    </xf>
    <xf numFmtId="0" fontId="68" fillId="30" borderId="0" xfId="32" applyFont="1" applyFill="1" applyAlignment="1">
      <alignment horizontal="center" vertical="center"/>
    </xf>
    <xf numFmtId="0" fontId="68" fillId="30" borderId="0" xfId="32" applyNumberFormat="1" applyFont="1" applyFill="1" applyAlignment="1">
      <alignment horizontal="center" vertical="center"/>
    </xf>
    <xf numFmtId="49" fontId="68" fillId="30" borderId="0" xfId="32" applyNumberFormat="1" applyFont="1" applyFill="1" applyAlignment="1">
      <alignment horizontal="center" vertical="center"/>
    </xf>
    <xf numFmtId="0" fontId="70" fillId="30" borderId="0" xfId="32" applyNumberFormat="1" applyFont="1" applyFill="1" applyAlignment="1">
      <alignment horizontal="center" vertical="center"/>
    </xf>
    <xf numFmtId="0" fontId="42" fillId="30" borderId="0" xfId="0" applyFont="1" applyFill="1" applyAlignment="1">
      <alignment horizontal="center" vertical="center"/>
    </xf>
    <xf numFmtId="0" fontId="5" fillId="0" borderId="0" xfId="2" applyFont="1" applyBorder="1" applyAlignment="1" applyProtection="1">
      <alignment horizontal="center" vertical="center"/>
    </xf>
    <xf numFmtId="0" fontId="28" fillId="30" borderId="0" xfId="32" applyFont="1" applyFill="1" applyAlignment="1">
      <alignment horizontal="center" vertical="center"/>
    </xf>
    <xf numFmtId="0" fontId="68" fillId="30" borderId="29" xfId="0" applyNumberFormat="1" applyFont="1" applyFill="1" applyBorder="1" applyAlignment="1" applyProtection="1">
      <alignment horizontal="left" vertical="center"/>
    </xf>
    <xf numFmtId="49" fontId="27" fillId="30" borderId="22" xfId="0" applyNumberFormat="1" applyFont="1" applyFill="1" applyBorder="1" applyAlignment="1" applyProtection="1">
      <alignment horizontal="left" vertical="center"/>
    </xf>
    <xf numFmtId="49" fontId="27" fillId="30" borderId="14" xfId="0" applyNumberFormat="1" applyFont="1" applyFill="1" applyBorder="1" applyAlignment="1" applyProtection="1">
      <alignment horizontal="left" vertical="center"/>
    </xf>
    <xf numFmtId="49" fontId="68" fillId="30" borderId="25" xfId="0" applyNumberFormat="1" applyFont="1" applyFill="1" applyBorder="1" applyAlignment="1" applyProtection="1">
      <alignment horizontal="left" vertical="center"/>
    </xf>
    <xf numFmtId="49" fontId="27" fillId="30" borderId="33" xfId="0" applyNumberFormat="1" applyFont="1" applyFill="1" applyBorder="1" applyAlignment="1" applyProtection="1">
      <alignment horizontal="left" vertical="center"/>
    </xf>
    <xf numFmtId="49" fontId="27" fillId="30" borderId="6" xfId="0" applyNumberFormat="1" applyFont="1" applyFill="1" applyBorder="1" applyAlignment="1" applyProtection="1">
      <alignment horizontal="left" vertical="center"/>
    </xf>
    <xf numFmtId="49" fontId="27" fillId="30" borderId="24" xfId="0" applyNumberFormat="1" applyFont="1" applyFill="1" applyBorder="1" applyAlignment="1" applyProtection="1">
      <alignment horizontal="left" vertical="center"/>
    </xf>
    <xf numFmtId="49" fontId="27" fillId="30" borderId="23" xfId="0" applyNumberFormat="1" applyFont="1" applyFill="1" applyBorder="1" applyAlignment="1" applyProtection="1">
      <alignment horizontal="left" vertical="center"/>
    </xf>
    <xf numFmtId="49" fontId="27" fillId="30" borderId="15" xfId="0" applyNumberFormat="1" applyFont="1" applyFill="1" applyBorder="1" applyAlignment="1" applyProtection="1">
      <alignment horizontal="left" vertical="center"/>
    </xf>
    <xf numFmtId="3" fontId="35" fillId="3" borderId="17" xfId="49" applyNumberFormat="1" applyFont="1" applyFill="1" applyBorder="1" applyAlignment="1" applyProtection="1">
      <alignment horizontal="center" vertical="center" wrapText="1"/>
      <protection locked="0"/>
    </xf>
    <xf numFmtId="167" fontId="35" fillId="30" borderId="75" xfId="49" applyNumberFormat="1" applyFont="1" applyFill="1" applyBorder="1" applyAlignment="1" applyProtection="1">
      <alignment horizontal="center" vertical="center" wrapText="1"/>
    </xf>
    <xf numFmtId="167" fontId="35" fillId="30" borderId="73" xfId="49" applyNumberFormat="1" applyFont="1" applyFill="1" applyBorder="1" applyAlignment="1" applyProtection="1">
      <alignment horizontal="center" vertical="center" wrapText="1"/>
    </xf>
    <xf numFmtId="167" fontId="35" fillId="30" borderId="76" xfId="49" applyNumberFormat="1" applyFont="1" applyFill="1" applyBorder="1" applyAlignment="1" applyProtection="1">
      <alignment horizontal="center" vertical="center" wrapText="1"/>
    </xf>
    <xf numFmtId="167" fontId="35" fillId="30" borderId="52" xfId="49" applyNumberFormat="1" applyFont="1" applyFill="1" applyBorder="1" applyAlignment="1" applyProtection="1">
      <alignment horizontal="center" vertical="center" wrapText="1"/>
    </xf>
    <xf numFmtId="167" fontId="35" fillId="30" borderId="7" xfId="49" applyNumberFormat="1" applyFont="1" applyFill="1" applyBorder="1" applyAlignment="1" applyProtection="1">
      <alignment horizontal="center" vertical="center" wrapText="1"/>
    </xf>
    <xf numFmtId="167" fontId="35" fillId="30" borderId="53" xfId="49" applyNumberFormat="1" applyFont="1" applyFill="1" applyBorder="1" applyAlignment="1" applyProtection="1">
      <alignment horizontal="center" vertical="center" wrapText="1"/>
    </xf>
    <xf numFmtId="167" fontId="35" fillId="30" borderId="47" xfId="49" applyNumberFormat="1" applyFont="1" applyFill="1" applyBorder="1" applyAlignment="1" applyProtection="1">
      <alignment horizontal="center" vertical="center" wrapText="1"/>
    </xf>
    <xf numFmtId="167" fontId="35" fillId="30" borderId="71" xfId="49" applyNumberFormat="1" applyFont="1" applyFill="1" applyBorder="1" applyAlignment="1" applyProtection="1">
      <alignment horizontal="center" vertical="center" wrapText="1"/>
    </xf>
    <xf numFmtId="167" fontId="35" fillId="30" borderId="48" xfId="49" applyNumberFormat="1" applyFont="1" applyFill="1" applyBorder="1" applyAlignment="1" applyProtection="1">
      <alignment horizontal="center" vertical="center" wrapText="1"/>
    </xf>
    <xf numFmtId="167" fontId="34" fillId="26" borderId="38" xfId="49" applyNumberFormat="1" applyFont="1" applyFill="1" applyBorder="1" applyAlignment="1" applyProtection="1">
      <alignment horizontal="center" vertical="center" wrapText="1"/>
    </xf>
    <xf numFmtId="167" fontId="34" fillId="39" borderId="65" xfId="49" applyNumberFormat="1" applyFont="1" applyFill="1" applyBorder="1" applyAlignment="1" applyProtection="1">
      <alignment horizontal="center" vertical="center" wrapText="1"/>
    </xf>
    <xf numFmtId="167" fontId="34" fillId="39" borderId="9" xfId="49" applyNumberFormat="1" applyFont="1" applyFill="1" applyBorder="1" applyAlignment="1" applyProtection="1">
      <alignment horizontal="center" vertical="center" wrapText="1"/>
    </xf>
    <xf numFmtId="167" fontId="34" fillId="39" borderId="60" xfId="49" applyNumberFormat="1" applyFont="1" applyFill="1" applyBorder="1" applyAlignment="1" applyProtection="1">
      <alignment horizontal="center" vertical="center" wrapText="1"/>
    </xf>
    <xf numFmtId="167" fontId="5" fillId="30" borderId="0" xfId="49" applyNumberFormat="1" applyFont="1" applyFill="1" applyBorder="1" applyAlignment="1" applyProtection="1">
      <alignment horizontal="right" vertical="center" wrapText="1"/>
    </xf>
    <xf numFmtId="167" fontId="34" fillId="26" borderId="1" xfId="49" applyNumberFormat="1" applyFont="1" applyFill="1" applyBorder="1" applyAlignment="1" applyProtection="1">
      <alignment horizontal="center" vertical="center" wrapText="1"/>
    </xf>
    <xf numFmtId="167" fontId="35" fillId="29" borderId="24" xfId="49" applyNumberFormat="1" applyFont="1" applyFill="1" applyBorder="1" applyAlignment="1" applyProtection="1">
      <alignment horizontal="center" vertical="center" wrapText="1"/>
    </xf>
    <xf numFmtId="167" fontId="34" fillId="39" borderId="2" xfId="49" applyNumberFormat="1" applyFont="1" applyFill="1" applyBorder="1" applyAlignment="1" applyProtection="1">
      <alignment horizontal="center" vertical="center" wrapText="1"/>
    </xf>
    <xf numFmtId="167" fontId="5" fillId="30" borderId="0" xfId="49" applyNumberFormat="1" applyFont="1" applyFill="1" applyBorder="1" applyAlignment="1" applyProtection="1">
      <alignment horizontal="center" vertical="center" wrapText="1"/>
    </xf>
    <xf numFmtId="167" fontId="35" fillId="29" borderId="51" xfId="49" applyNumberFormat="1" applyFont="1" applyFill="1" applyBorder="1" applyAlignment="1" applyProtection="1">
      <alignment horizontal="center" vertical="center" wrapText="1"/>
    </xf>
    <xf numFmtId="167" fontId="35" fillId="30" borderId="72" xfId="49" applyNumberFormat="1" applyFont="1" applyFill="1" applyBorder="1" applyAlignment="1" applyProtection="1">
      <alignment horizontal="center" vertical="center" wrapText="1"/>
    </xf>
    <xf numFmtId="167" fontId="35" fillId="29" borderId="17" xfId="49" applyNumberFormat="1" applyFont="1" applyFill="1" applyBorder="1" applyAlignment="1" applyProtection="1">
      <alignment horizontal="center" vertical="center" wrapText="1"/>
    </xf>
    <xf numFmtId="167" fontId="35" fillId="30" borderId="32" xfId="49" applyNumberFormat="1" applyFont="1" applyFill="1" applyBorder="1" applyAlignment="1" applyProtection="1">
      <alignment horizontal="center" vertical="center" wrapText="1"/>
    </xf>
    <xf numFmtId="167" fontId="35" fillId="30" borderId="79" xfId="49" applyNumberFormat="1" applyFont="1" applyFill="1" applyBorder="1" applyAlignment="1" applyProtection="1">
      <alignment horizontal="center" vertical="center" wrapText="1"/>
    </xf>
    <xf numFmtId="167" fontId="35" fillId="30" borderId="77" xfId="49" applyNumberFormat="1" applyFont="1" applyFill="1" applyBorder="1" applyAlignment="1" applyProtection="1">
      <alignment horizontal="center" vertical="center" wrapText="1"/>
    </xf>
    <xf numFmtId="167" fontId="35" fillId="30" borderId="57" xfId="49" applyNumberFormat="1" applyFont="1" applyFill="1" applyBorder="1" applyAlignment="1" applyProtection="1">
      <alignment horizontal="center" vertical="center" wrapText="1"/>
    </xf>
    <xf numFmtId="167" fontId="35" fillId="30" borderId="56" xfId="49" applyNumberFormat="1" applyFont="1" applyFill="1" applyBorder="1" applyAlignment="1" applyProtection="1">
      <alignment horizontal="center" vertical="center" wrapText="1"/>
    </xf>
    <xf numFmtId="167" fontId="34" fillId="39" borderId="10" xfId="49" applyNumberFormat="1" applyFont="1" applyFill="1" applyBorder="1" applyAlignment="1" applyProtection="1">
      <alignment horizontal="center" vertical="center" wrapText="1"/>
    </xf>
    <xf numFmtId="3" fontId="34" fillId="26" borderId="38" xfId="49" applyNumberFormat="1" applyFont="1" applyFill="1" applyBorder="1" applyAlignment="1" applyProtection="1">
      <alignment horizontal="center" vertical="center" wrapText="1"/>
    </xf>
    <xf numFmtId="3" fontId="34" fillId="26" borderId="9" xfId="49" applyNumberFormat="1" applyFont="1" applyFill="1" applyBorder="1" applyAlignment="1" applyProtection="1">
      <alignment horizontal="center" vertical="center" wrapText="1"/>
    </xf>
    <xf numFmtId="3" fontId="34" fillId="26" borderId="8" xfId="49" applyNumberFormat="1" applyFont="1" applyFill="1" applyBorder="1" applyAlignment="1" applyProtection="1">
      <alignment horizontal="center" vertical="center" wrapText="1"/>
    </xf>
    <xf numFmtId="3" fontId="34" fillId="26" borderId="10" xfId="49" applyNumberFormat="1" applyFont="1" applyFill="1" applyBorder="1" applyAlignment="1" applyProtection="1">
      <alignment horizontal="center" vertical="center" wrapText="1"/>
    </xf>
    <xf numFmtId="3" fontId="35" fillId="0" borderId="75" xfId="49" applyNumberFormat="1" applyFont="1" applyFill="1" applyBorder="1" applyAlignment="1" applyProtection="1">
      <alignment horizontal="center" vertical="center" wrapText="1"/>
    </xf>
    <xf numFmtId="3" fontId="35" fillId="0" borderId="73" xfId="49" applyNumberFormat="1" applyFont="1" applyFill="1" applyBorder="1" applyAlignment="1" applyProtection="1">
      <alignment horizontal="center" vertical="center" wrapText="1"/>
    </xf>
    <xf numFmtId="3" fontId="35" fillId="0" borderId="76" xfId="49" applyNumberFormat="1" applyFont="1" applyFill="1" applyBorder="1" applyAlignment="1" applyProtection="1">
      <alignment horizontal="center" vertical="center" wrapText="1"/>
    </xf>
    <xf numFmtId="3" fontId="35" fillId="0" borderId="52" xfId="49" applyNumberFormat="1" applyFont="1" applyFill="1" applyBorder="1" applyAlignment="1" applyProtection="1">
      <alignment horizontal="center" vertical="center" wrapText="1"/>
    </xf>
    <xf numFmtId="3" fontId="35" fillId="0" borderId="7" xfId="49" applyNumberFormat="1" applyFont="1" applyFill="1" applyBorder="1" applyAlignment="1" applyProtection="1">
      <alignment horizontal="center" vertical="center" wrapText="1"/>
    </xf>
    <xf numFmtId="3" fontId="35" fillId="0" borderId="53" xfId="49" applyNumberFormat="1" applyFont="1" applyFill="1" applyBorder="1" applyAlignment="1" applyProtection="1">
      <alignment horizontal="center" vertical="center" wrapText="1"/>
    </xf>
    <xf numFmtId="3" fontId="35" fillId="0" borderId="56" xfId="49" applyNumberFormat="1" applyFont="1" applyFill="1" applyBorder="1" applyAlignment="1" applyProtection="1">
      <alignment horizontal="center" vertical="center" wrapText="1"/>
    </xf>
    <xf numFmtId="3" fontId="35" fillId="0" borderId="77" xfId="49" applyNumberFormat="1" applyFont="1" applyFill="1" applyBorder="1" applyAlignment="1" applyProtection="1">
      <alignment horizontal="center" vertical="center" wrapText="1"/>
    </xf>
    <xf numFmtId="3" fontId="35" fillId="0" borderId="57" xfId="49" applyNumberFormat="1" applyFont="1" applyFill="1" applyBorder="1" applyAlignment="1" applyProtection="1">
      <alignment horizontal="center" vertical="center" wrapText="1"/>
    </xf>
    <xf numFmtId="3" fontId="35" fillId="29" borderId="51" xfId="49" applyNumberFormat="1" applyFont="1" applyFill="1" applyBorder="1" applyAlignment="1" applyProtection="1">
      <alignment horizontal="center" vertical="center" wrapText="1"/>
    </xf>
    <xf numFmtId="3" fontId="35" fillId="29" borderId="25" xfId="49" applyNumberFormat="1" applyFont="1" applyFill="1" applyBorder="1" applyAlignment="1" applyProtection="1">
      <alignment horizontal="center" vertical="center" wrapText="1"/>
    </xf>
    <xf numFmtId="0" fontId="34" fillId="35" borderId="2" xfId="49" applyFont="1" applyFill="1" applyBorder="1" applyAlignment="1" applyProtection="1">
      <alignment horizontal="center" vertical="center" wrapText="1"/>
    </xf>
    <xf numFmtId="0" fontId="34" fillId="35" borderId="38" xfId="49" applyFont="1" applyFill="1" applyBorder="1" applyAlignment="1" applyProtection="1">
      <alignment horizontal="left" vertical="center" wrapText="1"/>
    </xf>
    <xf numFmtId="0" fontId="34" fillId="35" borderId="9" xfId="49" applyFont="1" applyFill="1" applyBorder="1" applyAlignment="1" applyProtection="1">
      <alignment horizontal="left" vertical="center" wrapText="1"/>
    </xf>
    <xf numFmtId="0" fontId="34" fillId="35" borderId="10" xfId="49" applyFont="1" applyFill="1" applyBorder="1" applyAlignment="1" applyProtection="1">
      <alignment horizontal="left" vertical="center" wrapText="1"/>
    </xf>
    <xf numFmtId="3" fontId="34" fillId="35" borderId="38" xfId="49" applyNumberFormat="1" applyFont="1" applyFill="1" applyBorder="1" applyAlignment="1" applyProtection="1">
      <alignment horizontal="left" vertical="center" wrapText="1"/>
    </xf>
    <xf numFmtId="3" fontId="34" fillId="35" borderId="9" xfId="49" applyNumberFormat="1" applyFont="1" applyFill="1" applyBorder="1" applyAlignment="1" applyProtection="1">
      <alignment horizontal="left" vertical="center" wrapText="1"/>
    </xf>
    <xf numFmtId="3" fontId="34" fillId="35" borderId="10" xfId="49" applyNumberFormat="1" applyFont="1" applyFill="1" applyBorder="1" applyAlignment="1" applyProtection="1">
      <alignment horizontal="left" vertical="center" wrapText="1"/>
    </xf>
    <xf numFmtId="170" fontId="35" fillId="40" borderId="36" xfId="49" applyNumberFormat="1" applyFont="1" applyFill="1" applyBorder="1" applyAlignment="1" applyProtection="1">
      <alignment horizontal="center" wrapText="1"/>
    </xf>
    <xf numFmtId="170" fontId="35" fillId="40" borderId="18" xfId="49" applyNumberFormat="1" applyFont="1" applyFill="1" applyBorder="1" applyAlignment="1" applyProtection="1">
      <alignment horizontal="center" wrapText="1"/>
    </xf>
    <xf numFmtId="168" fontId="124" fillId="29" borderId="42" xfId="49" applyNumberFormat="1" applyFont="1" applyFill="1" applyBorder="1" applyAlignment="1" applyProtection="1">
      <alignment horizontal="center" vertical="center" wrapText="1"/>
      <protection locked="0"/>
    </xf>
    <xf numFmtId="168" fontId="124" fillId="29" borderId="43" xfId="49" applyNumberFormat="1" applyFont="1" applyFill="1" applyBorder="1" applyAlignment="1" applyProtection="1">
      <alignment horizontal="center" vertical="center" wrapText="1"/>
      <protection locked="0"/>
    </xf>
    <xf numFmtId="168" fontId="36" fillId="0" borderId="24" xfId="49" applyNumberFormat="1" applyFont="1" applyFill="1" applyBorder="1" applyAlignment="1" applyProtection="1">
      <alignment horizontal="center" vertical="center" wrapText="1"/>
    </xf>
    <xf numFmtId="0" fontId="46" fillId="30" borderId="0" xfId="49" applyFont="1" applyFill="1" applyProtection="1"/>
    <xf numFmtId="0" fontId="46" fillId="30" borderId="27" xfId="49" applyFont="1" applyFill="1" applyBorder="1" applyAlignment="1" applyProtection="1">
      <alignment horizontal="center"/>
    </xf>
    <xf numFmtId="0" fontId="46" fillId="30" borderId="0" xfId="49" applyFont="1" applyFill="1" applyBorder="1" applyAlignment="1" applyProtection="1">
      <alignment horizontal="center"/>
    </xf>
    <xf numFmtId="0" fontId="46" fillId="30" borderId="16" xfId="49" applyFont="1" applyFill="1" applyBorder="1" applyAlignment="1" applyProtection="1">
      <alignment horizontal="center"/>
    </xf>
    <xf numFmtId="0" fontId="12" fillId="30" borderId="0" xfId="49" applyFont="1" applyFill="1" applyAlignment="1" applyProtection="1">
      <alignment horizontal="center"/>
    </xf>
    <xf numFmtId="0" fontId="46" fillId="30" borderId="0" xfId="49" applyFont="1" applyFill="1" applyAlignment="1" applyProtection="1">
      <alignment horizontal="center"/>
    </xf>
    <xf numFmtId="170" fontId="34" fillId="40" borderId="56" xfId="49" applyNumberFormat="1" applyFont="1" applyFill="1" applyBorder="1" applyAlignment="1" applyProtection="1">
      <alignment horizontal="center"/>
    </xf>
    <xf numFmtId="170" fontId="34" fillId="40" borderId="77" xfId="49" applyNumberFormat="1" applyFont="1" applyFill="1" applyBorder="1" applyAlignment="1" applyProtection="1">
      <alignment horizontal="center"/>
    </xf>
    <xf numFmtId="170" fontId="34" fillId="40" borderId="57" xfId="49" applyNumberFormat="1" applyFont="1" applyFill="1" applyBorder="1" applyAlignment="1" applyProtection="1">
      <alignment horizontal="center"/>
    </xf>
    <xf numFmtId="170" fontId="34" fillId="40" borderId="79" xfId="49" applyNumberFormat="1" applyFont="1" applyFill="1" applyBorder="1" applyAlignment="1" applyProtection="1">
      <alignment horizontal="center"/>
    </xf>
    <xf numFmtId="0" fontId="35" fillId="29" borderId="29" xfId="49" applyFont="1" applyFill="1" applyBorder="1" applyAlignment="1" applyProtection="1">
      <alignment wrapText="1"/>
    </xf>
    <xf numFmtId="168" fontId="35" fillId="29" borderId="75" xfId="49" applyNumberFormat="1" applyFont="1" applyFill="1" applyBorder="1" applyAlignment="1" applyProtection="1">
      <alignment horizontal="center" vertical="center"/>
    </xf>
    <xf numFmtId="168" fontId="35" fillId="30" borderId="73" xfId="49" applyNumberFormat="1" applyFont="1" applyFill="1" applyBorder="1" applyAlignment="1" applyProtection="1">
      <alignment horizontal="center" vertical="center"/>
    </xf>
    <xf numFmtId="168" fontId="35" fillId="30" borderId="76" xfId="49" applyNumberFormat="1" applyFont="1" applyFill="1" applyBorder="1" applyAlignment="1" applyProtection="1">
      <alignment horizontal="center" vertical="center"/>
    </xf>
    <xf numFmtId="168" fontId="35" fillId="30" borderId="72" xfId="49" applyNumberFormat="1" applyFont="1" applyFill="1" applyBorder="1" applyAlignment="1" applyProtection="1">
      <alignment horizontal="center" vertical="center"/>
    </xf>
    <xf numFmtId="168" fontId="35" fillId="30" borderId="75" xfId="49" applyNumberFormat="1" applyFont="1" applyFill="1" applyBorder="1" applyAlignment="1" applyProtection="1">
      <alignment horizontal="center" vertical="center"/>
    </xf>
    <xf numFmtId="0" fontId="35" fillId="29" borderId="24" xfId="49" applyFont="1" applyFill="1" applyBorder="1" applyProtection="1"/>
    <xf numFmtId="168" fontId="35" fillId="29" borderId="52" xfId="49" applyNumberFormat="1" applyFont="1" applyFill="1" applyBorder="1" applyAlignment="1" applyProtection="1">
      <alignment horizontal="center" vertical="center"/>
    </xf>
    <xf numFmtId="168" fontId="35" fillId="30" borderId="7" xfId="49" applyNumberFormat="1" applyFont="1" applyFill="1" applyBorder="1" applyAlignment="1" applyProtection="1">
      <alignment horizontal="center" vertical="center"/>
    </xf>
    <xf numFmtId="168" fontId="35" fillId="30" borderId="53" xfId="49" applyNumberFormat="1" applyFont="1" applyFill="1" applyBorder="1" applyAlignment="1" applyProtection="1">
      <alignment horizontal="center" vertical="center"/>
    </xf>
    <xf numFmtId="168" fontId="35" fillId="30" borderId="32" xfId="49" applyNumberFormat="1" applyFont="1" applyFill="1" applyBorder="1" applyAlignment="1" applyProtection="1">
      <alignment horizontal="center" vertical="center"/>
    </xf>
    <xf numFmtId="168" fontId="35" fillId="30" borderId="52" xfId="49" applyNumberFormat="1" applyFont="1" applyFill="1" applyBorder="1" applyAlignment="1" applyProtection="1">
      <alignment horizontal="center" vertical="center"/>
    </xf>
    <xf numFmtId="0" fontId="35" fillId="30" borderId="30" xfId="49" applyFont="1" applyFill="1" applyBorder="1" applyProtection="1"/>
    <xf numFmtId="168" fontId="35" fillId="30" borderId="56" xfId="49" applyNumberFormat="1" applyFont="1" applyFill="1" applyBorder="1" applyAlignment="1" applyProtection="1">
      <alignment horizontal="center" vertical="center"/>
    </xf>
    <xf numFmtId="168" fontId="35" fillId="30" borderId="77" xfId="49" applyNumberFormat="1" applyFont="1" applyFill="1" applyBorder="1" applyAlignment="1" applyProtection="1">
      <alignment horizontal="center" vertical="center"/>
    </xf>
    <xf numFmtId="168" fontId="35" fillId="30" borderId="57" xfId="49" applyNumberFormat="1" applyFont="1" applyFill="1" applyBorder="1" applyAlignment="1" applyProtection="1">
      <alignment horizontal="center" vertical="center"/>
    </xf>
    <xf numFmtId="168" fontId="35" fillId="30" borderId="79" xfId="49" applyNumberFormat="1" applyFont="1" applyFill="1" applyBorder="1" applyAlignment="1" applyProtection="1">
      <alignment horizontal="center" vertical="center"/>
    </xf>
    <xf numFmtId="0" fontId="35" fillId="40" borderId="1" xfId="49" applyFont="1" applyFill="1" applyBorder="1" applyProtection="1"/>
    <xf numFmtId="0" fontId="35" fillId="40" borderId="38" xfId="49" applyFont="1" applyFill="1" applyBorder="1" applyAlignment="1" applyProtection="1">
      <alignment horizontal="center" vertical="center"/>
    </xf>
    <xf numFmtId="0" fontId="35" fillId="40" borderId="9" xfId="49" applyFont="1" applyFill="1" applyBorder="1" applyAlignment="1" applyProtection="1">
      <alignment horizontal="center" vertical="center"/>
    </xf>
    <xf numFmtId="0" fontId="35" fillId="40" borderId="10" xfId="49" applyFont="1" applyFill="1" applyBorder="1" applyAlignment="1" applyProtection="1">
      <alignment horizontal="center" vertical="center"/>
    </xf>
    <xf numFmtId="0" fontId="34" fillId="40" borderId="65" xfId="49" applyFont="1" applyFill="1" applyBorder="1" applyAlignment="1" applyProtection="1">
      <alignment horizontal="center" vertical="center"/>
    </xf>
    <xf numFmtId="0" fontId="34" fillId="40" borderId="9" xfId="49" applyFont="1" applyFill="1" applyBorder="1" applyAlignment="1" applyProtection="1">
      <alignment horizontal="center" vertical="center"/>
    </xf>
    <xf numFmtId="0" fontId="34" fillId="40" borderId="10" xfId="49" applyFont="1" applyFill="1" applyBorder="1" applyAlignment="1" applyProtection="1">
      <alignment horizontal="center" vertical="center"/>
    </xf>
    <xf numFmtId="0" fontId="34" fillId="40" borderId="38" xfId="49" applyFont="1" applyFill="1" applyBorder="1" applyAlignment="1" applyProtection="1">
      <alignment horizontal="center" vertical="center"/>
    </xf>
    <xf numFmtId="0" fontId="35" fillId="30" borderId="29" xfId="49" applyFont="1" applyFill="1" applyBorder="1" applyProtection="1"/>
    <xf numFmtId="3" fontId="35" fillId="30" borderId="75" xfId="49" applyNumberFormat="1" applyFont="1" applyFill="1" applyBorder="1" applyAlignment="1" applyProtection="1">
      <alignment horizontal="center" vertical="center"/>
    </xf>
    <xf numFmtId="3" fontId="35" fillId="30" borderId="73" xfId="49" applyNumberFormat="1" applyFont="1" applyFill="1" applyBorder="1" applyAlignment="1" applyProtection="1">
      <alignment horizontal="center" vertical="center"/>
    </xf>
    <xf numFmtId="3" fontId="35" fillId="30" borderId="76" xfId="49" applyNumberFormat="1" applyFont="1" applyFill="1" applyBorder="1" applyAlignment="1" applyProtection="1">
      <alignment horizontal="center" vertical="center"/>
    </xf>
    <xf numFmtId="3" fontId="35" fillId="32" borderId="72" xfId="49" applyNumberFormat="1" applyFont="1" applyFill="1" applyBorder="1" applyAlignment="1" applyProtection="1">
      <alignment horizontal="center" vertical="center"/>
    </xf>
    <xf numFmtId="3" fontId="35" fillId="32" borderId="73" xfId="49" applyNumberFormat="1" applyFont="1" applyFill="1" applyBorder="1" applyAlignment="1" applyProtection="1">
      <alignment horizontal="center" vertical="center"/>
    </xf>
    <xf numFmtId="3" fontId="35" fillId="32" borderId="76" xfId="49" applyNumberFormat="1" applyFont="1" applyFill="1" applyBorder="1" applyAlignment="1" applyProtection="1">
      <alignment horizontal="center" vertical="center"/>
    </xf>
    <xf numFmtId="3" fontId="35" fillId="32" borderId="75" xfId="49" applyNumberFormat="1" applyFont="1" applyFill="1" applyBorder="1" applyAlignment="1" applyProtection="1">
      <alignment horizontal="center" vertical="center"/>
    </xf>
    <xf numFmtId="0" fontId="35" fillId="30" borderId="24" xfId="49" applyFont="1" applyFill="1" applyBorder="1" applyProtection="1"/>
    <xf numFmtId="0" fontId="126" fillId="30" borderId="52" xfId="49" applyFont="1" applyFill="1" applyBorder="1" applyAlignment="1" applyProtection="1">
      <alignment horizontal="center" vertical="center"/>
    </xf>
    <xf numFmtId="0" fontId="126" fillId="30" borderId="7" xfId="49" applyFont="1" applyFill="1" applyBorder="1" applyAlignment="1" applyProtection="1">
      <alignment horizontal="center" vertical="center"/>
    </xf>
    <xf numFmtId="3" fontId="35" fillId="32" borderId="7" xfId="49" applyNumberFormat="1" applyFont="1" applyFill="1" applyBorder="1" applyAlignment="1" applyProtection="1">
      <alignment horizontal="center" vertical="center"/>
    </xf>
    <xf numFmtId="3" fontId="35" fillId="32" borderId="53" xfId="49" applyNumberFormat="1" applyFont="1" applyFill="1" applyBorder="1" applyAlignment="1" applyProtection="1">
      <alignment horizontal="center" vertical="center"/>
    </xf>
    <xf numFmtId="3" fontId="35" fillId="30" borderId="32" xfId="49" applyNumberFormat="1" applyFont="1" applyFill="1" applyBorder="1" applyAlignment="1" applyProtection="1">
      <alignment horizontal="center" vertical="center"/>
    </xf>
    <xf numFmtId="3" fontId="35" fillId="30" borderId="7" xfId="49" applyNumberFormat="1" applyFont="1" applyFill="1" applyBorder="1" applyAlignment="1" applyProtection="1">
      <alignment horizontal="center" vertical="center"/>
    </xf>
    <xf numFmtId="3" fontId="35" fillId="30" borderId="53" xfId="49" applyNumberFormat="1" applyFont="1" applyFill="1" applyBorder="1" applyAlignment="1" applyProtection="1">
      <alignment horizontal="center" vertical="center"/>
    </xf>
    <xf numFmtId="3" fontId="35" fillId="32" borderId="52" xfId="49" applyNumberFormat="1" applyFont="1" applyFill="1" applyBorder="1" applyAlignment="1" applyProtection="1">
      <alignment horizontal="center" vertical="center"/>
    </xf>
    <xf numFmtId="3" fontId="35" fillId="30" borderId="52" xfId="49" applyNumberFormat="1" applyFont="1" applyFill="1" applyBorder="1" applyAlignment="1" applyProtection="1">
      <alignment horizontal="center" vertical="center"/>
    </xf>
    <xf numFmtId="3" fontId="35" fillId="32" borderId="32" xfId="49" applyNumberFormat="1" applyFont="1" applyFill="1" applyBorder="1" applyAlignment="1" applyProtection="1">
      <alignment horizontal="center" vertical="center"/>
    </xf>
    <xf numFmtId="3" fontId="35" fillId="32" borderId="57" xfId="49" applyNumberFormat="1" applyFont="1" applyFill="1" applyBorder="1" applyAlignment="1" applyProtection="1">
      <alignment horizontal="right"/>
    </xf>
    <xf numFmtId="3" fontId="35" fillId="32" borderId="79" xfId="49" applyNumberFormat="1" applyFont="1" applyFill="1" applyBorder="1" applyAlignment="1" applyProtection="1">
      <alignment horizontal="right"/>
    </xf>
    <xf numFmtId="3" fontId="35" fillId="30" borderId="56" xfId="49" applyNumberFormat="1" applyFont="1" applyFill="1" applyBorder="1" applyAlignment="1" applyProtection="1">
      <alignment horizontal="center"/>
    </xf>
    <xf numFmtId="3" fontId="35" fillId="30" borderId="77" xfId="49" applyNumberFormat="1" applyFont="1" applyFill="1" applyBorder="1" applyAlignment="1" applyProtection="1">
      <alignment horizontal="center"/>
    </xf>
    <xf numFmtId="3" fontId="35" fillId="30" borderId="57" xfId="49" applyNumberFormat="1" applyFont="1" applyFill="1" applyBorder="1" applyAlignment="1" applyProtection="1">
      <alignment horizontal="center"/>
    </xf>
    <xf numFmtId="0" fontId="46" fillId="40" borderId="1" xfId="49" applyFont="1" applyFill="1" applyBorder="1" applyProtection="1"/>
    <xf numFmtId="3" fontId="46" fillId="40" borderId="38" xfId="49" applyNumberFormat="1" applyFont="1" applyFill="1" applyBorder="1" applyAlignment="1" applyProtection="1">
      <alignment horizontal="center"/>
    </xf>
    <xf numFmtId="3" fontId="46" fillId="40" borderId="9" xfId="49" applyNumberFormat="1" applyFont="1" applyFill="1" applyBorder="1" applyAlignment="1" applyProtection="1">
      <alignment horizontal="center"/>
    </xf>
    <xf numFmtId="3" fontId="46" fillId="40" borderId="10" xfId="49" applyNumberFormat="1" applyFont="1" applyFill="1" applyBorder="1" applyAlignment="1" applyProtection="1">
      <alignment horizontal="center"/>
    </xf>
    <xf numFmtId="0" fontId="12" fillId="40" borderId="65" xfId="49" applyFont="1" applyFill="1" applyBorder="1" applyAlignment="1" applyProtection="1">
      <alignment horizontal="center"/>
    </xf>
    <xf numFmtId="0" fontId="12" fillId="40" borderId="9" xfId="49" applyFont="1" applyFill="1" applyBorder="1" applyAlignment="1" applyProtection="1">
      <alignment horizontal="center"/>
    </xf>
    <xf numFmtId="0" fontId="12" fillId="40" borderId="10" xfId="49" applyFont="1" applyFill="1" applyBorder="1" applyAlignment="1" applyProtection="1">
      <alignment horizontal="center"/>
    </xf>
    <xf numFmtId="0" fontId="12" fillId="40" borderId="38" xfId="49" applyFont="1" applyFill="1" applyBorder="1" applyAlignment="1" applyProtection="1">
      <alignment horizontal="center"/>
    </xf>
    <xf numFmtId="0" fontId="46" fillId="40" borderId="10" xfId="49" applyFont="1" applyFill="1" applyBorder="1" applyAlignment="1" applyProtection="1">
      <alignment horizontal="center"/>
    </xf>
    <xf numFmtId="0" fontId="35" fillId="30" borderId="29" xfId="49" applyFont="1" applyFill="1" applyBorder="1" applyAlignment="1" applyProtection="1">
      <alignment wrapText="1"/>
    </xf>
    <xf numFmtId="4" fontId="34" fillId="30" borderId="75" xfId="49" applyNumberFormat="1" applyFont="1" applyFill="1" applyBorder="1" applyAlignment="1" applyProtection="1">
      <alignment horizontal="center" vertical="center"/>
    </xf>
    <xf numFmtId="4" fontId="34" fillId="30" borderId="73" xfId="49" applyNumberFormat="1" applyFont="1" applyFill="1" applyBorder="1" applyAlignment="1" applyProtection="1">
      <alignment horizontal="center" vertical="center"/>
    </xf>
    <xf numFmtId="4" fontId="34" fillId="30" borderId="76" xfId="49" applyNumberFormat="1" applyFont="1" applyFill="1" applyBorder="1" applyAlignment="1" applyProtection="1">
      <alignment horizontal="center" vertical="center"/>
    </xf>
    <xf numFmtId="4" fontId="34" fillId="30" borderId="72" xfId="49" applyNumberFormat="1" applyFont="1" applyFill="1" applyBorder="1" applyAlignment="1" applyProtection="1">
      <alignment horizontal="center" vertical="center"/>
    </xf>
    <xf numFmtId="0" fontId="35" fillId="30" borderId="24" xfId="49" applyFont="1" applyFill="1" applyBorder="1" applyAlignment="1" applyProtection="1">
      <alignment wrapText="1"/>
    </xf>
    <xf numFmtId="4" fontId="34" fillId="30" borderId="52" xfId="49" applyNumberFormat="1" applyFont="1" applyFill="1" applyBorder="1" applyAlignment="1" applyProtection="1">
      <alignment horizontal="center" vertical="center"/>
    </xf>
    <xf numFmtId="4" fontId="34" fillId="30" borderId="7" xfId="49" applyNumberFormat="1" applyFont="1" applyFill="1" applyBorder="1" applyAlignment="1" applyProtection="1">
      <alignment horizontal="center" vertical="center"/>
    </xf>
    <xf numFmtId="4" fontId="34" fillId="30" borderId="53" xfId="49" applyNumberFormat="1" applyFont="1" applyFill="1" applyBorder="1" applyAlignment="1" applyProtection="1">
      <alignment horizontal="center" vertical="center"/>
    </xf>
    <xf numFmtId="4" fontId="34" fillId="30" borderId="32" xfId="49" applyNumberFormat="1" applyFont="1" applyFill="1" applyBorder="1" applyAlignment="1" applyProtection="1">
      <alignment horizontal="center" vertical="center"/>
    </xf>
    <xf numFmtId="0" fontId="35" fillId="30" borderId="30" xfId="49" applyFont="1" applyFill="1" applyBorder="1" applyAlignment="1" applyProtection="1">
      <alignment wrapText="1"/>
    </xf>
    <xf numFmtId="4" fontId="34" fillId="30" borderId="56" xfId="49" applyNumberFormat="1" applyFont="1" applyFill="1" applyBorder="1" applyAlignment="1" applyProtection="1">
      <alignment horizontal="center" vertical="center"/>
    </xf>
    <xf numFmtId="4" fontId="34" fillId="30" borderId="77" xfId="49" applyNumberFormat="1" applyFont="1" applyFill="1" applyBorder="1" applyAlignment="1" applyProtection="1">
      <alignment horizontal="center" vertical="center"/>
    </xf>
    <xf numFmtId="4" fontId="34" fillId="30" borderId="57" xfId="49" applyNumberFormat="1" applyFont="1" applyFill="1" applyBorder="1" applyAlignment="1" applyProtection="1">
      <alignment horizontal="center" vertical="center"/>
    </xf>
    <xf numFmtId="4" fontId="34" fillId="30" borderId="79" xfId="49" applyNumberFormat="1" applyFont="1" applyFill="1" applyBorder="1" applyAlignment="1" applyProtection="1">
      <alignment horizontal="center" vertical="center"/>
    </xf>
    <xf numFmtId="168" fontId="35" fillId="0" borderId="32" xfId="49" applyNumberFormat="1" applyFont="1" applyFill="1" applyBorder="1" applyAlignment="1" applyProtection="1">
      <alignment horizontal="center" vertical="center" wrapText="1"/>
    </xf>
    <xf numFmtId="168" fontId="35" fillId="0" borderId="7" xfId="49" applyNumberFormat="1" applyFont="1" applyFill="1" applyBorder="1" applyAlignment="1" applyProtection="1">
      <alignment horizontal="center" vertical="center" wrapText="1"/>
    </xf>
    <xf numFmtId="168" fontId="35" fillId="0" borderId="53" xfId="49" applyNumberFormat="1" applyFont="1" applyFill="1" applyBorder="1" applyAlignment="1" applyProtection="1">
      <alignment horizontal="center" vertical="center" wrapText="1"/>
    </xf>
    <xf numFmtId="0" fontId="62" fillId="40" borderId="2" xfId="52" applyFont="1" applyFill="1" applyBorder="1" applyAlignment="1" applyProtection="1">
      <alignment horizontal="center" vertical="center"/>
    </xf>
    <xf numFmtId="0" fontId="62" fillId="40" borderId="65" xfId="52" applyFont="1" applyFill="1" applyBorder="1" applyAlignment="1" applyProtection="1">
      <alignment horizontal="center" vertical="center"/>
    </xf>
    <xf numFmtId="0" fontId="62" fillId="25" borderId="35" xfId="52" applyFont="1" applyFill="1" applyBorder="1" applyAlignment="1" applyProtection="1">
      <alignment horizontal="left" vertical="center" indent="1"/>
    </xf>
    <xf numFmtId="0" fontId="62" fillId="25" borderId="11" xfId="52" applyFont="1" applyFill="1" applyBorder="1" applyAlignment="1" applyProtection="1">
      <alignment horizontal="center" vertical="center"/>
    </xf>
    <xf numFmtId="0" fontId="53" fillId="34" borderId="51" xfId="52" applyFont="1" applyFill="1" applyBorder="1" applyAlignment="1" applyProtection="1">
      <alignment horizontal="center" vertical="center" wrapText="1"/>
    </xf>
    <xf numFmtId="0" fontId="35" fillId="29" borderId="24" xfId="0" applyFont="1" applyFill="1" applyBorder="1" applyAlignment="1" applyProtection="1">
      <alignment vertical="center" wrapText="1"/>
    </xf>
    <xf numFmtId="0" fontId="53" fillId="21" borderId="17" xfId="52" applyFont="1" applyFill="1" applyBorder="1" applyAlignment="1" applyProtection="1">
      <alignment horizontal="center" vertical="center" wrapText="1"/>
    </xf>
    <xf numFmtId="0" fontId="53" fillId="34" borderId="5" xfId="52" applyFont="1" applyFill="1" applyBorder="1" applyAlignment="1" applyProtection="1">
      <alignment horizontal="center" vertical="center" wrapText="1"/>
    </xf>
    <xf numFmtId="0" fontId="53" fillId="34" borderId="39" xfId="52" applyFont="1" applyFill="1" applyBorder="1" applyAlignment="1" applyProtection="1">
      <alignment horizontal="center" vertical="center" wrapText="1"/>
    </xf>
    <xf numFmtId="0" fontId="53" fillId="21" borderId="51" xfId="52" applyFont="1" applyFill="1" applyBorder="1" applyAlignment="1" applyProtection="1">
      <alignment horizontal="center" vertical="center" wrapText="1"/>
    </xf>
    <xf numFmtId="0" fontId="53" fillId="30" borderId="17" xfId="52" applyFont="1" applyFill="1" applyBorder="1" applyAlignment="1" applyProtection="1">
      <alignment wrapText="1"/>
    </xf>
    <xf numFmtId="0" fontId="91" fillId="30" borderId="17" xfId="52" applyFont="1" applyFill="1" applyBorder="1" applyProtection="1"/>
    <xf numFmtId="0" fontId="53" fillId="21" borderId="21" xfId="52" applyFont="1" applyFill="1" applyBorder="1" applyAlignment="1" applyProtection="1">
      <alignment horizontal="center" vertical="center" wrapText="1"/>
    </xf>
    <xf numFmtId="0" fontId="53" fillId="21" borderId="5" xfId="52" applyFont="1" applyFill="1" applyBorder="1" applyAlignment="1" applyProtection="1">
      <alignment horizontal="center" vertical="center" wrapText="1"/>
    </xf>
    <xf numFmtId="0" fontId="53" fillId="34" borderId="17" xfId="52" applyFont="1" applyFill="1" applyBorder="1" applyAlignment="1" applyProtection="1">
      <alignment horizontal="center" vertical="center" wrapText="1"/>
    </xf>
    <xf numFmtId="0" fontId="53" fillId="34" borderId="21" xfId="52" applyFont="1" applyFill="1" applyBorder="1" applyAlignment="1" applyProtection="1">
      <alignment horizontal="center" vertical="center" wrapText="1"/>
    </xf>
    <xf numFmtId="0" fontId="53" fillId="25" borderId="8" xfId="52" applyFont="1" applyFill="1" applyBorder="1" applyAlignment="1" applyProtection="1">
      <alignment horizontal="center" vertical="center" wrapText="1"/>
    </xf>
    <xf numFmtId="0" fontId="53" fillId="30" borderId="51" xfId="52" applyFont="1" applyFill="1" applyBorder="1" applyAlignment="1" applyProtection="1">
      <alignment horizontal="left" vertical="center" wrapText="1" indent="1"/>
    </xf>
    <xf numFmtId="0" fontId="90" fillId="30" borderId="17" xfId="52" applyFont="1" applyFill="1" applyBorder="1" applyAlignment="1" applyProtection="1">
      <alignment horizontal="left" indent="2"/>
    </xf>
    <xf numFmtId="0" fontId="53" fillId="30" borderId="17" xfId="52" applyFont="1" applyFill="1" applyBorder="1" applyAlignment="1" applyProtection="1">
      <alignment horizontal="left" vertical="center" wrapText="1" indent="1"/>
    </xf>
    <xf numFmtId="0" fontId="53" fillId="30" borderId="17" xfId="52" applyFont="1" applyFill="1" applyBorder="1" applyAlignment="1" applyProtection="1">
      <alignment horizontal="right"/>
    </xf>
    <xf numFmtId="0" fontId="53" fillId="30" borderId="21" xfId="52" applyFont="1" applyFill="1" applyBorder="1" applyAlignment="1" applyProtection="1">
      <alignment horizontal="right"/>
    </xf>
    <xf numFmtId="0" fontId="62" fillId="25" borderId="2" xfId="52" applyFont="1" applyFill="1" applyBorder="1" applyAlignment="1" applyProtection="1">
      <alignment horizontal="left" indent="1"/>
    </xf>
    <xf numFmtId="49" fontId="53" fillId="30" borderId="17" xfId="52" applyNumberFormat="1" applyFont="1" applyFill="1" applyBorder="1" applyProtection="1"/>
    <xf numFmtId="3" fontId="34" fillId="30" borderId="72" xfId="49" applyNumberFormat="1" applyFont="1" applyFill="1" applyBorder="1" applyAlignment="1">
      <alignment horizontal="center" vertical="center" wrapText="1"/>
    </xf>
    <xf numFmtId="3" fontId="34" fillId="0" borderId="72" xfId="49" applyNumberFormat="1" applyFont="1" applyFill="1" applyBorder="1" applyAlignment="1">
      <alignment horizontal="center" vertical="center" wrapText="1"/>
    </xf>
    <xf numFmtId="3" fontId="35" fillId="0" borderId="32" xfId="49" applyNumberFormat="1" applyFont="1" applyFill="1" applyBorder="1" applyAlignment="1">
      <alignment horizontal="center" vertical="center" wrapText="1"/>
    </xf>
    <xf numFmtId="3" fontId="36" fillId="30" borderId="32" xfId="49" applyNumberFormat="1" applyFont="1" applyFill="1" applyBorder="1" applyAlignment="1">
      <alignment horizontal="center" vertical="center" wrapText="1"/>
    </xf>
    <xf numFmtId="0" fontId="34" fillId="0" borderId="5" xfId="49" applyFont="1" applyFill="1" applyBorder="1" applyAlignment="1">
      <alignment horizontal="center" vertical="center" wrapText="1"/>
    </xf>
    <xf numFmtId="4" fontId="34" fillId="21" borderId="17" xfId="0" applyNumberFormat="1" applyFont="1" applyFill="1" applyBorder="1" applyAlignment="1" applyProtection="1">
      <alignment horizontal="center" vertical="center"/>
    </xf>
    <xf numFmtId="4" fontId="35" fillId="0" borderId="17" xfId="0" applyNumberFormat="1" applyFont="1" applyFill="1" applyBorder="1" applyAlignment="1" applyProtection="1">
      <alignment horizontal="center" vertical="center"/>
    </xf>
    <xf numFmtId="4" fontId="35" fillId="21" borderId="17" xfId="0" applyNumberFormat="1" applyFont="1" applyFill="1" applyBorder="1" applyAlignment="1" applyProtection="1">
      <alignment horizontal="center" vertical="center"/>
    </xf>
    <xf numFmtId="10" fontId="35" fillId="0" borderId="39" xfId="1" applyNumberFormat="1" applyFont="1" applyFill="1" applyBorder="1" applyAlignment="1" applyProtection="1">
      <alignment horizontal="center" vertical="center"/>
    </xf>
    <xf numFmtId="4" fontId="35" fillId="21" borderId="39" xfId="0" applyNumberFormat="1" applyFont="1" applyFill="1" applyBorder="1" applyAlignment="1" applyProtection="1">
      <alignment horizontal="center" vertical="center"/>
    </xf>
    <xf numFmtId="4" fontId="34" fillId="22" borderId="2" xfId="0" applyNumberFormat="1" applyFont="1" applyFill="1" applyBorder="1" applyAlignment="1" applyProtection="1">
      <alignment horizontal="center" vertical="center"/>
    </xf>
    <xf numFmtId="10" fontId="34" fillId="34" borderId="1" xfId="1" applyNumberFormat="1" applyFont="1" applyFill="1" applyBorder="1" applyAlignment="1" applyProtection="1">
      <alignment horizontal="center" vertical="center"/>
    </xf>
    <xf numFmtId="10" fontId="34" fillId="34" borderId="2" xfId="1" applyNumberFormat="1" applyFont="1" applyFill="1" applyBorder="1" applyAlignment="1" applyProtection="1">
      <alignment horizontal="center" vertical="center"/>
    </xf>
    <xf numFmtId="10" fontId="34" fillId="34" borderId="65" xfId="1" applyNumberFormat="1" applyFont="1" applyFill="1" applyBorder="1" applyAlignment="1" applyProtection="1">
      <alignment horizontal="center" vertical="center"/>
    </xf>
    <xf numFmtId="10" fontId="34" fillId="34" borderId="9" xfId="1" applyNumberFormat="1" applyFont="1" applyFill="1" applyBorder="1" applyAlignment="1" applyProtection="1">
      <alignment horizontal="center" vertical="center"/>
    </xf>
    <xf numFmtId="10" fontId="34" fillId="34" borderId="10" xfId="1" applyNumberFormat="1" applyFont="1" applyFill="1" applyBorder="1" applyAlignment="1" applyProtection="1">
      <alignment horizontal="center" vertical="center"/>
    </xf>
    <xf numFmtId="49" fontId="35" fillId="29" borderId="51" xfId="32" applyNumberFormat="1" applyFont="1" applyFill="1" applyBorder="1" applyAlignment="1" applyProtection="1">
      <alignment horizontal="center" vertical="center"/>
    </xf>
    <xf numFmtId="49" fontId="35" fillId="29" borderId="17" xfId="32" applyNumberFormat="1" applyFont="1" applyFill="1" applyBorder="1" applyAlignment="1" applyProtection="1">
      <alignment horizontal="center" vertical="center"/>
    </xf>
    <xf numFmtId="49" fontId="35" fillId="29" borderId="39" xfId="32" applyNumberFormat="1" applyFont="1" applyFill="1" applyBorder="1" applyAlignment="1" applyProtection="1">
      <alignment horizontal="center" vertical="center"/>
    </xf>
    <xf numFmtId="0" fontId="6" fillId="30" borderId="0" xfId="32" applyFont="1" applyFill="1" applyBorder="1" applyAlignment="1">
      <alignment horizontal="center" vertical="center"/>
    </xf>
    <xf numFmtId="0" fontId="13" fillId="30" borderId="0" xfId="49" applyFont="1" applyFill="1" applyBorder="1" applyAlignment="1">
      <alignment horizontal="center" vertical="center"/>
    </xf>
    <xf numFmtId="0" fontId="14" fillId="30" borderId="0" xfId="49" applyFont="1" applyFill="1" applyAlignment="1">
      <alignment horizontal="left" indent="1"/>
    </xf>
    <xf numFmtId="0" fontId="37" fillId="30" borderId="0" xfId="49" applyFont="1" applyFill="1" applyAlignment="1">
      <alignment horizontal="left" indent="1"/>
    </xf>
    <xf numFmtId="173" fontId="35" fillId="0" borderId="73" xfId="37" applyNumberFormat="1" applyFont="1" applyFill="1" applyBorder="1" applyProtection="1">
      <alignment horizontal="right" vertical="center" wrapText="1"/>
    </xf>
    <xf numFmtId="173" fontId="35" fillId="0" borderId="73" xfId="28" applyNumberFormat="1" applyFont="1" applyFill="1" applyBorder="1" applyProtection="1">
      <alignment horizontal="right" vertical="center" wrapText="1"/>
    </xf>
    <xf numFmtId="173" fontId="35" fillId="0" borderId="76" xfId="28" applyNumberFormat="1" applyFont="1" applyFill="1" applyBorder="1" applyProtection="1">
      <alignment horizontal="right" vertical="center" wrapText="1"/>
    </xf>
    <xf numFmtId="173" fontId="35" fillId="0" borderId="58" xfId="37" applyNumberFormat="1" applyFont="1" applyFill="1" applyBorder="1" applyProtection="1">
      <alignment horizontal="right" vertical="center" wrapText="1"/>
    </xf>
    <xf numFmtId="3" fontId="35" fillId="0" borderId="73" xfId="37" applyFont="1" applyFill="1" applyBorder="1" applyProtection="1">
      <alignment horizontal="right" vertical="center" wrapText="1"/>
    </xf>
    <xf numFmtId="38" fontId="35" fillId="0" borderId="73" xfId="28" applyFont="1" applyFill="1" applyBorder="1" applyProtection="1">
      <alignment horizontal="right" vertical="center" wrapText="1"/>
    </xf>
    <xf numFmtId="38" fontId="35" fillId="0" borderId="76" xfId="28" applyFont="1" applyFill="1" applyBorder="1" applyProtection="1">
      <alignment horizontal="right" vertical="center" wrapText="1"/>
    </xf>
    <xf numFmtId="0" fontId="21" fillId="30" borderId="0" xfId="32" applyFill="1" applyProtection="1"/>
    <xf numFmtId="0" fontId="6" fillId="0" borderId="0" xfId="0" applyFont="1" applyBorder="1" applyAlignment="1" applyProtection="1">
      <alignment horizontal="right" vertical="center"/>
    </xf>
    <xf numFmtId="0" fontId="6" fillId="0" borderId="0" xfId="0" applyFont="1" applyBorder="1" applyAlignment="1" applyProtection="1">
      <alignment vertical="center"/>
    </xf>
    <xf numFmtId="0" fontId="14" fillId="2" borderId="35" xfId="32" applyFont="1" applyFill="1" applyBorder="1" applyAlignment="1" applyProtection="1">
      <alignment horizontal="center" vertical="center" wrapText="1"/>
    </xf>
    <xf numFmtId="0" fontId="14" fillId="2" borderId="41" xfId="32" applyFont="1" applyFill="1" applyBorder="1" applyAlignment="1" applyProtection="1">
      <alignment horizontal="center" vertical="center" wrapText="1"/>
    </xf>
    <xf numFmtId="0" fontId="71" fillId="30" borderId="63" xfId="32" applyFont="1" applyFill="1" applyBorder="1" applyAlignment="1" applyProtection="1">
      <alignment vertical="center"/>
    </xf>
    <xf numFmtId="0" fontId="5" fillId="30" borderId="69" xfId="32" applyFont="1" applyFill="1" applyBorder="1" applyAlignment="1" applyProtection="1">
      <alignment vertical="center"/>
    </xf>
    <xf numFmtId="0" fontId="5" fillId="30" borderId="63" xfId="32" applyFont="1" applyFill="1" applyBorder="1" applyAlignment="1" applyProtection="1">
      <alignment vertical="center"/>
    </xf>
    <xf numFmtId="0" fontId="14" fillId="30" borderId="63" xfId="32" applyFont="1" applyFill="1" applyBorder="1" applyAlignment="1" applyProtection="1">
      <alignment horizontal="center" vertical="center"/>
    </xf>
    <xf numFmtId="0" fontId="5" fillId="30" borderId="4" xfId="32" applyFont="1" applyFill="1" applyBorder="1" applyAlignment="1" applyProtection="1">
      <alignment vertical="center"/>
    </xf>
    <xf numFmtId="0" fontId="5" fillId="30" borderId="13" xfId="32" applyFont="1" applyFill="1" applyBorder="1" applyAlignment="1" applyProtection="1">
      <alignment vertical="center" wrapText="1"/>
    </xf>
    <xf numFmtId="0" fontId="5" fillId="30" borderId="4" xfId="32" applyFont="1" applyFill="1" applyBorder="1" applyAlignment="1" applyProtection="1">
      <alignment horizontal="center" vertical="center" wrapText="1"/>
    </xf>
    <xf numFmtId="0" fontId="14" fillId="30" borderId="4" xfId="32" applyFont="1" applyFill="1" applyBorder="1" applyProtection="1"/>
    <xf numFmtId="0" fontId="5" fillId="30" borderId="31" xfId="32" applyFont="1" applyFill="1" applyBorder="1" applyAlignment="1" applyProtection="1">
      <alignment vertical="center"/>
    </xf>
    <xf numFmtId="0" fontId="5" fillId="30" borderId="44" xfId="32" applyFont="1" applyFill="1" applyBorder="1" applyAlignment="1" applyProtection="1">
      <alignment vertical="center" wrapText="1"/>
    </xf>
    <xf numFmtId="0" fontId="5" fillId="30" borderId="31" xfId="32" applyFont="1" applyFill="1" applyBorder="1" applyAlignment="1" applyProtection="1">
      <alignment horizontal="center" vertical="center" wrapText="1"/>
    </xf>
    <xf numFmtId="0" fontId="14" fillId="30" borderId="31" xfId="32" applyFont="1" applyFill="1" applyBorder="1" applyAlignment="1" applyProtection="1">
      <alignment vertical="center"/>
    </xf>
    <xf numFmtId="0" fontId="5" fillId="20" borderId="4" xfId="32" applyFont="1" applyFill="1" applyBorder="1" applyProtection="1"/>
    <xf numFmtId="0" fontId="5" fillId="20" borderId="13" xfId="32" applyFont="1" applyFill="1" applyBorder="1" applyProtection="1"/>
    <xf numFmtId="0" fontId="14" fillId="20" borderId="4" xfId="32" applyFont="1" applyFill="1" applyBorder="1" applyProtection="1"/>
    <xf numFmtId="0" fontId="5" fillId="30" borderId="69" xfId="32" applyFont="1" applyFill="1" applyBorder="1" applyAlignment="1" applyProtection="1">
      <alignment vertical="center" wrapText="1"/>
    </xf>
    <xf numFmtId="0" fontId="65" fillId="30" borderId="63" xfId="32" applyFont="1" applyFill="1" applyBorder="1" applyAlignment="1" applyProtection="1">
      <alignment horizontal="center" vertical="center" wrapText="1"/>
    </xf>
    <xf numFmtId="0" fontId="65" fillId="30" borderId="4" xfId="32" applyFont="1" applyFill="1" applyBorder="1" applyAlignment="1" applyProtection="1">
      <alignment vertical="center"/>
    </xf>
    <xf numFmtId="0" fontId="65" fillId="30" borderId="4" xfId="32" applyFont="1" applyFill="1" applyBorder="1" applyAlignment="1" applyProtection="1">
      <alignment horizontal="center" vertical="center" wrapText="1"/>
    </xf>
    <xf numFmtId="0" fontId="14" fillId="30" borderId="4" xfId="32" applyFont="1" applyFill="1" applyBorder="1" applyAlignment="1" applyProtection="1">
      <alignment horizontal="center" vertical="center" wrapText="1"/>
    </xf>
    <xf numFmtId="0" fontId="5" fillId="30" borderId="31" xfId="32" applyFont="1" applyFill="1" applyBorder="1" applyAlignment="1" applyProtection="1">
      <alignment vertical="center" wrapText="1"/>
    </xf>
    <xf numFmtId="0" fontId="14" fillId="30" borderId="4" xfId="32" applyFont="1" applyFill="1" applyBorder="1" applyAlignment="1" applyProtection="1">
      <alignment vertical="center"/>
    </xf>
    <xf numFmtId="0" fontId="5" fillId="30" borderId="13" xfId="32" applyFont="1" applyFill="1" applyBorder="1" applyProtection="1"/>
    <xf numFmtId="0" fontId="5" fillId="30" borderId="44" xfId="32" applyFont="1" applyFill="1" applyBorder="1" applyProtection="1"/>
    <xf numFmtId="0" fontId="71" fillId="30" borderId="4" xfId="32" applyFont="1" applyFill="1" applyBorder="1" applyAlignment="1" applyProtection="1">
      <alignment vertical="center"/>
    </xf>
    <xf numFmtId="0" fontId="5" fillId="30" borderId="13" xfId="32" applyFont="1" applyFill="1" applyBorder="1" applyAlignment="1" applyProtection="1">
      <alignment vertical="center"/>
    </xf>
    <xf numFmtId="0" fontId="65" fillId="30" borderId="4" xfId="32" applyFont="1" applyFill="1" applyBorder="1" applyAlignment="1" applyProtection="1">
      <alignment horizontal="center" vertical="center"/>
    </xf>
    <xf numFmtId="0" fontId="5" fillId="30" borderId="13" xfId="32" applyFont="1" applyFill="1" applyBorder="1" applyAlignment="1" applyProtection="1">
      <alignment horizontal="left" vertical="center" wrapText="1"/>
    </xf>
    <xf numFmtId="0" fontId="65" fillId="30" borderId="63" xfId="32" applyFont="1" applyFill="1" applyBorder="1" applyAlignment="1" applyProtection="1">
      <alignment horizontal="center" vertical="center"/>
    </xf>
    <xf numFmtId="0" fontId="14" fillId="30" borderId="4" xfId="32" applyFont="1" applyFill="1" applyBorder="1" applyAlignment="1" applyProtection="1">
      <alignment horizontal="center" vertical="center"/>
    </xf>
    <xf numFmtId="0" fontId="14" fillId="30" borderId="31" xfId="32" applyFont="1" applyFill="1" applyBorder="1" applyProtection="1"/>
    <xf numFmtId="0" fontId="127" fillId="0" borderId="0" xfId="0" applyFont="1" applyProtection="1"/>
    <xf numFmtId="0" fontId="5" fillId="30" borderId="4" xfId="32" applyFont="1" applyFill="1" applyBorder="1" applyAlignment="1" applyProtection="1">
      <alignment vertical="center" wrapText="1"/>
    </xf>
    <xf numFmtId="0" fontId="5" fillId="30" borderId="4" xfId="32" applyFont="1" applyFill="1" applyBorder="1" applyAlignment="1" applyProtection="1">
      <alignment horizontal="left" vertical="top" wrapText="1"/>
    </xf>
    <xf numFmtId="0" fontId="5" fillId="30" borderId="63" xfId="32" applyFont="1" applyFill="1" applyBorder="1" applyProtection="1"/>
    <xf numFmtId="0" fontId="5" fillId="30" borderId="69" xfId="32" applyFont="1" applyFill="1" applyBorder="1" applyProtection="1"/>
    <xf numFmtId="0" fontId="5" fillId="30" borderId="4" xfId="32" applyFont="1" applyFill="1" applyBorder="1" applyProtection="1"/>
    <xf numFmtId="0" fontId="14" fillId="30" borderId="4" xfId="32" applyFont="1" applyFill="1" applyBorder="1" applyAlignment="1" applyProtection="1">
      <alignment vertical="center" wrapText="1"/>
    </xf>
    <xf numFmtId="0" fontId="14" fillId="30" borderId="31" xfId="32" applyFont="1" applyFill="1" applyBorder="1" applyAlignment="1" applyProtection="1">
      <alignment vertical="center" wrapText="1"/>
    </xf>
    <xf numFmtId="0" fontId="5" fillId="30" borderId="4" xfId="32" applyFont="1" applyFill="1" applyBorder="1" applyAlignment="1" applyProtection="1">
      <alignment horizontal="center" vertical="top" wrapText="1"/>
    </xf>
    <xf numFmtId="0" fontId="5" fillId="30" borderId="31" xfId="32" applyFont="1" applyFill="1" applyBorder="1" applyAlignment="1" applyProtection="1">
      <alignment horizontal="center" vertical="top" wrapText="1"/>
    </xf>
    <xf numFmtId="0" fontId="5" fillId="30" borderId="63" xfId="32" applyFont="1" applyFill="1" applyBorder="1" applyAlignment="1" applyProtection="1">
      <alignment vertical="center" wrapText="1"/>
    </xf>
    <xf numFmtId="0" fontId="5" fillId="29" borderId="63" xfId="32" applyFont="1" applyFill="1" applyBorder="1" applyProtection="1"/>
    <xf numFmtId="0" fontId="5" fillId="29" borderId="69" xfId="32" applyFont="1" applyFill="1" applyBorder="1" applyProtection="1"/>
    <xf numFmtId="0" fontId="14" fillId="29" borderId="63" xfId="32" applyFont="1" applyFill="1" applyBorder="1" applyAlignment="1" applyProtection="1">
      <alignment horizontal="center"/>
    </xf>
    <xf numFmtId="0" fontId="21" fillId="29" borderId="0" xfId="32" applyFill="1" applyProtection="1"/>
    <xf numFmtId="0" fontId="127" fillId="0" borderId="0" xfId="0" applyFont="1" applyBorder="1" applyProtection="1"/>
    <xf numFmtId="0" fontId="5" fillId="29" borderId="4" xfId="32" applyFont="1" applyFill="1" applyBorder="1" applyAlignment="1" applyProtection="1">
      <alignment wrapText="1"/>
    </xf>
    <xf numFmtId="0" fontId="14" fillId="29" borderId="4" xfId="32" applyFont="1" applyFill="1" applyBorder="1" applyProtection="1"/>
    <xf numFmtId="0" fontId="5" fillId="29" borderId="31" xfId="32" applyFont="1" applyFill="1" applyBorder="1" applyProtection="1"/>
    <xf numFmtId="0" fontId="5" fillId="29" borderId="44" xfId="32" applyFont="1" applyFill="1" applyBorder="1" applyProtection="1"/>
    <xf numFmtId="0" fontId="14" fillId="29" borderId="31" xfId="32" applyFont="1" applyFill="1" applyBorder="1" applyProtection="1"/>
    <xf numFmtId="0" fontId="14" fillId="30" borderId="31" xfId="32" quotePrefix="1" applyFont="1" applyFill="1" applyBorder="1" applyAlignment="1" applyProtection="1">
      <alignment vertical="center" wrapText="1"/>
    </xf>
    <xf numFmtId="0" fontId="5" fillId="0" borderId="13" xfId="32" applyFont="1" applyFill="1" applyBorder="1" applyAlignment="1" applyProtection="1">
      <alignment vertical="center" wrapText="1"/>
    </xf>
    <xf numFmtId="0" fontId="5" fillId="29" borderId="4" xfId="32" applyFont="1" applyFill="1" applyBorder="1" applyProtection="1"/>
    <xf numFmtId="0" fontId="5" fillId="29" borderId="13" xfId="32" applyFont="1" applyFill="1" applyBorder="1" applyAlignment="1" applyProtection="1">
      <alignment wrapText="1"/>
    </xf>
    <xf numFmtId="0" fontId="5" fillId="29" borderId="44" xfId="32" applyFont="1" applyFill="1" applyBorder="1" applyAlignment="1" applyProtection="1">
      <alignment wrapText="1"/>
    </xf>
    <xf numFmtId="0" fontId="5" fillId="29" borderId="31" xfId="32" applyFont="1" applyFill="1" applyBorder="1" applyAlignment="1" applyProtection="1">
      <alignment wrapText="1"/>
    </xf>
    <xf numFmtId="0" fontId="65" fillId="30" borderId="4" xfId="32" applyFont="1" applyFill="1" applyBorder="1" applyAlignment="1" applyProtection="1">
      <alignment vertical="center" wrapText="1"/>
    </xf>
    <xf numFmtId="0" fontId="5" fillId="30" borderId="13" xfId="32" applyFont="1" applyFill="1" applyBorder="1" applyAlignment="1" applyProtection="1">
      <alignment wrapText="1"/>
    </xf>
    <xf numFmtId="0" fontId="32" fillId="30" borderId="4" xfId="32" applyFont="1" applyFill="1" applyBorder="1" applyAlignment="1" applyProtection="1">
      <alignment vertical="center" wrapText="1"/>
    </xf>
    <xf numFmtId="0" fontId="5" fillId="30" borderId="44" xfId="32" applyFont="1" applyFill="1" applyBorder="1" applyAlignment="1" applyProtection="1">
      <alignment vertical="center"/>
    </xf>
    <xf numFmtId="0" fontId="14" fillId="30" borderId="31" xfId="32" applyFont="1" applyFill="1" applyBorder="1" applyAlignment="1" applyProtection="1">
      <alignment horizontal="center" vertical="center" wrapText="1"/>
    </xf>
    <xf numFmtId="0" fontId="5" fillId="20" borderId="4" xfId="32" applyFont="1" applyFill="1" applyBorder="1" applyAlignment="1" applyProtection="1">
      <alignment wrapText="1"/>
    </xf>
    <xf numFmtId="0" fontId="5" fillId="30" borderId="4" xfId="32" applyFont="1" applyFill="1" applyBorder="1" applyAlignment="1" applyProtection="1">
      <alignment horizontal="left" vertical="center" wrapText="1"/>
    </xf>
    <xf numFmtId="0" fontId="5" fillId="30" borderId="44" xfId="32" applyFont="1" applyFill="1" applyBorder="1" applyAlignment="1" applyProtection="1">
      <alignment horizontal="left" vertical="center" wrapText="1"/>
    </xf>
    <xf numFmtId="0" fontId="5" fillId="30" borderId="31" xfId="32" applyFont="1" applyFill="1" applyBorder="1" applyAlignment="1" applyProtection="1">
      <alignment horizontal="left" vertical="center" wrapText="1"/>
    </xf>
    <xf numFmtId="0" fontId="5" fillId="20" borderId="31" xfId="32" applyFont="1" applyFill="1" applyBorder="1" applyProtection="1"/>
    <xf numFmtId="0" fontId="5" fillId="20" borderId="44" xfId="32" applyFont="1" applyFill="1" applyBorder="1" applyProtection="1"/>
    <xf numFmtId="0" fontId="14" fillId="20" borderId="31" xfId="32" applyFont="1" applyFill="1" applyBorder="1" applyProtection="1"/>
    <xf numFmtId="0" fontId="5" fillId="30" borderId="0" xfId="32" applyFont="1" applyFill="1" applyProtection="1"/>
    <xf numFmtId="0" fontId="14" fillId="30" borderId="0" xfId="32" applyFont="1" applyFill="1" applyProtection="1"/>
    <xf numFmtId="0" fontId="66" fillId="30" borderId="0" xfId="32" applyFont="1" applyFill="1" applyProtection="1"/>
    <xf numFmtId="0" fontId="6" fillId="30" borderId="0" xfId="32" applyFont="1" applyFill="1" applyBorder="1" applyAlignment="1">
      <alignment horizontal="right" vertical="center"/>
    </xf>
    <xf numFmtId="1" fontId="75" fillId="45" borderId="89" xfId="0" applyNumberFormat="1" applyFont="1" applyFill="1" applyBorder="1" applyAlignment="1">
      <alignment horizontal="center" wrapText="1"/>
    </xf>
    <xf numFmtId="167" fontId="103" fillId="45" borderId="89" xfId="49" applyNumberFormat="1" applyFont="1" applyFill="1" applyBorder="1" applyAlignment="1">
      <alignment horizontal="center"/>
    </xf>
    <xf numFmtId="49" fontId="35" fillId="0" borderId="24" xfId="49" applyNumberFormat="1" applyFont="1" applyFill="1" applyBorder="1" applyAlignment="1">
      <alignment horizontal="left" wrapText="1"/>
    </xf>
    <xf numFmtId="49" fontId="14" fillId="26" borderId="1" xfId="49" applyNumberFormat="1" applyFont="1" applyFill="1" applyBorder="1" applyAlignment="1">
      <alignment horizontal="center" vertical="center"/>
    </xf>
    <xf numFmtId="49" fontId="14" fillId="26" borderId="1" xfId="49" applyNumberFormat="1" applyFont="1" applyFill="1" applyBorder="1" applyAlignment="1">
      <alignment vertical="center"/>
    </xf>
    <xf numFmtId="167" fontId="21" fillId="30" borderId="0" xfId="49" applyNumberFormat="1" applyFont="1" applyFill="1"/>
    <xf numFmtId="0" fontId="14" fillId="26" borderId="1" xfId="49" applyFont="1" applyFill="1" applyBorder="1" applyAlignment="1">
      <alignment horizontal="center" vertical="center"/>
    </xf>
    <xf numFmtId="0" fontId="14" fillId="26" borderId="1" xfId="49" applyFont="1" applyFill="1" applyBorder="1" applyAlignment="1">
      <alignment horizontal="left" vertical="center"/>
    </xf>
    <xf numFmtId="3" fontId="41" fillId="0" borderId="7" xfId="0" applyNumberFormat="1" applyFont="1" applyFill="1" applyBorder="1" applyAlignment="1" applyProtection="1">
      <alignment horizontal="center" vertical="center"/>
    </xf>
    <xf numFmtId="9" fontId="5" fillId="3" borderId="75" xfId="32" applyNumberFormat="1" applyFont="1" applyFill="1" applyBorder="1" applyAlignment="1" applyProtection="1">
      <alignment horizontal="center" vertical="center"/>
      <protection locked="0"/>
    </xf>
    <xf numFmtId="9" fontId="5" fillId="3" borderId="73" xfId="32" applyNumberFormat="1" applyFont="1" applyFill="1" applyBorder="1" applyAlignment="1" applyProtection="1">
      <alignment horizontal="center" vertical="center"/>
      <protection locked="0"/>
    </xf>
    <xf numFmtId="9" fontId="5" fillId="3" borderId="76" xfId="32" applyNumberFormat="1" applyFont="1" applyFill="1" applyBorder="1" applyAlignment="1" applyProtection="1">
      <alignment horizontal="center" vertical="center"/>
      <protection locked="0"/>
    </xf>
    <xf numFmtId="9" fontId="5" fillId="3" borderId="52" xfId="32" applyNumberFormat="1" applyFont="1" applyFill="1" applyBorder="1" applyAlignment="1" applyProtection="1">
      <alignment horizontal="center" vertical="center"/>
      <protection locked="0"/>
    </xf>
    <xf numFmtId="9" fontId="5" fillId="3" borderId="7" xfId="32" applyNumberFormat="1" applyFont="1" applyFill="1" applyBorder="1" applyAlignment="1" applyProtection="1">
      <alignment horizontal="center" vertical="center"/>
      <protection locked="0"/>
    </xf>
    <xf numFmtId="9" fontId="5" fillId="3" borderId="53" xfId="32" applyNumberFormat="1" applyFont="1" applyFill="1" applyBorder="1" applyAlignment="1" applyProtection="1">
      <alignment horizontal="center" vertical="center"/>
      <protection locked="0"/>
    </xf>
    <xf numFmtId="9" fontId="5" fillId="3" borderId="56" xfId="32" applyNumberFormat="1" applyFont="1" applyFill="1" applyBorder="1" applyAlignment="1" applyProtection="1">
      <alignment horizontal="center" vertical="center"/>
      <protection locked="0"/>
    </xf>
    <xf numFmtId="9" fontId="5" fillId="3" borderId="77" xfId="32" applyNumberFormat="1" applyFont="1" applyFill="1" applyBorder="1" applyAlignment="1" applyProtection="1">
      <alignment horizontal="center" vertical="center"/>
      <protection locked="0"/>
    </xf>
    <xf numFmtId="9" fontId="5" fillId="3" borderId="57" xfId="32" applyNumberFormat="1" applyFont="1" applyFill="1" applyBorder="1" applyAlignment="1" applyProtection="1">
      <alignment horizontal="center" vertical="center"/>
      <protection locked="0"/>
    </xf>
    <xf numFmtId="0" fontId="13" fillId="0" borderId="0" xfId="0" applyFont="1" applyFill="1" applyBorder="1" applyAlignment="1">
      <alignment horizontal="center" vertical="center" wrapText="1"/>
    </xf>
    <xf numFmtId="0" fontId="8" fillId="0" borderId="0" xfId="0" applyFont="1" applyBorder="1" applyAlignment="1">
      <alignment horizontal="center" vertical="center" wrapText="1"/>
    </xf>
    <xf numFmtId="168" fontId="36" fillId="29" borderId="102" xfId="49" applyNumberFormat="1" applyFont="1" applyFill="1" applyBorder="1" applyAlignment="1" applyProtection="1">
      <alignment horizontal="center" vertical="center" wrapText="1"/>
    </xf>
    <xf numFmtId="3" fontId="14" fillId="30" borderId="46" xfId="49" applyNumberFormat="1" applyFont="1" applyFill="1" applyBorder="1" applyAlignment="1">
      <alignment horizontal="center" vertical="center" wrapText="1"/>
    </xf>
    <xf numFmtId="3" fontId="14" fillId="21" borderId="53" xfId="49" applyNumberFormat="1" applyFont="1" applyFill="1" applyBorder="1" applyAlignment="1">
      <alignment horizontal="center" vertical="center"/>
    </xf>
    <xf numFmtId="168" fontId="36" fillId="29" borderId="121" xfId="49" applyNumberFormat="1" applyFont="1" applyFill="1" applyBorder="1" applyAlignment="1" applyProtection="1">
      <alignment horizontal="center" vertical="center" wrapText="1"/>
    </xf>
    <xf numFmtId="168" fontId="36" fillId="0" borderId="88" xfId="49" applyNumberFormat="1" applyFont="1" applyFill="1" applyBorder="1" applyAlignment="1" applyProtection="1">
      <alignment horizontal="center" vertical="center" wrapText="1"/>
    </xf>
    <xf numFmtId="168" fontId="36" fillId="0" borderId="96" xfId="49" applyNumberFormat="1" applyFont="1" applyFill="1" applyBorder="1" applyAlignment="1" applyProtection="1">
      <alignment horizontal="center" vertical="center" wrapText="1"/>
    </xf>
    <xf numFmtId="168" fontId="36" fillId="0" borderId="97" xfId="49" applyNumberFormat="1" applyFont="1" applyFill="1" applyBorder="1" applyAlignment="1" applyProtection="1">
      <alignment horizontal="center" vertical="center" wrapText="1"/>
    </xf>
    <xf numFmtId="168" fontId="36" fillId="0" borderId="102" xfId="49" applyNumberFormat="1" applyFont="1" applyFill="1" applyBorder="1" applyAlignment="1" applyProtection="1">
      <alignment horizontal="center" vertical="center" wrapText="1"/>
    </xf>
    <xf numFmtId="168" fontId="36" fillId="0" borderId="103" xfId="49" applyNumberFormat="1" applyFont="1" applyFill="1" applyBorder="1" applyAlignment="1" applyProtection="1">
      <alignment horizontal="center" vertical="center" wrapText="1"/>
    </xf>
    <xf numFmtId="168" fontId="36" fillId="0" borderId="104" xfId="49" applyNumberFormat="1" applyFont="1" applyFill="1" applyBorder="1" applyAlignment="1" applyProtection="1">
      <alignment horizontal="center" vertical="center" wrapText="1"/>
    </xf>
    <xf numFmtId="168" fontId="36" fillId="0" borderId="98" xfId="49" applyNumberFormat="1" applyFont="1" applyFill="1" applyBorder="1" applyAlignment="1" applyProtection="1">
      <alignment horizontal="center" vertical="center" wrapText="1"/>
    </xf>
    <xf numFmtId="168" fontId="36" fillId="0" borderId="99" xfId="49" applyNumberFormat="1" applyFont="1" applyFill="1" applyBorder="1" applyAlignment="1" applyProtection="1">
      <alignment horizontal="center" vertical="center" wrapText="1"/>
    </xf>
    <xf numFmtId="168" fontId="36" fillId="0" borderId="100" xfId="49" applyNumberFormat="1" applyFont="1" applyFill="1" applyBorder="1" applyAlignment="1" applyProtection="1">
      <alignment horizontal="center" vertical="center" wrapText="1"/>
    </xf>
    <xf numFmtId="168" fontId="36" fillId="0" borderId="82" xfId="49" applyNumberFormat="1" applyFont="1" applyFill="1" applyBorder="1" applyAlignment="1" applyProtection="1">
      <alignment horizontal="center" vertical="center" wrapText="1"/>
    </xf>
    <xf numFmtId="168" fontId="36" fillId="0" borderId="105" xfId="49" applyNumberFormat="1" applyFont="1" applyFill="1" applyBorder="1" applyAlignment="1" applyProtection="1">
      <alignment horizontal="center" vertical="center" wrapText="1"/>
    </xf>
    <xf numFmtId="168" fontId="36" fillId="0" borderId="101" xfId="49" applyNumberFormat="1" applyFont="1" applyFill="1" applyBorder="1" applyAlignment="1" applyProtection="1">
      <alignment horizontal="center" vertical="center" wrapText="1"/>
    </xf>
    <xf numFmtId="168" fontId="36" fillId="0" borderId="106" xfId="49" applyNumberFormat="1" applyFont="1" applyFill="1" applyBorder="1" applyAlignment="1" applyProtection="1">
      <alignment horizontal="center" vertical="center" wrapText="1"/>
    </xf>
    <xf numFmtId="168" fontId="36" fillId="0" borderId="81" xfId="49" applyNumberFormat="1" applyFont="1" applyFill="1" applyBorder="1" applyAlignment="1" applyProtection="1">
      <alignment horizontal="center" vertical="center" wrapText="1"/>
    </xf>
    <xf numFmtId="10" fontId="5" fillId="3" borderId="7" xfId="32" applyNumberFormat="1" applyFont="1" applyFill="1" applyBorder="1" applyAlignment="1" applyProtection="1">
      <alignment horizontal="center" vertical="center"/>
      <protection locked="0"/>
    </xf>
    <xf numFmtId="3" fontId="5" fillId="29" borderId="9" xfId="32" applyNumberFormat="1" applyFont="1" applyFill="1" applyBorder="1" applyAlignment="1" applyProtection="1">
      <alignment horizontal="center" vertical="center"/>
      <protection locked="0"/>
    </xf>
    <xf numFmtId="0" fontId="35" fillId="46" borderId="0" xfId="0" applyFont="1" applyFill="1" applyAlignment="1">
      <alignment vertical="center" wrapText="1"/>
    </xf>
    <xf numFmtId="0" fontId="37" fillId="30" borderId="0" xfId="0" applyNumberFormat="1" applyFont="1" applyFill="1" applyAlignment="1">
      <alignment horizontal="right"/>
    </xf>
    <xf numFmtId="0" fontId="29" fillId="30" borderId="0" xfId="40" applyFont="1" applyFill="1" applyAlignment="1" applyProtection="1">
      <alignment horizontal="left" vertical="center"/>
    </xf>
    <xf numFmtId="3" fontId="5" fillId="29" borderId="65" xfId="32" applyNumberFormat="1" applyFont="1" applyFill="1" applyBorder="1" applyAlignment="1" applyProtection="1">
      <alignment horizontal="center" vertical="center"/>
      <protection locked="0"/>
    </xf>
    <xf numFmtId="0" fontId="35" fillId="0" borderId="46" xfId="49" applyFont="1" applyFill="1" applyBorder="1" applyAlignment="1" applyProtection="1">
      <alignment horizontal="left" vertical="center" wrapText="1"/>
    </xf>
    <xf numFmtId="0" fontId="35" fillId="0" borderId="10" xfId="49" applyFont="1" applyFill="1" applyBorder="1" applyAlignment="1" applyProtection="1">
      <alignment horizontal="left" vertical="center" wrapText="1"/>
    </xf>
    <xf numFmtId="3" fontId="5" fillId="29" borderId="10" xfId="32" applyNumberFormat="1" applyFont="1" applyFill="1" applyBorder="1" applyAlignment="1" applyProtection="1">
      <alignment horizontal="center" vertical="center"/>
      <protection locked="0"/>
    </xf>
    <xf numFmtId="10" fontId="39" fillId="29" borderId="7" xfId="0" applyNumberFormat="1" applyFont="1" applyFill="1" applyBorder="1" applyAlignment="1" applyProtection="1">
      <alignment horizontal="center" vertical="center"/>
    </xf>
    <xf numFmtId="10" fontId="39" fillId="29" borderId="53" xfId="0" applyNumberFormat="1" applyFont="1" applyFill="1" applyBorder="1" applyAlignment="1" applyProtection="1">
      <alignment horizontal="center" vertical="center"/>
    </xf>
    <xf numFmtId="3" fontId="35" fillId="32" borderId="17" xfId="32" applyNumberFormat="1" applyFont="1" applyFill="1" applyBorder="1" applyAlignment="1" applyProtection="1">
      <alignment horizontal="center" vertical="center"/>
    </xf>
    <xf numFmtId="0" fontId="37" fillId="29" borderId="0" xfId="0" applyFont="1" applyFill="1" applyAlignment="1">
      <alignment vertical="center"/>
    </xf>
    <xf numFmtId="0" fontId="5" fillId="29" borderId="38" xfId="0" applyFont="1" applyFill="1" applyBorder="1" applyAlignment="1">
      <alignment horizontal="center"/>
    </xf>
    <xf numFmtId="0" fontId="35" fillId="29" borderId="60" xfId="49" applyFont="1" applyFill="1" applyBorder="1" applyAlignment="1" applyProtection="1">
      <alignment horizontal="left" vertical="center" wrapText="1"/>
    </xf>
    <xf numFmtId="3" fontId="35" fillId="29" borderId="38" xfId="21" applyNumberFormat="1" applyFont="1" applyFill="1" applyBorder="1">
      <alignment horizontal="center" vertical="center" wrapText="1"/>
    </xf>
    <xf numFmtId="3" fontId="35" fillId="29" borderId="9" xfId="21" applyNumberFormat="1" applyFont="1" applyFill="1" applyBorder="1">
      <alignment horizontal="center" vertical="center" wrapText="1"/>
    </xf>
    <xf numFmtId="3" fontId="35" fillId="29" borderId="60" xfId="21" applyNumberFormat="1" applyFont="1" applyFill="1" applyBorder="1">
      <alignment horizontal="center" vertical="center" wrapText="1"/>
    </xf>
    <xf numFmtId="3" fontId="35" fillId="29" borderId="10" xfId="21" applyNumberFormat="1" applyFont="1" applyFill="1" applyBorder="1">
      <alignment horizontal="center" vertical="center" wrapText="1"/>
    </xf>
    <xf numFmtId="10" fontId="35" fillId="29" borderId="7" xfId="1" applyNumberFormat="1" applyFont="1" applyFill="1" applyBorder="1" applyAlignment="1" applyProtection="1">
      <alignment horizontal="right" vertical="center" wrapText="1"/>
    </xf>
    <xf numFmtId="10" fontId="35" fillId="29" borderId="53" xfId="1" applyNumberFormat="1" applyFont="1" applyFill="1" applyBorder="1" applyAlignment="1" applyProtection="1">
      <alignment horizontal="right" vertical="center" wrapText="1"/>
    </xf>
    <xf numFmtId="168" fontId="36" fillId="29" borderId="106" xfId="49" applyNumberFormat="1" applyFont="1" applyFill="1" applyBorder="1" applyAlignment="1" applyProtection="1">
      <alignment horizontal="center" vertical="center" wrapText="1"/>
    </xf>
    <xf numFmtId="168" fontId="36" fillId="29" borderId="96" xfId="49" applyNumberFormat="1" applyFont="1" applyFill="1" applyBorder="1" applyAlignment="1" applyProtection="1">
      <alignment horizontal="center" vertical="center" wrapText="1"/>
    </xf>
    <xf numFmtId="10" fontId="35" fillId="29" borderId="52" xfId="1" applyNumberFormat="1" applyFont="1" applyFill="1" applyBorder="1" applyAlignment="1" applyProtection="1">
      <alignment horizontal="right" vertical="center" wrapText="1"/>
    </xf>
    <xf numFmtId="0" fontId="37" fillId="29" borderId="0" xfId="31" applyFont="1" applyFill="1" applyBorder="1"/>
    <xf numFmtId="0" fontId="5" fillId="29" borderId="0" xfId="31" applyFont="1" applyFill="1"/>
    <xf numFmtId="0" fontId="37" fillId="29" borderId="0" xfId="31" applyFont="1" applyFill="1" applyBorder="1" applyAlignment="1">
      <alignment vertical="center"/>
    </xf>
    <xf numFmtId="0" fontId="5" fillId="29" borderId="0" xfId="31" applyFont="1" applyFill="1" applyAlignment="1">
      <alignment vertical="center"/>
    </xf>
    <xf numFmtId="0" fontId="37" fillId="30" borderId="0" xfId="32" applyFont="1" applyFill="1" applyAlignment="1">
      <alignment horizontal="left"/>
    </xf>
    <xf numFmtId="0" fontId="5" fillId="30" borderId="0" xfId="49" applyFont="1" applyFill="1" applyAlignment="1">
      <alignment horizontal="left"/>
    </xf>
    <xf numFmtId="0" fontId="80" fillId="30" borderId="0" xfId="49" applyFont="1" applyFill="1" applyAlignment="1">
      <alignment horizontal="left"/>
    </xf>
    <xf numFmtId="0" fontId="103" fillId="30" borderId="0" xfId="49" applyFont="1" applyFill="1" applyAlignment="1">
      <alignment horizontal="left"/>
    </xf>
    <xf numFmtId="0" fontId="37" fillId="29" borderId="0" xfId="49" applyFont="1" applyFill="1" applyAlignment="1">
      <alignment horizontal="left"/>
    </xf>
    <xf numFmtId="168" fontId="36" fillId="29" borderId="124" xfId="49" applyNumberFormat="1" applyFont="1" applyFill="1" applyBorder="1" applyAlignment="1" applyProtection="1">
      <alignment horizontal="center" vertical="center" wrapText="1"/>
    </xf>
    <xf numFmtId="168" fontId="36" fillId="29" borderId="97" xfId="49" applyNumberFormat="1" applyFont="1" applyFill="1" applyBorder="1" applyAlignment="1" applyProtection="1">
      <alignment horizontal="center" vertical="center" wrapText="1"/>
    </xf>
    <xf numFmtId="168" fontId="36" fillId="29" borderId="125" xfId="49" applyNumberFormat="1" applyFont="1" applyFill="1" applyBorder="1" applyAlignment="1" applyProtection="1">
      <alignment horizontal="center" vertical="center" wrapText="1"/>
    </xf>
    <xf numFmtId="168" fontId="36" fillId="29" borderId="101" xfId="49" applyNumberFormat="1" applyFont="1" applyFill="1" applyBorder="1" applyAlignment="1" applyProtection="1">
      <alignment horizontal="center" vertical="center" wrapText="1"/>
    </xf>
    <xf numFmtId="168" fontId="36" fillId="29" borderId="99" xfId="49" applyNumberFormat="1" applyFont="1" applyFill="1" applyBorder="1" applyAlignment="1" applyProtection="1">
      <alignment horizontal="center" vertical="center" wrapText="1"/>
    </xf>
    <xf numFmtId="168" fontId="36" fillId="29" borderId="126" xfId="49" applyNumberFormat="1" applyFont="1" applyFill="1" applyBorder="1" applyAlignment="1" applyProtection="1">
      <alignment horizontal="center" vertical="center" wrapText="1"/>
    </xf>
    <xf numFmtId="168" fontId="36" fillId="29" borderId="100" xfId="49" applyNumberFormat="1" applyFont="1" applyFill="1" applyBorder="1" applyAlignment="1" applyProtection="1">
      <alignment horizontal="center" vertical="center" wrapText="1"/>
    </xf>
    <xf numFmtId="168" fontId="36" fillId="29" borderId="120" xfId="49" applyNumberFormat="1" applyFont="1" applyFill="1" applyBorder="1" applyAlignment="1" applyProtection="1">
      <alignment horizontal="center" vertical="center" wrapText="1"/>
    </xf>
    <xf numFmtId="168" fontId="36" fillId="29" borderId="117" xfId="49" applyNumberFormat="1" applyFont="1" applyFill="1" applyBorder="1" applyAlignment="1" applyProtection="1">
      <alignment horizontal="center" vertical="center" wrapText="1"/>
    </xf>
    <xf numFmtId="168" fontId="36" fillId="29" borderId="112" xfId="49" applyNumberFormat="1" applyFont="1" applyFill="1" applyBorder="1" applyAlignment="1" applyProtection="1">
      <alignment horizontal="center" vertical="center" wrapText="1"/>
    </xf>
    <xf numFmtId="168" fontId="36" fillId="29" borderId="113" xfId="49" applyNumberFormat="1" applyFont="1" applyFill="1" applyBorder="1" applyAlignment="1" applyProtection="1">
      <alignment horizontal="center" vertical="center" wrapText="1"/>
    </xf>
    <xf numFmtId="168" fontId="36" fillId="29" borderId="118" xfId="49" applyNumberFormat="1" applyFont="1" applyFill="1" applyBorder="1" applyAlignment="1" applyProtection="1">
      <alignment horizontal="center" vertical="center" wrapText="1"/>
    </xf>
    <xf numFmtId="168" fontId="36" fillId="29" borderId="114" xfId="49" applyNumberFormat="1" applyFont="1" applyFill="1" applyBorder="1" applyAlignment="1" applyProtection="1">
      <alignment horizontal="center" vertical="center" wrapText="1"/>
    </xf>
    <xf numFmtId="168" fontId="36" fillId="29" borderId="104" xfId="49" applyNumberFormat="1" applyFont="1" applyFill="1" applyBorder="1" applyAlignment="1" applyProtection="1">
      <alignment horizontal="center" vertical="center" wrapText="1"/>
    </xf>
    <xf numFmtId="168" fontId="36" fillId="29" borderId="119" xfId="49" applyNumberFormat="1" applyFont="1" applyFill="1" applyBorder="1" applyAlignment="1" applyProtection="1">
      <alignment horizontal="center" vertical="center" wrapText="1"/>
    </xf>
    <xf numFmtId="168" fontId="36" fillId="29" borderId="115" xfId="49" applyNumberFormat="1" applyFont="1" applyFill="1" applyBorder="1" applyAlignment="1" applyProtection="1">
      <alignment horizontal="center" vertical="center" wrapText="1"/>
    </xf>
    <xf numFmtId="168" fontId="36" fillId="29" borderId="116" xfId="49" applyNumberFormat="1" applyFont="1" applyFill="1" applyBorder="1" applyAlignment="1" applyProtection="1">
      <alignment horizontal="center" vertical="center" wrapText="1"/>
    </xf>
    <xf numFmtId="167" fontId="14" fillId="34" borderId="2" xfId="49" applyNumberFormat="1" applyFont="1" applyFill="1" applyBorder="1" applyAlignment="1" applyProtection="1">
      <alignment horizontal="center" wrapText="1"/>
    </xf>
    <xf numFmtId="167" fontId="14" fillId="34" borderId="65" xfId="49" applyNumberFormat="1" applyFont="1" applyFill="1" applyBorder="1" applyAlignment="1" applyProtection="1">
      <alignment horizontal="center" wrapText="1"/>
    </xf>
    <xf numFmtId="167" fontId="14" fillId="34" borderId="9" xfId="49" applyNumberFormat="1" applyFont="1" applyFill="1" applyBorder="1" applyAlignment="1" applyProtection="1">
      <alignment horizontal="center" wrapText="1"/>
    </xf>
    <xf numFmtId="167" fontId="14" fillId="34" borderId="10" xfId="49" applyNumberFormat="1" applyFont="1" applyFill="1" applyBorder="1" applyAlignment="1" applyProtection="1">
      <alignment horizontal="center" wrapText="1"/>
    </xf>
    <xf numFmtId="0" fontId="35" fillId="29" borderId="62" xfId="49" applyFont="1" applyFill="1" applyBorder="1" applyAlignment="1" applyProtection="1">
      <alignment horizontal="left" vertical="center" wrapText="1"/>
    </xf>
    <xf numFmtId="0" fontId="35" fillId="29" borderId="53" xfId="49" applyFont="1" applyFill="1" applyBorder="1" applyAlignment="1" applyProtection="1">
      <alignment horizontal="left" vertical="center" wrapText="1"/>
    </xf>
    <xf numFmtId="3" fontId="35" fillId="29" borderId="17" xfId="32" applyNumberFormat="1" applyFont="1" applyFill="1" applyBorder="1" applyAlignment="1">
      <alignment horizontal="center"/>
    </xf>
    <xf numFmtId="3" fontId="35" fillId="29" borderId="15" xfId="32" applyNumberFormat="1" applyFont="1" applyFill="1" applyBorder="1" applyAlignment="1">
      <alignment horizontal="center"/>
    </xf>
    <xf numFmtId="3" fontId="35" fillId="29" borderId="32" xfId="32" applyNumberFormat="1" applyFont="1" applyFill="1" applyBorder="1" applyAlignment="1">
      <alignment horizontal="center"/>
    </xf>
    <xf numFmtId="3" fontId="35" fillId="29" borderId="7" xfId="32" applyNumberFormat="1" applyFont="1" applyFill="1" applyBorder="1" applyAlignment="1">
      <alignment horizontal="center"/>
    </xf>
    <xf numFmtId="3" fontId="35" fillId="29" borderId="53" xfId="32" applyNumberFormat="1" applyFont="1" applyFill="1" applyBorder="1" applyAlignment="1">
      <alignment horizontal="center"/>
    </xf>
    <xf numFmtId="3" fontId="41" fillId="0" borderId="53" xfId="0" applyNumberFormat="1" applyFont="1" applyFill="1" applyBorder="1" applyAlignment="1" applyProtection="1">
      <alignment horizontal="center" vertical="center"/>
    </xf>
    <xf numFmtId="3" fontId="39" fillId="0" borderId="7" xfId="0" applyNumberFormat="1" applyFont="1" applyFill="1" applyBorder="1" applyAlignment="1" applyProtection="1">
      <alignment horizontal="center" vertical="center"/>
    </xf>
    <xf numFmtId="3" fontId="39" fillId="0" borderId="53" xfId="0" applyNumberFormat="1" applyFont="1" applyFill="1" applyBorder="1" applyAlignment="1" applyProtection="1">
      <alignment horizontal="center" vertical="center"/>
    </xf>
    <xf numFmtId="0" fontId="5" fillId="3" borderId="52" xfId="0" applyFont="1" applyFill="1" applyBorder="1" applyAlignment="1" applyProtection="1">
      <alignment horizontal="center" vertical="center" wrapText="1"/>
      <protection locked="0"/>
    </xf>
    <xf numFmtId="0" fontId="5" fillId="3" borderId="75"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73" xfId="0" applyFont="1" applyFill="1" applyBorder="1" applyAlignment="1" applyProtection="1">
      <alignment horizontal="center" vertical="center" wrapText="1"/>
      <protection locked="0"/>
    </xf>
    <xf numFmtId="0" fontId="5" fillId="3" borderId="76" xfId="0" applyFont="1" applyFill="1" applyBorder="1" applyAlignment="1" applyProtection="1">
      <alignment horizontal="center" vertical="center" wrapText="1"/>
      <protection locked="0"/>
    </xf>
    <xf numFmtId="0" fontId="5" fillId="3" borderId="53" xfId="0" applyFont="1" applyFill="1" applyBorder="1" applyAlignment="1" applyProtection="1">
      <alignment horizontal="center" vertical="center" wrapText="1"/>
      <protection locked="0"/>
    </xf>
    <xf numFmtId="0" fontId="5" fillId="3" borderId="77" xfId="0" applyFont="1" applyFill="1" applyBorder="1" applyAlignment="1" applyProtection="1">
      <alignment horizontal="center" vertical="center" wrapText="1"/>
      <protection locked="0"/>
    </xf>
    <xf numFmtId="0" fontId="5" fillId="3" borderId="57" xfId="0" applyFont="1" applyFill="1" applyBorder="1" applyAlignment="1" applyProtection="1">
      <alignment horizontal="center" vertical="center" wrapText="1"/>
      <protection locked="0"/>
    </xf>
    <xf numFmtId="0" fontId="5" fillId="3" borderId="72" xfId="0" applyFont="1" applyFill="1" applyBorder="1" applyAlignment="1" applyProtection="1">
      <alignment horizontal="center" vertical="center" wrapText="1"/>
      <protection locked="0"/>
    </xf>
    <xf numFmtId="0" fontId="5" fillId="3" borderId="32" xfId="0" applyFont="1" applyFill="1" applyBorder="1" applyAlignment="1" applyProtection="1">
      <alignment horizontal="center" vertical="center" wrapText="1"/>
      <protection locked="0"/>
    </xf>
    <xf numFmtId="0" fontId="5" fillId="3" borderId="79" xfId="0" applyFont="1" applyFill="1" applyBorder="1" applyAlignment="1" applyProtection="1">
      <alignment horizontal="center" vertical="center" wrapText="1"/>
      <protection locked="0"/>
    </xf>
    <xf numFmtId="0" fontId="5" fillId="3" borderId="51" xfId="0" applyFont="1" applyFill="1" applyBorder="1" applyAlignment="1" applyProtection="1">
      <alignment horizontal="center" vertical="center" wrapText="1"/>
      <protection locked="0"/>
    </xf>
    <xf numFmtId="0" fontId="5" fillId="3" borderId="17"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0" fontId="5" fillId="3" borderId="31" xfId="0" applyFont="1" applyFill="1" applyBorder="1" applyAlignment="1" applyProtection="1">
      <alignment horizontal="center" vertical="center" wrapText="1"/>
      <protection locked="0"/>
    </xf>
    <xf numFmtId="0" fontId="5" fillId="3" borderId="50"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5" fillId="3" borderId="44"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73" xfId="0" applyFont="1" applyFill="1" applyBorder="1" applyAlignment="1" applyProtection="1">
      <alignment horizontal="center" vertical="center" wrapText="1"/>
      <protection locked="0"/>
    </xf>
    <xf numFmtId="0" fontId="5" fillId="3" borderId="76" xfId="0" applyFont="1" applyFill="1" applyBorder="1" applyAlignment="1" applyProtection="1">
      <alignment horizontal="center" vertical="center" wrapText="1"/>
      <protection locked="0"/>
    </xf>
    <xf numFmtId="0" fontId="5" fillId="3" borderId="53" xfId="0" applyFont="1" applyFill="1" applyBorder="1" applyAlignment="1" applyProtection="1">
      <alignment horizontal="center" vertical="center" wrapText="1"/>
      <protection locked="0"/>
    </xf>
    <xf numFmtId="0" fontId="5" fillId="3" borderId="77" xfId="0" applyFont="1" applyFill="1" applyBorder="1" applyAlignment="1" applyProtection="1">
      <alignment horizontal="center" vertical="center" wrapText="1"/>
      <protection locked="0"/>
    </xf>
    <xf numFmtId="0" fontId="5" fillId="3" borderId="57" xfId="0" applyFont="1" applyFill="1" applyBorder="1" applyAlignment="1" applyProtection="1">
      <alignment horizontal="center" vertical="center" wrapText="1"/>
      <protection locked="0"/>
    </xf>
    <xf numFmtId="0" fontId="5" fillId="3" borderId="72" xfId="0" applyFont="1" applyFill="1" applyBorder="1" applyAlignment="1" applyProtection="1">
      <alignment horizontal="center" vertical="center" wrapText="1"/>
      <protection locked="0"/>
    </xf>
    <xf numFmtId="0" fontId="5" fillId="3" borderId="32" xfId="0" applyFont="1" applyFill="1" applyBorder="1" applyAlignment="1" applyProtection="1">
      <alignment horizontal="center" vertical="center" wrapText="1"/>
      <protection locked="0"/>
    </xf>
    <xf numFmtId="0" fontId="5" fillId="3" borderId="79" xfId="0" applyFont="1" applyFill="1" applyBorder="1" applyAlignment="1" applyProtection="1">
      <alignment horizontal="center" vertical="center" wrapText="1"/>
      <protection locked="0"/>
    </xf>
    <xf numFmtId="0" fontId="5" fillId="3" borderId="51" xfId="0" applyFont="1" applyFill="1" applyBorder="1" applyAlignment="1" applyProtection="1">
      <alignment horizontal="center" vertical="center" wrapText="1"/>
      <protection locked="0"/>
    </xf>
    <xf numFmtId="0" fontId="5" fillId="3" borderId="17" xfId="0" applyFont="1" applyFill="1" applyBorder="1" applyAlignment="1" applyProtection="1">
      <alignment horizontal="center" vertical="center" wrapText="1"/>
      <protection locked="0"/>
    </xf>
    <xf numFmtId="0" fontId="5" fillId="3" borderId="21" xfId="0" applyFont="1" applyFill="1" applyBorder="1" applyAlignment="1" applyProtection="1">
      <alignment horizontal="center" vertical="center" wrapText="1"/>
      <protection locked="0"/>
    </xf>
    <xf numFmtId="0" fontId="5" fillId="3" borderId="31" xfId="0" applyFont="1" applyFill="1" applyBorder="1" applyAlignment="1" applyProtection="1">
      <alignment horizontal="center" vertical="center" wrapText="1"/>
      <protection locked="0"/>
    </xf>
    <xf numFmtId="0" fontId="5" fillId="3" borderId="50" xfId="0" applyFont="1" applyFill="1" applyBorder="1" applyAlignment="1" applyProtection="1">
      <alignment horizontal="center" vertical="center" wrapText="1"/>
      <protection locked="0"/>
    </xf>
    <xf numFmtId="0" fontId="5" fillId="3" borderId="5" xfId="0" applyFont="1" applyFill="1" applyBorder="1" applyAlignment="1" applyProtection="1">
      <alignment horizontal="center" vertical="center" wrapText="1"/>
      <protection locked="0"/>
    </xf>
    <xf numFmtId="0" fontId="5" fillId="3" borderId="44" xfId="0" applyFont="1" applyFill="1" applyBorder="1" applyAlignment="1" applyProtection="1">
      <alignment horizontal="center" vertical="center" wrapText="1"/>
      <protection locked="0"/>
    </xf>
    <xf numFmtId="0" fontId="5" fillId="3" borderId="62" xfId="0" applyFont="1" applyFill="1" applyBorder="1" applyAlignment="1" applyProtection="1">
      <alignment horizontal="center" vertical="center" wrapText="1"/>
      <protection locked="0"/>
    </xf>
    <xf numFmtId="4" fontId="5" fillId="3" borderId="17" xfId="32" applyNumberFormat="1" applyFont="1" applyFill="1" applyBorder="1" applyAlignment="1" applyProtection="1">
      <alignment horizontal="center" vertical="center"/>
      <protection locked="0"/>
    </xf>
    <xf numFmtId="4" fontId="5" fillId="3" borderId="53" xfId="32" applyNumberFormat="1" applyFont="1" applyFill="1" applyBorder="1" applyAlignment="1" applyProtection="1">
      <alignment horizontal="center" vertical="center"/>
      <protection locked="0"/>
    </xf>
    <xf numFmtId="4" fontId="5" fillId="3" borderId="73" xfId="32" applyNumberFormat="1" applyFont="1" applyFill="1" applyBorder="1" applyAlignment="1" applyProtection="1">
      <alignment horizontal="center" vertical="center"/>
      <protection locked="0"/>
    </xf>
    <xf numFmtId="4" fontId="5" fillId="3" borderId="7" xfId="32" applyNumberFormat="1" applyFont="1" applyFill="1" applyBorder="1" applyAlignment="1" applyProtection="1">
      <alignment horizontal="center" vertical="center"/>
      <protection locked="0"/>
    </xf>
    <xf numFmtId="4" fontId="5" fillId="3" borderId="77" xfId="32" applyNumberFormat="1" applyFont="1" applyFill="1" applyBorder="1" applyAlignment="1" applyProtection="1">
      <alignment horizontal="center" vertical="center"/>
      <protection locked="0"/>
    </xf>
    <xf numFmtId="10" fontId="34" fillId="30" borderId="52" xfId="51" applyNumberFormat="1" applyFont="1" applyFill="1" applyBorder="1" applyAlignment="1">
      <alignment horizontal="center" vertical="center"/>
    </xf>
    <xf numFmtId="10" fontId="34" fillId="30" borderId="7" xfId="51" applyNumberFormat="1" applyFont="1" applyFill="1" applyBorder="1" applyAlignment="1">
      <alignment horizontal="center" vertical="center"/>
    </xf>
    <xf numFmtId="10" fontId="34" fillId="30" borderId="53" xfId="51" applyNumberFormat="1" applyFont="1" applyFill="1" applyBorder="1" applyAlignment="1">
      <alignment horizontal="center" vertical="center"/>
    </xf>
    <xf numFmtId="166" fontId="36" fillId="31" borderId="52" xfId="0" applyNumberFormat="1" applyFont="1" applyFill="1" applyBorder="1" applyAlignment="1" applyProtection="1">
      <alignment horizontal="center" vertical="center"/>
      <protection locked="0"/>
    </xf>
    <xf numFmtId="166" fontId="36" fillId="31" borderId="56" xfId="0" applyNumberFormat="1" applyFont="1" applyFill="1" applyBorder="1" applyAlignment="1" applyProtection="1">
      <alignment horizontal="center" vertical="center"/>
      <protection locked="0"/>
    </xf>
    <xf numFmtId="3" fontId="5" fillId="3" borderId="5" xfId="32" applyNumberFormat="1" applyFont="1" applyFill="1" applyBorder="1" applyAlignment="1" applyProtection="1">
      <alignment horizontal="left" vertical="center" wrapText="1"/>
      <protection locked="0"/>
    </xf>
    <xf numFmtId="3" fontId="5" fillId="3" borderId="17" xfId="32" applyNumberFormat="1" applyFont="1" applyFill="1" applyBorder="1" applyAlignment="1" applyProtection="1">
      <alignment horizontal="left" vertical="center" wrapText="1"/>
      <protection locked="0"/>
    </xf>
    <xf numFmtId="3" fontId="5" fillId="3" borderId="39" xfId="32" applyNumberFormat="1" applyFont="1" applyFill="1" applyBorder="1" applyAlignment="1" applyProtection="1">
      <alignment horizontal="left" vertical="center" wrapText="1"/>
      <protection locked="0"/>
    </xf>
    <xf numFmtId="0" fontId="5" fillId="3" borderId="49" xfId="0" applyFont="1" applyFill="1" applyBorder="1" applyAlignment="1" applyProtection="1">
      <alignment horizontal="center" vertical="center" wrapText="1"/>
      <protection locked="0"/>
    </xf>
    <xf numFmtId="0" fontId="5" fillId="3" borderId="56" xfId="0" applyFont="1" applyFill="1" applyBorder="1" applyAlignment="1" applyProtection="1">
      <alignment horizontal="center" vertical="center" wrapText="1"/>
      <protection locked="0"/>
    </xf>
    <xf numFmtId="0" fontId="5" fillId="3" borderId="47" xfId="0" applyFont="1" applyFill="1" applyBorder="1" applyAlignment="1" applyProtection="1">
      <alignment horizontal="center" vertical="center" wrapText="1"/>
      <protection locked="0"/>
    </xf>
    <xf numFmtId="0" fontId="5" fillId="3" borderId="48" xfId="0" applyFont="1" applyFill="1" applyBorder="1" applyAlignment="1" applyProtection="1">
      <alignment horizontal="center" vertical="center" wrapText="1"/>
      <protection locked="0"/>
    </xf>
    <xf numFmtId="0" fontId="5" fillId="29" borderId="52" xfId="0" applyFont="1" applyFill="1" applyBorder="1" applyAlignment="1" applyProtection="1">
      <alignment horizontal="center" vertical="center" wrapText="1"/>
      <protection locked="0"/>
    </xf>
    <xf numFmtId="0" fontId="5" fillId="29" borderId="53" xfId="0" applyFont="1" applyFill="1" applyBorder="1" applyAlignment="1" applyProtection="1">
      <alignment horizontal="center" vertical="center" wrapText="1"/>
      <protection locked="0"/>
    </xf>
    <xf numFmtId="3" fontId="81" fillId="3" borderId="127" xfId="75" applyNumberFormat="1" applyFont="1" applyFill="1" applyBorder="1" applyAlignment="1" applyProtection="1">
      <alignment horizontal="right" vertical="center"/>
      <protection locked="0"/>
    </xf>
    <xf numFmtId="3" fontId="81" fillId="3" borderId="32" xfId="0" applyNumberFormat="1" applyFont="1" applyFill="1" applyBorder="1" applyAlignment="1" applyProtection="1">
      <alignment horizontal="center" vertical="center"/>
      <protection locked="0"/>
    </xf>
    <xf numFmtId="3" fontId="81" fillId="3" borderId="79" xfId="0" applyNumberFormat="1" applyFont="1" applyFill="1" applyBorder="1" applyAlignment="1" applyProtection="1">
      <alignment horizontal="center" vertical="center"/>
      <protection locked="0"/>
    </xf>
    <xf numFmtId="3" fontId="81" fillId="3" borderId="17" xfId="0" applyNumberFormat="1" applyFont="1" applyFill="1" applyBorder="1" applyAlignment="1" applyProtection="1">
      <alignment horizontal="center" vertical="center"/>
      <protection locked="0"/>
    </xf>
    <xf numFmtId="3" fontId="81" fillId="3" borderId="17" xfId="0" applyNumberFormat="1" applyFont="1" applyFill="1" applyBorder="1" applyAlignment="1" applyProtection="1">
      <alignment horizontal="center" vertical="center" wrapText="1"/>
      <protection locked="0"/>
    </xf>
    <xf numFmtId="3" fontId="81" fillId="3" borderId="7" xfId="0" applyNumberFormat="1" applyFont="1" applyFill="1" applyBorder="1" applyAlignment="1" applyProtection="1">
      <alignment horizontal="center" vertical="center"/>
      <protection locked="0"/>
    </xf>
    <xf numFmtId="171" fontId="35" fillId="0" borderId="52" xfId="49" applyNumberFormat="1" applyFont="1" applyFill="1" applyBorder="1" applyAlignment="1">
      <alignment horizontal="center" vertical="center" wrapText="1"/>
    </xf>
    <xf numFmtId="3" fontId="140" fillId="3" borderId="17" xfId="32" applyNumberFormat="1" applyFont="1" applyFill="1" applyBorder="1" applyAlignment="1" applyProtection="1">
      <alignment horizontal="center" vertical="center"/>
      <protection locked="0"/>
    </xf>
    <xf numFmtId="9" fontId="35" fillId="30" borderId="32" xfId="1" applyNumberFormat="1" applyFont="1" applyFill="1" applyBorder="1" applyAlignment="1">
      <alignment horizontal="center"/>
    </xf>
    <xf numFmtId="9" fontId="35" fillId="30" borderId="7" xfId="1" applyNumberFormat="1" applyFont="1" applyFill="1" applyBorder="1" applyAlignment="1">
      <alignment horizontal="center"/>
    </xf>
    <xf numFmtId="9" fontId="35" fillId="30" borderId="62" xfId="1" applyNumberFormat="1" applyFont="1" applyFill="1" applyBorder="1" applyAlignment="1">
      <alignment horizontal="center"/>
    </xf>
    <xf numFmtId="9" fontId="35" fillId="30" borderId="79" xfId="1" applyNumberFormat="1" applyFont="1" applyFill="1" applyBorder="1" applyAlignment="1">
      <alignment horizontal="center"/>
    </xf>
    <xf numFmtId="9" fontId="35" fillId="30" borderId="77" xfId="1" applyNumberFormat="1" applyFont="1" applyFill="1" applyBorder="1" applyAlignment="1">
      <alignment horizontal="center"/>
    </xf>
    <xf numFmtId="9" fontId="35" fillId="30" borderId="78" xfId="1" applyNumberFormat="1" applyFont="1" applyFill="1" applyBorder="1" applyAlignment="1">
      <alignment horizontal="center"/>
    </xf>
    <xf numFmtId="9" fontId="35" fillId="30" borderId="72" xfId="1" applyNumberFormat="1" applyFont="1" applyFill="1" applyBorder="1" applyAlignment="1">
      <alignment horizontal="center"/>
    </xf>
    <xf numFmtId="9" fontId="35" fillId="30" borderId="73" xfId="1" applyNumberFormat="1" applyFont="1" applyFill="1" applyBorder="1" applyAlignment="1">
      <alignment horizontal="center"/>
    </xf>
    <xf numFmtId="9" fontId="35" fillId="30" borderId="74" xfId="1" applyNumberFormat="1" applyFont="1" applyFill="1" applyBorder="1" applyAlignment="1">
      <alignment horizontal="center"/>
    </xf>
    <xf numFmtId="0" fontId="107" fillId="0" borderId="24" xfId="47" applyFont="1" applyFill="1" applyBorder="1" applyAlignment="1" applyProtection="1">
      <alignment horizontal="left" vertical="center" wrapText="1"/>
      <protection hidden="1"/>
    </xf>
    <xf numFmtId="0" fontId="107" fillId="0" borderId="24" xfId="32" applyFont="1" applyFill="1" applyBorder="1"/>
    <xf numFmtId="3" fontId="5" fillId="30" borderId="0" xfId="32" applyNumberFormat="1" applyFont="1" applyFill="1"/>
    <xf numFmtId="3" fontId="0" fillId="30" borderId="0" xfId="0" applyNumberFormat="1" applyFill="1"/>
    <xf numFmtId="3" fontId="123" fillId="0" borderId="17" xfId="32" applyNumberFormat="1" applyFont="1" applyFill="1" applyBorder="1" applyAlignment="1" applyProtection="1">
      <alignment horizontal="center" vertical="center"/>
    </xf>
    <xf numFmtId="3" fontId="123" fillId="0" borderId="24" xfId="32" applyNumberFormat="1" applyFont="1" applyFill="1" applyBorder="1" applyAlignment="1" applyProtection="1">
      <alignment horizontal="center" vertical="center"/>
    </xf>
    <xf numFmtId="3" fontId="123" fillId="0" borderId="7" xfId="32" applyNumberFormat="1" applyFont="1" applyFill="1" applyBorder="1" applyAlignment="1" applyProtection="1">
      <alignment horizontal="center" vertical="center"/>
    </xf>
    <xf numFmtId="3" fontId="123" fillId="0" borderId="15" xfId="32" applyNumberFormat="1" applyFont="1" applyFill="1" applyBorder="1" applyAlignment="1" applyProtection="1">
      <alignment horizontal="center" vertical="center"/>
    </xf>
    <xf numFmtId="3" fontId="123" fillId="0" borderId="23" xfId="32" applyNumberFormat="1" applyFont="1" applyFill="1" applyBorder="1" applyAlignment="1" applyProtection="1">
      <alignment horizontal="center" vertical="center"/>
    </xf>
    <xf numFmtId="3" fontId="5" fillId="29" borderId="17" xfId="32" applyNumberFormat="1" applyFont="1" applyFill="1" applyBorder="1" applyAlignment="1" applyProtection="1">
      <alignment horizontal="center" vertical="center"/>
      <protection locked="0"/>
    </xf>
    <xf numFmtId="3" fontId="35" fillId="29" borderId="17" xfId="32" applyNumberFormat="1" applyFont="1" applyFill="1" applyBorder="1" applyAlignment="1" applyProtection="1">
      <alignment horizontal="center" vertical="center"/>
      <protection locked="0"/>
    </xf>
    <xf numFmtId="3" fontId="5" fillId="31" borderId="17" xfId="32" applyNumberFormat="1" applyFont="1" applyFill="1" applyBorder="1" applyAlignment="1" applyProtection="1">
      <alignment horizontal="center" vertical="center"/>
      <protection locked="0"/>
    </xf>
    <xf numFmtId="3" fontId="5" fillId="31" borderId="24" xfId="32" applyNumberFormat="1" applyFont="1" applyFill="1" applyBorder="1" applyAlignment="1" applyProtection="1">
      <alignment horizontal="center" vertical="center"/>
      <protection locked="0"/>
    </xf>
    <xf numFmtId="3" fontId="5" fillId="31" borderId="7" xfId="32" applyNumberFormat="1" applyFont="1" applyFill="1" applyBorder="1" applyAlignment="1" applyProtection="1">
      <alignment horizontal="center" vertical="center"/>
      <protection locked="0"/>
    </xf>
    <xf numFmtId="3" fontId="5" fillId="31" borderId="15" xfId="32" applyNumberFormat="1" applyFont="1" applyFill="1" applyBorder="1" applyAlignment="1" applyProtection="1">
      <alignment horizontal="center" vertical="center"/>
      <protection locked="0"/>
    </xf>
    <xf numFmtId="49" fontId="67" fillId="21" borderId="39" xfId="32" applyNumberFormat="1" applyFont="1" applyFill="1" applyBorder="1" applyAlignment="1" applyProtection="1">
      <alignment horizontal="center" vertical="center"/>
    </xf>
    <xf numFmtId="49" fontId="67" fillId="21" borderId="26" xfId="32" applyNumberFormat="1" applyFont="1" applyFill="1" applyBorder="1" applyAlignment="1" applyProtection="1">
      <alignment horizontal="center" vertical="center"/>
    </xf>
    <xf numFmtId="49" fontId="67" fillId="21" borderId="5" xfId="32" applyNumberFormat="1" applyFont="1" applyFill="1" applyBorder="1" applyAlignment="1" applyProtection="1">
      <alignment horizontal="center" vertical="center"/>
    </xf>
    <xf numFmtId="0" fontId="68" fillId="21" borderId="36" xfId="32" applyFont="1" applyFill="1" applyBorder="1" applyAlignment="1" applyProtection="1">
      <alignment horizontal="right" vertical="center"/>
    </xf>
    <xf numFmtId="0" fontId="68" fillId="21" borderId="37" xfId="32" applyFont="1" applyFill="1" applyBorder="1" applyAlignment="1" applyProtection="1">
      <alignment horizontal="right" vertical="center"/>
    </xf>
    <xf numFmtId="0" fontId="68" fillId="21" borderId="18" xfId="32" applyFont="1" applyFill="1" applyBorder="1" applyAlignment="1" applyProtection="1">
      <alignment horizontal="right" vertical="center"/>
    </xf>
    <xf numFmtId="0" fontId="68" fillId="21" borderId="27" xfId="32" applyFont="1" applyFill="1" applyBorder="1" applyAlignment="1" applyProtection="1">
      <alignment horizontal="right" vertical="center"/>
    </xf>
    <xf numFmtId="0" fontId="68" fillId="21" borderId="0" xfId="32" applyFont="1" applyFill="1" applyBorder="1" applyAlignment="1" applyProtection="1">
      <alignment horizontal="right" vertical="center"/>
    </xf>
    <xf numFmtId="0" fontId="68" fillId="21" borderId="16" xfId="32" applyFont="1" applyFill="1" applyBorder="1" applyAlignment="1" applyProtection="1">
      <alignment horizontal="right" vertical="center"/>
    </xf>
    <xf numFmtId="0" fontId="68" fillId="21" borderId="25" xfId="32" applyFont="1" applyFill="1" applyBorder="1" applyAlignment="1" applyProtection="1">
      <alignment horizontal="right" vertical="center"/>
    </xf>
    <xf numFmtId="0" fontId="68" fillId="21" borderId="33" xfId="32" applyFont="1" applyFill="1" applyBorder="1" applyAlignment="1" applyProtection="1">
      <alignment horizontal="right" vertical="center"/>
    </xf>
    <xf numFmtId="0" fontId="68" fillId="21" borderId="6" xfId="32" applyFont="1" applyFill="1" applyBorder="1" applyAlignment="1" applyProtection="1">
      <alignment horizontal="right" vertical="center"/>
    </xf>
    <xf numFmtId="0" fontId="67" fillId="21" borderId="42" xfId="32" applyFont="1" applyFill="1" applyBorder="1" applyAlignment="1" applyProtection="1">
      <alignment horizontal="right" vertical="center"/>
    </xf>
    <xf numFmtId="0" fontId="67" fillId="21" borderId="20" xfId="32" applyFont="1" applyFill="1" applyBorder="1" applyAlignment="1" applyProtection="1">
      <alignment horizontal="right" vertical="center"/>
    </xf>
    <xf numFmtId="0" fontId="67" fillId="21" borderId="43" xfId="32" applyFont="1" applyFill="1" applyBorder="1" applyAlignment="1" applyProtection="1">
      <alignment horizontal="right" vertical="center"/>
    </xf>
    <xf numFmtId="0" fontId="67" fillId="0" borderId="24" xfId="32" applyNumberFormat="1" applyFont="1" applyFill="1" applyBorder="1" applyAlignment="1" applyProtection="1">
      <alignment horizontal="left" vertical="center"/>
      <protection locked="0"/>
    </xf>
    <xf numFmtId="0" fontId="67" fillId="0" borderId="23" xfId="32" applyNumberFormat="1" applyFont="1" applyFill="1" applyBorder="1" applyAlignment="1" applyProtection="1">
      <alignment horizontal="left" vertical="center"/>
      <protection locked="0"/>
    </xf>
    <xf numFmtId="0" fontId="67" fillId="0" borderId="15" xfId="32" applyNumberFormat="1" applyFont="1" applyFill="1" applyBorder="1" applyAlignment="1" applyProtection="1">
      <alignment horizontal="left" vertical="center"/>
      <protection locked="0"/>
    </xf>
    <xf numFmtId="0" fontId="67" fillId="21" borderId="24" xfId="32" applyFont="1" applyFill="1" applyBorder="1" applyAlignment="1" applyProtection="1">
      <alignment horizontal="right" vertical="center"/>
    </xf>
    <xf numFmtId="0" fontId="67" fillId="21" borderId="23" xfId="32" applyFont="1" applyFill="1" applyBorder="1" applyAlignment="1" applyProtection="1">
      <alignment horizontal="right" vertical="center"/>
    </xf>
    <xf numFmtId="0" fontId="67" fillId="21" borderId="15" xfId="32" applyFont="1" applyFill="1" applyBorder="1" applyAlignment="1" applyProtection="1">
      <alignment horizontal="right" vertical="center"/>
    </xf>
    <xf numFmtId="49" fontId="67" fillId="21" borderId="39" xfId="32" applyNumberFormat="1" applyFont="1" applyFill="1" applyBorder="1" applyAlignment="1" applyProtection="1">
      <alignment horizontal="left" vertical="center"/>
    </xf>
    <xf numFmtId="49" fontId="67" fillId="21" borderId="26" xfId="32" applyNumberFormat="1" applyFont="1" applyFill="1" applyBorder="1" applyAlignment="1" applyProtection="1">
      <alignment horizontal="left" vertical="center"/>
    </xf>
    <xf numFmtId="0" fontId="68" fillId="0" borderId="24" xfId="32" applyFont="1" applyBorder="1" applyAlignment="1">
      <alignment horizontal="right" vertical="center"/>
    </xf>
    <xf numFmtId="0" fontId="68" fillId="0" borderId="23" xfId="32" applyFont="1" applyBorder="1" applyAlignment="1">
      <alignment horizontal="right" vertical="center"/>
    </xf>
    <xf numFmtId="0" fontId="68" fillId="0" borderId="15" xfId="32" applyFont="1" applyBorder="1" applyAlignment="1">
      <alignment horizontal="right" vertical="center"/>
    </xf>
    <xf numFmtId="49" fontId="70" fillId="3" borderId="24" xfId="32" applyNumberFormat="1" applyFont="1" applyFill="1" applyBorder="1" applyAlignment="1" applyProtection="1">
      <alignment horizontal="left" vertical="center"/>
      <protection locked="0"/>
    </xf>
    <xf numFmtId="49" fontId="70" fillId="3" borderId="23" xfId="32" applyNumberFormat="1" applyFont="1" applyFill="1" applyBorder="1" applyAlignment="1" applyProtection="1">
      <alignment horizontal="left" vertical="center"/>
      <protection locked="0"/>
    </xf>
    <xf numFmtId="49" fontId="70" fillId="3" borderId="15" xfId="32" applyNumberFormat="1" applyFont="1" applyFill="1" applyBorder="1" applyAlignment="1" applyProtection="1">
      <alignment horizontal="left" vertical="center"/>
      <protection locked="0"/>
    </xf>
    <xf numFmtId="0" fontId="67" fillId="0" borderId="24" xfId="32" applyFont="1" applyBorder="1" applyAlignment="1">
      <alignment horizontal="right" vertical="center"/>
    </xf>
    <xf numFmtId="0" fontId="67" fillId="0" borderId="23" xfId="32" applyFont="1" applyBorder="1" applyAlignment="1">
      <alignment horizontal="right" vertical="center"/>
    </xf>
    <xf numFmtId="0" fontId="67" fillId="0" borderId="15" xfId="32" applyFont="1" applyBorder="1" applyAlignment="1">
      <alignment horizontal="right" vertical="center"/>
    </xf>
    <xf numFmtId="49" fontId="68" fillId="0" borderId="24" xfId="32" applyNumberFormat="1" applyFont="1" applyFill="1" applyBorder="1" applyAlignment="1">
      <alignment horizontal="left" vertical="center"/>
    </xf>
    <xf numFmtId="49" fontId="68" fillId="0" borderId="23" xfId="32" applyNumberFormat="1" applyFont="1" applyFill="1" applyBorder="1" applyAlignment="1">
      <alignment horizontal="left" vertical="center"/>
    </xf>
    <xf numFmtId="49" fontId="68" fillId="0" borderId="15" xfId="32" applyNumberFormat="1" applyFont="1" applyFill="1" applyBorder="1" applyAlignment="1">
      <alignment horizontal="left" vertical="center"/>
    </xf>
    <xf numFmtId="0" fontId="67" fillId="0" borderId="36" xfId="32" applyFont="1" applyBorder="1" applyAlignment="1">
      <alignment horizontal="right" vertical="center"/>
    </xf>
    <xf numFmtId="0" fontId="67" fillId="0" borderId="37" xfId="32" applyFont="1" applyBorder="1" applyAlignment="1">
      <alignment horizontal="right" vertical="center"/>
    </xf>
    <xf numFmtId="0" fontId="67" fillId="0" borderId="18" xfId="32" applyFont="1" applyBorder="1" applyAlignment="1">
      <alignment horizontal="right" vertical="center"/>
    </xf>
    <xf numFmtId="49" fontId="68" fillId="0" borderId="36" xfId="32" applyNumberFormat="1" applyFont="1" applyFill="1" applyBorder="1" applyAlignment="1">
      <alignment horizontal="left" vertical="center"/>
    </xf>
    <xf numFmtId="49" fontId="68" fillId="0" borderId="37" xfId="32" applyNumberFormat="1" applyFont="1" applyFill="1" applyBorder="1" applyAlignment="1">
      <alignment horizontal="left" vertical="center"/>
    </xf>
    <xf numFmtId="49" fontId="68" fillId="0" borderId="18" xfId="32" applyNumberFormat="1" applyFont="1" applyFill="1" applyBorder="1" applyAlignment="1">
      <alignment horizontal="left" vertical="center"/>
    </xf>
    <xf numFmtId="0" fontId="67" fillId="21" borderId="38" xfId="32" applyFont="1" applyFill="1" applyBorder="1" applyAlignment="1" applyProtection="1">
      <alignment horizontal="center" vertical="center"/>
    </xf>
    <xf numFmtId="0" fontId="67" fillId="21" borderId="9" xfId="32" applyFont="1" applyFill="1" applyBorder="1" applyAlignment="1" applyProtection="1">
      <alignment horizontal="center" vertical="center"/>
    </xf>
    <xf numFmtId="0" fontId="67" fillId="21" borderId="10" xfId="32" applyFont="1" applyFill="1" applyBorder="1" applyAlignment="1" applyProtection="1">
      <alignment horizontal="center" vertical="center"/>
    </xf>
    <xf numFmtId="0" fontId="70" fillId="29" borderId="8" xfId="32" applyNumberFormat="1" applyFont="1" applyFill="1" applyBorder="1" applyAlignment="1" applyProtection="1">
      <alignment horizontal="center" vertical="center"/>
    </xf>
    <xf numFmtId="0" fontId="70" fillId="29" borderId="3" xfId="32" applyNumberFormat="1" applyFont="1" applyFill="1" applyBorder="1" applyAlignment="1" applyProtection="1">
      <alignment horizontal="center" vertical="center"/>
    </xf>
    <xf numFmtId="0" fontId="70" fillId="29" borderId="24" xfId="32" applyNumberFormat="1" applyFont="1" applyFill="1" applyBorder="1" applyAlignment="1" applyProtection="1">
      <alignment horizontal="center" vertical="center"/>
    </xf>
    <xf numFmtId="0" fontId="70" fillId="29" borderId="23" xfId="32" applyNumberFormat="1" applyFont="1" applyFill="1" applyBorder="1" applyAlignment="1" applyProtection="1">
      <alignment horizontal="center" vertical="center"/>
    </xf>
    <xf numFmtId="0" fontId="70" fillId="29" borderId="15" xfId="32" applyNumberFormat="1" applyFont="1" applyFill="1" applyBorder="1" applyAlignment="1" applyProtection="1">
      <alignment horizontal="center" vertical="center"/>
    </xf>
    <xf numFmtId="0" fontId="70" fillId="29" borderId="30" xfId="32" applyNumberFormat="1" applyFont="1" applyFill="1" applyBorder="1" applyAlignment="1" applyProtection="1">
      <alignment horizontal="center" vertical="center"/>
    </xf>
    <xf numFmtId="0" fontId="70" fillId="29" borderId="28" xfId="32" applyNumberFormat="1" applyFont="1" applyFill="1" applyBorder="1" applyAlignment="1" applyProtection="1">
      <alignment horizontal="center" vertical="center"/>
    </xf>
    <xf numFmtId="0" fontId="70" fillId="29" borderId="19" xfId="32" applyNumberFormat="1" applyFont="1" applyFill="1" applyBorder="1" applyAlignment="1" applyProtection="1">
      <alignment horizontal="center" vertical="center"/>
    </xf>
    <xf numFmtId="0" fontId="67" fillId="0" borderId="25" xfId="32" applyFont="1" applyBorder="1" applyAlignment="1">
      <alignment horizontal="right" vertical="center"/>
    </xf>
    <xf numFmtId="0" fontId="67" fillId="0" borderId="33" xfId="32" applyFont="1" applyBorder="1" applyAlignment="1">
      <alignment horizontal="right" vertical="center"/>
    </xf>
    <xf numFmtId="0" fontId="67" fillId="0" borderId="6" xfId="32" applyFont="1" applyBorder="1" applyAlignment="1">
      <alignment horizontal="right" vertical="center"/>
    </xf>
    <xf numFmtId="0" fontId="67" fillId="0" borderId="24" xfId="32" applyFont="1" applyBorder="1" applyAlignment="1" applyProtection="1">
      <alignment horizontal="right" vertical="center"/>
    </xf>
    <xf numFmtId="0" fontId="67" fillId="0" borderId="23" xfId="32" applyFont="1" applyBorder="1" applyAlignment="1" applyProtection="1">
      <alignment horizontal="right" vertical="center"/>
    </xf>
    <xf numFmtId="0" fontId="67" fillId="0" borderId="15" xfId="32" applyFont="1" applyBorder="1" applyAlignment="1" applyProtection="1">
      <alignment horizontal="right" vertical="center"/>
    </xf>
    <xf numFmtId="49" fontId="70" fillId="29" borderId="24" xfId="32" applyNumberFormat="1" applyFont="1" applyFill="1" applyBorder="1" applyAlignment="1" applyProtection="1">
      <alignment horizontal="center" vertical="center"/>
    </xf>
    <xf numFmtId="49" fontId="70" fillId="29" borderId="23" xfId="32" applyNumberFormat="1" applyFont="1" applyFill="1" applyBorder="1" applyAlignment="1" applyProtection="1">
      <alignment horizontal="center" vertical="center"/>
    </xf>
    <xf numFmtId="49" fontId="70" fillId="29" borderId="15" xfId="32" applyNumberFormat="1" applyFont="1" applyFill="1" applyBorder="1" applyAlignment="1" applyProtection="1">
      <alignment horizontal="center" vertical="center"/>
    </xf>
    <xf numFmtId="49" fontId="70" fillId="3" borderId="29" xfId="32" applyNumberFormat="1" applyFont="1" applyFill="1" applyBorder="1" applyAlignment="1" applyProtection="1">
      <alignment horizontal="center" vertical="center"/>
      <protection locked="0"/>
    </xf>
    <xf numFmtId="49" fontId="70" fillId="3" borderId="22" xfId="32" applyNumberFormat="1" applyFont="1" applyFill="1" applyBorder="1" applyAlignment="1" applyProtection="1">
      <alignment horizontal="center" vertical="center"/>
      <protection locked="0"/>
    </xf>
    <xf numFmtId="49" fontId="70" fillId="3" borderId="14" xfId="32" applyNumberFormat="1" applyFont="1" applyFill="1" applyBorder="1" applyAlignment="1" applyProtection="1">
      <alignment horizontal="center" vertical="center"/>
      <protection locked="0"/>
    </xf>
    <xf numFmtId="0" fontId="67" fillId="21" borderId="40" xfId="32" applyFont="1" applyFill="1" applyBorder="1" applyAlignment="1" applyProtection="1">
      <alignment horizontal="center" vertical="center"/>
    </xf>
    <xf numFmtId="0" fontId="67" fillId="21" borderId="11" xfId="32" applyFont="1" applyFill="1" applyBorder="1" applyAlignment="1" applyProtection="1">
      <alignment horizontal="center" vertical="center"/>
    </xf>
    <xf numFmtId="0" fontId="67" fillId="21" borderId="41" xfId="32" applyFont="1" applyFill="1" applyBorder="1" applyAlignment="1" applyProtection="1">
      <alignment horizontal="center" vertical="center"/>
    </xf>
    <xf numFmtId="0" fontId="67" fillId="21" borderId="27" xfId="32" applyFont="1" applyFill="1" applyBorder="1" applyAlignment="1" applyProtection="1">
      <alignment horizontal="center" vertical="center"/>
    </xf>
    <xf numFmtId="0" fontId="67" fillId="21" borderId="0" xfId="32" applyFont="1" applyFill="1" applyBorder="1" applyAlignment="1" applyProtection="1">
      <alignment horizontal="center" vertical="center"/>
    </xf>
    <xf numFmtId="0" fontId="67" fillId="21" borderId="16" xfId="32" applyFont="1" applyFill="1" applyBorder="1" applyAlignment="1" applyProtection="1">
      <alignment horizontal="center" vertical="center"/>
    </xf>
    <xf numFmtId="0" fontId="67" fillId="21" borderId="42" xfId="32" applyFont="1" applyFill="1" applyBorder="1" applyAlignment="1" applyProtection="1">
      <alignment horizontal="center" vertical="center"/>
    </xf>
    <xf numFmtId="0" fontId="67" fillId="21" borderId="20" xfId="32" applyFont="1" applyFill="1" applyBorder="1" applyAlignment="1" applyProtection="1">
      <alignment horizontal="center" vertical="center"/>
    </xf>
    <xf numFmtId="0" fontId="67" fillId="21" borderId="43" xfId="32" applyFont="1" applyFill="1" applyBorder="1" applyAlignment="1" applyProtection="1">
      <alignment horizontal="center" vertical="center"/>
    </xf>
    <xf numFmtId="0" fontId="70" fillId="29" borderId="29" xfId="32" applyNumberFormat="1" applyFont="1" applyFill="1" applyBorder="1" applyAlignment="1" applyProtection="1">
      <alignment horizontal="center" vertical="center"/>
    </xf>
    <xf numFmtId="0" fontId="70" fillId="29" borderId="22" xfId="32" applyNumberFormat="1" applyFont="1" applyFill="1" applyBorder="1" applyAlignment="1" applyProtection="1">
      <alignment horizontal="center" vertical="center"/>
    </xf>
    <xf numFmtId="0" fontId="70" fillId="29" borderId="14" xfId="32" applyNumberFormat="1" applyFont="1" applyFill="1" applyBorder="1" applyAlignment="1" applyProtection="1">
      <alignment horizontal="center" vertical="center"/>
    </xf>
    <xf numFmtId="49" fontId="68" fillId="3" borderId="24" xfId="32" applyNumberFormat="1" applyFont="1" applyFill="1" applyBorder="1" applyAlignment="1" applyProtection="1">
      <alignment horizontal="left" vertical="center"/>
      <protection locked="0"/>
    </xf>
    <xf numFmtId="49" fontId="68" fillId="3" borderId="23" xfId="32" applyNumberFormat="1" applyFont="1" applyFill="1" applyBorder="1" applyAlignment="1" applyProtection="1">
      <alignment horizontal="left" vertical="center"/>
      <protection locked="0"/>
    </xf>
    <xf numFmtId="49" fontId="68" fillId="3" borderId="15" xfId="32" applyNumberFormat="1" applyFont="1" applyFill="1" applyBorder="1" applyAlignment="1" applyProtection="1">
      <alignment horizontal="left" vertical="center"/>
      <protection locked="0"/>
    </xf>
    <xf numFmtId="49" fontId="79" fillId="0" borderId="0" xfId="32" applyNumberFormat="1" applyFont="1" applyBorder="1" applyAlignment="1">
      <alignment horizontal="center" vertical="center"/>
    </xf>
    <xf numFmtId="0" fontId="67" fillId="0" borderId="0" xfId="32" applyNumberFormat="1" applyFont="1" applyBorder="1" applyAlignment="1">
      <alignment horizontal="center" vertical="center"/>
    </xf>
    <xf numFmtId="49" fontId="67" fillId="40" borderId="35" xfId="32" applyNumberFormat="1" applyFont="1" applyFill="1" applyBorder="1" applyAlignment="1">
      <alignment horizontal="center" vertical="center"/>
    </xf>
    <xf numFmtId="49" fontId="67" fillId="40" borderId="34" xfId="32" applyNumberFormat="1" applyFont="1" applyFill="1" applyBorder="1" applyAlignment="1">
      <alignment horizontal="center" vertical="center"/>
    </xf>
    <xf numFmtId="0" fontId="67" fillId="40" borderId="29" xfId="32" applyFont="1" applyFill="1" applyBorder="1" applyAlignment="1">
      <alignment horizontal="center" vertical="center"/>
    </xf>
    <xf numFmtId="0" fontId="67" fillId="40" borderId="22" xfId="32" applyFont="1" applyFill="1" applyBorder="1" applyAlignment="1">
      <alignment horizontal="center" vertical="center"/>
    </xf>
    <xf numFmtId="0" fontId="67" fillId="40" borderId="14" xfId="32" applyFont="1" applyFill="1" applyBorder="1" applyAlignment="1">
      <alignment horizontal="center" vertical="center"/>
    </xf>
    <xf numFmtId="0" fontId="67" fillId="40" borderId="30" xfId="32" applyFont="1" applyFill="1" applyBorder="1" applyAlignment="1">
      <alignment horizontal="center" vertical="center"/>
    </xf>
    <xf numFmtId="0" fontId="67" fillId="40" borderId="28" xfId="32" applyFont="1" applyFill="1" applyBorder="1" applyAlignment="1">
      <alignment horizontal="center" vertical="center"/>
    </xf>
    <xf numFmtId="0" fontId="67" fillId="40" borderId="19" xfId="32" applyFont="1" applyFill="1" applyBorder="1" applyAlignment="1">
      <alignment horizontal="center" vertical="center"/>
    </xf>
    <xf numFmtId="0" fontId="69" fillId="40" borderId="30" xfId="32" applyFont="1" applyFill="1" applyBorder="1" applyAlignment="1">
      <alignment horizontal="center" vertical="center"/>
    </xf>
    <xf numFmtId="0" fontId="69" fillId="40" borderId="28" xfId="32" applyFont="1" applyFill="1" applyBorder="1" applyAlignment="1">
      <alignment horizontal="center" vertical="center"/>
    </xf>
    <xf numFmtId="0" fontId="69" fillId="40" borderId="19" xfId="32" applyFont="1" applyFill="1" applyBorder="1" applyAlignment="1">
      <alignment horizontal="center" vertical="center"/>
    </xf>
    <xf numFmtId="0" fontId="67" fillId="0" borderId="29" xfId="32" applyFont="1" applyBorder="1" applyAlignment="1">
      <alignment horizontal="right" vertical="center"/>
    </xf>
    <xf numFmtId="0" fontId="67" fillId="0" borderId="22" xfId="32" applyFont="1" applyBorder="1" applyAlignment="1">
      <alignment horizontal="right" vertical="center"/>
    </xf>
    <xf numFmtId="0" fontId="67" fillId="0" borderId="14" xfId="32" applyFont="1" applyBorder="1" applyAlignment="1">
      <alignment horizontal="right" vertical="center"/>
    </xf>
    <xf numFmtId="49" fontId="68" fillId="3" borderId="29" xfId="32" applyNumberFormat="1" applyFont="1" applyFill="1" applyBorder="1" applyAlignment="1" applyProtection="1">
      <alignment horizontal="left" vertical="center"/>
      <protection locked="0"/>
    </xf>
    <xf numFmtId="49" fontId="68" fillId="3" borderId="22" xfId="32" applyNumberFormat="1" applyFont="1" applyFill="1" applyBorder="1" applyAlignment="1" applyProtection="1">
      <alignment horizontal="left" vertical="center"/>
      <protection locked="0"/>
    </xf>
    <xf numFmtId="49" fontId="68" fillId="3" borderId="14" xfId="32" applyNumberFormat="1" applyFont="1" applyFill="1" applyBorder="1" applyAlignment="1" applyProtection="1">
      <alignment horizontal="left" vertical="center"/>
      <protection locked="0"/>
    </xf>
    <xf numFmtId="0" fontId="5" fillId="30" borderId="24" xfId="0" applyFont="1" applyFill="1" applyBorder="1" applyAlignment="1">
      <alignment horizontal="right" vertical="center"/>
    </xf>
    <xf numFmtId="0" fontId="5" fillId="30" borderId="23" xfId="0" applyFont="1" applyFill="1" applyBorder="1" applyAlignment="1">
      <alignment horizontal="right" vertical="center"/>
    </xf>
    <xf numFmtId="0" fontId="5" fillId="30" borderId="15" xfId="0" applyFont="1" applyFill="1" applyBorder="1" applyAlignment="1">
      <alignment horizontal="right" vertical="center"/>
    </xf>
    <xf numFmtId="49" fontId="8" fillId="30" borderId="0" xfId="0" applyNumberFormat="1" applyFont="1" applyFill="1" applyBorder="1" applyAlignment="1">
      <alignment horizontal="center" vertical="center" wrapText="1"/>
    </xf>
    <xf numFmtId="49" fontId="8" fillId="30" borderId="0" xfId="0" applyNumberFormat="1" applyFont="1" applyFill="1" applyBorder="1" applyAlignment="1">
      <alignment horizontal="center" vertical="center"/>
    </xf>
    <xf numFmtId="0" fontId="13" fillId="30" borderId="0" xfId="0" applyNumberFormat="1" applyFont="1" applyFill="1" applyBorder="1" applyAlignment="1">
      <alignment horizontal="center" vertical="center"/>
    </xf>
    <xf numFmtId="49" fontId="13" fillId="40" borderId="35" xfId="0" applyNumberFormat="1" applyFont="1" applyFill="1" applyBorder="1" applyAlignment="1">
      <alignment horizontal="center" vertical="center"/>
    </xf>
    <xf numFmtId="49" fontId="13" fillId="40" borderId="34" xfId="0" applyNumberFormat="1" applyFont="1" applyFill="1" applyBorder="1" applyAlignment="1">
      <alignment horizontal="center" vertical="center"/>
    </xf>
    <xf numFmtId="0" fontId="13" fillId="40" borderId="29" xfId="0" applyFont="1" applyFill="1" applyBorder="1" applyAlignment="1">
      <alignment horizontal="center" vertical="center"/>
    </xf>
    <xf numFmtId="0" fontId="13" fillId="40" borderId="22" xfId="0" applyFont="1" applyFill="1" applyBorder="1" applyAlignment="1">
      <alignment horizontal="center" vertical="center"/>
    </xf>
    <xf numFmtId="0" fontId="13" fillId="40" borderId="14" xfId="0" applyFont="1" applyFill="1" applyBorder="1" applyAlignment="1">
      <alignment horizontal="center" vertical="center"/>
    </xf>
    <xf numFmtId="0" fontId="13" fillId="40" borderId="30" xfId="0" applyFont="1" applyFill="1" applyBorder="1" applyAlignment="1">
      <alignment horizontal="center" vertical="center"/>
    </xf>
    <xf numFmtId="0" fontId="13" fillId="40" borderId="28" xfId="0" applyFont="1" applyFill="1" applyBorder="1" applyAlignment="1">
      <alignment horizontal="center" vertical="center"/>
    </xf>
    <xf numFmtId="0" fontId="13" fillId="40" borderId="19" xfId="0" applyFont="1" applyFill="1" applyBorder="1" applyAlignment="1">
      <alignment horizontal="center" vertical="center"/>
    </xf>
    <xf numFmtId="0" fontId="26" fillId="40" borderId="30" xfId="0" applyFont="1" applyFill="1" applyBorder="1" applyAlignment="1">
      <alignment horizontal="center" vertical="center"/>
    </xf>
    <xf numFmtId="0" fontId="26" fillId="40" borderId="28" xfId="0" applyFont="1" applyFill="1" applyBorder="1" applyAlignment="1">
      <alignment horizontal="center" vertical="center"/>
    </xf>
    <xf numFmtId="0" fontId="26" fillId="40" borderId="19" xfId="0" applyFont="1" applyFill="1" applyBorder="1" applyAlignment="1">
      <alignment horizontal="center" vertical="center"/>
    </xf>
    <xf numFmtId="0" fontId="14" fillId="30" borderId="1" xfId="0" applyFont="1" applyFill="1" applyBorder="1" applyAlignment="1">
      <alignment horizontal="left" vertical="center"/>
    </xf>
    <xf numFmtId="0" fontId="14" fillId="30" borderId="8" xfId="0" applyFont="1" applyFill="1" applyBorder="1" applyAlignment="1">
      <alignment horizontal="left" vertical="center"/>
    </xf>
    <xf numFmtId="0" fontId="14" fillId="30" borderId="3" xfId="0" applyFont="1" applyFill="1" applyBorder="1" applyAlignment="1">
      <alignment horizontal="left" vertical="center"/>
    </xf>
    <xf numFmtId="0" fontId="26" fillId="30" borderId="1" xfId="0" applyFont="1" applyFill="1" applyBorder="1" applyAlignment="1">
      <alignment horizontal="center" vertical="center"/>
    </xf>
    <xf numFmtId="0" fontId="26" fillId="30" borderId="8" xfId="0" applyFont="1" applyFill="1" applyBorder="1" applyAlignment="1">
      <alignment horizontal="center" vertical="center"/>
    </xf>
    <xf numFmtId="0" fontId="26" fillId="30" borderId="3" xfId="0" applyFont="1" applyFill="1" applyBorder="1" applyAlignment="1">
      <alignment horizontal="center" vertical="center"/>
    </xf>
    <xf numFmtId="0" fontId="5" fillId="30" borderId="29" xfId="0" applyFont="1" applyFill="1" applyBorder="1" applyAlignment="1">
      <alignment horizontal="right" vertical="center"/>
    </xf>
    <xf numFmtId="0" fontId="5" fillId="30" borderId="22" xfId="0" applyFont="1" applyFill="1" applyBorder="1" applyAlignment="1">
      <alignment horizontal="right" vertical="center"/>
    </xf>
    <xf numFmtId="0" fontId="5" fillId="30" borderId="14" xfId="0" applyFont="1" applyFill="1" applyBorder="1" applyAlignment="1">
      <alignment horizontal="right" vertical="center"/>
    </xf>
    <xf numFmtId="49" fontId="28" fillId="3" borderId="24" xfId="0" applyNumberFormat="1" applyFont="1" applyFill="1" applyBorder="1" applyAlignment="1" applyProtection="1">
      <alignment horizontal="left" vertical="center"/>
      <protection locked="0"/>
    </xf>
    <xf numFmtId="49" fontId="28" fillId="3" borderId="23" xfId="0" applyNumberFormat="1" applyFont="1" applyFill="1" applyBorder="1" applyAlignment="1" applyProtection="1">
      <alignment horizontal="left" vertical="center"/>
      <protection locked="0"/>
    </xf>
    <xf numFmtId="49" fontId="28" fillId="3" borderId="15" xfId="0" applyNumberFormat="1" applyFont="1" applyFill="1" applyBorder="1" applyAlignment="1" applyProtection="1">
      <alignment horizontal="left" vertical="center"/>
      <protection locked="0"/>
    </xf>
    <xf numFmtId="0" fontId="14" fillId="21" borderId="24" xfId="0" applyFont="1" applyFill="1" applyBorder="1" applyAlignment="1" applyProtection="1">
      <alignment horizontal="right" vertical="center"/>
    </xf>
    <xf numFmtId="0" fontId="14" fillId="21" borderId="23" xfId="0" applyFont="1" applyFill="1" applyBorder="1" applyAlignment="1" applyProtection="1">
      <alignment horizontal="right" vertical="center"/>
    </xf>
    <xf numFmtId="0" fontId="14" fillId="21" borderId="15" xfId="0" applyFont="1" applyFill="1" applyBorder="1" applyAlignment="1" applyProtection="1">
      <alignment horizontal="right" vertical="center"/>
    </xf>
    <xf numFmtId="0" fontId="5" fillId="30" borderId="30" xfId="0" applyFont="1" applyFill="1" applyBorder="1" applyAlignment="1">
      <alignment horizontal="right" vertical="center"/>
    </xf>
    <xf numFmtId="0" fontId="5" fillId="30" borderId="28" xfId="0" applyFont="1" applyFill="1" applyBorder="1" applyAlignment="1">
      <alignment horizontal="right" vertical="center"/>
    </xf>
    <xf numFmtId="0" fontId="5" fillId="30" borderId="19" xfId="0" applyFont="1" applyFill="1" applyBorder="1" applyAlignment="1">
      <alignment horizontal="right" vertical="center"/>
    </xf>
    <xf numFmtId="0" fontId="14" fillId="21" borderId="29" xfId="0" applyFont="1" applyFill="1" applyBorder="1" applyAlignment="1" applyProtection="1">
      <alignment horizontal="right" vertical="center"/>
    </xf>
    <xf numFmtId="0" fontId="14" fillId="21" borderId="22" xfId="0" applyFont="1" applyFill="1" applyBorder="1" applyAlignment="1" applyProtection="1">
      <alignment horizontal="right" vertical="center"/>
    </xf>
    <xf numFmtId="0" fontId="14" fillId="21" borderId="14" xfId="0" applyFont="1" applyFill="1" applyBorder="1" applyAlignment="1" applyProtection="1">
      <alignment horizontal="right" vertical="center"/>
    </xf>
    <xf numFmtId="0" fontId="5" fillId="30" borderId="24" xfId="0" applyFont="1" applyFill="1" applyBorder="1" applyAlignment="1">
      <alignment horizontal="right"/>
    </xf>
    <xf numFmtId="0" fontId="5" fillId="30" borderId="23" xfId="0" applyFont="1" applyFill="1" applyBorder="1" applyAlignment="1">
      <alignment horizontal="right"/>
    </xf>
    <xf numFmtId="0" fontId="5" fillId="30" borderId="15" xfId="0" applyFont="1" applyFill="1" applyBorder="1" applyAlignment="1">
      <alignment horizontal="right"/>
    </xf>
    <xf numFmtId="0" fontId="6" fillId="30" borderId="24" xfId="0" applyFont="1" applyFill="1" applyBorder="1" applyAlignment="1">
      <alignment horizontal="right"/>
    </xf>
    <xf numFmtId="0" fontId="6" fillId="30" borderId="23" xfId="0" applyFont="1" applyFill="1" applyBorder="1" applyAlignment="1">
      <alignment horizontal="right"/>
    </xf>
    <xf numFmtId="0" fontId="6" fillId="30" borderId="15" xfId="0" applyFont="1" applyFill="1" applyBorder="1" applyAlignment="1">
      <alignment horizontal="right"/>
    </xf>
    <xf numFmtId="0" fontId="5" fillId="30" borderId="30" xfId="0" applyFont="1" applyFill="1" applyBorder="1" applyAlignment="1">
      <alignment horizontal="right"/>
    </xf>
    <xf numFmtId="0" fontId="5" fillId="30" borderId="28" xfId="0" applyFont="1" applyFill="1" applyBorder="1" applyAlignment="1">
      <alignment horizontal="right"/>
    </xf>
    <xf numFmtId="0" fontId="5" fillId="30" borderId="19" xfId="0" applyFont="1" applyFill="1" applyBorder="1" applyAlignment="1">
      <alignment horizontal="right"/>
    </xf>
    <xf numFmtId="49" fontId="28" fillId="3" borderId="30" xfId="0" applyNumberFormat="1" applyFont="1" applyFill="1" applyBorder="1" applyAlignment="1" applyProtection="1">
      <alignment horizontal="left" vertical="center"/>
      <protection locked="0"/>
    </xf>
    <xf numFmtId="49" fontId="28" fillId="3" borderId="28" xfId="0" applyNumberFormat="1" applyFont="1" applyFill="1" applyBorder="1" applyAlignment="1" applyProtection="1">
      <alignment horizontal="left" vertical="center"/>
      <protection locked="0"/>
    </xf>
    <xf numFmtId="49" fontId="28" fillId="3" borderId="29" xfId="0" applyNumberFormat="1" applyFont="1" applyFill="1" applyBorder="1" applyAlignment="1" applyProtection="1">
      <alignment horizontal="left" vertical="center"/>
      <protection locked="0"/>
    </xf>
    <xf numFmtId="49" fontId="28" fillId="3" borderId="22" xfId="0" applyNumberFormat="1" applyFont="1" applyFill="1" applyBorder="1" applyAlignment="1" applyProtection="1">
      <alignment horizontal="left" vertical="center"/>
      <protection locked="0"/>
    </xf>
    <xf numFmtId="49" fontId="28" fillId="3" borderId="14" xfId="0" applyNumberFormat="1" applyFont="1" applyFill="1" applyBorder="1" applyAlignment="1" applyProtection="1">
      <alignment horizontal="left" vertical="center"/>
      <protection locked="0"/>
    </xf>
    <xf numFmtId="49" fontId="27" fillId="3" borderId="24" xfId="0" applyNumberFormat="1" applyFont="1" applyFill="1" applyBorder="1" applyAlignment="1" applyProtection="1">
      <alignment horizontal="left" vertical="center"/>
      <protection locked="0"/>
    </xf>
    <xf numFmtId="49" fontId="27" fillId="3" borderId="23" xfId="0" applyNumberFormat="1" applyFont="1" applyFill="1" applyBorder="1" applyAlignment="1" applyProtection="1">
      <alignment horizontal="left" vertical="center"/>
      <protection locked="0"/>
    </xf>
    <xf numFmtId="49" fontId="27" fillId="3" borderId="15" xfId="0" applyNumberFormat="1" applyFont="1" applyFill="1" applyBorder="1" applyAlignment="1" applyProtection="1">
      <alignment horizontal="left" vertical="center"/>
      <protection locked="0"/>
    </xf>
    <xf numFmtId="49" fontId="10" fillId="3" borderId="24" xfId="2" applyNumberFormat="1" applyFill="1" applyBorder="1" applyAlignment="1" applyProtection="1">
      <alignment horizontal="left" vertical="center"/>
      <protection locked="0"/>
    </xf>
    <xf numFmtId="49" fontId="10" fillId="3" borderId="23" xfId="2" applyNumberFormat="1" applyFill="1" applyBorder="1" applyAlignment="1" applyProtection="1">
      <alignment horizontal="left" vertical="center"/>
      <protection locked="0"/>
    </xf>
    <xf numFmtId="49" fontId="10" fillId="3" borderId="15" xfId="2" applyNumberFormat="1" applyFill="1" applyBorder="1" applyAlignment="1" applyProtection="1">
      <alignment horizontal="left" vertical="center"/>
      <protection locked="0"/>
    </xf>
    <xf numFmtId="49" fontId="10" fillId="3" borderId="30" xfId="2" applyNumberFormat="1" applyFill="1" applyBorder="1" applyAlignment="1" applyProtection="1">
      <alignment horizontal="left" vertical="center"/>
      <protection locked="0"/>
    </xf>
    <xf numFmtId="49" fontId="10" fillId="3" borderId="28" xfId="2" applyNumberFormat="1" applyFill="1" applyBorder="1" applyAlignment="1" applyProtection="1">
      <alignment horizontal="left" vertical="center"/>
      <protection locked="0"/>
    </xf>
    <xf numFmtId="49" fontId="10" fillId="3" borderId="19" xfId="2" applyNumberFormat="1" applyFill="1" applyBorder="1" applyAlignment="1" applyProtection="1">
      <alignment horizontal="left" vertical="center"/>
      <protection locked="0"/>
    </xf>
    <xf numFmtId="0" fontId="14" fillId="40" borderId="40" xfId="0" applyFont="1" applyFill="1" applyBorder="1" applyAlignment="1" applyProtection="1">
      <alignment horizontal="center" vertical="center" wrapText="1"/>
    </xf>
    <xf numFmtId="0" fontId="14" fillId="40" borderId="41" xfId="0" applyFont="1" applyFill="1" applyBorder="1" applyAlignment="1" applyProtection="1">
      <alignment horizontal="center" vertical="center" wrapText="1"/>
    </xf>
    <xf numFmtId="0" fontId="14" fillId="40" borderId="38" xfId="0" applyFont="1" applyFill="1" applyBorder="1" applyAlignment="1" applyProtection="1">
      <alignment horizontal="center" vertical="center"/>
    </xf>
    <xf numFmtId="0" fontId="14" fillId="40" borderId="9" xfId="0" applyFont="1" applyFill="1" applyBorder="1" applyAlignment="1" applyProtection="1">
      <alignment horizontal="center" vertical="center"/>
    </xf>
    <xf numFmtId="0" fontId="14" fillId="40" borderId="10" xfId="0" applyFont="1" applyFill="1" applyBorder="1" applyAlignment="1" applyProtection="1">
      <alignment horizontal="center" vertical="center"/>
    </xf>
    <xf numFmtId="0" fontId="13" fillId="0" borderId="0" xfId="0" applyFont="1" applyFill="1" applyBorder="1" applyAlignment="1">
      <alignment horizontal="center" vertical="center" wrapText="1"/>
    </xf>
    <xf numFmtId="0" fontId="8" fillId="0" borderId="0" xfId="0" applyFont="1" applyAlignment="1">
      <alignment horizontal="center" vertical="center" wrapText="1"/>
    </xf>
    <xf numFmtId="0" fontId="13" fillId="0" borderId="0" xfId="0" applyFont="1" applyFill="1" applyAlignment="1">
      <alignment horizontal="center" vertical="center" wrapText="1"/>
    </xf>
    <xf numFmtId="0" fontId="14" fillId="40" borderId="51" xfId="0" applyFont="1" applyFill="1" applyBorder="1" applyAlignment="1" applyProtection="1">
      <alignment horizontal="center" vertical="center" wrapText="1"/>
    </xf>
    <xf numFmtId="0" fontId="14" fillId="40" borderId="39" xfId="0" applyFont="1" applyFill="1" applyBorder="1" applyAlignment="1" applyProtection="1">
      <alignment horizontal="center" vertical="center" wrapText="1"/>
    </xf>
    <xf numFmtId="0" fontId="6" fillId="0" borderId="0" xfId="0" applyFont="1" applyAlignment="1">
      <alignment horizontal="center" vertical="center"/>
    </xf>
    <xf numFmtId="0" fontId="14" fillId="40" borderId="76" xfId="0" applyFont="1" applyFill="1" applyBorder="1" applyAlignment="1" applyProtection="1">
      <alignment horizontal="center" vertical="center" wrapText="1"/>
    </xf>
    <xf numFmtId="0" fontId="14" fillId="40" borderId="55" xfId="0" applyFont="1" applyFill="1" applyBorder="1" applyAlignment="1" applyProtection="1">
      <alignment horizontal="center" vertical="center" wrapText="1"/>
    </xf>
    <xf numFmtId="0" fontId="14" fillId="40" borderId="72" xfId="0" applyFont="1" applyFill="1" applyBorder="1" applyAlignment="1" applyProtection="1">
      <alignment horizontal="center" vertical="center" wrapText="1"/>
    </xf>
    <xf numFmtId="0" fontId="14" fillId="40" borderId="69" xfId="0" applyFont="1" applyFill="1" applyBorder="1" applyAlignment="1" applyProtection="1">
      <alignment horizontal="center" vertical="center" wrapText="1"/>
    </xf>
    <xf numFmtId="0" fontId="5" fillId="0" borderId="51" xfId="0" applyFont="1" applyBorder="1" applyAlignment="1">
      <alignment horizontal="center" vertical="center"/>
    </xf>
    <xf numFmtId="0" fontId="5" fillId="0" borderId="17" xfId="0" applyFont="1" applyBorder="1" applyAlignment="1">
      <alignment horizontal="center" vertical="center"/>
    </xf>
    <xf numFmtId="0" fontId="5" fillId="0" borderId="21" xfId="0" applyFont="1" applyBorder="1" applyAlignment="1">
      <alignment horizontal="center" vertical="center"/>
    </xf>
    <xf numFmtId="0" fontId="5" fillId="0" borderId="3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34"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35" xfId="0" applyFont="1" applyBorder="1" applyAlignment="1">
      <alignment horizontal="center" vertical="center"/>
    </xf>
    <xf numFmtId="0" fontId="5" fillId="0" borderId="34" xfId="0" applyFont="1" applyBorder="1" applyAlignment="1">
      <alignment horizontal="center" vertical="center"/>
    </xf>
    <xf numFmtId="0" fontId="8" fillId="0" borderId="0" xfId="0" applyFont="1" applyBorder="1" applyAlignment="1">
      <alignment horizontal="center" vertical="center" wrapText="1"/>
    </xf>
    <xf numFmtId="49" fontId="62" fillId="29" borderId="51" xfId="52" applyNumberFormat="1" applyFont="1" applyFill="1" applyBorder="1" applyAlignment="1" applyProtection="1">
      <alignment horizontal="center" vertical="center" wrapText="1"/>
    </xf>
    <xf numFmtId="49" fontId="62" fillId="29" borderId="17" xfId="52" applyNumberFormat="1" applyFont="1" applyFill="1" applyBorder="1" applyAlignment="1" applyProtection="1">
      <alignment horizontal="center" vertical="center" wrapText="1"/>
    </xf>
    <xf numFmtId="0" fontId="62" fillId="30" borderId="0" xfId="52" applyFont="1" applyFill="1" applyAlignment="1">
      <alignment horizontal="left" indent="1"/>
    </xf>
    <xf numFmtId="49" fontId="62" fillId="34" borderId="5" xfId="52" applyNumberFormat="1" applyFont="1" applyFill="1" applyBorder="1" applyAlignment="1" applyProtection="1">
      <alignment horizontal="center" vertical="center" wrapText="1"/>
    </xf>
    <xf numFmtId="49" fontId="62" fillId="34" borderId="17" xfId="52" applyNumberFormat="1" applyFont="1" applyFill="1" applyBorder="1" applyAlignment="1" applyProtection="1">
      <alignment horizontal="center" vertical="center" wrapText="1"/>
    </xf>
    <xf numFmtId="49" fontId="62" fillId="34" borderId="21" xfId="52" applyNumberFormat="1" applyFont="1" applyFill="1" applyBorder="1" applyAlignment="1" applyProtection="1">
      <alignment horizontal="center" vertical="center" wrapText="1"/>
    </xf>
    <xf numFmtId="0" fontId="62" fillId="34" borderId="5" xfId="52" applyFont="1" applyFill="1" applyBorder="1" applyAlignment="1" applyProtection="1">
      <alignment horizontal="center" vertical="center"/>
    </xf>
    <xf numFmtId="0" fontId="62" fillId="34" borderId="17" xfId="52" applyFont="1" applyFill="1" applyBorder="1" applyAlignment="1" applyProtection="1">
      <alignment horizontal="center" vertical="center"/>
    </xf>
    <xf numFmtId="0" fontId="62" fillId="34" borderId="21" xfId="52" applyFont="1" applyFill="1" applyBorder="1" applyAlignment="1" applyProtection="1">
      <alignment horizontal="center" vertical="center"/>
    </xf>
    <xf numFmtId="0" fontId="62" fillId="29" borderId="51" xfId="52" applyFont="1" applyFill="1" applyBorder="1" applyAlignment="1" applyProtection="1">
      <alignment horizontal="left" vertical="center" wrapText="1"/>
    </xf>
    <xf numFmtId="0" fontId="62" fillId="29" borderId="17" xfId="52" applyFont="1" applyFill="1" applyBorder="1" applyAlignment="1" applyProtection="1">
      <alignment horizontal="left" vertical="center" wrapText="1"/>
    </xf>
    <xf numFmtId="0" fontId="62" fillId="26" borderId="5" xfId="40" quotePrefix="1" applyFont="1" applyFill="1" applyBorder="1" applyAlignment="1" applyProtection="1">
      <alignment horizontal="center" vertical="center" wrapText="1"/>
    </xf>
    <xf numFmtId="0" fontId="62" fillId="26" borderId="39" xfId="40" quotePrefix="1" applyFont="1" applyFill="1" applyBorder="1" applyAlignment="1" applyProtection="1">
      <alignment horizontal="center" vertical="center" wrapText="1"/>
    </xf>
    <xf numFmtId="0" fontId="62" fillId="26" borderId="5" xfId="52" applyFont="1" applyFill="1" applyBorder="1" applyAlignment="1" applyProtection="1">
      <alignment horizontal="center" vertical="center" wrapText="1"/>
    </xf>
    <xf numFmtId="0" fontId="62" fillId="26" borderId="39" xfId="52" applyFont="1" applyFill="1" applyBorder="1" applyAlignment="1" applyProtection="1">
      <alignment horizontal="center" vertical="center" wrapText="1"/>
    </xf>
    <xf numFmtId="0" fontId="37" fillId="29" borderId="0" xfId="0" applyFont="1" applyFill="1" applyAlignment="1">
      <alignment horizontal="left" vertical="center" wrapText="1"/>
    </xf>
    <xf numFmtId="0" fontId="114" fillId="30" borderId="0" xfId="52" applyFont="1" applyFill="1" applyAlignment="1">
      <alignment horizontal="left" wrapText="1"/>
    </xf>
    <xf numFmtId="0" fontId="8" fillId="30" borderId="0" xfId="32" applyFont="1" applyFill="1" applyAlignment="1">
      <alignment horizontal="center" wrapText="1"/>
    </xf>
    <xf numFmtId="0" fontId="13" fillId="30" borderId="0" xfId="0" applyFont="1" applyFill="1" applyAlignment="1">
      <alignment horizontal="center"/>
    </xf>
    <xf numFmtId="49" fontId="62" fillId="34" borderId="39" xfId="52" applyNumberFormat="1" applyFont="1" applyFill="1" applyBorder="1" applyAlignment="1" applyProtection="1">
      <alignment horizontal="center" vertical="center" wrapText="1"/>
    </xf>
    <xf numFmtId="0" fontId="62" fillId="34" borderId="5" xfId="52" applyFont="1" applyFill="1" applyBorder="1" applyAlignment="1" applyProtection="1">
      <alignment horizontal="left" vertical="center"/>
    </xf>
    <xf numFmtId="0" fontId="62" fillId="34" borderId="39" xfId="52" applyFont="1" applyFill="1" applyBorder="1" applyAlignment="1" applyProtection="1">
      <alignment horizontal="left" vertical="center"/>
    </xf>
    <xf numFmtId="0" fontId="62" fillId="21" borderId="51" xfId="52" applyFont="1" applyFill="1" applyBorder="1" applyAlignment="1" applyProtection="1">
      <alignment horizontal="left" vertical="center" wrapText="1"/>
    </xf>
    <xf numFmtId="0" fontId="62" fillId="21" borderId="17" xfId="52" applyFont="1" applyFill="1" applyBorder="1" applyAlignment="1" applyProtection="1">
      <alignment horizontal="left" vertical="center" wrapText="1"/>
    </xf>
    <xf numFmtId="49" fontId="62" fillId="30" borderId="5" xfId="52" applyNumberFormat="1" applyFont="1" applyFill="1" applyBorder="1" applyAlignment="1" applyProtection="1">
      <alignment horizontal="center" vertical="center" wrapText="1"/>
    </xf>
    <xf numFmtId="49" fontId="62" fillId="30" borderId="17" xfId="52" applyNumberFormat="1" applyFont="1" applyFill="1" applyBorder="1" applyAlignment="1" applyProtection="1">
      <alignment horizontal="center" vertical="center" wrapText="1"/>
    </xf>
    <xf numFmtId="0" fontId="62" fillId="21" borderId="5" xfId="52" applyFont="1" applyFill="1" applyBorder="1" applyAlignment="1" applyProtection="1">
      <alignment horizontal="left" vertical="center" wrapText="1"/>
    </xf>
    <xf numFmtId="49" fontId="62" fillId="34" borderId="51" xfId="52" applyNumberFormat="1" applyFont="1" applyFill="1" applyBorder="1" applyAlignment="1" applyProtection="1">
      <alignment horizontal="center" vertical="center" wrapText="1"/>
    </xf>
    <xf numFmtId="0" fontId="62" fillId="34" borderId="51" xfId="52" applyFont="1" applyFill="1" applyBorder="1" applyAlignment="1" applyProtection="1">
      <alignment horizontal="left" vertical="center"/>
    </xf>
    <xf numFmtId="0" fontId="62" fillId="34" borderId="17" xfId="52" applyFont="1" applyFill="1" applyBorder="1" applyAlignment="1" applyProtection="1">
      <alignment horizontal="left" vertical="center"/>
    </xf>
    <xf numFmtId="0" fontId="90" fillId="30" borderId="0" xfId="52" applyFont="1" applyFill="1" applyAlignment="1"/>
    <xf numFmtId="0" fontId="62" fillId="29" borderId="51" xfId="52" applyFont="1" applyFill="1" applyBorder="1" applyAlignment="1" applyProtection="1">
      <alignment horizontal="left" vertical="center"/>
    </xf>
    <xf numFmtId="0" fontId="62" fillId="29" borderId="17" xfId="52" applyFont="1" applyFill="1" applyBorder="1" applyAlignment="1" applyProtection="1">
      <alignment horizontal="left" vertical="center"/>
    </xf>
    <xf numFmtId="0" fontId="8" fillId="30" borderId="0" xfId="32" applyFont="1" applyFill="1" applyAlignment="1" applyProtection="1">
      <alignment horizontal="center" vertical="center" wrapText="1"/>
    </xf>
    <xf numFmtId="0" fontId="13" fillId="30" borderId="0" xfId="32" applyFont="1" applyFill="1" applyAlignment="1" applyProtection="1">
      <alignment horizontal="center" vertical="center" wrapText="1"/>
    </xf>
    <xf numFmtId="0" fontId="12" fillId="30" borderId="20" xfId="32" applyFont="1" applyFill="1" applyBorder="1" applyAlignment="1" applyProtection="1">
      <alignment horizontal="center" vertical="center" wrapText="1"/>
    </xf>
    <xf numFmtId="0" fontId="35" fillId="29" borderId="0" xfId="0" applyFont="1" applyFill="1" applyAlignment="1">
      <alignment horizontal="left" vertical="center" wrapText="1"/>
    </xf>
    <xf numFmtId="0" fontId="34" fillId="40" borderId="40" xfId="32" applyFont="1" applyFill="1" applyBorder="1" applyAlignment="1" applyProtection="1">
      <alignment horizontal="center" vertical="center" wrapText="1"/>
    </xf>
    <xf numFmtId="0" fontId="34" fillId="40" borderId="11" xfId="32" applyFont="1" applyFill="1" applyBorder="1" applyAlignment="1" applyProtection="1">
      <alignment horizontal="center" vertical="center" wrapText="1"/>
    </xf>
    <xf numFmtId="0" fontId="34" fillId="40" borderId="41" xfId="32" applyFont="1" applyFill="1" applyBorder="1" applyAlignment="1" applyProtection="1">
      <alignment horizontal="center" vertical="center" wrapText="1"/>
    </xf>
    <xf numFmtId="0" fontId="34" fillId="40" borderId="25" xfId="32" applyFont="1" applyFill="1" applyBorder="1" applyAlignment="1" applyProtection="1">
      <alignment horizontal="center" vertical="center" wrapText="1"/>
    </xf>
    <xf numFmtId="0" fontId="34" fillId="40" borderId="33" xfId="32" applyFont="1" applyFill="1" applyBorder="1" applyAlignment="1" applyProtection="1">
      <alignment horizontal="center" vertical="center" wrapText="1"/>
    </xf>
    <xf numFmtId="0" fontId="34" fillId="40" borderId="6" xfId="32" applyFont="1" applyFill="1" applyBorder="1" applyAlignment="1" applyProtection="1">
      <alignment horizontal="center" vertical="center" wrapText="1"/>
    </xf>
    <xf numFmtId="0" fontId="34" fillId="40" borderId="75" xfId="32" applyFont="1" applyFill="1" applyBorder="1" applyAlignment="1" applyProtection="1">
      <alignment horizontal="center" vertical="center" wrapText="1"/>
    </xf>
    <xf numFmtId="0" fontId="34" fillId="40" borderId="73" xfId="32" applyFont="1" applyFill="1" applyBorder="1" applyAlignment="1" applyProtection="1">
      <alignment horizontal="center" vertical="center" wrapText="1"/>
    </xf>
    <xf numFmtId="0" fontId="34" fillId="40" borderId="76" xfId="32" applyFont="1" applyFill="1" applyBorder="1" applyAlignment="1" applyProtection="1">
      <alignment horizontal="center" vertical="center" wrapText="1"/>
    </xf>
    <xf numFmtId="0" fontId="34" fillId="40" borderId="52" xfId="32" applyFont="1" applyFill="1" applyBorder="1" applyAlignment="1" applyProtection="1">
      <alignment horizontal="center" vertical="center" wrapText="1"/>
    </xf>
    <xf numFmtId="0" fontId="34" fillId="40" borderId="7" xfId="32" applyFont="1" applyFill="1" applyBorder="1" applyAlignment="1" applyProtection="1">
      <alignment horizontal="center" vertical="center" wrapText="1"/>
    </xf>
    <xf numFmtId="0" fontId="34" fillId="40" borderId="53" xfId="32" applyFont="1" applyFill="1" applyBorder="1" applyAlignment="1" applyProtection="1">
      <alignment horizontal="center" vertical="center" wrapText="1"/>
    </xf>
    <xf numFmtId="0" fontId="34" fillId="30" borderId="0" xfId="32" applyFont="1" applyFill="1" applyAlignment="1">
      <alignment horizontal="left" vertical="center"/>
    </xf>
    <xf numFmtId="0" fontId="36" fillId="30" borderId="0" xfId="32" applyFont="1" applyFill="1" applyAlignment="1">
      <alignment horizontal="left" vertical="center"/>
    </xf>
    <xf numFmtId="0" fontId="35" fillId="40" borderId="52" xfId="32" applyFont="1" applyFill="1" applyBorder="1" applyAlignment="1" applyProtection="1">
      <alignment horizontal="center" vertical="center"/>
    </xf>
    <xf numFmtId="0" fontId="35" fillId="40" borderId="56" xfId="32" applyFont="1" applyFill="1" applyBorder="1" applyAlignment="1" applyProtection="1">
      <alignment horizontal="center" vertical="center"/>
    </xf>
    <xf numFmtId="0" fontId="35" fillId="40" borderId="53" xfId="32" applyFont="1" applyFill="1" applyBorder="1" applyAlignment="1" applyProtection="1">
      <alignment vertical="center"/>
    </xf>
    <xf numFmtId="0" fontId="35" fillId="40" borderId="57" xfId="32" applyFont="1" applyFill="1" applyBorder="1" applyAlignment="1" applyProtection="1">
      <alignment vertical="center"/>
    </xf>
    <xf numFmtId="0" fontId="34" fillId="40" borderId="45" xfId="32" applyFont="1" applyFill="1" applyBorder="1" applyAlignment="1" applyProtection="1">
      <alignment horizontal="center" vertical="center" wrapText="1"/>
    </xf>
    <xf numFmtId="0" fontId="7" fillId="40" borderId="58" xfId="0" applyFont="1" applyFill="1" applyBorder="1" applyAlignment="1">
      <alignment horizontal="center" vertical="center" wrapText="1"/>
    </xf>
    <xf numFmtId="0" fontId="7" fillId="40" borderId="46" xfId="0" applyFont="1" applyFill="1" applyBorder="1" applyAlignment="1">
      <alignment horizontal="center" vertical="center" wrapText="1"/>
    </xf>
    <xf numFmtId="2" fontId="34" fillId="40" borderId="75" xfId="32" applyNumberFormat="1" applyFont="1" applyFill="1" applyBorder="1" applyAlignment="1" applyProtection="1">
      <alignment horizontal="center" vertical="center" wrapText="1"/>
    </xf>
    <xf numFmtId="2" fontId="34" fillId="40" borderId="73" xfId="32" applyNumberFormat="1" applyFont="1" applyFill="1" applyBorder="1" applyAlignment="1" applyProtection="1">
      <alignment horizontal="center" vertical="center" wrapText="1"/>
    </xf>
    <xf numFmtId="2" fontId="34" fillId="40" borderId="76" xfId="32" applyNumberFormat="1" applyFont="1" applyFill="1" applyBorder="1" applyAlignment="1" applyProtection="1">
      <alignment horizontal="center" vertical="center" wrapText="1"/>
    </xf>
    <xf numFmtId="0" fontId="104" fillId="30" borderId="89" xfId="49" applyFont="1" applyFill="1" applyBorder="1" applyAlignment="1" applyProtection="1">
      <alignment horizontal="left" vertical="center" wrapText="1"/>
    </xf>
    <xf numFmtId="0" fontId="0" fillId="30" borderId="89" xfId="0" applyFill="1" applyBorder="1" applyAlignment="1" applyProtection="1">
      <alignment horizontal="left" vertical="center" wrapText="1"/>
    </xf>
    <xf numFmtId="0" fontId="0" fillId="30" borderId="94" xfId="0" applyFill="1" applyBorder="1" applyAlignment="1" applyProtection="1">
      <alignment vertical="center"/>
    </xf>
    <xf numFmtId="0" fontId="34" fillId="40" borderId="7" xfId="0" applyFont="1" applyFill="1" applyBorder="1" applyAlignment="1" applyProtection="1">
      <alignment horizontal="center" vertical="center" wrapText="1"/>
    </xf>
    <xf numFmtId="0" fontId="35" fillId="40" borderId="7" xfId="0" applyFont="1" applyFill="1" applyBorder="1" applyAlignment="1" applyProtection="1">
      <alignment vertical="center"/>
    </xf>
    <xf numFmtId="2" fontId="34" fillId="40" borderId="7" xfId="0" applyNumberFormat="1" applyFont="1" applyFill="1" applyBorder="1" applyAlignment="1" applyProtection="1">
      <alignment horizontal="center" vertical="center" wrapText="1"/>
    </xf>
    <xf numFmtId="0" fontId="29" fillId="29" borderId="0" xfId="0" applyFont="1" applyFill="1" applyBorder="1" applyAlignment="1" applyProtection="1">
      <alignment horizontal="center" vertical="center" wrapText="1"/>
    </xf>
    <xf numFmtId="0" fontId="8" fillId="30" borderId="0" xfId="0" applyFont="1" applyFill="1" applyAlignment="1" applyProtection="1">
      <alignment horizontal="center" vertical="center" wrapText="1"/>
    </xf>
    <xf numFmtId="0" fontId="12" fillId="30" borderId="0" xfId="0" applyFont="1" applyFill="1" applyAlignment="1" applyProtection="1">
      <alignment horizontal="center" vertical="center" wrapText="1"/>
    </xf>
    <xf numFmtId="0" fontId="7" fillId="31" borderId="7" xfId="0" applyFont="1" applyFill="1" applyBorder="1" applyAlignment="1" applyProtection="1">
      <alignment horizontal="center" vertical="center"/>
      <protection locked="0"/>
    </xf>
    <xf numFmtId="0" fontId="34" fillId="30" borderId="0" xfId="0" applyFont="1" applyFill="1" applyAlignment="1">
      <alignment horizontal="left" vertical="center"/>
    </xf>
    <xf numFmtId="0" fontId="36" fillId="30" borderId="0" xfId="0" applyFont="1" applyFill="1" applyAlignment="1">
      <alignment horizontal="left" vertical="center"/>
    </xf>
    <xf numFmtId="0" fontId="8" fillId="0" borderId="0" xfId="32" applyFont="1" applyAlignment="1">
      <alignment horizontal="center" wrapText="1"/>
    </xf>
    <xf numFmtId="0" fontId="13" fillId="0" borderId="0" xfId="32" applyFont="1" applyFill="1" applyAlignment="1">
      <alignment horizontal="center"/>
    </xf>
    <xf numFmtId="0" fontId="34" fillId="40" borderId="47" xfId="32" applyFont="1" applyFill="1" applyBorder="1" applyAlignment="1" applyProtection="1">
      <alignment horizontal="center" vertical="center" wrapText="1"/>
    </xf>
    <xf numFmtId="0" fontId="34" fillId="40" borderId="46" xfId="32" applyFont="1" applyFill="1" applyBorder="1" applyAlignment="1">
      <alignment horizontal="center" vertical="center"/>
    </xf>
    <xf numFmtId="0" fontId="34" fillId="40" borderId="48" xfId="32" applyFont="1" applyFill="1" applyBorder="1" applyAlignment="1">
      <alignment horizontal="center" vertical="center"/>
    </xf>
    <xf numFmtId="0" fontId="34" fillId="40" borderId="35" xfId="32" applyFont="1" applyFill="1" applyBorder="1" applyAlignment="1">
      <alignment horizontal="center" vertical="center"/>
    </xf>
    <xf numFmtId="0" fontId="34" fillId="40" borderId="34" xfId="32" applyFont="1" applyFill="1" applyBorder="1" applyAlignment="1">
      <alignment horizontal="center" vertical="center"/>
    </xf>
    <xf numFmtId="0" fontId="34" fillId="40" borderId="35" xfId="32" applyFont="1" applyFill="1" applyBorder="1" applyAlignment="1" applyProtection="1">
      <alignment horizontal="center" vertical="center" wrapText="1"/>
    </xf>
    <xf numFmtId="0" fontId="34" fillId="40" borderId="34" xfId="32" applyFont="1" applyFill="1" applyBorder="1" applyAlignment="1" applyProtection="1">
      <alignment horizontal="center" vertical="center" wrapText="1"/>
    </xf>
    <xf numFmtId="0" fontId="104" fillId="0" borderId="89" xfId="49" applyFont="1" applyFill="1" applyBorder="1" applyAlignment="1">
      <alignment horizontal="left" wrapText="1"/>
    </xf>
    <xf numFmtId="0" fontId="0" fillId="0" borderId="89" xfId="0" applyFill="1" applyBorder="1" applyAlignment="1">
      <alignment horizontal="left" wrapText="1"/>
    </xf>
    <xf numFmtId="0" fontId="0" fillId="0" borderId="89" xfId="0" applyFill="1" applyBorder="1" applyAlignment="1"/>
    <xf numFmtId="0" fontId="36" fillId="29" borderId="0" xfId="32" applyFont="1" applyFill="1" applyAlignment="1">
      <alignment horizontal="left" wrapText="1"/>
    </xf>
    <xf numFmtId="0" fontId="34" fillId="0" borderId="0" xfId="32" applyFont="1" applyAlignment="1">
      <alignment horizontal="left" indent="1"/>
    </xf>
    <xf numFmtId="0" fontId="36" fillId="0" borderId="0" xfId="32" applyFont="1" applyAlignment="1"/>
    <xf numFmtId="0" fontId="8" fillId="30" borderId="0" xfId="32" applyFont="1" applyFill="1" applyAlignment="1">
      <alignment horizontal="center" vertical="center" wrapText="1"/>
    </xf>
    <xf numFmtId="0" fontId="13" fillId="0" borderId="0" xfId="32" applyFont="1" applyFill="1" applyBorder="1" applyAlignment="1">
      <alignment horizontal="center"/>
    </xf>
    <xf numFmtId="0" fontId="34" fillId="40" borderId="72" xfId="32" applyFont="1" applyFill="1" applyBorder="1" applyAlignment="1">
      <alignment horizontal="center" vertical="center" wrapText="1"/>
    </xf>
    <xf numFmtId="0" fontId="34" fillId="40" borderId="22" xfId="32" applyFont="1" applyFill="1" applyBorder="1" applyAlignment="1">
      <alignment horizontal="center" vertical="center" wrapText="1"/>
    </xf>
    <xf numFmtId="0" fontId="34" fillId="40" borderId="14" xfId="32" applyFont="1" applyFill="1" applyBorder="1" applyAlignment="1">
      <alignment horizontal="center" vertical="center" wrapText="1"/>
    </xf>
    <xf numFmtId="0" fontId="34" fillId="30" borderId="0" xfId="0" applyFont="1" applyFill="1" applyAlignment="1">
      <alignment horizontal="left" indent="1"/>
    </xf>
    <xf numFmtId="0" fontId="36" fillId="30" borderId="0" xfId="0" applyFont="1" applyFill="1" applyAlignment="1"/>
    <xf numFmtId="0" fontId="13" fillId="30" borderId="0" xfId="32" applyFont="1" applyFill="1" applyAlignment="1">
      <alignment horizontal="center"/>
    </xf>
    <xf numFmtId="0" fontId="34" fillId="40" borderId="29" xfId="32" applyFont="1" applyFill="1" applyBorder="1" applyAlignment="1">
      <alignment horizontal="center" vertical="center"/>
    </xf>
    <xf numFmtId="0" fontId="34" fillId="40" borderId="22" xfId="32" applyFont="1" applyFill="1" applyBorder="1" applyAlignment="1">
      <alignment horizontal="center" vertical="center"/>
    </xf>
    <xf numFmtId="0" fontId="34" fillId="40" borderId="14" xfId="32" applyFont="1" applyFill="1" applyBorder="1" applyAlignment="1">
      <alignment horizontal="center" vertical="center"/>
    </xf>
    <xf numFmtId="0" fontId="34" fillId="40" borderId="56" xfId="32" applyFont="1" applyFill="1" applyBorder="1" applyAlignment="1" applyProtection="1">
      <alignment horizontal="center" vertical="center" wrapText="1"/>
    </xf>
    <xf numFmtId="0" fontId="34" fillId="40" borderId="58" xfId="32" applyFont="1" applyFill="1" applyBorder="1" applyAlignment="1" applyProtection="1">
      <alignment horizontal="center" vertical="center" wrapText="1"/>
    </xf>
    <xf numFmtId="0" fontId="34" fillId="40" borderId="71" xfId="32" applyFont="1" applyFill="1" applyBorder="1" applyAlignment="1" applyProtection="1">
      <alignment horizontal="center" vertical="center" wrapText="1"/>
    </xf>
    <xf numFmtId="0" fontId="77" fillId="40" borderId="74" xfId="32" applyFont="1" applyFill="1" applyBorder="1" applyAlignment="1" applyProtection="1">
      <alignment horizontal="center" vertical="center" wrapText="1"/>
    </xf>
    <xf numFmtId="0" fontId="77" fillId="40" borderId="78" xfId="32" applyFont="1" applyFill="1" applyBorder="1" applyAlignment="1" applyProtection="1">
      <alignment horizontal="center" vertical="center" wrapText="1"/>
    </xf>
    <xf numFmtId="0" fontId="37" fillId="30" borderId="0" xfId="0" applyFont="1" applyFill="1" applyAlignment="1"/>
    <xf numFmtId="0" fontId="14" fillId="40" borderId="35" xfId="32" applyFont="1" applyFill="1" applyBorder="1" applyAlignment="1">
      <alignment horizontal="center" vertical="center" wrapText="1"/>
    </xf>
    <xf numFmtId="0" fontId="14" fillId="40" borderId="34" xfId="32" applyFont="1" applyFill="1" applyBorder="1" applyAlignment="1">
      <alignment horizontal="center" vertical="center" wrapText="1"/>
    </xf>
    <xf numFmtId="0" fontId="13" fillId="30" borderId="0" xfId="32" applyFont="1" applyFill="1" applyBorder="1" applyAlignment="1">
      <alignment horizontal="center" vertical="center"/>
    </xf>
    <xf numFmtId="0" fontId="34" fillId="40" borderId="35" xfId="32" applyFont="1" applyFill="1" applyBorder="1" applyAlignment="1">
      <alignment horizontal="left" vertical="center" wrapText="1"/>
    </xf>
    <xf numFmtId="0" fontId="34" fillId="40" borderId="34" xfId="32" applyFont="1" applyFill="1" applyBorder="1" applyAlignment="1">
      <alignment horizontal="left" vertical="center" wrapText="1"/>
    </xf>
    <xf numFmtId="0" fontId="34" fillId="40" borderId="35" xfId="32" applyFont="1" applyFill="1" applyBorder="1" applyAlignment="1">
      <alignment horizontal="center" vertical="center" wrapText="1"/>
    </xf>
    <xf numFmtId="0" fontId="34" fillId="40" borderId="34" xfId="32" applyFont="1" applyFill="1" applyBorder="1" applyAlignment="1">
      <alignment horizontal="center" vertical="center" wrapText="1"/>
    </xf>
    <xf numFmtId="0" fontId="14" fillId="40" borderId="1" xfId="32" applyFont="1" applyFill="1" applyBorder="1" applyAlignment="1">
      <alignment horizontal="center" vertical="center" wrapText="1"/>
    </xf>
    <xf numFmtId="0" fontId="14" fillId="40" borderId="8" xfId="32" applyFont="1" applyFill="1" applyBorder="1" applyAlignment="1">
      <alignment horizontal="center" vertical="center" wrapText="1"/>
    </xf>
    <xf numFmtId="0" fontId="14" fillId="40" borderId="3" xfId="32" applyFont="1" applyFill="1" applyBorder="1" applyAlignment="1">
      <alignment horizontal="center" vertical="center" wrapText="1"/>
    </xf>
    <xf numFmtId="0" fontId="6" fillId="30" borderId="0" xfId="32" applyFont="1" applyFill="1" applyBorder="1" applyAlignment="1">
      <alignment horizontal="center" vertical="center"/>
    </xf>
    <xf numFmtId="3" fontId="34" fillId="40" borderId="40" xfId="32" applyNumberFormat="1" applyFont="1" applyFill="1" applyBorder="1" applyAlignment="1">
      <alignment horizontal="center" vertical="center" wrapText="1"/>
    </xf>
    <xf numFmtId="3" fontId="34" fillId="40" borderId="11" xfId="32" applyNumberFormat="1" applyFont="1" applyFill="1" applyBorder="1" applyAlignment="1">
      <alignment horizontal="center" vertical="center" wrapText="1"/>
    </xf>
    <xf numFmtId="3" fontId="34" fillId="40" borderId="41" xfId="32" applyNumberFormat="1" applyFont="1" applyFill="1" applyBorder="1" applyAlignment="1">
      <alignment horizontal="center" vertical="center" wrapText="1"/>
    </xf>
    <xf numFmtId="0" fontId="34" fillId="40" borderId="1" xfId="32" applyFont="1" applyFill="1" applyBorder="1" applyAlignment="1">
      <alignment horizontal="center" vertical="center" wrapText="1"/>
    </xf>
    <xf numFmtId="0" fontId="34" fillId="40" borderId="8" xfId="32" applyFont="1" applyFill="1" applyBorder="1" applyAlignment="1">
      <alignment horizontal="center" vertical="center" wrapText="1"/>
    </xf>
    <xf numFmtId="0" fontId="34" fillId="40" borderId="3" xfId="32" applyFont="1" applyFill="1" applyBorder="1" applyAlignment="1">
      <alignment horizontal="center" vertical="center" wrapText="1"/>
    </xf>
    <xf numFmtId="0" fontId="14" fillId="30" borderId="20" xfId="32" applyFont="1" applyFill="1" applyBorder="1" applyAlignment="1">
      <alignment horizontal="center"/>
    </xf>
    <xf numFmtId="0" fontId="76" fillId="40" borderId="35" xfId="32" applyFont="1" applyFill="1" applyBorder="1" applyAlignment="1">
      <alignment horizontal="center" vertical="center" textRotation="90" wrapText="1"/>
    </xf>
    <xf numFmtId="0" fontId="76" fillId="40" borderId="34" xfId="32" applyFont="1" applyFill="1" applyBorder="1" applyAlignment="1">
      <alignment horizontal="center" vertical="center" textRotation="90" wrapText="1"/>
    </xf>
    <xf numFmtId="0" fontId="8" fillId="0" borderId="0" xfId="31" applyFont="1" applyAlignment="1">
      <alignment horizontal="center" wrapText="1"/>
    </xf>
    <xf numFmtId="0" fontId="13" fillId="0" borderId="0" xfId="0" applyFont="1" applyFill="1" applyAlignment="1">
      <alignment horizontal="center"/>
    </xf>
    <xf numFmtId="0" fontId="6" fillId="30" borderId="0" xfId="32" applyFont="1" applyFill="1" applyBorder="1" applyAlignment="1">
      <alignment horizontal="right" vertical="center"/>
    </xf>
    <xf numFmtId="0" fontId="34" fillId="40" borderId="49" xfId="31" applyFont="1" applyFill="1" applyBorder="1" applyAlignment="1">
      <alignment horizontal="center" vertical="center" wrapText="1"/>
    </xf>
    <xf numFmtId="0" fontId="34" fillId="40" borderId="31" xfId="31" applyFont="1" applyFill="1" applyBorder="1" applyAlignment="1">
      <alignment horizontal="center" vertical="center" wrapText="1"/>
    </xf>
    <xf numFmtId="0" fontId="34" fillId="40" borderId="50" xfId="31" applyFont="1" applyFill="1" applyBorder="1" applyAlignment="1">
      <alignment horizontal="center" vertical="center" wrapText="1"/>
    </xf>
    <xf numFmtId="0" fontId="34" fillId="40" borderId="44" xfId="31" applyFont="1" applyFill="1" applyBorder="1" applyAlignment="1">
      <alignment horizontal="center" vertical="center" wrapText="1"/>
    </xf>
    <xf numFmtId="0" fontId="34" fillId="40" borderId="75" xfId="31" applyFont="1" applyFill="1" applyBorder="1" applyAlignment="1">
      <alignment horizontal="center" vertical="center"/>
    </xf>
    <xf numFmtId="0" fontId="34" fillId="40" borderId="56" xfId="31" applyFont="1" applyFill="1" applyBorder="1" applyAlignment="1">
      <alignment horizontal="center" vertical="center"/>
    </xf>
    <xf numFmtId="0" fontId="5" fillId="0" borderId="49" xfId="31" applyFont="1" applyFill="1" applyBorder="1" applyAlignment="1">
      <alignment horizontal="center"/>
    </xf>
    <xf numFmtId="0" fontId="5" fillId="0" borderId="52" xfId="31" applyFont="1" applyFill="1" applyBorder="1" applyAlignment="1">
      <alignment horizontal="center"/>
    </xf>
    <xf numFmtId="0" fontId="34" fillId="40" borderId="74" xfId="31" applyFont="1" applyFill="1" applyBorder="1" applyAlignment="1">
      <alignment horizontal="center" vertical="center"/>
    </xf>
    <xf numFmtId="0" fontId="34" fillId="40" borderId="78" xfId="31" applyFont="1" applyFill="1" applyBorder="1" applyAlignment="1">
      <alignment horizontal="center" vertical="center"/>
    </xf>
    <xf numFmtId="0" fontId="34" fillId="40" borderId="75" xfId="49" applyFont="1" applyFill="1" applyBorder="1" applyAlignment="1">
      <alignment horizontal="center" vertical="center"/>
    </xf>
    <xf numFmtId="0" fontId="34" fillId="40" borderId="73" xfId="49" applyFont="1" applyFill="1" applyBorder="1" applyAlignment="1">
      <alignment horizontal="center" vertical="center"/>
    </xf>
    <xf numFmtId="0" fontId="34" fillId="40" borderId="76" xfId="49" applyFont="1" applyFill="1" applyBorder="1" applyAlignment="1">
      <alignment horizontal="center" vertical="center"/>
    </xf>
    <xf numFmtId="0" fontId="14" fillId="40" borderId="0" xfId="31" applyFont="1" applyFill="1" applyBorder="1" applyAlignment="1">
      <alignment horizontal="center" wrapText="1"/>
    </xf>
    <xf numFmtId="0" fontId="14" fillId="40" borderId="20" xfId="31" applyFont="1" applyFill="1" applyBorder="1" applyAlignment="1">
      <alignment horizontal="center" wrapText="1"/>
    </xf>
    <xf numFmtId="0" fontId="34" fillId="40" borderId="72" xfId="49" applyFont="1" applyFill="1" applyBorder="1" applyAlignment="1">
      <alignment horizontal="center" vertical="center"/>
    </xf>
    <xf numFmtId="0" fontId="34" fillId="40" borderId="74" xfId="49" applyFont="1" applyFill="1" applyBorder="1" applyAlignment="1">
      <alignment horizontal="center" vertical="center"/>
    </xf>
    <xf numFmtId="0" fontId="37" fillId="29" borderId="0" xfId="0" applyFont="1" applyFill="1" applyAlignment="1">
      <alignment vertical="center" wrapText="1"/>
    </xf>
    <xf numFmtId="0" fontId="5" fillId="0" borderId="75" xfId="31" applyFont="1" applyFill="1" applyBorder="1" applyAlignment="1">
      <alignment horizontal="center"/>
    </xf>
    <xf numFmtId="0" fontId="14" fillId="29" borderId="0" xfId="0" applyFont="1" applyFill="1" applyAlignment="1">
      <alignment horizontal="left" indent="1"/>
    </xf>
    <xf numFmtId="0" fontId="34" fillId="40" borderId="36" xfId="31" applyFont="1" applyFill="1" applyBorder="1" applyAlignment="1">
      <alignment horizontal="center" vertical="center" wrapText="1"/>
    </xf>
    <xf numFmtId="0" fontId="34" fillId="40" borderId="42" xfId="31" applyFont="1" applyFill="1" applyBorder="1" applyAlignment="1">
      <alignment horizontal="center" vertical="center" wrapText="1"/>
    </xf>
    <xf numFmtId="0" fontId="34" fillId="40" borderId="45" xfId="31" applyFont="1" applyFill="1" applyBorder="1" applyAlignment="1">
      <alignment horizontal="center" vertical="center" wrapText="1"/>
    </xf>
    <xf numFmtId="0" fontId="34" fillId="40" borderId="58" xfId="31" applyFont="1" applyFill="1" applyBorder="1" applyAlignment="1">
      <alignment horizontal="center" vertical="center" wrapText="1"/>
    </xf>
    <xf numFmtId="0" fontId="34" fillId="40" borderId="46" xfId="31" applyFont="1" applyFill="1" applyBorder="1" applyAlignment="1">
      <alignment horizontal="center" vertical="center" wrapText="1"/>
    </xf>
    <xf numFmtId="0" fontId="34" fillId="40" borderId="35" xfId="31" applyFont="1" applyFill="1" applyBorder="1" applyAlignment="1">
      <alignment horizontal="center" vertical="center" wrapText="1"/>
    </xf>
    <xf numFmtId="0" fontId="34" fillId="40" borderId="34" xfId="31" applyFont="1" applyFill="1" applyBorder="1" applyAlignment="1">
      <alignment horizontal="center" vertical="center" wrapText="1"/>
    </xf>
    <xf numFmtId="0" fontId="37" fillId="29" borderId="0" xfId="0" applyFont="1" applyFill="1" applyAlignment="1">
      <alignment vertical="center"/>
    </xf>
    <xf numFmtId="0" fontId="34" fillId="40" borderId="13" xfId="31" applyFont="1" applyFill="1" applyBorder="1" applyAlignment="1">
      <alignment horizontal="center" vertical="center" wrapText="1"/>
    </xf>
    <xf numFmtId="0" fontId="34" fillId="40" borderId="4" xfId="31" applyFont="1" applyFill="1" applyBorder="1" applyAlignment="1">
      <alignment horizontal="center" vertical="center" wrapText="1"/>
    </xf>
    <xf numFmtId="0" fontId="34" fillId="40" borderId="68" xfId="31" applyFont="1" applyFill="1" applyBorder="1" applyAlignment="1">
      <alignment horizontal="center" vertical="center" wrapText="1"/>
    </xf>
    <xf numFmtId="0" fontId="37" fillId="30" borderId="0" xfId="49" applyFont="1" applyFill="1" applyAlignment="1">
      <alignment horizontal="left" vertical="center" wrapText="1"/>
    </xf>
    <xf numFmtId="0" fontId="37" fillId="30" borderId="0" xfId="49" applyFont="1" applyFill="1" applyAlignment="1">
      <alignment wrapText="1"/>
    </xf>
    <xf numFmtId="0" fontId="37" fillId="29" borderId="0" xfId="49" applyFont="1" applyFill="1" applyAlignment="1">
      <alignment wrapText="1"/>
    </xf>
    <xf numFmtId="0" fontId="37" fillId="30" borderId="0" xfId="49" applyFont="1" applyFill="1" applyAlignment="1">
      <alignment horizontal="left" wrapText="1"/>
    </xf>
    <xf numFmtId="0" fontId="135" fillId="30" borderId="90" xfId="49" applyFont="1" applyFill="1" applyBorder="1" applyAlignment="1">
      <alignment horizontal="center" wrapText="1"/>
    </xf>
    <xf numFmtId="0" fontId="136" fillId="0" borderId="91" xfId="0" applyFont="1" applyBorder="1" applyAlignment="1">
      <alignment horizontal="center" wrapText="1"/>
    </xf>
    <xf numFmtId="0" fontId="44" fillId="30" borderId="0" xfId="49" applyFont="1" applyFill="1" applyAlignment="1">
      <alignment horizontal="left" wrapText="1"/>
    </xf>
    <xf numFmtId="0" fontId="13" fillId="30" borderId="0" xfId="49" applyFont="1" applyFill="1" applyBorder="1" applyAlignment="1">
      <alignment horizontal="center" vertical="center" wrapText="1"/>
    </xf>
    <xf numFmtId="0" fontId="8" fillId="30" borderId="0" xfId="49" applyFont="1" applyFill="1" applyAlignment="1">
      <alignment horizontal="center" wrapText="1"/>
    </xf>
    <xf numFmtId="0" fontId="34" fillId="40" borderId="40" xfId="49" applyFont="1" applyFill="1" applyBorder="1" applyAlignment="1">
      <alignment horizontal="center" vertical="center" wrapText="1"/>
    </xf>
    <xf numFmtId="0" fontId="34" fillId="40" borderId="42" xfId="49" applyFont="1" applyFill="1" applyBorder="1" applyAlignment="1">
      <alignment horizontal="center" vertical="center" wrapText="1"/>
    </xf>
    <xf numFmtId="0" fontId="34" fillId="40" borderId="11" xfId="49" applyFont="1" applyFill="1" applyBorder="1" applyAlignment="1">
      <alignment horizontal="center" vertical="center" wrapText="1"/>
    </xf>
    <xf numFmtId="0" fontId="34" fillId="40" borderId="41" xfId="49" applyFont="1" applyFill="1" applyBorder="1" applyAlignment="1">
      <alignment horizontal="center" vertical="center" wrapText="1"/>
    </xf>
    <xf numFmtId="0" fontId="34" fillId="40" borderId="35" xfId="49" applyFont="1" applyFill="1" applyBorder="1" applyAlignment="1">
      <alignment horizontal="center" vertical="center" wrapText="1"/>
    </xf>
    <xf numFmtId="0" fontId="34" fillId="40" borderId="34" xfId="49" applyFont="1" applyFill="1" applyBorder="1" applyAlignment="1">
      <alignment horizontal="center" vertical="center" wrapText="1"/>
    </xf>
    <xf numFmtId="0" fontId="13" fillId="30" borderId="0" xfId="49" applyFont="1" applyFill="1" applyBorder="1" applyAlignment="1">
      <alignment horizontal="center" vertical="center"/>
    </xf>
    <xf numFmtId="0" fontId="104" fillId="30" borderId="90" xfId="49" applyFont="1" applyFill="1" applyBorder="1" applyAlignment="1">
      <alignment horizontal="center" wrapText="1"/>
    </xf>
    <xf numFmtId="0" fontId="0" fillId="0" borderId="91" xfId="0" applyBorder="1" applyAlignment="1">
      <alignment horizontal="center"/>
    </xf>
    <xf numFmtId="0" fontId="34" fillId="40" borderId="40" xfId="49" applyFont="1" applyFill="1" applyBorder="1" applyAlignment="1">
      <alignment horizontal="center" vertical="center"/>
    </xf>
    <xf numFmtId="0" fontId="34" fillId="40" borderId="42" xfId="49" applyFont="1" applyFill="1" applyBorder="1" applyAlignment="1">
      <alignment horizontal="center" vertical="center"/>
    </xf>
    <xf numFmtId="0" fontId="34" fillId="40" borderId="11" xfId="49" applyFont="1" applyFill="1" applyBorder="1" applyAlignment="1">
      <alignment horizontal="center" vertical="center"/>
    </xf>
    <xf numFmtId="0" fontId="34" fillId="40" borderId="41" xfId="49" applyFont="1" applyFill="1" applyBorder="1" applyAlignment="1">
      <alignment horizontal="center" vertical="center"/>
    </xf>
    <xf numFmtId="0" fontId="14" fillId="40" borderId="1" xfId="49" applyFont="1" applyFill="1" applyBorder="1" applyAlignment="1">
      <alignment horizontal="center" vertical="center"/>
    </xf>
    <xf numFmtId="0" fontId="14" fillId="40" borderId="8" xfId="49" applyFont="1" applyFill="1" applyBorder="1" applyAlignment="1">
      <alignment horizontal="center" vertical="center"/>
    </xf>
    <xf numFmtId="0" fontId="14" fillId="40" borderId="3" xfId="49" applyFont="1" applyFill="1" applyBorder="1" applyAlignment="1">
      <alignment horizontal="center" vertical="center"/>
    </xf>
    <xf numFmtId="0" fontId="14" fillId="40" borderId="40" xfId="49" applyFont="1" applyFill="1" applyBorder="1" applyAlignment="1">
      <alignment horizontal="center" vertical="center"/>
    </xf>
    <xf numFmtId="0" fontId="14" fillId="40" borderId="42" xfId="49" applyFont="1" applyFill="1" applyBorder="1" applyAlignment="1">
      <alignment horizontal="center" vertical="center"/>
    </xf>
    <xf numFmtId="0" fontId="14" fillId="30" borderId="0" xfId="49" applyFont="1" applyFill="1" applyAlignment="1">
      <alignment horizontal="left" indent="1"/>
    </xf>
    <xf numFmtId="0" fontId="37" fillId="30" borderId="0" xfId="49" applyFont="1" applyFill="1" applyAlignment="1">
      <alignment horizontal="left"/>
    </xf>
    <xf numFmtId="0" fontId="14" fillId="40" borderId="11" xfId="49" applyFont="1" applyFill="1" applyBorder="1" applyAlignment="1">
      <alignment horizontal="center" vertical="center"/>
    </xf>
    <xf numFmtId="0" fontId="14" fillId="40" borderId="41" xfId="49" applyFont="1" applyFill="1" applyBorder="1" applyAlignment="1">
      <alignment horizontal="center" vertical="center"/>
    </xf>
    <xf numFmtId="0" fontId="37" fillId="0" borderId="0" xfId="49" applyFont="1" applyFill="1" applyAlignment="1">
      <alignment horizontal="left" wrapText="1"/>
    </xf>
    <xf numFmtId="0" fontId="37" fillId="0" borderId="0" xfId="49" applyFont="1" applyFill="1" applyAlignment="1">
      <alignment horizontal="left"/>
    </xf>
    <xf numFmtId="0" fontId="21" fillId="0" borderId="0" xfId="0" applyFont="1" applyFill="1" applyAlignment="1">
      <alignment horizontal="left"/>
    </xf>
    <xf numFmtId="0" fontId="46" fillId="30" borderId="0" xfId="49" applyFont="1" applyFill="1" applyBorder="1" applyAlignment="1" applyProtection="1">
      <alignment horizontal="left" wrapText="1"/>
    </xf>
    <xf numFmtId="0" fontId="34" fillId="26" borderId="1" xfId="49" applyFont="1" applyFill="1" applyBorder="1" applyAlignment="1" applyProtection="1">
      <alignment horizontal="center" vertical="center" wrapText="1"/>
    </xf>
    <xf numFmtId="0" fontId="34" fillId="26" borderId="3" xfId="49" applyFont="1" applyFill="1" applyBorder="1" applyAlignment="1" applyProtection="1">
      <alignment horizontal="center" vertical="center" wrapText="1"/>
    </xf>
    <xf numFmtId="2" fontId="34" fillId="40" borderId="75" xfId="49" applyNumberFormat="1" applyFont="1" applyFill="1" applyBorder="1" applyAlignment="1" applyProtection="1">
      <alignment horizontal="center" vertical="center" wrapText="1"/>
    </xf>
    <xf numFmtId="2" fontId="34" fillId="40" borderId="73" xfId="49" applyNumberFormat="1" applyFont="1" applyFill="1" applyBorder="1" applyAlignment="1" applyProtection="1">
      <alignment horizontal="center" vertical="center" wrapText="1"/>
    </xf>
    <xf numFmtId="2" fontId="34" fillId="40" borderId="76" xfId="49" applyNumberFormat="1" applyFont="1" applyFill="1" applyBorder="1" applyAlignment="1" applyProtection="1">
      <alignment horizontal="center" vertical="center" wrapText="1"/>
    </xf>
    <xf numFmtId="0" fontId="34" fillId="40" borderId="72" xfId="49" applyFont="1" applyFill="1" applyBorder="1" applyAlignment="1" applyProtection="1">
      <alignment horizontal="center" vertical="center" wrapText="1"/>
    </xf>
    <xf numFmtId="0" fontId="34" fillId="40" borderId="73" xfId="49" applyFont="1" applyFill="1" applyBorder="1" applyAlignment="1" applyProtection="1">
      <alignment horizontal="center" vertical="center" wrapText="1"/>
    </xf>
    <xf numFmtId="0" fontId="34" fillId="40" borderId="76" xfId="49" applyFont="1" applyFill="1" applyBorder="1" applyAlignment="1" applyProtection="1">
      <alignment horizontal="center" vertical="center" wrapText="1"/>
    </xf>
    <xf numFmtId="0" fontId="34" fillId="40" borderId="75" xfId="49" applyFont="1" applyFill="1" applyBorder="1" applyAlignment="1" applyProtection="1">
      <alignment horizontal="center" vertical="center" wrapText="1"/>
    </xf>
    <xf numFmtId="0" fontId="34" fillId="40" borderId="35" xfId="49" applyFont="1" applyFill="1" applyBorder="1" applyAlignment="1" applyProtection="1">
      <alignment horizontal="center" vertical="center"/>
    </xf>
    <xf numFmtId="0" fontId="34" fillId="40" borderId="34" xfId="49" applyFont="1" applyFill="1" applyBorder="1" applyAlignment="1" applyProtection="1">
      <alignment horizontal="center" vertical="center"/>
    </xf>
    <xf numFmtId="0" fontId="35" fillId="40" borderId="52" xfId="49" applyFont="1" applyFill="1" applyBorder="1" applyProtection="1"/>
    <xf numFmtId="0" fontId="35" fillId="40" borderId="56" xfId="49" applyFont="1" applyFill="1" applyBorder="1" applyProtection="1"/>
    <xf numFmtId="0" fontId="35" fillId="40" borderId="62" xfId="49" applyFont="1" applyFill="1" applyBorder="1" applyProtection="1"/>
    <xf numFmtId="0" fontId="35" fillId="40" borderId="78" xfId="49" applyFont="1" applyFill="1" applyBorder="1" applyProtection="1"/>
    <xf numFmtId="0" fontId="34" fillId="40" borderId="40" xfId="49" applyFont="1" applyFill="1" applyBorder="1" applyAlignment="1" applyProtection="1">
      <alignment horizontal="center" vertical="center" wrapText="1"/>
    </xf>
    <xf numFmtId="0" fontId="34" fillId="40" borderId="11" xfId="49" applyFont="1" applyFill="1" applyBorder="1" applyAlignment="1" applyProtection="1">
      <alignment horizontal="center" vertical="center" wrapText="1"/>
    </xf>
    <xf numFmtId="0" fontId="34" fillId="40" borderId="41" xfId="49" applyFont="1" applyFill="1" applyBorder="1" applyAlignment="1" applyProtection="1">
      <alignment horizontal="center" vertical="center" wrapText="1"/>
    </xf>
    <xf numFmtId="0" fontId="34" fillId="40" borderId="42" xfId="49" applyFont="1" applyFill="1" applyBorder="1" applyAlignment="1" applyProtection="1">
      <alignment horizontal="center" vertical="center" wrapText="1"/>
    </xf>
    <xf numFmtId="0" fontId="34" fillId="40" borderId="20" xfId="49" applyFont="1" applyFill="1" applyBorder="1" applyAlignment="1" applyProtection="1">
      <alignment horizontal="center" vertical="center" wrapText="1"/>
    </xf>
    <xf numFmtId="0" fontId="34" fillId="40" borderId="43" xfId="49" applyFont="1" applyFill="1" applyBorder="1" applyAlignment="1" applyProtection="1">
      <alignment horizontal="center" vertical="center" wrapText="1"/>
    </xf>
    <xf numFmtId="2" fontId="34" fillId="40" borderId="1" xfId="49" applyNumberFormat="1" applyFont="1" applyFill="1" applyBorder="1" applyAlignment="1" applyProtection="1">
      <alignment horizontal="center" vertical="center" wrapText="1"/>
    </xf>
    <xf numFmtId="2" fontId="34" fillId="40" borderId="8" xfId="49" applyNumberFormat="1" applyFont="1" applyFill="1" applyBorder="1" applyAlignment="1" applyProtection="1">
      <alignment horizontal="center" vertical="center" wrapText="1"/>
    </xf>
    <xf numFmtId="2" fontId="34" fillId="40" borderId="3" xfId="49" applyNumberFormat="1" applyFont="1" applyFill="1" applyBorder="1" applyAlignment="1" applyProtection="1">
      <alignment horizontal="center" vertical="center" wrapText="1"/>
    </xf>
    <xf numFmtId="0" fontId="34" fillId="40" borderId="1" xfId="49" applyFont="1" applyFill="1" applyBorder="1" applyAlignment="1" applyProtection="1">
      <alignment horizontal="center" vertical="center" wrapText="1"/>
    </xf>
    <xf numFmtId="0" fontId="34" fillId="40" borderId="8" xfId="49" applyFont="1" applyFill="1" applyBorder="1" applyAlignment="1" applyProtection="1">
      <alignment horizontal="center" vertical="center" wrapText="1"/>
    </xf>
    <xf numFmtId="0" fontId="34" fillId="40" borderId="3" xfId="49" applyFont="1" applyFill="1" applyBorder="1" applyAlignment="1" applyProtection="1">
      <alignment horizontal="center" vertical="center" wrapText="1"/>
    </xf>
    <xf numFmtId="0" fontId="8" fillId="30" borderId="0" xfId="49" applyFont="1" applyFill="1" applyAlignment="1" applyProtection="1">
      <alignment horizontal="center" wrapText="1"/>
    </xf>
    <xf numFmtId="0" fontId="13" fillId="30" borderId="0" xfId="49" applyFont="1" applyFill="1" applyBorder="1" applyAlignment="1">
      <alignment horizontal="center"/>
    </xf>
    <xf numFmtId="2" fontId="34" fillId="40" borderId="29" xfId="49" applyNumberFormat="1" applyFont="1" applyFill="1" applyBorder="1" applyAlignment="1" applyProtection="1">
      <alignment horizontal="center" vertical="center" wrapText="1"/>
    </xf>
    <xf numFmtId="2" fontId="34" fillId="40" borderId="14" xfId="49" applyNumberFormat="1" applyFont="1" applyFill="1" applyBorder="1" applyAlignment="1" applyProtection="1">
      <alignment horizontal="center" vertical="center" wrapText="1"/>
    </xf>
    <xf numFmtId="2" fontId="34" fillId="40" borderId="45" xfId="49" applyNumberFormat="1" applyFont="1" applyFill="1" applyBorder="1" applyAlignment="1" applyProtection="1">
      <alignment horizontal="center" vertical="center" wrapText="1"/>
    </xf>
    <xf numFmtId="2" fontId="34" fillId="40" borderId="58" xfId="49" applyNumberFormat="1" applyFont="1" applyFill="1" applyBorder="1" applyAlignment="1" applyProtection="1">
      <alignment horizontal="center" vertical="center" wrapText="1"/>
    </xf>
    <xf numFmtId="2" fontId="34" fillId="40" borderId="46" xfId="49" applyNumberFormat="1" applyFont="1" applyFill="1" applyBorder="1" applyAlignment="1" applyProtection="1">
      <alignment horizontal="center" vertical="center" wrapText="1"/>
    </xf>
    <xf numFmtId="0" fontId="12" fillId="29" borderId="1" xfId="49" applyFont="1" applyFill="1" applyBorder="1" applyAlignment="1" applyProtection="1">
      <alignment horizontal="center" wrapText="1"/>
    </xf>
    <xf numFmtId="0" fontId="12" fillId="29" borderId="3" xfId="49" applyFont="1" applyFill="1" applyBorder="1" applyAlignment="1" applyProtection="1">
      <alignment horizontal="center" wrapText="1"/>
    </xf>
    <xf numFmtId="0" fontId="12" fillId="40" borderId="40" xfId="49" applyFont="1" applyFill="1" applyBorder="1" applyAlignment="1" applyProtection="1">
      <alignment horizontal="center" vertical="center" wrapText="1"/>
    </xf>
    <xf numFmtId="0" fontId="12" fillId="40" borderId="41" xfId="49" applyFont="1" applyFill="1" applyBorder="1" applyAlignment="1" applyProtection="1">
      <alignment horizontal="center" vertical="center" wrapText="1"/>
    </xf>
    <xf numFmtId="0" fontId="12" fillId="40" borderId="27" xfId="49" applyFont="1" applyFill="1" applyBorder="1" applyAlignment="1" applyProtection="1">
      <alignment horizontal="center" vertical="center" wrapText="1"/>
    </xf>
    <xf numFmtId="0" fontId="12" fillId="40" borderId="16" xfId="49" applyFont="1" applyFill="1" applyBorder="1" applyAlignment="1" applyProtection="1">
      <alignment horizontal="center" vertical="center" wrapText="1"/>
    </xf>
    <xf numFmtId="0" fontId="12" fillId="40" borderId="42" xfId="49" applyFont="1" applyFill="1" applyBorder="1" applyAlignment="1" applyProtection="1">
      <alignment horizontal="center" vertical="center" wrapText="1"/>
    </xf>
    <xf numFmtId="0" fontId="12" fillId="40" borderId="43" xfId="49" applyFont="1" applyFill="1" applyBorder="1" applyAlignment="1" applyProtection="1">
      <alignment horizontal="center" vertical="center" wrapText="1"/>
    </xf>
    <xf numFmtId="2" fontId="34" fillId="40" borderId="22" xfId="49" applyNumberFormat="1" applyFont="1" applyFill="1" applyBorder="1" applyAlignment="1" applyProtection="1">
      <alignment horizontal="center" vertical="center" wrapText="1"/>
    </xf>
    <xf numFmtId="0" fontId="29" fillId="30" borderId="0" xfId="49" applyFont="1" applyFill="1" applyAlignment="1">
      <alignment horizontal="left" vertical="top" wrapText="1"/>
    </xf>
    <xf numFmtId="0" fontId="29" fillId="30" borderId="0" xfId="49" applyFont="1" applyFill="1" applyAlignment="1">
      <alignment horizontal="left"/>
    </xf>
    <xf numFmtId="0" fontId="29" fillId="30" borderId="0" xfId="49" applyFont="1" applyFill="1" applyAlignment="1">
      <alignment horizontal="left" vertical="top"/>
    </xf>
    <xf numFmtId="174" fontId="34" fillId="26" borderId="1" xfId="49" applyNumberFormat="1" applyFont="1" applyFill="1" applyBorder="1" applyAlignment="1" applyProtection="1">
      <alignment horizontal="center" vertical="center" wrapText="1"/>
    </xf>
    <xf numFmtId="174" fontId="34" fillId="26" borderId="3" xfId="49" applyNumberFormat="1" applyFont="1" applyFill="1" applyBorder="1" applyAlignment="1" applyProtection="1">
      <alignment horizontal="center" vertical="center" wrapText="1"/>
    </xf>
    <xf numFmtId="170" fontId="34" fillId="40" borderId="75" xfId="49" applyNumberFormat="1" applyFont="1" applyFill="1" applyBorder="1" applyAlignment="1" applyProtection="1">
      <alignment horizontal="center"/>
    </xf>
    <xf numFmtId="170" fontId="34" fillId="40" borderId="76" xfId="49" applyNumberFormat="1" applyFont="1" applyFill="1" applyBorder="1" applyAlignment="1" applyProtection="1">
      <alignment horizontal="center"/>
    </xf>
    <xf numFmtId="170" fontId="34" fillId="40" borderId="72" xfId="49" applyNumberFormat="1" applyFont="1" applyFill="1" applyBorder="1" applyAlignment="1" applyProtection="1">
      <alignment horizontal="center"/>
    </xf>
    <xf numFmtId="170" fontId="34" fillId="40" borderId="74" xfId="49" applyNumberFormat="1" applyFont="1" applyFill="1" applyBorder="1" applyAlignment="1" applyProtection="1">
      <alignment horizontal="center"/>
    </xf>
    <xf numFmtId="0" fontId="117" fillId="40" borderId="76" xfId="49" applyFont="1" applyFill="1" applyBorder="1" applyAlignment="1">
      <alignment horizontal="center"/>
    </xf>
    <xf numFmtId="0" fontId="34" fillId="40" borderId="62" xfId="49" applyFont="1" applyFill="1" applyBorder="1" applyAlignment="1" applyProtection="1">
      <alignment horizontal="center" vertical="center" wrapText="1"/>
    </xf>
    <xf numFmtId="0" fontId="34" fillId="40" borderId="78" xfId="49" applyFont="1" applyFill="1" applyBorder="1" applyAlignment="1" applyProtection="1">
      <alignment horizontal="center" vertical="center" wrapText="1"/>
    </xf>
    <xf numFmtId="0" fontId="34" fillId="40" borderId="52" xfId="49" applyFont="1" applyFill="1" applyBorder="1" applyAlignment="1" applyProtection="1">
      <alignment horizontal="center" vertical="center" wrapText="1"/>
    </xf>
    <xf numFmtId="0" fontId="34" fillId="40" borderId="56" xfId="49" applyFont="1" applyFill="1" applyBorder="1" applyAlignment="1" applyProtection="1">
      <alignment horizontal="center" vertical="center" wrapText="1"/>
    </xf>
    <xf numFmtId="0" fontId="117" fillId="40" borderId="74" xfId="49" applyFont="1" applyFill="1" applyBorder="1" applyAlignment="1">
      <alignment horizontal="center"/>
    </xf>
    <xf numFmtId="0" fontId="96" fillId="30" borderId="0" xfId="49" applyFont="1" applyFill="1" applyAlignment="1" applyProtection="1">
      <alignment horizontal="center" wrapText="1"/>
    </xf>
    <xf numFmtId="0" fontId="96" fillId="30" borderId="0" xfId="49" applyFont="1" applyFill="1" applyBorder="1" applyAlignment="1">
      <alignment horizontal="center"/>
    </xf>
    <xf numFmtId="0" fontId="13" fillId="0" borderId="0" xfId="0" applyFont="1" applyFill="1" applyBorder="1" applyAlignment="1">
      <alignment horizontal="center"/>
    </xf>
    <xf numFmtId="0" fontId="8" fillId="0" borderId="0" xfId="0" applyFont="1" applyBorder="1" applyAlignment="1">
      <alignment horizontal="center" wrapText="1"/>
    </xf>
    <xf numFmtId="0" fontId="14" fillId="0" borderId="0" xfId="0" applyFont="1" applyAlignment="1">
      <alignment horizontal="left" indent="1"/>
    </xf>
    <xf numFmtId="0" fontId="37" fillId="0" borderId="0" xfId="0" applyFont="1" applyAlignment="1">
      <alignment horizontal="left" indent="1"/>
    </xf>
    <xf numFmtId="0" fontId="37" fillId="29" borderId="0" xfId="0" applyFont="1" applyFill="1" applyAlignment="1">
      <alignment horizontal="left" indent="1"/>
    </xf>
    <xf numFmtId="0" fontId="37" fillId="29" borderId="0" xfId="0" applyFont="1" applyFill="1" applyAlignment="1">
      <alignment horizontal="left"/>
    </xf>
    <xf numFmtId="0" fontId="14" fillId="30" borderId="0" xfId="0" applyFont="1" applyFill="1" applyAlignment="1">
      <alignment horizontal="left" indent="1"/>
    </xf>
    <xf numFmtId="0" fontId="37" fillId="30" borderId="0" xfId="0" applyFont="1" applyFill="1" applyAlignment="1">
      <alignment horizontal="left"/>
    </xf>
    <xf numFmtId="0" fontId="37" fillId="0" borderId="0" xfId="0" applyFont="1" applyFill="1" applyAlignment="1"/>
    <xf numFmtId="0" fontId="37" fillId="30" borderId="0" xfId="0" applyFont="1" applyFill="1" applyAlignment="1">
      <alignment horizontal="left" indent="1"/>
    </xf>
    <xf numFmtId="0" fontId="37" fillId="30" borderId="0" xfId="0" applyFont="1" applyFill="1" applyAlignment="1">
      <alignment horizontal="right" indent="1"/>
    </xf>
    <xf numFmtId="0" fontId="37" fillId="30" borderId="0" xfId="0" applyFont="1" applyFill="1" applyAlignment="1">
      <alignment horizontal="left" wrapText="1"/>
    </xf>
    <xf numFmtId="0" fontId="14" fillId="40" borderId="40" xfId="0" applyFont="1" applyFill="1" applyBorder="1" applyAlignment="1">
      <alignment horizontal="center" vertical="center"/>
    </xf>
    <xf numFmtId="0" fontId="14" fillId="40" borderId="11" xfId="0" applyFont="1" applyFill="1" applyBorder="1" applyAlignment="1">
      <alignment horizontal="center" vertical="center"/>
    </xf>
    <xf numFmtId="0" fontId="14" fillId="40" borderId="41" xfId="0" applyFont="1" applyFill="1" applyBorder="1" applyAlignment="1">
      <alignment horizontal="center" vertical="center"/>
    </xf>
    <xf numFmtId="0" fontId="41" fillId="40" borderId="45" xfId="0" applyFont="1" applyFill="1" applyBorder="1" applyAlignment="1" applyProtection="1">
      <alignment horizontal="center" vertical="center" wrapText="1"/>
    </xf>
    <xf numFmtId="0" fontId="41" fillId="40" borderId="47" xfId="0" applyFont="1" applyFill="1" applyBorder="1" applyAlignment="1" applyProtection="1">
      <alignment horizontal="center" vertical="center" wrapText="1"/>
    </xf>
    <xf numFmtId="0" fontId="41" fillId="40" borderId="46" xfId="0" applyFont="1" applyFill="1" applyBorder="1" applyAlignment="1">
      <alignment horizontal="center" vertical="center"/>
    </xf>
    <xf numFmtId="0" fontId="41" fillId="40" borderId="48" xfId="0" applyFont="1" applyFill="1" applyBorder="1" applyAlignment="1">
      <alignment horizontal="center" vertical="center"/>
    </xf>
    <xf numFmtId="0" fontId="41" fillId="40" borderId="40" xfId="0" applyFont="1" applyFill="1" applyBorder="1" applyAlignment="1" applyProtection="1">
      <alignment horizontal="center" vertical="center" wrapText="1"/>
    </xf>
    <xf numFmtId="0" fontId="41" fillId="40" borderId="42" xfId="0" applyFont="1" applyFill="1" applyBorder="1" applyAlignment="1" applyProtection="1">
      <alignment horizontal="center" vertical="center" wrapText="1"/>
    </xf>
    <xf numFmtId="0" fontId="8" fillId="0" borderId="0" xfId="0" applyFont="1" applyAlignment="1">
      <alignment horizontal="center"/>
    </xf>
    <xf numFmtId="0" fontId="12" fillId="0" borderId="0" xfId="0" applyNumberFormat="1" applyFont="1" applyFill="1" applyAlignment="1">
      <alignment horizontal="center"/>
    </xf>
    <xf numFmtId="0" fontId="41" fillId="40" borderId="75" xfId="0" applyFont="1" applyFill="1" applyBorder="1" applyAlignment="1">
      <alignment horizontal="center" vertical="center"/>
    </xf>
    <xf numFmtId="0" fontId="41" fillId="40" borderId="73" xfId="0" applyFont="1" applyFill="1" applyBorder="1" applyAlignment="1">
      <alignment horizontal="center" vertical="center"/>
    </xf>
    <xf numFmtId="0" fontId="41" fillId="40" borderId="76" xfId="0" applyFont="1" applyFill="1" applyBorder="1" applyAlignment="1">
      <alignment horizontal="center" vertical="center"/>
    </xf>
    <xf numFmtId="0" fontId="13" fillId="0" borderId="0" xfId="0" applyFont="1" applyAlignment="1">
      <alignment horizontal="center"/>
    </xf>
    <xf numFmtId="0" fontId="41" fillId="40" borderId="35" xfId="0" applyFont="1" applyFill="1" applyBorder="1" applyAlignment="1" applyProtection="1">
      <alignment horizontal="center" vertical="center" wrapText="1"/>
    </xf>
    <xf numFmtId="0" fontId="41" fillId="40" borderId="26" xfId="0" applyFont="1" applyFill="1" applyBorder="1" applyAlignment="1" applyProtection="1">
      <alignment horizontal="center" vertical="center" wrapText="1"/>
    </xf>
    <xf numFmtId="0" fontId="34" fillId="40" borderId="75" xfId="0" applyFont="1" applyFill="1" applyBorder="1" applyAlignment="1">
      <alignment horizontal="center" vertical="center"/>
    </xf>
    <xf numFmtId="0" fontId="34" fillId="40" borderId="54" xfId="0" applyFont="1" applyFill="1" applyBorder="1" applyAlignment="1">
      <alignment horizontal="center" vertical="center"/>
    </xf>
    <xf numFmtId="0" fontId="34" fillId="40" borderId="73" xfId="0" applyFont="1" applyFill="1" applyBorder="1" applyAlignment="1">
      <alignment horizontal="center" vertical="center"/>
    </xf>
    <xf numFmtId="0" fontId="34" fillId="40" borderId="63" xfId="0" applyFont="1" applyFill="1" applyBorder="1" applyAlignment="1">
      <alignment horizontal="center" vertical="center"/>
    </xf>
    <xf numFmtId="0" fontId="79" fillId="0" borderId="0" xfId="32" applyFont="1" applyFill="1" applyAlignment="1" applyProtection="1">
      <alignment horizontal="center" vertical="center"/>
    </xf>
    <xf numFmtId="0" fontId="79" fillId="0" borderId="0" xfId="32" applyFont="1" applyAlignment="1" applyProtection="1">
      <alignment horizontal="center" vertical="center"/>
    </xf>
    <xf numFmtId="0" fontId="86" fillId="0" borderId="0" xfId="32" applyNumberFormat="1" applyFont="1" applyFill="1" applyAlignment="1" applyProtection="1">
      <alignment horizontal="center" wrapText="1"/>
    </xf>
    <xf numFmtId="1" fontId="41" fillId="42" borderId="45" xfId="21" applyFont="1" applyFill="1" applyBorder="1" applyAlignment="1">
      <alignment horizontal="center" vertical="center" wrapText="1"/>
    </xf>
    <xf numFmtId="1" fontId="41" fillId="42" borderId="66" xfId="21" applyFont="1" applyFill="1" applyBorder="1" applyAlignment="1">
      <alignment horizontal="center" vertical="center" wrapText="1"/>
    </xf>
    <xf numFmtId="1" fontId="41" fillId="42" borderId="47" xfId="21" applyFont="1" applyFill="1" applyBorder="1" applyAlignment="1">
      <alignment horizontal="center" vertical="center" wrapText="1"/>
    </xf>
    <xf numFmtId="1" fontId="41" fillId="42" borderId="41" xfId="21" applyFont="1" applyFill="1" applyBorder="1" applyAlignment="1">
      <alignment horizontal="center" vertical="center" wrapText="1"/>
    </xf>
    <xf numFmtId="1" fontId="41" fillId="42" borderId="0" xfId="21" applyFont="1" applyFill="1" applyBorder="1" applyAlignment="1">
      <alignment horizontal="center" vertical="center" wrapText="1"/>
    </xf>
    <xf numFmtId="1" fontId="41" fillId="42" borderId="20" xfId="21" applyFont="1" applyFill="1" applyBorder="1" applyAlignment="1">
      <alignment horizontal="center" vertical="center" wrapText="1"/>
    </xf>
    <xf numFmtId="0" fontId="41" fillId="40" borderId="40" xfId="32" applyFont="1" applyFill="1" applyBorder="1" applyAlignment="1">
      <alignment horizontal="center" vertical="center"/>
    </xf>
    <xf numFmtId="0" fontId="41" fillId="40" borderId="11" xfId="32" applyFont="1" applyFill="1" applyBorder="1" applyAlignment="1">
      <alignment horizontal="center" vertical="center"/>
    </xf>
    <xf numFmtId="0" fontId="41" fillId="40" borderId="41" xfId="32" applyFont="1" applyFill="1" applyBorder="1" applyAlignment="1">
      <alignment horizontal="center" vertical="center"/>
    </xf>
    <xf numFmtId="0" fontId="41" fillId="40" borderId="75" xfId="32" applyFont="1" applyFill="1" applyBorder="1" applyAlignment="1">
      <alignment horizontal="center" vertical="center"/>
    </xf>
    <xf numFmtId="0" fontId="41" fillId="40" borderId="73" xfId="32" applyFont="1" applyFill="1" applyBorder="1" applyAlignment="1">
      <alignment horizontal="center" vertical="center"/>
    </xf>
    <xf numFmtId="0" fontId="41" fillId="40" borderId="76" xfId="32" applyFont="1" applyFill="1" applyBorder="1" applyAlignment="1">
      <alignment horizontal="center" vertical="center"/>
    </xf>
    <xf numFmtId="0" fontId="8" fillId="0" borderId="0" xfId="0" applyFont="1" applyAlignment="1" applyProtection="1">
      <alignment horizontal="center" vertical="center"/>
    </xf>
    <xf numFmtId="0" fontId="8" fillId="21" borderId="0" xfId="0" applyFont="1" applyFill="1" applyAlignment="1" applyProtection="1">
      <alignment horizontal="center" vertical="center"/>
    </xf>
    <xf numFmtId="0" fontId="56" fillId="0" borderId="0" xfId="0" applyNumberFormat="1" applyFont="1" applyFill="1" applyAlignment="1" applyProtection="1">
      <alignment horizontal="center" wrapText="1"/>
    </xf>
    <xf numFmtId="0" fontId="37" fillId="30" borderId="0" xfId="0" applyFont="1" applyFill="1" applyAlignment="1">
      <alignment wrapText="1"/>
    </xf>
    <xf numFmtId="0" fontId="8" fillId="0" borderId="0" xfId="40" applyFont="1" applyAlignment="1" applyProtection="1">
      <alignment horizontal="center" vertical="center"/>
    </xf>
    <xf numFmtId="0" fontId="8" fillId="21" borderId="0" xfId="40" applyFont="1" applyFill="1" applyAlignment="1" applyProtection="1">
      <alignment horizontal="center"/>
    </xf>
    <xf numFmtId="0" fontId="12" fillId="0" borderId="0" xfId="0" applyNumberFormat="1" applyFont="1" applyFill="1" applyAlignment="1" applyProtection="1">
      <alignment horizontal="center" wrapText="1"/>
    </xf>
    <xf numFmtId="0" fontId="8" fillId="0" borderId="0" xfId="0" applyFont="1" applyFill="1" applyAlignment="1">
      <alignment horizontal="center" vertical="center"/>
    </xf>
    <xf numFmtId="0" fontId="8" fillId="0" borderId="0" xfId="0" applyFont="1" applyAlignment="1">
      <alignment horizontal="center" vertical="center"/>
    </xf>
    <xf numFmtId="0" fontId="12" fillId="0" borderId="0" xfId="0" applyNumberFormat="1" applyFont="1" applyAlignment="1">
      <alignment horizontal="center" vertical="center"/>
    </xf>
    <xf numFmtId="0" fontId="34" fillId="40" borderId="75" xfId="0" applyFont="1" applyFill="1" applyBorder="1" applyAlignment="1" applyProtection="1">
      <alignment horizontal="center" vertical="center" wrapText="1"/>
    </xf>
    <xf numFmtId="0" fontId="34" fillId="40" borderId="73" xfId="0" applyFont="1" applyFill="1" applyBorder="1" applyAlignment="1" applyProtection="1">
      <alignment horizontal="center" vertical="center" wrapText="1"/>
    </xf>
    <xf numFmtId="0" fontId="34" fillId="40" borderId="76" xfId="0" applyFont="1" applyFill="1" applyBorder="1" applyAlignment="1" applyProtection="1">
      <alignment horizontal="center" vertical="center" wrapText="1"/>
    </xf>
    <xf numFmtId="0" fontId="34" fillId="40" borderId="35" xfId="0" applyFont="1" applyFill="1" applyBorder="1" applyAlignment="1">
      <alignment horizontal="center" vertical="center"/>
    </xf>
    <xf numFmtId="0" fontId="34" fillId="40" borderId="34" xfId="0" applyFont="1" applyFill="1" applyBorder="1" applyAlignment="1">
      <alignment horizontal="center" vertical="center"/>
    </xf>
    <xf numFmtId="0" fontId="71" fillId="23" borderId="63" xfId="32" applyFont="1" applyFill="1" applyBorder="1" applyAlignment="1" applyProtection="1">
      <alignment horizontal="center" vertical="center" wrapText="1"/>
    </xf>
    <xf numFmtId="0" fontId="71" fillId="23" borderId="4" xfId="32" applyFont="1" applyFill="1" applyBorder="1" applyAlignment="1" applyProtection="1">
      <alignment horizontal="center" vertical="center" wrapText="1"/>
    </xf>
    <xf numFmtId="0" fontId="71" fillId="23" borderId="31" xfId="32" applyFont="1" applyFill="1" applyBorder="1" applyAlignment="1" applyProtection="1">
      <alignment horizontal="center" vertical="center" wrapText="1"/>
    </xf>
    <xf numFmtId="0" fontId="71" fillId="24" borderId="63" xfId="32" applyFont="1" applyFill="1" applyBorder="1" applyAlignment="1" applyProtection="1">
      <alignment horizontal="center" vertical="center" wrapText="1"/>
    </xf>
    <xf numFmtId="0" fontId="71" fillId="24" borderId="4" xfId="32" applyFont="1" applyFill="1" applyBorder="1" applyAlignment="1" applyProtection="1">
      <alignment horizontal="center" vertical="center" wrapText="1"/>
    </xf>
    <xf numFmtId="0" fontId="71" fillId="24" borderId="31" xfId="32" applyFont="1" applyFill="1" applyBorder="1" applyAlignment="1" applyProtection="1">
      <alignment horizontal="center" vertical="center" wrapText="1"/>
    </xf>
    <xf numFmtId="0" fontId="5" fillId="30" borderId="63" xfId="32" applyFont="1" applyFill="1" applyBorder="1" applyAlignment="1" applyProtection="1">
      <alignment horizontal="left" vertical="center" wrapText="1"/>
    </xf>
    <xf numFmtId="0" fontId="5" fillId="30" borderId="4" xfId="32" applyFont="1" applyFill="1" applyBorder="1" applyAlignment="1" applyProtection="1">
      <alignment horizontal="left" vertical="center" wrapText="1"/>
    </xf>
    <xf numFmtId="0" fontId="5" fillId="30" borderId="31" xfId="32" applyFont="1" applyFill="1" applyBorder="1" applyAlignment="1" applyProtection="1">
      <alignment horizontal="left" vertical="center" wrapText="1"/>
    </xf>
    <xf numFmtId="0" fontId="5" fillId="30" borderId="63" xfId="32" applyFont="1" applyFill="1" applyBorder="1" applyAlignment="1" applyProtection="1">
      <alignment horizontal="left" vertical="top" wrapText="1"/>
    </xf>
    <xf numFmtId="0" fontId="5" fillId="30" borderId="4" xfId="32" applyFont="1" applyFill="1" applyBorder="1" applyAlignment="1" applyProtection="1">
      <alignment horizontal="left" vertical="top" wrapText="1"/>
    </xf>
    <xf numFmtId="0" fontId="5" fillId="30" borderId="31" xfId="32" applyFont="1" applyFill="1" applyBorder="1" applyAlignment="1" applyProtection="1">
      <alignment horizontal="left" vertical="top" wrapText="1"/>
    </xf>
    <xf numFmtId="0" fontId="5" fillId="30" borderId="63" xfId="32" applyFont="1" applyFill="1" applyBorder="1" applyAlignment="1" applyProtection="1">
      <alignment horizontal="center" vertical="center" wrapText="1"/>
    </xf>
    <xf numFmtId="0" fontId="5" fillId="30" borderId="4" xfId="32" applyFont="1" applyFill="1" applyBorder="1" applyAlignment="1" applyProtection="1">
      <alignment horizontal="center" vertical="center" wrapText="1"/>
    </xf>
    <xf numFmtId="0" fontId="5" fillId="30" borderId="31" xfId="32" applyFont="1" applyFill="1" applyBorder="1" applyAlignment="1" applyProtection="1">
      <alignment horizontal="center" vertical="center" wrapText="1"/>
    </xf>
    <xf numFmtId="0" fontId="5" fillId="29" borderId="4" xfId="32" applyFont="1" applyFill="1" applyBorder="1" applyAlignment="1" applyProtection="1">
      <alignment horizontal="center" wrapText="1"/>
    </xf>
    <xf numFmtId="0" fontId="5" fillId="29" borderId="31" xfId="32" applyFont="1" applyFill="1" applyBorder="1" applyAlignment="1" applyProtection="1">
      <alignment horizontal="center" wrapText="1"/>
    </xf>
  </cellXfs>
  <cellStyles count="76">
    <cellStyle name="Accent1 - 20%" xfId="3"/>
    <cellStyle name="Accent1 - 40%" xfId="4"/>
    <cellStyle name="Accent1 - 60%" xfId="5"/>
    <cellStyle name="Accent2 - 20%" xfId="6"/>
    <cellStyle name="Accent2 - 40%" xfId="7"/>
    <cellStyle name="Accent2 - 60%" xfId="8"/>
    <cellStyle name="Accent3 - 20%" xfId="9"/>
    <cellStyle name="Accent3 - 40%" xfId="10"/>
    <cellStyle name="Accent3 - 60%" xfId="11"/>
    <cellStyle name="Accent4 - 20%" xfId="12"/>
    <cellStyle name="Accent4 - 40%" xfId="13"/>
    <cellStyle name="Accent4 - 60%" xfId="14"/>
    <cellStyle name="Accent5 - 20%" xfId="15"/>
    <cellStyle name="Accent5 - 40%" xfId="16"/>
    <cellStyle name="Accent5 - 60%" xfId="17"/>
    <cellStyle name="Accent6 - 20%" xfId="18"/>
    <cellStyle name="Accent6 - 40%" xfId="19"/>
    <cellStyle name="Accent6 - 60%" xfId="20"/>
    <cellStyle name="Blue" xfId="21"/>
    <cellStyle name="Choice" xfId="22"/>
    <cellStyle name="Closed" xfId="23"/>
    <cellStyle name="Comma" xfId="55" builtinId="3"/>
    <cellStyle name="Comma 2" xfId="44"/>
    <cellStyle name="Comma 2 2" xfId="48"/>
    <cellStyle name="Comma 3" xfId="46"/>
    <cellStyle name="Comma 3 2" xfId="58"/>
    <cellStyle name="Emphasis 1" xfId="24"/>
    <cellStyle name="Emphasis 2" xfId="25"/>
    <cellStyle name="Emphasis 3" xfId="26"/>
    <cellStyle name="Green" xfId="27"/>
    <cellStyle name="Grey" xfId="28"/>
    <cellStyle name="Hyperlink" xfId="2" builtinId="8"/>
    <cellStyle name="Hyperlink 2" xfId="29"/>
    <cellStyle name="Koloni" xfId="30"/>
    <cellStyle name="Normal" xfId="0" builtinId="0"/>
    <cellStyle name="Normal 2" xfId="31"/>
    <cellStyle name="Normal 3" xfId="32"/>
    <cellStyle name="Normal 4" xfId="45"/>
    <cellStyle name="Normal 4 2" xfId="62"/>
    <cellStyle name="Normal 4 3" xfId="57"/>
    <cellStyle name="Normal 4_2. Променливи" xfId="72"/>
    <cellStyle name="Normal 5" xfId="49"/>
    <cellStyle name="Normal 6" xfId="52"/>
    <cellStyle name="Normal 6 2" xfId="54"/>
    <cellStyle name="Normal 6 2 2" xfId="64"/>
    <cellStyle name="Normal 6 2 3" xfId="71"/>
    <cellStyle name="Normal 6 2 4" xfId="61"/>
    <cellStyle name="Normal 6 2_2. Променливи" xfId="74"/>
    <cellStyle name="Normal 6 3" xfId="63"/>
    <cellStyle name="Normal 6 4" xfId="70"/>
    <cellStyle name="Normal 6 5" xfId="60"/>
    <cellStyle name="Normal 6_2. Променливи" xfId="73"/>
    <cellStyle name="Normal 7" xfId="53"/>
    <cellStyle name="Normal_Copy of model_direct_vik4" xfId="75"/>
    <cellStyle name="Normal_Lov_Forms_DKER" xfId="42"/>
    <cellStyle name="Normal_Model_2005_Sofia_DKER_3" xfId="40"/>
    <cellStyle name="Normal_Pazardjik_2_bo_groups" xfId="43"/>
    <cellStyle name="Normal_Sheet1_1" xfId="47"/>
    <cellStyle name="Percent" xfId="1" builtinId="5"/>
    <cellStyle name="Percent 2" xfId="33"/>
    <cellStyle name="Percent 3" xfId="34"/>
    <cellStyle name="Percent 4" xfId="35"/>
    <cellStyle name="Percent 5" xfId="41"/>
    <cellStyle name="Percent 5 2" xfId="65"/>
    <cellStyle name="Percent 5 3" xfId="56"/>
    <cellStyle name="Percent 6" xfId="50"/>
    <cellStyle name="Percent 6 2" xfId="66"/>
    <cellStyle name="Percent 6 3" xfId="59"/>
    <cellStyle name="Percent 7" xfId="51"/>
    <cellStyle name="Percent 7 2" xfId="67"/>
    <cellStyle name="Sheet Title" xfId="36"/>
    <cellStyle name="White" xfId="37"/>
    <cellStyle name="Zaglavie" xfId="38"/>
    <cellStyle name="Запетая 2" xfId="68"/>
    <cellStyle name="Нормален 3" xfId="39"/>
    <cellStyle name="Процент 2" xfId="69"/>
  </cellStyles>
  <dxfs count="9">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FF0000"/>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CCFFCC"/>
      <color rgb="FFFF7C80"/>
      <color rgb="FF3399FF"/>
      <color rgb="FFCCFFFF"/>
      <color rgb="FFBCF6C6"/>
      <color rgb="FFEAEAEA"/>
      <color rgb="FFFFCC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1085850</xdr:colOff>
      <xdr:row>18</xdr:row>
      <xdr:rowOff>0</xdr:rowOff>
    </xdr:from>
    <xdr:to>
      <xdr:col>4</xdr:col>
      <xdr:colOff>0</xdr:colOff>
      <xdr:row>18</xdr:row>
      <xdr:rowOff>0</xdr:rowOff>
    </xdr:to>
    <xdr:sp macro="" textlink="">
      <xdr:nvSpPr>
        <xdr:cNvPr id="2" name="Line 253"/>
        <xdr:cNvSpPr>
          <a:spLocks noChangeShapeType="1"/>
        </xdr:cNvSpPr>
      </xdr:nvSpPr>
      <xdr:spPr bwMode="auto">
        <a:xfrm>
          <a:off x="5629275" y="3790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18</xdr:row>
      <xdr:rowOff>0</xdr:rowOff>
    </xdr:from>
    <xdr:to>
      <xdr:col>4</xdr:col>
      <xdr:colOff>0</xdr:colOff>
      <xdr:row>18</xdr:row>
      <xdr:rowOff>0</xdr:rowOff>
    </xdr:to>
    <xdr:sp macro="" textlink="">
      <xdr:nvSpPr>
        <xdr:cNvPr id="3" name="Line 254"/>
        <xdr:cNvSpPr>
          <a:spLocks noChangeShapeType="1"/>
        </xdr:cNvSpPr>
      </xdr:nvSpPr>
      <xdr:spPr bwMode="auto">
        <a:xfrm>
          <a:off x="5629275" y="3790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18</xdr:row>
      <xdr:rowOff>0</xdr:rowOff>
    </xdr:from>
    <xdr:to>
      <xdr:col>4</xdr:col>
      <xdr:colOff>0</xdr:colOff>
      <xdr:row>18</xdr:row>
      <xdr:rowOff>0</xdr:rowOff>
    </xdr:to>
    <xdr:sp macro="" textlink="">
      <xdr:nvSpPr>
        <xdr:cNvPr id="4" name="Line 255"/>
        <xdr:cNvSpPr>
          <a:spLocks noChangeShapeType="1"/>
        </xdr:cNvSpPr>
      </xdr:nvSpPr>
      <xdr:spPr bwMode="auto">
        <a:xfrm>
          <a:off x="5629275" y="3790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18</xdr:row>
      <xdr:rowOff>0</xdr:rowOff>
    </xdr:from>
    <xdr:to>
      <xdr:col>4</xdr:col>
      <xdr:colOff>0</xdr:colOff>
      <xdr:row>18</xdr:row>
      <xdr:rowOff>0</xdr:rowOff>
    </xdr:to>
    <xdr:sp macro="" textlink="">
      <xdr:nvSpPr>
        <xdr:cNvPr id="5" name="Line 256"/>
        <xdr:cNvSpPr>
          <a:spLocks noChangeShapeType="1"/>
        </xdr:cNvSpPr>
      </xdr:nvSpPr>
      <xdr:spPr bwMode="auto">
        <a:xfrm>
          <a:off x="5629275" y="3790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1085850</xdr:colOff>
      <xdr:row>19</xdr:row>
      <xdr:rowOff>0</xdr:rowOff>
    </xdr:from>
    <xdr:to>
      <xdr:col>4</xdr:col>
      <xdr:colOff>0</xdr:colOff>
      <xdr:row>19</xdr:row>
      <xdr:rowOff>0</xdr:rowOff>
    </xdr:to>
    <xdr:sp macro="" textlink="">
      <xdr:nvSpPr>
        <xdr:cNvPr id="2" name="Line 253"/>
        <xdr:cNvSpPr>
          <a:spLocks noChangeShapeType="1"/>
        </xdr:cNvSpPr>
      </xdr:nvSpPr>
      <xdr:spPr bwMode="auto">
        <a:xfrm>
          <a:off x="6257925" y="3562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19</xdr:row>
      <xdr:rowOff>0</xdr:rowOff>
    </xdr:from>
    <xdr:to>
      <xdr:col>4</xdr:col>
      <xdr:colOff>0</xdr:colOff>
      <xdr:row>19</xdr:row>
      <xdr:rowOff>0</xdr:rowOff>
    </xdr:to>
    <xdr:sp macro="" textlink="">
      <xdr:nvSpPr>
        <xdr:cNvPr id="3" name="Line 254"/>
        <xdr:cNvSpPr>
          <a:spLocks noChangeShapeType="1"/>
        </xdr:cNvSpPr>
      </xdr:nvSpPr>
      <xdr:spPr bwMode="auto">
        <a:xfrm>
          <a:off x="6257925" y="3562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19</xdr:row>
      <xdr:rowOff>0</xdr:rowOff>
    </xdr:from>
    <xdr:to>
      <xdr:col>4</xdr:col>
      <xdr:colOff>0</xdr:colOff>
      <xdr:row>19</xdr:row>
      <xdr:rowOff>0</xdr:rowOff>
    </xdr:to>
    <xdr:sp macro="" textlink="">
      <xdr:nvSpPr>
        <xdr:cNvPr id="4" name="Line 255"/>
        <xdr:cNvSpPr>
          <a:spLocks noChangeShapeType="1"/>
        </xdr:cNvSpPr>
      </xdr:nvSpPr>
      <xdr:spPr bwMode="auto">
        <a:xfrm>
          <a:off x="6257925" y="3562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1085850</xdr:colOff>
      <xdr:row>19</xdr:row>
      <xdr:rowOff>0</xdr:rowOff>
    </xdr:from>
    <xdr:to>
      <xdr:col>4</xdr:col>
      <xdr:colOff>0</xdr:colOff>
      <xdr:row>19</xdr:row>
      <xdr:rowOff>0</xdr:rowOff>
    </xdr:to>
    <xdr:sp macro="" textlink="">
      <xdr:nvSpPr>
        <xdr:cNvPr id="5" name="Line 256"/>
        <xdr:cNvSpPr>
          <a:spLocks noChangeShapeType="1"/>
        </xdr:cNvSpPr>
      </xdr:nvSpPr>
      <xdr:spPr bwMode="auto">
        <a:xfrm>
          <a:off x="6257925" y="35623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23</xdr:row>
      <xdr:rowOff>9525</xdr:rowOff>
    </xdr:from>
    <xdr:to>
      <xdr:col>2</xdr:col>
      <xdr:colOff>0</xdr:colOff>
      <xdr:row>25</xdr:row>
      <xdr:rowOff>228600</xdr:rowOff>
    </xdr:to>
    <xdr:sp macro="" textlink="">
      <xdr:nvSpPr>
        <xdr:cNvPr id="4" name="Line 32"/>
        <xdr:cNvSpPr>
          <a:spLocks noChangeShapeType="1"/>
        </xdr:cNvSpPr>
      </xdr:nvSpPr>
      <xdr:spPr bwMode="auto">
        <a:xfrm>
          <a:off x="4067175" y="1781175"/>
          <a:ext cx="0" cy="5619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23</xdr:row>
      <xdr:rowOff>0</xdr:rowOff>
    </xdr:from>
    <xdr:to>
      <xdr:col>2</xdr:col>
      <xdr:colOff>0</xdr:colOff>
      <xdr:row>26</xdr:row>
      <xdr:rowOff>0</xdr:rowOff>
    </xdr:to>
    <xdr:sp macro="" textlink="">
      <xdr:nvSpPr>
        <xdr:cNvPr id="5" name="Line 33"/>
        <xdr:cNvSpPr>
          <a:spLocks noChangeShapeType="1"/>
        </xdr:cNvSpPr>
      </xdr:nvSpPr>
      <xdr:spPr bwMode="auto">
        <a:xfrm flipV="1">
          <a:off x="4067175" y="1771650"/>
          <a:ext cx="0" cy="571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9525</xdr:colOff>
      <xdr:row>11</xdr:row>
      <xdr:rowOff>0</xdr:rowOff>
    </xdr:from>
    <xdr:to>
      <xdr:col>19</xdr:col>
      <xdr:colOff>942975</xdr:colOff>
      <xdr:row>11</xdr:row>
      <xdr:rowOff>0</xdr:rowOff>
    </xdr:to>
    <xdr:sp macro="" textlink="">
      <xdr:nvSpPr>
        <xdr:cNvPr id="8" name="Line 8"/>
        <xdr:cNvSpPr>
          <a:spLocks noChangeShapeType="1"/>
        </xdr:cNvSpPr>
      </xdr:nvSpPr>
      <xdr:spPr bwMode="auto">
        <a:xfrm>
          <a:off x="14722475" y="2457450"/>
          <a:ext cx="600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11</xdr:row>
      <xdr:rowOff>0</xdr:rowOff>
    </xdr:from>
    <xdr:to>
      <xdr:col>20</xdr:col>
      <xdr:colOff>0</xdr:colOff>
      <xdr:row>11</xdr:row>
      <xdr:rowOff>0</xdr:rowOff>
    </xdr:to>
    <xdr:sp macro="" textlink="">
      <xdr:nvSpPr>
        <xdr:cNvPr id="9" name="Line 10"/>
        <xdr:cNvSpPr>
          <a:spLocks noChangeShapeType="1"/>
        </xdr:cNvSpPr>
      </xdr:nvSpPr>
      <xdr:spPr bwMode="auto">
        <a:xfrm flipV="1">
          <a:off x="14712950" y="2457450"/>
          <a:ext cx="609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9525</xdr:colOff>
      <xdr:row>11</xdr:row>
      <xdr:rowOff>0</xdr:rowOff>
    </xdr:from>
    <xdr:to>
      <xdr:col>20</xdr:col>
      <xdr:colOff>942975</xdr:colOff>
      <xdr:row>11</xdr:row>
      <xdr:rowOff>0</xdr:rowOff>
    </xdr:to>
    <xdr:sp macro="" textlink="">
      <xdr:nvSpPr>
        <xdr:cNvPr id="10" name="Line 8"/>
        <xdr:cNvSpPr>
          <a:spLocks noChangeShapeType="1"/>
        </xdr:cNvSpPr>
      </xdr:nvSpPr>
      <xdr:spPr bwMode="auto">
        <a:xfrm>
          <a:off x="15332075" y="2457450"/>
          <a:ext cx="600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0</xdr:colOff>
      <xdr:row>11</xdr:row>
      <xdr:rowOff>0</xdr:rowOff>
    </xdr:from>
    <xdr:to>
      <xdr:col>21</xdr:col>
      <xdr:colOff>0</xdr:colOff>
      <xdr:row>11</xdr:row>
      <xdr:rowOff>0</xdr:rowOff>
    </xdr:to>
    <xdr:sp macro="" textlink="">
      <xdr:nvSpPr>
        <xdr:cNvPr id="11" name="Line 10"/>
        <xdr:cNvSpPr>
          <a:spLocks noChangeShapeType="1"/>
        </xdr:cNvSpPr>
      </xdr:nvSpPr>
      <xdr:spPr bwMode="auto">
        <a:xfrm flipV="1">
          <a:off x="15322550" y="2457450"/>
          <a:ext cx="609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9525</xdr:colOff>
      <xdr:row>11</xdr:row>
      <xdr:rowOff>0</xdr:rowOff>
    </xdr:from>
    <xdr:to>
      <xdr:col>21</xdr:col>
      <xdr:colOff>942975</xdr:colOff>
      <xdr:row>11</xdr:row>
      <xdr:rowOff>0</xdr:rowOff>
    </xdr:to>
    <xdr:sp macro="" textlink="">
      <xdr:nvSpPr>
        <xdr:cNvPr id="12" name="Line 8"/>
        <xdr:cNvSpPr>
          <a:spLocks noChangeShapeType="1"/>
        </xdr:cNvSpPr>
      </xdr:nvSpPr>
      <xdr:spPr bwMode="auto">
        <a:xfrm>
          <a:off x="14722475" y="2457450"/>
          <a:ext cx="600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11</xdr:row>
      <xdr:rowOff>0</xdr:rowOff>
    </xdr:from>
    <xdr:to>
      <xdr:col>22</xdr:col>
      <xdr:colOff>0</xdr:colOff>
      <xdr:row>11</xdr:row>
      <xdr:rowOff>0</xdr:rowOff>
    </xdr:to>
    <xdr:sp macro="" textlink="">
      <xdr:nvSpPr>
        <xdr:cNvPr id="13" name="Line 10"/>
        <xdr:cNvSpPr>
          <a:spLocks noChangeShapeType="1"/>
        </xdr:cNvSpPr>
      </xdr:nvSpPr>
      <xdr:spPr bwMode="auto">
        <a:xfrm flipV="1">
          <a:off x="14712950" y="2457450"/>
          <a:ext cx="609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9525</xdr:colOff>
      <xdr:row>11</xdr:row>
      <xdr:rowOff>0</xdr:rowOff>
    </xdr:from>
    <xdr:to>
      <xdr:col>22</xdr:col>
      <xdr:colOff>942975</xdr:colOff>
      <xdr:row>11</xdr:row>
      <xdr:rowOff>0</xdr:rowOff>
    </xdr:to>
    <xdr:sp macro="" textlink="">
      <xdr:nvSpPr>
        <xdr:cNvPr id="14" name="Line 8"/>
        <xdr:cNvSpPr>
          <a:spLocks noChangeShapeType="1"/>
        </xdr:cNvSpPr>
      </xdr:nvSpPr>
      <xdr:spPr bwMode="auto">
        <a:xfrm>
          <a:off x="15332075" y="2457450"/>
          <a:ext cx="600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0</xdr:colOff>
      <xdr:row>11</xdr:row>
      <xdr:rowOff>0</xdr:rowOff>
    </xdr:from>
    <xdr:to>
      <xdr:col>23</xdr:col>
      <xdr:colOff>0</xdr:colOff>
      <xdr:row>11</xdr:row>
      <xdr:rowOff>0</xdr:rowOff>
    </xdr:to>
    <xdr:sp macro="" textlink="">
      <xdr:nvSpPr>
        <xdr:cNvPr id="15" name="Line 10"/>
        <xdr:cNvSpPr>
          <a:spLocks noChangeShapeType="1"/>
        </xdr:cNvSpPr>
      </xdr:nvSpPr>
      <xdr:spPr bwMode="auto">
        <a:xfrm flipV="1">
          <a:off x="15322550" y="2457450"/>
          <a:ext cx="609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9525</xdr:colOff>
      <xdr:row>11</xdr:row>
      <xdr:rowOff>0</xdr:rowOff>
    </xdr:from>
    <xdr:to>
      <xdr:col>23</xdr:col>
      <xdr:colOff>942975</xdr:colOff>
      <xdr:row>11</xdr:row>
      <xdr:rowOff>0</xdr:rowOff>
    </xdr:to>
    <xdr:sp macro="" textlink="">
      <xdr:nvSpPr>
        <xdr:cNvPr id="16" name="Line 8"/>
        <xdr:cNvSpPr>
          <a:spLocks noChangeShapeType="1"/>
        </xdr:cNvSpPr>
      </xdr:nvSpPr>
      <xdr:spPr bwMode="auto">
        <a:xfrm>
          <a:off x="15941675" y="2457450"/>
          <a:ext cx="600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0</xdr:colOff>
      <xdr:row>11</xdr:row>
      <xdr:rowOff>0</xdr:rowOff>
    </xdr:from>
    <xdr:to>
      <xdr:col>24</xdr:col>
      <xdr:colOff>0</xdr:colOff>
      <xdr:row>11</xdr:row>
      <xdr:rowOff>0</xdr:rowOff>
    </xdr:to>
    <xdr:sp macro="" textlink="">
      <xdr:nvSpPr>
        <xdr:cNvPr id="17" name="Line 10"/>
        <xdr:cNvSpPr>
          <a:spLocks noChangeShapeType="1"/>
        </xdr:cNvSpPr>
      </xdr:nvSpPr>
      <xdr:spPr bwMode="auto">
        <a:xfrm flipV="1">
          <a:off x="15932150" y="2457450"/>
          <a:ext cx="6096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825500</xdr:colOff>
      <xdr:row>35</xdr:row>
      <xdr:rowOff>52917</xdr:rowOff>
    </xdr:from>
    <xdr:to>
      <xdr:col>5</xdr:col>
      <xdr:colOff>1797050</xdr:colOff>
      <xdr:row>35</xdr:row>
      <xdr:rowOff>538692</xdr:rowOff>
    </xdr:to>
    <xdr:pic>
      <xdr:nvPicPr>
        <xdr:cNvPr id="2" name="Picture 1"/>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55700" y="15769167"/>
          <a:ext cx="97155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740833</xdr:colOff>
      <xdr:row>36</xdr:row>
      <xdr:rowOff>201083</xdr:rowOff>
    </xdr:from>
    <xdr:to>
      <xdr:col>5</xdr:col>
      <xdr:colOff>1950508</xdr:colOff>
      <xdr:row>36</xdr:row>
      <xdr:rowOff>382058</xdr:rowOff>
    </xdr:to>
    <xdr:pic>
      <xdr:nvPicPr>
        <xdr:cNvPr id="3" name="Picture 2"/>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771033" y="16403108"/>
          <a:ext cx="12096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825500</xdr:colOff>
      <xdr:row>35</xdr:row>
      <xdr:rowOff>52917</xdr:rowOff>
    </xdr:from>
    <xdr:to>
      <xdr:col>5</xdr:col>
      <xdr:colOff>1797050</xdr:colOff>
      <xdr:row>35</xdr:row>
      <xdr:rowOff>538692</xdr:rowOff>
    </xdr:to>
    <xdr:pic>
      <xdr:nvPicPr>
        <xdr:cNvPr id="4" name="Picture 3"/>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55700" y="15769167"/>
          <a:ext cx="97155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740833</xdr:colOff>
      <xdr:row>36</xdr:row>
      <xdr:rowOff>201083</xdr:rowOff>
    </xdr:from>
    <xdr:to>
      <xdr:col>5</xdr:col>
      <xdr:colOff>1950508</xdr:colOff>
      <xdr:row>36</xdr:row>
      <xdr:rowOff>382058</xdr:rowOff>
    </xdr:to>
    <xdr:pic>
      <xdr:nvPicPr>
        <xdr:cNvPr id="5" name="Picture 4"/>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771033" y="16403108"/>
          <a:ext cx="12096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torsrv\Documents%20and%20Settings\Kostadin%20Kolarov_2\My%20Documents\Mobile\New%20Business%20Pl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torsrv\Documents%20and%20Settings\dk-kpeev\Desktop\UKAZANIQ\BP\Model_BP_Prilojeniq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torsrv\Users\user\AppData\Local\Microsoft\Windows\INetCache\IE\V23XKCS6\model-2017-2021%20&#1044;&#1054;&#1041;&#1056;&#1048;&#1063;_v3%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torsrv\Users\user\AppData\Local\Microsoft\Windows\INetCache\IE\V23XKCS6\model-2017-2021%20&#1040;&#1051;&#1041;&#1045;&#1053;&#1040;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Описание на продуктите"/>
      <sheetName val="Състояние на продуктите"/>
      <sheetName val="Пазарна прогноза (1)"/>
      <sheetName val="Пазарна прогноза (2)"/>
      <sheetName val="Пазарна прогноза (3)"/>
      <sheetName val="Пазарна прогноза (4)"/>
      <sheetName val="Пазарна прогноза (5)"/>
      <sheetName val="План за персонала"/>
      <sheetName val="ОПР 96-98"/>
      <sheetName val="Баланси 96-98"/>
      <sheetName val="Минали отчети"/>
      <sheetName val="Начало"/>
      <sheetName val="Начален баланс"/>
      <sheetName val="Прогнозни продажби"/>
      <sheetName val="Себестойност"/>
      <sheetName val="Постоянни разходи"/>
      <sheetName val="Инвестиции"/>
      <sheetName val="Собствен капитал"/>
      <sheetName val="Разчети по ДДС"/>
      <sheetName val="Проформа ОПР"/>
      <sheetName val="Проформа ОПП"/>
      <sheetName val="Проформа баланси"/>
      <sheetName val="Буфер"/>
      <sheetName val="Финансови показатели"/>
      <sheetName val="Оценка на проекта"/>
      <sheetName val="Мин. и оч. резултати"/>
      <sheetName val="Критични точки"/>
      <sheetName val="Sheet8"/>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 sheetId="12"/>
      <sheetData sheetId="13"/>
      <sheetData sheetId="14" refreshError="1">
        <row r="124">
          <cell r="B124" t="str">
            <v>Електроенергия</v>
          </cell>
          <cell r="C124">
            <v>29491.133333333335</v>
          </cell>
          <cell r="D124">
            <v>29488.799999999999</v>
          </cell>
          <cell r="E124">
            <v>29488.799999999999</v>
          </cell>
          <cell r="F124">
            <v>29488.799999999999</v>
          </cell>
          <cell r="G124">
            <v>29488.799999999999</v>
          </cell>
          <cell r="H124">
            <v>29488.799999999999</v>
          </cell>
          <cell r="I124">
            <v>29488.799999999999</v>
          </cell>
          <cell r="J124">
            <v>29488.799999999999</v>
          </cell>
          <cell r="K124">
            <v>29488.799999999999</v>
          </cell>
          <cell r="L124">
            <v>29488.799999999999</v>
          </cell>
          <cell r="M124">
            <v>29488.799999999999</v>
          </cell>
          <cell r="N124">
            <v>29488.799999999999</v>
          </cell>
          <cell r="O124">
            <v>353867.93333333329</v>
          </cell>
          <cell r="P124">
            <v>357142.80000000005</v>
          </cell>
          <cell r="Q124">
            <v>364285.65600000002</v>
          </cell>
          <cell r="R124">
            <v>371571.36912000005</v>
          </cell>
          <cell r="S124">
            <v>379002.79650240007</v>
          </cell>
          <cell r="T124">
            <v>386582.85243244807</v>
          </cell>
        </row>
        <row r="125">
          <cell r="B125" t="str">
            <v>Отчетна стойност на продадените стоки</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row>
        <row r="126">
          <cell r="B126" t="str">
            <v>Услуги и др.</v>
          </cell>
          <cell r="C126">
            <v>18927.500000000004</v>
          </cell>
          <cell r="D126">
            <v>18926</v>
          </cell>
          <cell r="E126">
            <v>18926</v>
          </cell>
          <cell r="F126">
            <v>18926</v>
          </cell>
          <cell r="G126">
            <v>18926</v>
          </cell>
          <cell r="H126">
            <v>18926</v>
          </cell>
          <cell r="I126">
            <v>18926</v>
          </cell>
          <cell r="J126">
            <v>18926</v>
          </cell>
          <cell r="K126">
            <v>18926</v>
          </cell>
          <cell r="L126">
            <v>18926</v>
          </cell>
          <cell r="M126">
            <v>18926</v>
          </cell>
          <cell r="N126">
            <v>18926</v>
          </cell>
          <cell r="O126">
            <v>227113.5</v>
          </cell>
          <cell r="P126">
            <v>229591.8</v>
          </cell>
          <cell r="Q126">
            <v>234183.636</v>
          </cell>
          <cell r="R126">
            <v>238867.30872</v>
          </cell>
          <cell r="S126">
            <v>243644.65489439998</v>
          </cell>
          <cell r="T126">
            <v>248517.54799228802</v>
          </cell>
        </row>
      </sheetData>
      <sheetData sheetId="15"/>
      <sheetData sheetId="16" refreshError="1">
        <row r="40">
          <cell r="E40">
            <v>151605.31</v>
          </cell>
        </row>
        <row r="43">
          <cell r="M43" t="str">
            <v>Всичко начислени амортизации</v>
          </cell>
          <cell r="O43">
            <v>151605.31</v>
          </cell>
          <cell r="P43">
            <v>247855.31000000003</v>
          </cell>
          <cell r="Q43">
            <v>265355.31000000006</v>
          </cell>
          <cell r="R43">
            <v>274105.31</v>
          </cell>
          <cell r="S43">
            <v>282855.31</v>
          </cell>
          <cell r="T43">
            <v>291605.31</v>
          </cell>
        </row>
      </sheetData>
      <sheetData sheetId="17" refreshError="1">
        <row r="4">
          <cell r="B4" t="str">
            <v>Получени съучастия (увеличение на собствения капитал)</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row>
        <row r="5">
          <cell r="B5" t="str">
            <v>Получени вземания по записани дялови вноски</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row>
        <row r="6">
          <cell r="B6" t="str">
            <v>Намаление на собствения капитал</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t="str">
            <v>Вземания по получени през периода съучастия</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sheetData>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етикет"/>
      <sheetName val=" 2.  Експлоатационни данни"/>
      <sheetName val="5. Целеви нива"/>
      <sheetName val="2. Производствена програма"/>
      <sheetName val="3. Ремонтна програма"/>
      <sheetName val="4. Намаляване на загубите"/>
      <sheetName val="5. Подобряване на ефективността"/>
      <sheetName val="6. Инвестиции"/>
      <sheetName val="6.1. Инв.пр- доставяне"/>
      <sheetName val="6.2. Инв.пр.-отвеждане"/>
      <sheetName val="6.3.Инв.пр.-пречистване"/>
      <sheetName val="7. Активи"/>
      <sheetName val="7.1. Предст. въвеж. активи"/>
      <sheetName val="8. Амортизационен план "/>
      <sheetName val="9. Ниво на протребление"/>
      <sheetName val="10. Разходи"/>
      <sheetName val="11.Цени и приходи  "/>
      <sheetName val="12.Соц. поносимост"/>
      <sheetName val="13. Персонала"/>
      <sheetName val="13.1.Квалиф. структура"/>
      <sheetName val="14.Соц. програма "/>
      <sheetName val="Sheet4"/>
      <sheetName val="6_ Инвестици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ожение "/>
      <sheetName val="1. Анкетна карта"/>
      <sheetName val="2. Променливи"/>
      <sheetName val="3. Показатели за качество"/>
      <sheetName val="4. Отчет и прогн. потребление"/>
      <sheetName val="5. Персонал"/>
      <sheetName val="6. Ел.Енергия"/>
      <sheetName val="7. Утайки от ПСОВ"/>
      <sheetName val="8. Ремонтна програма"/>
      <sheetName val="9.Инвестиционна програма"/>
      <sheetName val="10. Финансиране на ИП"/>
      <sheetName val="11. Амортиз. план"/>
      <sheetName val="11.1.Амортиз.нови активи"/>
      <sheetName val="11.2. Нови активи отч.год."/>
      <sheetName val="12. Разходи"/>
      <sheetName val="12.1.Разходи-увелич.и нам."/>
      <sheetName val="13. Соц. поносимост"/>
      <sheetName val="14. ОПР"/>
      <sheetName val="15. ОПП"/>
      <sheetName val="16. Необходими приходи"/>
      <sheetName val="17. РБА"/>
      <sheetName val="18. OK"/>
      <sheetName val="19. HB"/>
      <sheetName val="20.Цени за дост.,отв. и преч."/>
      <sheetName val="Пояснения"/>
    </sheetNames>
    <sheetDataSet>
      <sheetData sheetId="0"/>
      <sheetData sheetId="1"/>
      <sheetData sheetId="2"/>
      <sheetData sheetId="3"/>
      <sheetData sheetId="4">
        <row r="12">
          <cell r="D12">
            <v>46726624</v>
          </cell>
        </row>
      </sheetData>
      <sheetData sheetId="5"/>
      <sheetData sheetId="6"/>
      <sheetData sheetId="7"/>
      <sheetData sheetId="8"/>
      <sheetData sheetId="9">
        <row r="13">
          <cell r="G13">
            <v>50</v>
          </cell>
        </row>
        <row r="21">
          <cell r="F21">
            <v>1846</v>
          </cell>
        </row>
      </sheetData>
      <sheetData sheetId="10"/>
      <sheetData sheetId="11">
        <row r="11">
          <cell r="L11">
            <v>200</v>
          </cell>
        </row>
      </sheetData>
      <sheetData sheetId="12"/>
      <sheetData sheetId="13"/>
      <sheetData sheetId="14"/>
      <sheetData sheetId="15">
        <row r="13">
          <cell r="C13">
            <v>40</v>
          </cell>
        </row>
      </sheetData>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ожение "/>
      <sheetName val="1. Анкетна карта"/>
      <sheetName val="2. Променливи"/>
      <sheetName val="3. Показатели за качество"/>
      <sheetName val="4. Отчет и прогн. потребление"/>
      <sheetName val="5. Персонал"/>
      <sheetName val="7. Утайки от ПСОВ"/>
      <sheetName val="8. Ремонтна програма"/>
      <sheetName val="9.Инвестиционна програма"/>
      <sheetName val="10. Финансиране на ИП"/>
      <sheetName val="11. Амортиз. план"/>
      <sheetName val="11.1.Амортиз.нови активи"/>
      <sheetName val="11.2. Нови активи отч.год."/>
      <sheetName val="12. Разходи"/>
      <sheetName val="6. Ел.Енергия"/>
      <sheetName val="12.1.Разходи-увелич.и нам."/>
      <sheetName val="13. Соц. поносимост"/>
      <sheetName val="14. ОПР"/>
      <sheetName val="15. ОПП"/>
      <sheetName val="16. Необходими приходи"/>
      <sheetName val="17. РБА"/>
      <sheetName val="18. OK"/>
      <sheetName val="19. HB"/>
      <sheetName val="20.Цени за дост.,отв. и преч."/>
      <sheetName val="Пояснения"/>
    </sheetNames>
    <sheetDataSet>
      <sheetData sheetId="0"/>
      <sheetData sheetId="1"/>
      <sheetData sheetId="2"/>
      <sheetData sheetId="3"/>
      <sheetData sheetId="4">
        <row r="12">
          <cell r="D12">
            <v>822887</v>
          </cell>
        </row>
      </sheetData>
      <sheetData sheetId="5"/>
      <sheetData sheetId="6"/>
      <sheetData sheetId="7"/>
      <sheetData sheetId="8">
        <row r="13">
          <cell r="G13">
            <v>5</v>
          </cell>
        </row>
        <row r="21">
          <cell r="F21">
            <v>50</v>
          </cell>
        </row>
      </sheetData>
      <sheetData sheetId="9"/>
      <sheetData sheetId="10">
        <row r="11">
          <cell r="E11">
            <v>159</v>
          </cell>
        </row>
      </sheetData>
      <sheetData sheetId="11"/>
      <sheetData sheetId="12"/>
      <sheetData sheetId="13"/>
      <sheetData sheetId="14"/>
      <sheetData sheetId="15">
        <row r="13">
          <cell r="C13">
            <v>1</v>
          </cell>
        </row>
      </sheetData>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4.xml"/><Relationship Id="rId1" Type="http://schemas.openxmlformats.org/officeDocument/2006/relationships/printerSettings" Target="../printerSettings/printerSettings25.bin"/><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K65"/>
  <sheetViews>
    <sheetView showGridLines="0" view="pageBreakPreview" zoomScale="90" zoomScaleNormal="90" zoomScaleSheetLayoutView="90" workbookViewId="0">
      <selection activeCell="G16" sqref="G16:J16"/>
    </sheetView>
  </sheetViews>
  <sheetFormatPr defaultColWidth="9.140625" defaultRowHeight="15.75"/>
  <cols>
    <col min="1" max="1" width="4.140625" style="135" customWidth="1"/>
    <col min="2" max="2" width="7.5703125" style="135" customWidth="1"/>
    <col min="3" max="3" width="8.42578125" style="135" customWidth="1"/>
    <col min="4" max="4" width="6.5703125" style="135" customWidth="1"/>
    <col min="5" max="5" width="7.42578125" style="135" customWidth="1"/>
    <col min="6" max="6" width="21.7109375" style="135" customWidth="1"/>
    <col min="7" max="7" width="20.7109375" style="135" customWidth="1"/>
    <col min="8" max="8" width="27.140625" style="135" customWidth="1"/>
    <col min="9" max="9" width="25.28515625" style="135" customWidth="1"/>
    <col min="10" max="10" width="30.5703125" style="135" customWidth="1"/>
    <col min="11" max="11" width="15.28515625" style="135" customWidth="1"/>
    <col min="12" max="12" width="19" style="135" customWidth="1"/>
    <col min="13" max="13" width="21.140625" style="135" bestFit="1" customWidth="1"/>
    <col min="14" max="14" width="15" style="135" customWidth="1"/>
    <col min="15" max="16384" width="9.140625" style="135"/>
  </cols>
  <sheetData>
    <row r="2" spans="1:11" ht="26.25" customHeight="1">
      <c r="A2" s="3291" t="s">
        <v>93</v>
      </c>
      <c r="B2" s="3291"/>
      <c r="C2" s="3291"/>
      <c r="D2" s="3291"/>
      <c r="E2" s="3291"/>
      <c r="F2" s="3291"/>
      <c r="G2" s="3291"/>
      <c r="H2" s="3291"/>
      <c r="I2" s="3291"/>
      <c r="J2" s="3291"/>
      <c r="K2" s="134"/>
    </row>
    <row r="3" spans="1:11" ht="15" customHeight="1">
      <c r="A3" s="3292" t="str">
        <f>"на "&amp;G8&amp;", гр. "&amp;G9</f>
        <v>на "ВОДОСНАБДЯВАНЕ И КАНАЛИЗАЦИЯ ДОБРИЧ" АД, гр. Добрич</v>
      </c>
      <c r="B3" s="3292"/>
      <c r="C3" s="3292"/>
      <c r="D3" s="3292"/>
      <c r="E3" s="3292"/>
      <c r="F3" s="3292"/>
      <c r="G3" s="3292"/>
      <c r="H3" s="3292"/>
      <c r="I3" s="3292"/>
      <c r="J3" s="3292"/>
      <c r="K3" s="136"/>
    </row>
    <row r="4" spans="1:11" ht="15" customHeight="1">
      <c r="A4" s="3292" t="str">
        <f>"ЕИК по БУЛСТАТ: " &amp;G10</f>
        <v>ЕИК по БУЛСТАТ: 204219357</v>
      </c>
      <c r="B4" s="3292"/>
      <c r="C4" s="3292"/>
      <c r="D4" s="3292"/>
      <c r="E4" s="3292"/>
      <c r="F4" s="3292"/>
      <c r="G4" s="3292"/>
      <c r="H4" s="3292"/>
      <c r="I4" s="3292"/>
      <c r="J4" s="3292"/>
      <c r="K4" s="136"/>
    </row>
    <row r="5" spans="1:11" ht="16.5" thickBot="1"/>
    <row r="6" spans="1:11">
      <c r="A6" s="3293" t="s">
        <v>1</v>
      </c>
      <c r="B6" s="3295" t="s">
        <v>94</v>
      </c>
      <c r="C6" s="3296"/>
      <c r="D6" s="3296"/>
      <c r="E6" s="3296"/>
      <c r="F6" s="3296"/>
      <c r="G6" s="3296"/>
      <c r="H6" s="3296"/>
      <c r="I6" s="3296"/>
      <c r="J6" s="3297"/>
    </row>
    <row r="7" spans="1:11" ht="16.5" thickBot="1">
      <c r="A7" s="3294"/>
      <c r="B7" s="3298" t="s">
        <v>95</v>
      </c>
      <c r="C7" s="3299"/>
      <c r="D7" s="3299"/>
      <c r="E7" s="3299"/>
      <c r="F7" s="3300"/>
      <c r="G7" s="3301" t="s">
        <v>96</v>
      </c>
      <c r="H7" s="3302"/>
      <c r="I7" s="3302"/>
      <c r="J7" s="3303"/>
    </row>
    <row r="8" spans="1:11">
      <c r="A8" s="137">
        <v>1</v>
      </c>
      <c r="B8" s="3304" t="s">
        <v>97</v>
      </c>
      <c r="C8" s="3305"/>
      <c r="D8" s="3305"/>
      <c r="E8" s="3305"/>
      <c r="F8" s="3306"/>
      <c r="G8" s="3307" t="s">
        <v>1579</v>
      </c>
      <c r="H8" s="3308"/>
      <c r="I8" s="3308"/>
      <c r="J8" s="3309"/>
    </row>
    <row r="9" spans="1:11">
      <c r="A9" s="138" t="s">
        <v>98</v>
      </c>
      <c r="B9" s="3235" t="s">
        <v>100</v>
      </c>
      <c r="C9" s="3236"/>
      <c r="D9" s="3236"/>
      <c r="E9" s="3236"/>
      <c r="F9" s="3237"/>
      <c r="G9" s="3288" t="s">
        <v>1559</v>
      </c>
      <c r="H9" s="3289"/>
      <c r="I9" s="3289"/>
      <c r="J9" s="3290"/>
    </row>
    <row r="10" spans="1:11">
      <c r="A10" s="138" t="s">
        <v>99</v>
      </c>
      <c r="B10" s="3235" t="s">
        <v>102</v>
      </c>
      <c r="C10" s="3236"/>
      <c r="D10" s="3236"/>
      <c r="E10" s="3236"/>
      <c r="F10" s="3237"/>
      <c r="G10" s="3288" t="s">
        <v>1580</v>
      </c>
      <c r="H10" s="3289"/>
      <c r="I10" s="3289"/>
      <c r="J10" s="3290"/>
    </row>
    <row r="11" spans="1:11" ht="16.5" thickBot="1">
      <c r="A11" s="139" t="s">
        <v>103</v>
      </c>
      <c r="B11" s="3247" t="s">
        <v>104</v>
      </c>
      <c r="C11" s="3248"/>
      <c r="D11" s="3248"/>
      <c r="E11" s="3248"/>
      <c r="F11" s="3249"/>
      <c r="G11" s="3250"/>
      <c r="H11" s="3251"/>
      <c r="I11" s="3251"/>
      <c r="J11" s="3252"/>
    </row>
    <row r="12" spans="1:11" ht="16.5" thickBot="1">
      <c r="A12" s="140" t="s">
        <v>105</v>
      </c>
      <c r="B12" s="3253" t="s">
        <v>106</v>
      </c>
      <c r="C12" s="3254"/>
      <c r="D12" s="3254"/>
      <c r="E12" s="3254"/>
      <c r="F12" s="3255"/>
      <c r="G12" s="3256" t="s">
        <v>109</v>
      </c>
      <c r="H12" s="3256"/>
      <c r="I12" s="3256"/>
      <c r="J12" s="3257"/>
    </row>
    <row r="13" spans="1:11">
      <c r="A13" s="3212" t="s">
        <v>107</v>
      </c>
      <c r="B13" s="3276" t="s">
        <v>108</v>
      </c>
      <c r="C13" s="3277"/>
      <c r="D13" s="3277"/>
      <c r="E13" s="3277"/>
      <c r="F13" s="3278"/>
      <c r="G13" s="3285" t="s">
        <v>131</v>
      </c>
      <c r="H13" s="3286"/>
      <c r="I13" s="3286"/>
      <c r="J13" s="3287"/>
    </row>
    <row r="14" spans="1:11">
      <c r="A14" s="3213"/>
      <c r="B14" s="3279"/>
      <c r="C14" s="3280"/>
      <c r="D14" s="3280"/>
      <c r="E14" s="3280"/>
      <c r="F14" s="3281"/>
      <c r="G14" s="3258" t="s">
        <v>132</v>
      </c>
      <c r="H14" s="3259"/>
      <c r="I14" s="3259"/>
      <c r="J14" s="3260"/>
    </row>
    <row r="15" spans="1:11">
      <c r="A15" s="3213"/>
      <c r="B15" s="3279"/>
      <c r="C15" s="3280"/>
      <c r="D15" s="3280"/>
      <c r="E15" s="3280"/>
      <c r="F15" s="3281"/>
      <c r="G15" s="3258" t="s">
        <v>133</v>
      </c>
      <c r="H15" s="3259"/>
      <c r="I15" s="3259"/>
      <c r="J15" s="3260"/>
    </row>
    <row r="16" spans="1:11">
      <c r="A16" s="3213"/>
      <c r="B16" s="3279"/>
      <c r="C16" s="3280"/>
      <c r="D16" s="3280"/>
      <c r="E16" s="3280"/>
      <c r="F16" s="3281"/>
      <c r="G16" s="3258" t="s">
        <v>134</v>
      </c>
      <c r="H16" s="3259"/>
      <c r="I16" s="3259"/>
      <c r="J16" s="3260"/>
    </row>
    <row r="17" spans="1:10">
      <c r="A17" s="3213"/>
      <c r="B17" s="3279"/>
      <c r="C17" s="3280"/>
      <c r="D17" s="3280"/>
      <c r="E17" s="3280"/>
      <c r="F17" s="3281"/>
      <c r="G17" s="3258" t="s">
        <v>135</v>
      </c>
      <c r="H17" s="3259"/>
      <c r="I17" s="3259"/>
      <c r="J17" s="3260"/>
    </row>
    <row r="18" spans="1:10" ht="16.5" thickBot="1">
      <c r="A18" s="3214"/>
      <c r="B18" s="3282"/>
      <c r="C18" s="3283"/>
      <c r="D18" s="3283"/>
      <c r="E18" s="3283"/>
      <c r="F18" s="3284"/>
      <c r="G18" s="3261" t="s">
        <v>987</v>
      </c>
      <c r="H18" s="3262"/>
      <c r="I18" s="3262"/>
      <c r="J18" s="3263"/>
    </row>
    <row r="19" spans="1:10">
      <c r="A19" s="139" t="s">
        <v>110</v>
      </c>
      <c r="B19" s="3264" t="s">
        <v>924</v>
      </c>
      <c r="C19" s="3265"/>
      <c r="D19" s="3265"/>
      <c r="E19" s="3265"/>
      <c r="F19" s="3266"/>
      <c r="G19" s="3273" t="s">
        <v>1625</v>
      </c>
      <c r="H19" s="3274"/>
      <c r="I19" s="3274"/>
      <c r="J19" s="3275"/>
    </row>
    <row r="20" spans="1:10">
      <c r="A20" s="139" t="s">
        <v>111</v>
      </c>
      <c r="B20" s="3267" t="s">
        <v>112</v>
      </c>
      <c r="C20" s="3268"/>
      <c r="D20" s="3268"/>
      <c r="E20" s="3268"/>
      <c r="F20" s="3269"/>
      <c r="G20" s="3270"/>
      <c r="H20" s="3271"/>
      <c r="I20" s="3271"/>
      <c r="J20" s="3272"/>
    </row>
    <row r="21" spans="1:10">
      <c r="A21" s="138" t="s">
        <v>113</v>
      </c>
      <c r="B21" s="3235" t="s">
        <v>927</v>
      </c>
      <c r="C21" s="3236"/>
      <c r="D21" s="3236"/>
      <c r="E21" s="3236"/>
      <c r="F21" s="3237"/>
      <c r="G21" s="3238" t="s">
        <v>1588</v>
      </c>
      <c r="H21" s="3239"/>
      <c r="I21" s="3239"/>
      <c r="J21" s="3240"/>
    </row>
    <row r="22" spans="1:10">
      <c r="A22" s="138" t="s">
        <v>115</v>
      </c>
      <c r="B22" s="3235" t="s">
        <v>926</v>
      </c>
      <c r="C22" s="3236"/>
      <c r="D22" s="3236"/>
      <c r="E22" s="3236"/>
      <c r="F22" s="3237"/>
      <c r="G22" s="3238" t="s">
        <v>1626</v>
      </c>
      <c r="H22" s="3239"/>
      <c r="I22" s="3239"/>
      <c r="J22" s="3240"/>
    </row>
    <row r="23" spans="1:10">
      <c r="A23" s="139" t="s">
        <v>117</v>
      </c>
      <c r="B23" s="3241" t="s">
        <v>118</v>
      </c>
      <c r="C23" s="3242"/>
      <c r="D23" s="3242"/>
      <c r="E23" s="3242"/>
      <c r="F23" s="3243"/>
      <c r="G23" s="3244"/>
      <c r="H23" s="3245"/>
      <c r="I23" s="3245"/>
      <c r="J23" s="3246"/>
    </row>
    <row r="24" spans="1:10">
      <c r="A24" s="141" t="s">
        <v>119</v>
      </c>
      <c r="B24" s="3230" t="s">
        <v>120</v>
      </c>
      <c r="C24" s="3231"/>
      <c r="D24" s="3231"/>
      <c r="E24" s="3231"/>
      <c r="F24" s="3232"/>
      <c r="G24" s="3227" t="s">
        <v>121</v>
      </c>
      <c r="H24" s="3228"/>
      <c r="I24" s="3228"/>
      <c r="J24" s="3229"/>
    </row>
    <row r="25" spans="1:10">
      <c r="A25" s="142"/>
      <c r="B25" s="3215" t="s">
        <v>122</v>
      </c>
      <c r="C25" s="3216"/>
      <c r="D25" s="3216"/>
      <c r="E25" s="3216"/>
      <c r="F25" s="3217"/>
      <c r="G25" s="442" t="s">
        <v>123</v>
      </c>
      <c r="H25" s="143"/>
      <c r="I25" s="143"/>
      <c r="J25" s="144"/>
    </row>
    <row r="26" spans="1:10">
      <c r="A26" s="141" t="s">
        <v>124</v>
      </c>
      <c r="B26" s="3230" t="s">
        <v>125</v>
      </c>
      <c r="C26" s="3231"/>
      <c r="D26" s="3231"/>
      <c r="E26" s="3231"/>
      <c r="F26" s="3232"/>
      <c r="G26" s="3227" t="s">
        <v>126</v>
      </c>
      <c r="H26" s="3228"/>
      <c r="I26" s="3228"/>
      <c r="J26" s="3229"/>
    </row>
    <row r="27" spans="1:10">
      <c r="A27" s="3233"/>
      <c r="B27" s="3215" t="s">
        <v>122</v>
      </c>
      <c r="C27" s="3216"/>
      <c r="D27" s="3216"/>
      <c r="E27" s="3216"/>
      <c r="F27" s="3217"/>
      <c r="G27" s="442" t="s">
        <v>496</v>
      </c>
      <c r="H27" s="599"/>
      <c r="I27" s="599"/>
      <c r="J27" s="600"/>
    </row>
    <row r="28" spans="1:10">
      <c r="A28" s="3234"/>
      <c r="B28" s="3218"/>
      <c r="C28" s="3219"/>
      <c r="D28" s="3219"/>
      <c r="E28" s="3219"/>
      <c r="F28" s="3220"/>
      <c r="G28" s="442" t="s">
        <v>499</v>
      </c>
      <c r="H28" s="143"/>
      <c r="I28" s="143"/>
      <c r="J28" s="144"/>
    </row>
    <row r="29" spans="1:10">
      <c r="A29" s="3234"/>
      <c r="B29" s="3218"/>
      <c r="C29" s="3219"/>
      <c r="D29" s="3219"/>
      <c r="E29" s="3219"/>
      <c r="F29" s="3220"/>
      <c r="G29" s="1423" t="s">
        <v>1440</v>
      </c>
      <c r="H29" s="609"/>
      <c r="I29" s="609"/>
      <c r="J29" s="610"/>
    </row>
    <row r="30" spans="1:10">
      <c r="A30" s="161"/>
      <c r="B30" s="3218"/>
      <c r="C30" s="3219"/>
      <c r="D30" s="3219"/>
      <c r="E30" s="3219"/>
      <c r="F30" s="3220"/>
      <c r="G30" s="442" t="s">
        <v>751</v>
      </c>
      <c r="H30" s="442"/>
      <c r="I30" s="442"/>
      <c r="J30" s="445"/>
    </row>
    <row r="31" spans="1:10">
      <c r="A31" s="161"/>
      <c r="B31" s="3218"/>
      <c r="C31" s="3219"/>
      <c r="D31" s="3219"/>
      <c r="E31" s="3219"/>
      <c r="F31" s="3220"/>
      <c r="G31" s="442" t="s">
        <v>1402</v>
      </c>
      <c r="H31" s="442"/>
      <c r="I31" s="442"/>
      <c r="J31" s="445"/>
    </row>
    <row r="32" spans="1:10">
      <c r="A32" s="411"/>
      <c r="B32" s="3218"/>
      <c r="C32" s="3219"/>
      <c r="D32" s="3219"/>
      <c r="E32" s="3219"/>
      <c r="F32" s="3220"/>
      <c r="G32" s="442" t="s">
        <v>874</v>
      </c>
      <c r="H32" s="442"/>
      <c r="I32" s="442"/>
      <c r="J32" s="445"/>
    </row>
    <row r="33" spans="1:10">
      <c r="A33" s="161"/>
      <c r="B33" s="3221"/>
      <c r="C33" s="3222"/>
      <c r="D33" s="3222"/>
      <c r="E33" s="3222"/>
      <c r="F33" s="3223"/>
      <c r="G33" s="442" t="s">
        <v>813</v>
      </c>
      <c r="H33" s="442"/>
      <c r="I33" s="442"/>
      <c r="J33" s="445"/>
    </row>
    <row r="34" spans="1:10">
      <c r="A34" s="141" t="s">
        <v>91</v>
      </c>
      <c r="B34" s="3230" t="s">
        <v>127</v>
      </c>
      <c r="C34" s="3231"/>
      <c r="D34" s="3231"/>
      <c r="E34" s="3231"/>
      <c r="F34" s="3232"/>
      <c r="G34" s="3227" t="s">
        <v>128</v>
      </c>
      <c r="H34" s="3228"/>
      <c r="I34" s="3228"/>
      <c r="J34" s="3229"/>
    </row>
    <row r="35" spans="1:10">
      <c r="A35" s="3212"/>
      <c r="B35" s="3215" t="s">
        <v>122</v>
      </c>
      <c r="C35" s="3216"/>
      <c r="D35" s="3216"/>
      <c r="E35" s="3216"/>
      <c r="F35" s="3217"/>
      <c r="G35" s="442" t="s">
        <v>814</v>
      </c>
      <c r="H35" s="442"/>
      <c r="I35" s="442"/>
      <c r="J35" s="445"/>
    </row>
    <row r="36" spans="1:10">
      <c r="A36" s="3213"/>
      <c r="B36" s="3218"/>
      <c r="C36" s="3219"/>
      <c r="D36" s="3219"/>
      <c r="E36" s="3219"/>
      <c r="F36" s="3220"/>
      <c r="G36" s="442" t="s">
        <v>815</v>
      </c>
      <c r="H36" s="442"/>
      <c r="I36" s="442"/>
      <c r="J36" s="445"/>
    </row>
    <row r="37" spans="1:10">
      <c r="A37" s="3213"/>
      <c r="B37" s="3218"/>
      <c r="C37" s="3219"/>
      <c r="D37" s="3219"/>
      <c r="E37" s="3219"/>
      <c r="F37" s="3220"/>
      <c r="G37" s="442" t="s">
        <v>816</v>
      </c>
      <c r="H37" s="442"/>
      <c r="I37" s="442"/>
      <c r="J37" s="445"/>
    </row>
    <row r="38" spans="1:10">
      <c r="A38" s="3213"/>
      <c r="B38" s="3218"/>
      <c r="C38" s="3219"/>
      <c r="D38" s="3219"/>
      <c r="E38" s="3219"/>
      <c r="F38" s="3220"/>
      <c r="G38" s="442" t="s">
        <v>1403</v>
      </c>
      <c r="H38" s="442"/>
      <c r="I38" s="442"/>
      <c r="J38" s="445"/>
    </row>
    <row r="39" spans="1:10">
      <c r="A39" s="3213"/>
      <c r="B39" s="3218"/>
      <c r="C39" s="3219"/>
      <c r="D39" s="3219"/>
      <c r="E39" s="3219"/>
      <c r="F39" s="3220"/>
      <c r="G39" s="1424" t="s">
        <v>1404</v>
      </c>
      <c r="H39" s="442"/>
      <c r="I39" s="442"/>
      <c r="J39" s="445"/>
    </row>
    <row r="40" spans="1:10" ht="15.75" customHeight="1">
      <c r="A40" s="3213"/>
      <c r="B40" s="3218"/>
      <c r="C40" s="3219"/>
      <c r="D40" s="3219"/>
      <c r="E40" s="3219"/>
      <c r="F40" s="3220"/>
      <c r="G40" s="1424" t="s">
        <v>823</v>
      </c>
      <c r="H40" s="442"/>
      <c r="I40" s="442"/>
      <c r="J40" s="445"/>
    </row>
    <row r="41" spans="1:10" ht="15.75" customHeight="1">
      <c r="A41" s="3214"/>
      <c r="B41" s="3221"/>
      <c r="C41" s="3222"/>
      <c r="D41" s="3222"/>
      <c r="E41" s="3222"/>
      <c r="F41" s="3223"/>
      <c r="G41" s="1424" t="s">
        <v>1405</v>
      </c>
      <c r="H41" s="442"/>
      <c r="I41" s="442"/>
      <c r="J41" s="445"/>
    </row>
    <row r="42" spans="1:10">
      <c r="A42" s="141" t="s">
        <v>92</v>
      </c>
      <c r="B42" s="3230" t="s">
        <v>129</v>
      </c>
      <c r="C42" s="3231"/>
      <c r="D42" s="3231"/>
      <c r="E42" s="3231"/>
      <c r="F42" s="3232"/>
      <c r="G42" s="3227" t="s">
        <v>130</v>
      </c>
      <c r="H42" s="3228"/>
      <c r="I42" s="3228"/>
      <c r="J42" s="3229"/>
    </row>
    <row r="43" spans="1:10">
      <c r="A43" s="141"/>
      <c r="B43" s="3218" t="s">
        <v>122</v>
      </c>
      <c r="C43" s="3219"/>
      <c r="D43" s="3219"/>
      <c r="E43" s="3219"/>
      <c r="F43" s="3220"/>
      <c r="G43" s="442" t="s">
        <v>824</v>
      </c>
      <c r="H43" s="446"/>
      <c r="I43" s="442"/>
      <c r="J43" s="445"/>
    </row>
    <row r="44" spans="1:10">
      <c r="A44" s="141" t="s">
        <v>491</v>
      </c>
      <c r="B44" s="3230" t="s">
        <v>492</v>
      </c>
      <c r="C44" s="3231"/>
      <c r="D44" s="3231"/>
      <c r="E44" s="3231"/>
      <c r="F44" s="3232"/>
      <c r="G44" s="3227" t="s">
        <v>755</v>
      </c>
      <c r="H44" s="3228"/>
      <c r="I44" s="3228"/>
      <c r="J44" s="3229"/>
    </row>
    <row r="45" spans="1:10">
      <c r="A45" s="3212"/>
      <c r="B45" s="3215" t="s">
        <v>122</v>
      </c>
      <c r="C45" s="3216"/>
      <c r="D45" s="3216"/>
      <c r="E45" s="3216"/>
      <c r="F45" s="3217"/>
      <c r="G45" s="442" t="s">
        <v>825</v>
      </c>
      <c r="H45" s="599"/>
      <c r="I45" s="599"/>
      <c r="J45" s="600"/>
    </row>
    <row r="46" spans="1:10">
      <c r="A46" s="3214"/>
      <c r="B46" s="3218"/>
      <c r="C46" s="3219"/>
      <c r="D46" s="3219"/>
      <c r="E46" s="3219"/>
      <c r="F46" s="3220"/>
      <c r="G46" s="442" t="s">
        <v>826</v>
      </c>
      <c r="H46" s="599"/>
      <c r="I46" s="599"/>
      <c r="J46" s="600"/>
    </row>
    <row r="47" spans="1:10">
      <c r="A47" s="141" t="s">
        <v>752</v>
      </c>
      <c r="B47" s="3230" t="s">
        <v>494</v>
      </c>
      <c r="C47" s="3231"/>
      <c r="D47" s="3231"/>
      <c r="E47" s="3231"/>
      <c r="F47" s="3232"/>
      <c r="G47" s="3227" t="s">
        <v>493</v>
      </c>
      <c r="H47" s="3228"/>
      <c r="I47" s="3228"/>
      <c r="J47" s="3229"/>
    </row>
    <row r="48" spans="1:10">
      <c r="A48" s="3212"/>
      <c r="B48" s="3215" t="s">
        <v>122</v>
      </c>
      <c r="C48" s="3216"/>
      <c r="D48" s="3216"/>
      <c r="E48" s="3216"/>
      <c r="F48" s="3217"/>
      <c r="G48" s="442" t="s">
        <v>827</v>
      </c>
      <c r="H48" s="442"/>
      <c r="I48" s="442"/>
      <c r="J48" s="445"/>
    </row>
    <row r="49" spans="1:11">
      <c r="A49" s="3213"/>
      <c r="B49" s="3218"/>
      <c r="C49" s="3219"/>
      <c r="D49" s="3219"/>
      <c r="E49" s="3219"/>
      <c r="F49" s="3220"/>
      <c r="G49" s="442" t="s">
        <v>828</v>
      </c>
      <c r="H49" s="442"/>
      <c r="I49" s="442"/>
      <c r="J49" s="445"/>
    </row>
    <row r="50" spans="1:11">
      <c r="A50" s="3213"/>
      <c r="B50" s="3218"/>
      <c r="C50" s="3219"/>
      <c r="D50" s="3219"/>
      <c r="E50" s="3219"/>
      <c r="F50" s="3220"/>
      <c r="G50" s="442" t="s">
        <v>829</v>
      </c>
      <c r="H50" s="442"/>
      <c r="I50" s="442"/>
      <c r="J50" s="445"/>
    </row>
    <row r="51" spans="1:11">
      <c r="A51" s="3213"/>
      <c r="B51" s="3218"/>
      <c r="C51" s="3219"/>
      <c r="D51" s="3219"/>
      <c r="E51" s="3219"/>
      <c r="F51" s="3220"/>
      <c r="G51" s="442" t="s">
        <v>1406</v>
      </c>
      <c r="H51" s="442"/>
      <c r="I51" s="442"/>
      <c r="J51" s="445"/>
    </row>
    <row r="52" spans="1:11">
      <c r="A52" s="3214"/>
      <c r="B52" s="3221"/>
      <c r="C52" s="3222"/>
      <c r="D52" s="3222"/>
      <c r="E52" s="3222"/>
      <c r="F52" s="3223"/>
      <c r="G52" s="442" t="s">
        <v>830</v>
      </c>
      <c r="H52" s="442"/>
      <c r="I52" s="442"/>
      <c r="J52" s="445"/>
    </row>
    <row r="53" spans="1:11">
      <c r="A53" s="141" t="s">
        <v>753</v>
      </c>
      <c r="B53" s="3230" t="s">
        <v>754</v>
      </c>
      <c r="C53" s="3231"/>
      <c r="D53" s="3231"/>
      <c r="E53" s="3231"/>
      <c r="F53" s="3232"/>
      <c r="G53" s="3227" t="s">
        <v>495</v>
      </c>
      <c r="H53" s="3228"/>
      <c r="I53" s="3228"/>
      <c r="J53" s="3229"/>
    </row>
    <row r="54" spans="1:11" ht="22.5" customHeight="1" thickBot="1">
      <c r="A54" s="1422"/>
      <c r="B54" s="3224"/>
      <c r="C54" s="3225"/>
      <c r="D54" s="3225"/>
      <c r="E54" s="3225"/>
      <c r="F54" s="3226"/>
      <c r="G54" s="449" t="s">
        <v>501</v>
      </c>
      <c r="H54" s="447"/>
      <c r="I54" s="447"/>
      <c r="J54" s="448"/>
    </row>
    <row r="56" spans="1:11">
      <c r="B56" s="145" t="str">
        <f>"Дата: "&amp;G19</f>
        <v>Дата: 10.11.2017 г.</v>
      </c>
      <c r="H56" s="146" t="s">
        <v>114</v>
      </c>
      <c r="I56" s="147" t="s">
        <v>4</v>
      </c>
      <c r="J56" s="147"/>
    </row>
    <row r="57" spans="1:11">
      <c r="H57" s="149"/>
      <c r="I57" s="150" t="s">
        <v>5</v>
      </c>
    </row>
    <row r="58" spans="1:11">
      <c r="F58" s="148"/>
      <c r="H58" s="151"/>
      <c r="I58" s="151"/>
      <c r="J58" s="151"/>
    </row>
    <row r="59" spans="1:11">
      <c r="F59" s="151"/>
      <c r="H59" s="151"/>
      <c r="I59" s="151"/>
      <c r="J59" s="151"/>
    </row>
    <row r="60" spans="1:11">
      <c r="F60" s="151"/>
      <c r="H60" s="195" t="s">
        <v>756</v>
      </c>
      <c r="I60" s="153" t="s">
        <v>925</v>
      </c>
      <c r="J60" s="151"/>
    </row>
    <row r="61" spans="1:11">
      <c r="F61" s="151"/>
      <c r="H61" s="149"/>
      <c r="I61" s="150" t="s">
        <v>6</v>
      </c>
      <c r="K61" s="152"/>
    </row>
    <row r="62" spans="1:11">
      <c r="F62" s="148"/>
      <c r="G62" s="154"/>
      <c r="H62" s="148"/>
      <c r="I62" s="155"/>
    </row>
    <row r="63" spans="1:11">
      <c r="A63" s="21" t="s">
        <v>757</v>
      </c>
      <c r="F63" s="148"/>
      <c r="G63" s="525"/>
      <c r="H63" s="23"/>
      <c r="I63" s="23"/>
      <c r="J63" s="23"/>
    </row>
    <row r="64" spans="1:11" s="23" customFormat="1">
      <c r="A64" s="198" t="s">
        <v>248</v>
      </c>
      <c r="B64" s="196"/>
      <c r="C64" s="196"/>
      <c r="D64" s="196"/>
      <c r="E64" s="29"/>
      <c r="F64" s="29"/>
      <c r="G64" s="525"/>
      <c r="H64" s="30"/>
      <c r="I64" s="30"/>
      <c r="J64" s="31"/>
    </row>
    <row r="65" spans="2:11" s="31" customFormat="1">
      <c r="B65" s="197"/>
      <c r="C65" s="197"/>
      <c r="D65" s="197"/>
      <c r="E65" s="29"/>
      <c r="F65" s="29"/>
      <c r="G65" s="135"/>
      <c r="H65" s="135"/>
      <c r="I65" s="135"/>
      <c r="J65" s="135"/>
      <c r="K65" s="32"/>
    </row>
  </sheetData>
  <sheetProtection password="C6DB" sheet="1" objects="1" scenarios="1" formatCells="0" formatColumns="0"/>
  <mergeCells count="60">
    <mergeCell ref="B10:F10"/>
    <mergeCell ref="G10:J10"/>
    <mergeCell ref="A2:J2"/>
    <mergeCell ref="A3:J3"/>
    <mergeCell ref="A4:J4"/>
    <mergeCell ref="A6:A7"/>
    <mergeCell ref="B6:J6"/>
    <mergeCell ref="B7:F7"/>
    <mergeCell ref="G7:J7"/>
    <mergeCell ref="B8:F8"/>
    <mergeCell ref="G8:J8"/>
    <mergeCell ref="B9:F9"/>
    <mergeCell ref="G9:J9"/>
    <mergeCell ref="A13:A18"/>
    <mergeCell ref="B13:F18"/>
    <mergeCell ref="G13:J13"/>
    <mergeCell ref="G14:J14"/>
    <mergeCell ref="G15:J15"/>
    <mergeCell ref="G16:J16"/>
    <mergeCell ref="B21:F21"/>
    <mergeCell ref="G21:J21"/>
    <mergeCell ref="B11:F11"/>
    <mergeCell ref="G11:J11"/>
    <mergeCell ref="B12:F12"/>
    <mergeCell ref="G12:J12"/>
    <mergeCell ref="G17:J17"/>
    <mergeCell ref="G18:J18"/>
    <mergeCell ref="B19:F19"/>
    <mergeCell ref="B20:F20"/>
    <mergeCell ref="G20:J20"/>
    <mergeCell ref="G19:J19"/>
    <mergeCell ref="B22:F22"/>
    <mergeCell ref="G22:J22"/>
    <mergeCell ref="B23:F23"/>
    <mergeCell ref="G23:J23"/>
    <mergeCell ref="B44:F44"/>
    <mergeCell ref="B24:F24"/>
    <mergeCell ref="G24:J24"/>
    <mergeCell ref="B25:F25"/>
    <mergeCell ref="B26:F26"/>
    <mergeCell ref="G26:J26"/>
    <mergeCell ref="G47:J47"/>
    <mergeCell ref="B42:F42"/>
    <mergeCell ref="A35:A41"/>
    <mergeCell ref="B35:F41"/>
    <mergeCell ref="B45:F46"/>
    <mergeCell ref="B47:F47"/>
    <mergeCell ref="A45:A46"/>
    <mergeCell ref="G44:J44"/>
    <mergeCell ref="A27:A29"/>
    <mergeCell ref="B27:F33"/>
    <mergeCell ref="B34:F34"/>
    <mergeCell ref="G34:J34"/>
    <mergeCell ref="B43:F43"/>
    <mergeCell ref="G42:J42"/>
    <mergeCell ref="A48:A52"/>
    <mergeCell ref="B48:F52"/>
    <mergeCell ref="B54:F54"/>
    <mergeCell ref="G53:J53"/>
    <mergeCell ref="B53:F53"/>
  </mergeCells>
  <hyperlinks>
    <hyperlink ref="G25:J25" location="'1. Анкетна карта'!A1" display="Справка № 1 - Анкетна карта"/>
    <hyperlink ref="G27" location="'2. Променливи'!A1" display="Справка № 2 - Променливи за изчисление на показателите за качество на предоставяните В и К услуги"/>
    <hyperlink ref="G28" location="'3. Показатели за качество'!A1" display="Справка № 3 - Показатели за качество на предоставяните В и К услуги "/>
    <hyperlink ref="G36:J36" location="'5. Финансиране на ИП'!A1" display="Справка № 5 - Инвестиции и източници на финансиране"/>
    <hyperlink ref="G35" location="'9.Инвестиционна програма'!A1" display="Справка № 9 - Инвестиционна програма"/>
    <hyperlink ref="G37" location="'11. Амортиз. план'!A1" display="Справка № 11 - Амортизационен план на Дълготрайни Активи"/>
    <hyperlink ref="G38" location="'11.1.Амортиз.нови активи'!A1" display="Справка № 10.1 - Амортизация на новоизградени активи, чрез инвестиционната програма"/>
    <hyperlink ref="G54:J54" location="'9. Соц. поносимост'!A1" display="Справка № 20 - Анализ на социалната поносимост на предлаганите цени"/>
    <hyperlink ref="G49:J49" location="'11.РБА'!A1" display="Справка № 11  - Регулаторна база на активите"/>
    <hyperlink ref="G48:J48" location="'10.Необходими приходи'!A1" display="Справка № 10  - Необходими приходи"/>
    <hyperlink ref="G50:J50" location="'13.HB'!A1" display="Справка № 12  - Оборотен капитал"/>
    <hyperlink ref="G51:J51" location="'13.HB'!A1" display="Справка № 13  - Необходима възвръщаемост"/>
    <hyperlink ref="G52:J52" location="'14.Цени за дост.,отв. и преч.'!A1" display="Справка № 14  - Цени за доставяне на вода, отвеждане и пречистване на отпадъчни води"/>
    <hyperlink ref="G54" location="Пояснения!A1" display="Допълнителни пояснения към Показателите за качество на предоставяните В и К услуги"/>
    <hyperlink ref="G36" location="'10. Финансиране на ИП'!A1" display="Справка № 10 - Инвестиции и източници на финансиране"/>
    <hyperlink ref="G43" location="'13. Соц. поносимост'!A1" display="Справка № 12 - Анализ на социалната поносимост на предлаганите цени"/>
    <hyperlink ref="G49" location="'17. РБА'!A1" display="Справка № 16  - Регулаторна база на активите"/>
    <hyperlink ref="G48" location="'16. Необходими приходи'!A1" display="Справка № 15  - Необходими приходи"/>
    <hyperlink ref="G50" location="'18. OK'!A1" display="Справка № 17  - Оборотен капитал"/>
    <hyperlink ref="G51" location="'19. HB'!A1" display="Справка № 18  - Необходима възвръщаемост"/>
    <hyperlink ref="G52" location="'20.Цени за дост.,отв. и преч.'!A1" display="Справка № 19  - Цени за доставяне на вода, отвеждане и пречистване на отпадъчни води"/>
    <hyperlink ref="G30" location="'5. Персонал'!A1" display="Справка № 5 - Персонал"/>
    <hyperlink ref="G31" location="'6. Ел.Енергия'!A1" display="Справка № 6 - Отчет и прогнозно ниво на потребление на ел.енергия за периода на бизнес плана"/>
    <hyperlink ref="G33" location="'8. Ремонтна програма'!A1" display="Справка № 7 - Ремонтна програма"/>
    <hyperlink ref="G45" location="'14. ОПР'!A1" display="Справка № 13  - Прогнозен отчет за приходите и разходите"/>
    <hyperlink ref="G46" location="'15. ОПП'!A1" display="Справка № 14  - Прогнозен отчет за паричния поток"/>
    <hyperlink ref="G32" location="'7. Утайки от ПСОВ'!A1" display="Справка № 7 - Оползотворяване на утойки от ПСОВ"/>
    <hyperlink ref="G29" location="'4. Отчет и прогн. потребление'!A1" display="Справка № 4 -  Отчет и прогнозно ниво на потребление на ВиК услугите  за периода на бизнес плана"/>
    <hyperlink ref="G39" location="'11.2. Нови активи отч.год.'!A1" display="Справка № 11.2 - Новопродобити активи през отчетната година"/>
    <hyperlink ref="G40" location="'12. Разходи'!A1" display="Справка № 12 - Годишни разходи"/>
    <hyperlink ref="G41" location="'12.1.Разходи-увелич.и нам.'!A1" display="Справка № 12.1 - Изменения на годишните разходи спрямо отчетната година"/>
  </hyperlinks>
  <printOptions horizontalCentered="1"/>
  <pageMargins left="0.78740157480314965" right="0.59055118110236227" top="0.59055118110236227" bottom="0.59055118110236227" header="0.78740157480314965" footer="0.78740157480314965"/>
  <pageSetup paperSize="9" scale="55" orientation="portrait" r:id="rId1"/>
  <ignoredErrors>
    <ignoredError sqref="A9:A10 A33:A35 A11:A22 A30:A31 A23:A29" numberStoredAsText="1"/>
  </ignoredErrors>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BCF6C6"/>
  </sheetPr>
  <dimension ref="A1:BB110"/>
  <sheetViews>
    <sheetView view="pageBreakPreview" zoomScale="90" zoomScaleNormal="100" zoomScaleSheetLayoutView="90" workbookViewId="0">
      <pane xSplit="4" ySplit="9" topLeftCell="E97" activePane="bottomRight" state="frozen"/>
      <selection pane="topRight" activeCell="E1" sqref="E1"/>
      <selection pane="bottomLeft" activeCell="A10" sqref="A10"/>
      <selection pane="bottomRight" activeCell="G66" sqref="G66:K66"/>
    </sheetView>
  </sheetViews>
  <sheetFormatPr defaultColWidth="9.140625" defaultRowHeight="12.75"/>
  <cols>
    <col min="1" max="1" width="4.42578125" style="178" customWidth="1"/>
    <col min="2" max="2" width="9.5703125" style="178" customWidth="1"/>
    <col min="3" max="3" width="8.7109375" style="172" customWidth="1"/>
    <col min="4" max="4" width="35.140625" style="181" customWidth="1"/>
    <col min="5" max="6" width="9.85546875" style="851" customWidth="1"/>
    <col min="7" max="11" width="9.85546875" style="182" customWidth="1"/>
    <col min="12" max="12" width="10.28515625" style="178" customWidth="1"/>
    <col min="13" max="14" width="9.140625" style="844" customWidth="1"/>
    <col min="15" max="19" width="9.140625" style="178" customWidth="1"/>
    <col min="20" max="21" width="9.140625" style="844" customWidth="1"/>
    <col min="22" max="26" width="9.140625" style="178" customWidth="1"/>
    <col min="27" max="27" width="7.85546875" style="178" customWidth="1"/>
    <col min="28" max="28" width="56.42578125" style="181" customWidth="1"/>
    <col min="29" max="29" width="47.5703125" style="181" customWidth="1"/>
    <col min="30" max="30" width="7.5703125" style="538" customWidth="1"/>
    <col min="31" max="31" width="9" style="538" customWidth="1"/>
    <col min="32" max="36" width="9" style="536" customWidth="1"/>
    <col min="37" max="37" width="9" style="183" customWidth="1"/>
    <col min="38" max="38" width="33.7109375" style="179" customWidth="1"/>
    <col min="39" max="16384" width="9.140625" style="183"/>
  </cols>
  <sheetData>
    <row r="1" spans="1:54" ht="13.5">
      <c r="E1" s="844"/>
      <c r="F1" s="844"/>
      <c r="G1" s="178"/>
      <c r="H1" s="178"/>
      <c r="I1" s="178"/>
      <c r="J1" s="178"/>
      <c r="K1" s="178"/>
      <c r="N1" s="664"/>
      <c r="O1" s="516"/>
      <c r="Q1" s="480"/>
      <c r="R1" s="480"/>
      <c r="S1" s="480"/>
      <c r="AC1" s="241"/>
      <c r="AD1" s="1610"/>
      <c r="AF1" s="178"/>
      <c r="AG1" s="178"/>
      <c r="AH1" s="178"/>
      <c r="AI1" s="178"/>
      <c r="AJ1" s="1610" t="s">
        <v>249</v>
      </c>
      <c r="AK1" s="172"/>
      <c r="AM1" s="172"/>
      <c r="AN1" s="172"/>
      <c r="AO1" s="172"/>
      <c r="AP1" s="172"/>
      <c r="AQ1" s="172"/>
      <c r="AR1" s="172"/>
      <c r="AS1" s="172"/>
      <c r="AT1" s="172"/>
      <c r="AU1" s="172"/>
      <c r="AV1" s="172"/>
      <c r="AW1" s="172"/>
      <c r="AX1" s="172"/>
      <c r="AY1" s="172"/>
      <c r="AZ1" s="172"/>
      <c r="BA1" s="172"/>
      <c r="BB1" s="172"/>
    </row>
    <row r="2" spans="1:54" ht="34.9" customHeight="1">
      <c r="A2" s="3415" t="s">
        <v>876</v>
      </c>
      <c r="B2" s="3415"/>
      <c r="C2" s="3415"/>
      <c r="D2" s="3415"/>
      <c r="E2" s="3415"/>
      <c r="F2" s="3415"/>
      <c r="G2" s="3415"/>
      <c r="H2" s="3415"/>
      <c r="I2" s="3415"/>
      <c r="J2" s="3415"/>
      <c r="K2" s="3415"/>
      <c r="L2" s="3415"/>
      <c r="M2" s="3415"/>
      <c r="N2" s="3415"/>
      <c r="O2" s="3415"/>
      <c r="P2" s="3415"/>
      <c r="Q2" s="3415"/>
      <c r="R2" s="3415"/>
      <c r="S2" s="3415"/>
      <c r="T2" s="3415"/>
      <c r="U2" s="3415"/>
      <c r="V2" s="3415"/>
      <c r="W2" s="3415"/>
      <c r="X2" s="3415"/>
      <c r="Y2" s="3415"/>
      <c r="Z2" s="3415"/>
      <c r="AA2" s="3415"/>
      <c r="AB2" s="2208"/>
      <c r="AC2" s="2208"/>
      <c r="AD2" s="1610"/>
      <c r="AF2" s="178"/>
      <c r="AG2" s="178"/>
      <c r="AH2" s="178"/>
      <c r="AI2" s="178"/>
      <c r="AJ2" s="1610"/>
      <c r="AK2" s="172"/>
      <c r="AM2" s="172"/>
      <c r="AN2" s="172"/>
      <c r="AO2" s="172"/>
      <c r="AP2" s="172"/>
      <c r="AQ2" s="172"/>
      <c r="AR2" s="172"/>
      <c r="AS2" s="172"/>
      <c r="AT2" s="172"/>
      <c r="AU2" s="172"/>
      <c r="AV2" s="172"/>
      <c r="AW2" s="172"/>
      <c r="AX2" s="172"/>
      <c r="AY2" s="172"/>
      <c r="AZ2" s="172"/>
      <c r="BA2" s="172"/>
      <c r="BB2" s="172"/>
    </row>
    <row r="3" spans="1:54" ht="18.75" hidden="1" customHeight="1">
      <c r="A3" s="3415" t="s">
        <v>1414</v>
      </c>
      <c r="B3" s="3415"/>
      <c r="C3" s="3415"/>
      <c r="D3" s="3415"/>
      <c r="E3" s="3415"/>
      <c r="F3" s="3415"/>
      <c r="G3" s="3415"/>
      <c r="H3" s="3415"/>
      <c r="I3" s="3415"/>
      <c r="J3" s="3415"/>
      <c r="K3" s="3415"/>
      <c r="L3" s="3415"/>
      <c r="M3" s="3415"/>
      <c r="N3" s="3415"/>
      <c r="O3" s="3415"/>
      <c r="P3" s="3415"/>
      <c r="Q3" s="3415"/>
      <c r="R3" s="3415"/>
      <c r="S3" s="3415"/>
      <c r="T3" s="3415"/>
      <c r="U3" s="3415"/>
      <c r="V3" s="3415"/>
      <c r="W3" s="3415"/>
      <c r="X3" s="3415"/>
      <c r="Y3" s="3415"/>
      <c r="Z3" s="3415"/>
      <c r="AA3" s="3415"/>
      <c r="AB3" s="2208"/>
      <c r="AC3" s="2208"/>
      <c r="AD3" s="178"/>
      <c r="AE3" s="178"/>
      <c r="AF3" s="178"/>
      <c r="AG3" s="178"/>
      <c r="AH3" s="178"/>
      <c r="AI3" s="178"/>
      <c r="AJ3" s="178"/>
      <c r="AK3" s="172"/>
      <c r="AL3" s="1788"/>
      <c r="AM3" s="172"/>
      <c r="AN3" s="172"/>
      <c r="AO3" s="172"/>
      <c r="AP3" s="172"/>
      <c r="AQ3" s="172"/>
      <c r="AR3" s="172"/>
      <c r="AS3" s="172"/>
      <c r="AT3" s="172"/>
      <c r="AU3" s="172"/>
      <c r="AV3" s="172"/>
      <c r="AW3" s="172"/>
      <c r="AX3" s="172"/>
      <c r="AY3" s="172"/>
      <c r="AZ3" s="172"/>
      <c r="BA3" s="172"/>
      <c r="BB3" s="172"/>
    </row>
    <row r="4" spans="1:54" ht="18.75">
      <c r="A4" s="3505" t="str">
        <f>'1. Анкетна карта'!A3:J3</f>
        <v>на "ВОДОСНАБДЯВАНЕ И КАНАЛИЗАЦИЯ ДОБРИЧ" АД, гр. Добрич</v>
      </c>
      <c r="B4" s="3505"/>
      <c r="C4" s="3505"/>
      <c r="D4" s="3505"/>
      <c r="E4" s="3505"/>
      <c r="F4" s="3505"/>
      <c r="G4" s="3505"/>
      <c r="H4" s="3505"/>
      <c r="I4" s="3505"/>
      <c r="J4" s="3505"/>
      <c r="K4" s="3505"/>
      <c r="L4" s="3505"/>
      <c r="M4" s="3505"/>
      <c r="N4" s="3505"/>
      <c r="O4" s="3505"/>
      <c r="P4" s="3505"/>
      <c r="Q4" s="3505"/>
      <c r="R4" s="3505"/>
      <c r="S4" s="3505"/>
      <c r="T4" s="3505"/>
      <c r="U4" s="3505"/>
      <c r="V4" s="3505"/>
      <c r="W4" s="3505"/>
      <c r="X4" s="3505"/>
      <c r="Y4" s="3505"/>
      <c r="Z4" s="3505"/>
      <c r="AA4" s="3505"/>
      <c r="AB4" s="2209"/>
      <c r="AC4" s="2209"/>
      <c r="AD4" s="535"/>
      <c r="AE4" s="535"/>
      <c r="AF4" s="535"/>
      <c r="AG4" s="535"/>
      <c r="AH4" s="535"/>
      <c r="AI4" s="535"/>
      <c r="AJ4" s="535"/>
      <c r="AK4" s="180"/>
      <c r="AL4" s="1789"/>
      <c r="AM4" s="180"/>
      <c r="AN4" s="180"/>
      <c r="AO4" s="180"/>
      <c r="AP4" s="180"/>
      <c r="AQ4" s="180"/>
      <c r="AR4" s="180"/>
      <c r="AS4" s="180"/>
      <c r="AT4" s="180"/>
      <c r="AU4" s="180"/>
      <c r="AV4" s="180"/>
      <c r="AW4" s="180"/>
      <c r="AX4" s="180"/>
      <c r="AY4" s="180"/>
      <c r="AZ4" s="180"/>
      <c r="BA4" s="180"/>
      <c r="BB4" s="180"/>
    </row>
    <row r="5" spans="1:54" ht="18.75">
      <c r="A5" s="3505" t="str">
        <f>'1. Анкетна карта'!A4:J4</f>
        <v>ЕИК по БУЛСТАТ: 204219357</v>
      </c>
      <c r="B5" s="3505"/>
      <c r="C5" s="3505"/>
      <c r="D5" s="3505"/>
      <c r="E5" s="3505"/>
      <c r="F5" s="3505"/>
      <c r="G5" s="3505"/>
      <c r="H5" s="3505"/>
      <c r="I5" s="3505"/>
      <c r="J5" s="3505"/>
      <c r="K5" s="3505"/>
      <c r="L5" s="3505"/>
      <c r="M5" s="3505"/>
      <c r="N5" s="3505"/>
      <c r="O5" s="3505"/>
      <c r="P5" s="3505"/>
      <c r="Q5" s="3505"/>
      <c r="R5" s="3505"/>
      <c r="S5" s="3505"/>
      <c r="T5" s="3505"/>
      <c r="U5" s="3505"/>
      <c r="V5" s="3505"/>
      <c r="W5" s="3505"/>
      <c r="X5" s="3505"/>
      <c r="Y5" s="3505"/>
      <c r="Z5" s="3505"/>
      <c r="AA5" s="3505"/>
      <c r="AB5" s="2209"/>
      <c r="AC5" s="2209"/>
      <c r="AD5" s="535"/>
      <c r="AE5" s="535"/>
      <c r="AF5" s="535"/>
      <c r="AG5" s="535"/>
      <c r="AH5" s="535"/>
      <c r="AI5" s="535"/>
      <c r="AJ5" s="535"/>
      <c r="AK5" s="180"/>
      <c r="AL5" s="1789"/>
      <c r="AM5" s="180"/>
      <c r="AN5" s="180"/>
      <c r="AO5" s="180"/>
      <c r="AP5" s="180"/>
      <c r="AQ5" s="180"/>
      <c r="AR5" s="180"/>
      <c r="AS5" s="180"/>
      <c r="AT5" s="180"/>
      <c r="AU5" s="180"/>
      <c r="AV5" s="180"/>
      <c r="AW5" s="180"/>
      <c r="AX5" s="180"/>
      <c r="AY5" s="180"/>
      <c r="AZ5" s="180"/>
      <c r="BA5" s="180"/>
      <c r="BB5" s="180"/>
    </row>
    <row r="6" spans="1:54" ht="13.5">
      <c r="E6" s="844"/>
      <c r="F6" s="844"/>
      <c r="G6" s="178"/>
      <c r="H6" s="178"/>
      <c r="I6" s="178"/>
      <c r="J6" s="178"/>
      <c r="K6" s="178"/>
      <c r="N6" s="664"/>
      <c r="O6" s="516"/>
      <c r="Q6" s="480"/>
      <c r="R6" s="480"/>
      <c r="S6" s="480"/>
      <c r="AB6" s="3513"/>
      <c r="AC6" s="3513"/>
      <c r="AD6" s="536"/>
      <c r="AE6" s="536"/>
    </row>
    <row r="7" spans="1:54" ht="13.5" thickBot="1">
      <c r="A7" s="3520"/>
      <c r="B7" s="3520"/>
      <c r="C7" s="3520"/>
      <c r="D7" s="3520"/>
      <c r="E7" s="3520"/>
      <c r="F7" s="3520"/>
      <c r="G7" s="3520"/>
      <c r="H7" s="3520"/>
      <c r="I7" s="3520"/>
      <c r="J7" s="3520"/>
      <c r="K7" s="3520"/>
      <c r="L7" s="3520"/>
      <c r="M7" s="3520"/>
      <c r="N7" s="3520"/>
      <c r="O7" s="3520"/>
      <c r="P7" s="3520"/>
      <c r="Q7" s="3520"/>
      <c r="R7" s="3520"/>
      <c r="S7" s="3520"/>
      <c r="T7" s="3520"/>
      <c r="U7" s="3520"/>
      <c r="V7" s="3520"/>
      <c r="W7" s="3520"/>
      <c r="X7" s="3520"/>
      <c r="Y7" s="3520"/>
      <c r="Z7" s="3520"/>
      <c r="AA7" s="3520"/>
      <c r="AB7" s="3520"/>
      <c r="AC7" s="3520"/>
      <c r="AD7" s="536"/>
      <c r="AE7" s="536"/>
      <c r="AL7" s="1790"/>
    </row>
    <row r="8" spans="1:54" s="185" customFormat="1" ht="24.75" customHeight="1" thickBot="1">
      <c r="A8" s="3476" t="s">
        <v>264</v>
      </c>
      <c r="B8" s="3508" t="s">
        <v>517</v>
      </c>
      <c r="C8" s="3508" t="s">
        <v>1490</v>
      </c>
      <c r="D8" s="3508" t="s">
        <v>265</v>
      </c>
      <c r="E8" s="3514" t="s">
        <v>482</v>
      </c>
      <c r="F8" s="3515"/>
      <c r="G8" s="3515"/>
      <c r="H8" s="3515"/>
      <c r="I8" s="3515"/>
      <c r="J8" s="3515"/>
      <c r="K8" s="3516"/>
      <c r="L8" s="3508" t="s">
        <v>1209</v>
      </c>
      <c r="M8" s="3517" t="s">
        <v>266</v>
      </c>
      <c r="N8" s="3518"/>
      <c r="O8" s="3518"/>
      <c r="P8" s="3518"/>
      <c r="Q8" s="3518"/>
      <c r="R8" s="3518"/>
      <c r="S8" s="3519"/>
      <c r="T8" s="3517" t="s">
        <v>267</v>
      </c>
      <c r="U8" s="3518"/>
      <c r="V8" s="3518"/>
      <c r="W8" s="3518"/>
      <c r="X8" s="3518"/>
      <c r="Y8" s="3518"/>
      <c r="Z8" s="3519"/>
      <c r="AA8" s="3521" t="s">
        <v>1208</v>
      </c>
      <c r="AB8" s="3503" t="s">
        <v>1492</v>
      </c>
      <c r="AC8" s="3503" t="s">
        <v>1491</v>
      </c>
      <c r="AD8" s="3510" t="s">
        <v>907</v>
      </c>
      <c r="AE8" s="3511"/>
      <c r="AF8" s="3511"/>
      <c r="AG8" s="3511"/>
      <c r="AH8" s="3511"/>
      <c r="AI8" s="3511"/>
      <c r="AJ8" s="3511"/>
      <c r="AK8" s="3512"/>
      <c r="AL8" s="3506" t="s">
        <v>516</v>
      </c>
    </row>
    <row r="9" spans="1:54" ht="36.75" customHeight="1" thickBot="1">
      <c r="A9" s="3477"/>
      <c r="B9" s="3509"/>
      <c r="C9" s="3509"/>
      <c r="D9" s="3509"/>
      <c r="E9" s="865" t="str">
        <f>'Приложение '!$G12</f>
        <v>2015 г.</v>
      </c>
      <c r="F9" s="2202" t="str">
        <f>'Приложение '!$G13</f>
        <v>2016 г.</v>
      </c>
      <c r="G9" s="2201" t="str">
        <f>'Приложение '!$G14</f>
        <v>2017 г.</v>
      </c>
      <c r="H9" s="866" t="str">
        <f>'Приложение '!$G15</f>
        <v>2018 г.</v>
      </c>
      <c r="I9" s="866" t="str">
        <f>'Приложение '!$G16</f>
        <v>2019 г.</v>
      </c>
      <c r="J9" s="866" t="str">
        <f>'Приложение '!$G17</f>
        <v>2020 г.</v>
      </c>
      <c r="K9" s="867" t="str">
        <f>'Приложение '!$G18</f>
        <v>2021 г.</v>
      </c>
      <c r="L9" s="3509"/>
      <c r="M9" s="2203" t="str">
        <f>E9</f>
        <v>2015 г.</v>
      </c>
      <c r="N9" s="869" t="str">
        <f t="shared" ref="N9:S9" si="0">F9</f>
        <v>2016 г.</v>
      </c>
      <c r="O9" s="870" t="str">
        <f t="shared" si="0"/>
        <v>2017 г.</v>
      </c>
      <c r="P9" s="871" t="str">
        <f t="shared" si="0"/>
        <v>2018 г.</v>
      </c>
      <c r="Q9" s="871" t="str">
        <f t="shared" si="0"/>
        <v>2019 г.</v>
      </c>
      <c r="R9" s="871" t="str">
        <f t="shared" si="0"/>
        <v>2020 г.</v>
      </c>
      <c r="S9" s="872" t="str">
        <f t="shared" si="0"/>
        <v>2021 г.</v>
      </c>
      <c r="T9" s="868" t="str">
        <f>M9</f>
        <v>2015 г.</v>
      </c>
      <c r="U9" s="869" t="str">
        <f t="shared" ref="U9:Z9" si="1">N9</f>
        <v>2016 г.</v>
      </c>
      <c r="V9" s="870" t="str">
        <f t="shared" si="1"/>
        <v>2017 г.</v>
      </c>
      <c r="W9" s="871" t="str">
        <f t="shared" si="1"/>
        <v>2018 г.</v>
      </c>
      <c r="X9" s="871" t="str">
        <f t="shared" si="1"/>
        <v>2019 г.</v>
      </c>
      <c r="Y9" s="871" t="str">
        <f t="shared" si="1"/>
        <v>2020 г.</v>
      </c>
      <c r="Z9" s="872" t="str">
        <f t="shared" si="1"/>
        <v>2021 г.</v>
      </c>
      <c r="AA9" s="3522"/>
      <c r="AB9" s="3504"/>
      <c r="AC9" s="3504"/>
      <c r="AD9" s="2329" t="s">
        <v>1015</v>
      </c>
      <c r="AE9" s="2325" t="str">
        <f t="shared" ref="AE9:AK9" si="2">E9</f>
        <v>2015 г.</v>
      </c>
      <c r="AF9" s="2204" t="str">
        <f t="shared" si="2"/>
        <v>2016 г.</v>
      </c>
      <c r="AG9" s="2205" t="str">
        <f t="shared" si="2"/>
        <v>2017 г.</v>
      </c>
      <c r="AH9" s="2205" t="str">
        <f t="shared" si="2"/>
        <v>2018 г.</v>
      </c>
      <c r="AI9" s="2205" t="str">
        <f t="shared" si="2"/>
        <v>2019 г.</v>
      </c>
      <c r="AJ9" s="2205" t="str">
        <f t="shared" si="2"/>
        <v>2020 г.</v>
      </c>
      <c r="AK9" s="2206" t="str">
        <f t="shared" si="2"/>
        <v>2021 г.</v>
      </c>
      <c r="AL9" s="3507"/>
    </row>
    <row r="10" spans="1:54" ht="18.75" customHeight="1" thickBot="1">
      <c r="A10" s="2305">
        <v>1.1000000000000001</v>
      </c>
      <c r="B10" s="2305"/>
      <c r="C10" s="2306"/>
      <c r="D10" s="2307" t="s">
        <v>519</v>
      </c>
      <c r="E10" s="2308">
        <f>SUM(E11:E34)</f>
        <v>436</v>
      </c>
      <c r="F10" s="2309">
        <f t="shared" ref="F10:Z10" si="3">SUM(F11:F34)</f>
        <v>2998</v>
      </c>
      <c r="G10" s="2310">
        <f t="shared" si="3"/>
        <v>688.91722000000004</v>
      </c>
      <c r="H10" s="2311">
        <f t="shared" si="3"/>
        <v>1103.6666666666665</v>
      </c>
      <c r="I10" s="2311">
        <f t="shared" si="3"/>
        <v>1252</v>
      </c>
      <c r="J10" s="2311">
        <f t="shared" si="3"/>
        <v>1306</v>
      </c>
      <c r="K10" s="2312">
        <f t="shared" si="3"/>
        <v>1521</v>
      </c>
      <c r="L10" s="2313">
        <f t="shared" si="3"/>
        <v>5871.5838866666663</v>
      </c>
      <c r="M10" s="2308">
        <f t="shared" si="3"/>
        <v>436</v>
      </c>
      <c r="N10" s="2309">
        <f t="shared" si="3"/>
        <v>2998</v>
      </c>
      <c r="O10" s="2310">
        <f t="shared" si="3"/>
        <v>688.91722000000004</v>
      </c>
      <c r="P10" s="2311">
        <f t="shared" si="3"/>
        <v>1103.6666666666665</v>
      </c>
      <c r="Q10" s="2311">
        <f t="shared" si="3"/>
        <v>1252</v>
      </c>
      <c r="R10" s="2311">
        <f t="shared" si="3"/>
        <v>1306</v>
      </c>
      <c r="S10" s="2314">
        <f t="shared" si="3"/>
        <v>1521</v>
      </c>
      <c r="T10" s="2308">
        <f t="shared" si="3"/>
        <v>0</v>
      </c>
      <c r="U10" s="2309">
        <f t="shared" si="3"/>
        <v>0</v>
      </c>
      <c r="V10" s="2310">
        <f t="shared" si="3"/>
        <v>0</v>
      </c>
      <c r="W10" s="2311">
        <f t="shared" si="3"/>
        <v>0</v>
      </c>
      <c r="X10" s="2311">
        <f t="shared" si="3"/>
        <v>0</v>
      </c>
      <c r="Y10" s="2311">
        <f t="shared" si="3"/>
        <v>0</v>
      </c>
      <c r="Z10" s="2312">
        <f t="shared" si="3"/>
        <v>0</v>
      </c>
      <c r="AA10" s="2315">
        <f t="shared" ref="AA10:AA67" si="4">L10-SUM(O10:S10)-SUM(V10:Z10)</f>
        <v>0</v>
      </c>
      <c r="AB10" s="2316"/>
      <c r="AC10" s="2317"/>
      <c r="AD10" s="2318"/>
      <c r="AE10" s="2326"/>
      <c r="AF10" s="2319"/>
      <c r="AG10" s="2320"/>
      <c r="AH10" s="2320"/>
      <c r="AI10" s="2320"/>
      <c r="AJ10" s="2320"/>
      <c r="AK10" s="2321"/>
      <c r="AL10" s="2322"/>
    </row>
    <row r="11" spans="1:54" ht="21.75" customHeight="1">
      <c r="A11" s="2287"/>
      <c r="B11" s="2288">
        <v>2040201</v>
      </c>
      <c r="C11" s="2289">
        <v>0.02</v>
      </c>
      <c r="D11" s="2290" t="s">
        <v>1007</v>
      </c>
      <c r="E11" s="2291"/>
      <c r="F11" s="2292"/>
      <c r="G11" s="2293"/>
      <c r="H11" s="2294"/>
      <c r="I11" s="2294"/>
      <c r="J11" s="2294"/>
      <c r="K11" s="2294"/>
      <c r="L11" s="2295">
        <f>SUM(G11:K11)</f>
        <v>0</v>
      </c>
      <c r="M11" s="2296">
        <f>E11-T11</f>
        <v>0</v>
      </c>
      <c r="N11" s="2297">
        <f t="shared" ref="N11:S11" si="5">F11-U11</f>
        <v>0</v>
      </c>
      <c r="O11" s="2298">
        <f t="shared" si="5"/>
        <v>0</v>
      </c>
      <c r="P11" s="2299">
        <f t="shared" si="5"/>
        <v>0</v>
      </c>
      <c r="Q11" s="2299">
        <f t="shared" si="5"/>
        <v>0</v>
      </c>
      <c r="R11" s="2299">
        <f t="shared" si="5"/>
        <v>0</v>
      </c>
      <c r="S11" s="2300">
        <f t="shared" si="5"/>
        <v>0</v>
      </c>
      <c r="T11" s="2291"/>
      <c r="U11" s="2292"/>
      <c r="V11" s="2293"/>
      <c r="W11" s="2294"/>
      <c r="X11" s="2294"/>
      <c r="Y11" s="2294"/>
      <c r="Z11" s="2294"/>
      <c r="AA11" s="2301">
        <f>L11-SUM(O11:S11)-SUM(V11:Z11)</f>
        <v>0</v>
      </c>
      <c r="AB11" s="2302" t="s">
        <v>1620</v>
      </c>
      <c r="AC11" s="3171"/>
      <c r="AD11" s="2323" t="s">
        <v>908</v>
      </c>
      <c r="AE11" s="2293"/>
      <c r="AF11" s="2292"/>
      <c r="AG11" s="2293"/>
      <c r="AH11" s="2294"/>
      <c r="AI11" s="2294"/>
      <c r="AJ11" s="2294"/>
      <c r="AK11" s="2292"/>
      <c r="AL11" s="2304" t="s">
        <v>520</v>
      </c>
    </row>
    <row r="12" spans="1:54" ht="21.75" customHeight="1">
      <c r="A12" s="1752"/>
      <c r="B12" s="812">
        <v>2040202</v>
      </c>
      <c r="C12" s="813">
        <v>0.02</v>
      </c>
      <c r="D12" s="2238" t="s">
        <v>1010</v>
      </c>
      <c r="E12" s="785"/>
      <c r="F12" s="795"/>
      <c r="G12" s="799">
        <f>141-100</f>
        <v>41</v>
      </c>
      <c r="H12" s="786">
        <v>60</v>
      </c>
      <c r="I12" s="786">
        <f>20+40</f>
        <v>60</v>
      </c>
      <c r="J12" s="786">
        <f>20+30</f>
        <v>50</v>
      </c>
      <c r="K12" s="786">
        <f>20+30</f>
        <v>50</v>
      </c>
      <c r="L12" s="2240">
        <f t="shared" ref="L12:L67" si="6">SUM(G12:K12)</f>
        <v>261</v>
      </c>
      <c r="M12" s="1433">
        <f t="shared" ref="M12:M34" si="7">E12-T12</f>
        <v>0</v>
      </c>
      <c r="N12" s="1434">
        <f t="shared" ref="N12:N34" si="8">F12-U12</f>
        <v>0</v>
      </c>
      <c r="O12" s="1435">
        <f t="shared" ref="O12:O34" si="9">G12-V12</f>
        <v>41</v>
      </c>
      <c r="P12" s="1436">
        <f t="shared" ref="P12:P34" si="10">H12-W12</f>
        <v>60</v>
      </c>
      <c r="Q12" s="1436">
        <f t="shared" ref="Q12:Q34" si="11">I12-X12</f>
        <v>60</v>
      </c>
      <c r="R12" s="1436">
        <f t="shared" ref="R12:R34" si="12">J12-Y12</f>
        <v>50</v>
      </c>
      <c r="S12" s="1437">
        <f t="shared" ref="S12:S34" si="13">K12-Z12</f>
        <v>50</v>
      </c>
      <c r="T12" s="785"/>
      <c r="U12" s="795"/>
      <c r="V12" s="799"/>
      <c r="W12" s="786"/>
      <c r="X12" s="786"/>
      <c r="Y12" s="786"/>
      <c r="Z12" s="786"/>
      <c r="AA12" s="2241">
        <f t="shared" si="4"/>
        <v>0</v>
      </c>
      <c r="AB12" s="2302" t="s">
        <v>1620</v>
      </c>
      <c r="AC12" s="3172" t="s">
        <v>1595</v>
      </c>
      <c r="AD12" s="2324" t="s">
        <v>908</v>
      </c>
      <c r="AE12" s="799"/>
      <c r="AF12" s="795"/>
      <c r="AG12" s="799">
        <v>5</v>
      </c>
      <c r="AH12" s="786">
        <v>6</v>
      </c>
      <c r="AI12" s="786">
        <v>6</v>
      </c>
      <c r="AJ12" s="786">
        <v>5</v>
      </c>
      <c r="AK12" s="795">
        <v>5</v>
      </c>
      <c r="AL12" s="1487" t="s">
        <v>520</v>
      </c>
    </row>
    <row r="13" spans="1:54" ht="21.75" customHeight="1">
      <c r="A13" s="1752"/>
      <c r="B13" s="812">
        <v>2040204</v>
      </c>
      <c r="C13" s="813">
        <v>0.02</v>
      </c>
      <c r="D13" s="2238" t="s">
        <v>521</v>
      </c>
      <c r="E13" s="785">
        <v>25</v>
      </c>
      <c r="F13" s="795">
        <v>172</v>
      </c>
      <c r="G13" s="799">
        <f>55</f>
        <v>55</v>
      </c>
      <c r="H13" s="786">
        <f>20+20</f>
        <v>40</v>
      </c>
      <c r="I13" s="786">
        <f>20</f>
        <v>20</v>
      </c>
      <c r="J13" s="786">
        <v>15</v>
      </c>
      <c r="K13" s="786">
        <v>15</v>
      </c>
      <c r="L13" s="2240">
        <f t="shared" si="6"/>
        <v>145</v>
      </c>
      <c r="M13" s="1433">
        <f t="shared" si="7"/>
        <v>25</v>
      </c>
      <c r="N13" s="1434">
        <f t="shared" si="8"/>
        <v>172</v>
      </c>
      <c r="O13" s="1435">
        <f t="shared" si="9"/>
        <v>55</v>
      </c>
      <c r="P13" s="1436">
        <f t="shared" si="10"/>
        <v>40</v>
      </c>
      <c r="Q13" s="1436">
        <f t="shared" si="11"/>
        <v>20</v>
      </c>
      <c r="R13" s="1436">
        <f t="shared" si="12"/>
        <v>15</v>
      </c>
      <c r="S13" s="1437">
        <f t="shared" si="13"/>
        <v>15</v>
      </c>
      <c r="T13" s="785"/>
      <c r="U13" s="795"/>
      <c r="V13" s="799"/>
      <c r="W13" s="786"/>
      <c r="X13" s="786"/>
      <c r="Y13" s="786"/>
      <c r="Z13" s="786"/>
      <c r="AA13" s="2241">
        <f t="shared" si="4"/>
        <v>0</v>
      </c>
      <c r="AB13" s="2302" t="s">
        <v>1620</v>
      </c>
      <c r="AC13" s="3172" t="s">
        <v>1595</v>
      </c>
      <c r="AD13" s="2324" t="s">
        <v>908</v>
      </c>
      <c r="AE13" s="799">
        <v>2</v>
      </c>
      <c r="AF13" s="795">
        <v>6</v>
      </c>
      <c r="AG13" s="799">
        <v>15</v>
      </c>
      <c r="AH13" s="786">
        <v>10</v>
      </c>
      <c r="AI13" s="786">
        <v>5</v>
      </c>
      <c r="AJ13" s="786">
        <v>5</v>
      </c>
      <c r="AK13" s="795">
        <v>5</v>
      </c>
      <c r="AL13" s="1487" t="s">
        <v>520</v>
      </c>
    </row>
    <row r="14" spans="1:54" ht="21.75" customHeight="1">
      <c r="A14" s="1752"/>
      <c r="B14" s="812">
        <v>20202</v>
      </c>
      <c r="C14" s="1768">
        <v>0.03</v>
      </c>
      <c r="D14" s="2238" t="s">
        <v>522</v>
      </c>
      <c r="E14" s="785"/>
      <c r="F14" s="795"/>
      <c r="G14" s="799">
        <v>10</v>
      </c>
      <c r="H14" s="786">
        <v>10</v>
      </c>
      <c r="I14" s="786">
        <v>10</v>
      </c>
      <c r="J14" s="786">
        <v>10</v>
      </c>
      <c r="K14" s="786">
        <v>10</v>
      </c>
      <c r="L14" s="2240">
        <f t="shared" si="6"/>
        <v>50</v>
      </c>
      <c r="M14" s="1433">
        <f t="shared" si="7"/>
        <v>0</v>
      </c>
      <c r="N14" s="1434">
        <f t="shared" si="8"/>
        <v>0</v>
      </c>
      <c r="O14" s="1435">
        <f t="shared" si="9"/>
        <v>10</v>
      </c>
      <c r="P14" s="1436">
        <f t="shared" si="10"/>
        <v>10</v>
      </c>
      <c r="Q14" s="1436">
        <f t="shared" si="11"/>
        <v>10</v>
      </c>
      <c r="R14" s="1436">
        <f t="shared" si="12"/>
        <v>10</v>
      </c>
      <c r="S14" s="1437">
        <f t="shared" si="13"/>
        <v>10</v>
      </c>
      <c r="T14" s="785"/>
      <c r="U14" s="795"/>
      <c r="V14" s="799"/>
      <c r="W14" s="786"/>
      <c r="X14" s="786"/>
      <c r="Y14" s="786"/>
      <c r="Z14" s="786"/>
      <c r="AA14" s="2241">
        <f t="shared" si="4"/>
        <v>0</v>
      </c>
      <c r="AB14" s="2302" t="s">
        <v>1620</v>
      </c>
      <c r="AC14" s="3172" t="s">
        <v>1596</v>
      </c>
      <c r="AD14" s="2324" t="s">
        <v>908</v>
      </c>
      <c r="AE14" s="799"/>
      <c r="AF14" s="795"/>
      <c r="AG14" s="799">
        <v>5</v>
      </c>
      <c r="AH14" s="786">
        <v>5</v>
      </c>
      <c r="AI14" s="786">
        <v>5</v>
      </c>
      <c r="AJ14" s="786">
        <v>5</v>
      </c>
      <c r="AK14" s="795">
        <v>5</v>
      </c>
      <c r="AL14" s="1487" t="s">
        <v>520</v>
      </c>
    </row>
    <row r="15" spans="1:54" ht="24">
      <c r="A15" s="1752"/>
      <c r="B15" s="812">
        <v>2040205</v>
      </c>
      <c r="C15" s="813">
        <v>0.02</v>
      </c>
      <c r="D15" s="2238" t="s">
        <v>523</v>
      </c>
      <c r="E15" s="785"/>
      <c r="F15" s="795"/>
      <c r="G15" s="799">
        <f>150-120</f>
        <v>30</v>
      </c>
      <c r="H15" s="786">
        <v>100</v>
      </c>
      <c r="I15" s="786">
        <f>50+50</f>
        <v>100</v>
      </c>
      <c r="J15" s="786">
        <f>20+100</f>
        <v>120</v>
      </c>
      <c r="K15" s="786">
        <f>20+120+60</f>
        <v>200</v>
      </c>
      <c r="L15" s="2240">
        <f t="shared" si="6"/>
        <v>550</v>
      </c>
      <c r="M15" s="1433">
        <f t="shared" si="7"/>
        <v>0</v>
      </c>
      <c r="N15" s="1434">
        <f t="shared" si="8"/>
        <v>0</v>
      </c>
      <c r="O15" s="1435">
        <f t="shared" si="9"/>
        <v>30</v>
      </c>
      <c r="P15" s="1436">
        <f t="shared" si="10"/>
        <v>100</v>
      </c>
      <c r="Q15" s="1436">
        <f t="shared" si="11"/>
        <v>100</v>
      </c>
      <c r="R15" s="1436">
        <f t="shared" si="12"/>
        <v>120</v>
      </c>
      <c r="S15" s="1437">
        <f t="shared" si="13"/>
        <v>200</v>
      </c>
      <c r="T15" s="785"/>
      <c r="U15" s="795"/>
      <c r="V15" s="799"/>
      <c r="W15" s="786"/>
      <c r="X15" s="786"/>
      <c r="Y15" s="786"/>
      <c r="Z15" s="786"/>
      <c r="AA15" s="2241">
        <f t="shared" si="4"/>
        <v>0</v>
      </c>
      <c r="AB15" s="2302" t="s">
        <v>1620</v>
      </c>
      <c r="AC15" s="3172" t="s">
        <v>1597</v>
      </c>
      <c r="AD15" s="2324" t="s">
        <v>910</v>
      </c>
      <c r="AE15" s="799"/>
      <c r="AF15" s="795"/>
      <c r="AG15" s="799">
        <v>50</v>
      </c>
      <c r="AH15" s="786">
        <v>200</v>
      </c>
      <c r="AI15" s="786">
        <v>200</v>
      </c>
      <c r="AJ15" s="786">
        <v>200</v>
      </c>
      <c r="AK15" s="795">
        <v>500</v>
      </c>
      <c r="AL15" s="1487" t="s">
        <v>524</v>
      </c>
    </row>
    <row r="16" spans="1:54" ht="20.25" customHeight="1">
      <c r="A16" s="1752"/>
      <c r="B16" s="812">
        <v>2040207</v>
      </c>
      <c r="C16" s="813">
        <v>0.04</v>
      </c>
      <c r="D16" s="2238" t="s">
        <v>525</v>
      </c>
      <c r="E16" s="785"/>
      <c r="F16" s="795"/>
      <c r="G16" s="799"/>
      <c r="H16" s="786"/>
      <c r="I16" s="786"/>
      <c r="J16" s="786"/>
      <c r="K16" s="786"/>
      <c r="L16" s="2240">
        <f t="shared" si="6"/>
        <v>0</v>
      </c>
      <c r="M16" s="1433">
        <f t="shared" si="7"/>
        <v>0</v>
      </c>
      <c r="N16" s="1434">
        <f t="shared" si="8"/>
        <v>0</v>
      </c>
      <c r="O16" s="1435">
        <f t="shared" si="9"/>
        <v>0</v>
      </c>
      <c r="P16" s="1436">
        <f t="shared" si="10"/>
        <v>0</v>
      </c>
      <c r="Q16" s="1436">
        <f t="shared" si="11"/>
        <v>0</v>
      </c>
      <c r="R16" s="1436">
        <f t="shared" si="12"/>
        <v>0</v>
      </c>
      <c r="S16" s="1437">
        <f t="shared" si="13"/>
        <v>0</v>
      </c>
      <c r="T16" s="785"/>
      <c r="U16" s="795"/>
      <c r="V16" s="799"/>
      <c r="W16" s="786"/>
      <c r="X16" s="786"/>
      <c r="Y16" s="786"/>
      <c r="Z16" s="786"/>
      <c r="AA16" s="2241">
        <f t="shared" si="4"/>
        <v>0</v>
      </c>
      <c r="AB16" s="2302" t="s">
        <v>1620</v>
      </c>
      <c r="AC16" s="3172"/>
      <c r="AD16" s="2324" t="s">
        <v>908</v>
      </c>
      <c r="AE16" s="799"/>
      <c r="AF16" s="795"/>
      <c r="AG16" s="799"/>
      <c r="AH16" s="786"/>
      <c r="AI16" s="786"/>
      <c r="AJ16" s="786"/>
      <c r="AK16" s="795"/>
      <c r="AL16" s="1487" t="s">
        <v>526</v>
      </c>
    </row>
    <row r="17" spans="1:38" ht="19.5" customHeight="1">
      <c r="A17" s="1752"/>
      <c r="B17" s="812">
        <v>2040207</v>
      </c>
      <c r="C17" s="813">
        <v>0.04</v>
      </c>
      <c r="D17" s="2239" t="s">
        <v>892</v>
      </c>
      <c r="E17" s="785"/>
      <c r="F17" s="795"/>
      <c r="G17" s="799"/>
      <c r="H17" s="786">
        <v>25</v>
      </c>
      <c r="I17" s="786">
        <v>25</v>
      </c>
      <c r="J17" s="786">
        <v>25</v>
      </c>
      <c r="K17" s="786">
        <v>25</v>
      </c>
      <c r="L17" s="2240">
        <f t="shared" si="6"/>
        <v>100</v>
      </c>
      <c r="M17" s="1433">
        <f t="shared" si="7"/>
        <v>0</v>
      </c>
      <c r="N17" s="1434">
        <f t="shared" si="8"/>
        <v>0</v>
      </c>
      <c r="O17" s="1435">
        <f t="shared" si="9"/>
        <v>0</v>
      </c>
      <c r="P17" s="1436">
        <f t="shared" si="10"/>
        <v>25</v>
      </c>
      <c r="Q17" s="1436">
        <f t="shared" si="11"/>
        <v>25</v>
      </c>
      <c r="R17" s="1436">
        <f t="shared" si="12"/>
        <v>25</v>
      </c>
      <c r="S17" s="1437">
        <f t="shared" si="13"/>
        <v>25</v>
      </c>
      <c r="T17" s="785"/>
      <c r="U17" s="795"/>
      <c r="V17" s="799"/>
      <c r="W17" s="786"/>
      <c r="X17" s="786"/>
      <c r="Y17" s="786"/>
      <c r="Z17" s="786"/>
      <c r="AA17" s="2241">
        <f t="shared" si="4"/>
        <v>0</v>
      </c>
      <c r="AB17" s="2302" t="s">
        <v>1620</v>
      </c>
      <c r="AC17" s="3172" t="s">
        <v>1598</v>
      </c>
      <c r="AD17" s="2324" t="s">
        <v>908</v>
      </c>
      <c r="AE17" s="799"/>
      <c r="AF17" s="795"/>
      <c r="AG17" s="799"/>
      <c r="AH17" s="786">
        <v>1</v>
      </c>
      <c r="AI17" s="786">
        <v>1</v>
      </c>
      <c r="AJ17" s="786">
        <v>1</v>
      </c>
      <c r="AK17" s="795">
        <v>1</v>
      </c>
      <c r="AL17" s="1487" t="s">
        <v>526</v>
      </c>
    </row>
    <row r="18" spans="1:38" ht="19.5" customHeight="1">
      <c r="A18" s="1752"/>
      <c r="B18" s="812">
        <v>2040207</v>
      </c>
      <c r="C18" s="813">
        <v>0.04</v>
      </c>
      <c r="D18" s="2239" t="s">
        <v>893</v>
      </c>
      <c r="E18" s="785"/>
      <c r="F18" s="795">
        <v>10</v>
      </c>
      <c r="G18" s="799">
        <v>5</v>
      </c>
      <c r="H18" s="786">
        <v>5</v>
      </c>
      <c r="I18" s="786">
        <v>5</v>
      </c>
      <c r="J18" s="786">
        <v>5</v>
      </c>
      <c r="K18" s="786">
        <v>5</v>
      </c>
      <c r="L18" s="2240">
        <f t="shared" si="6"/>
        <v>25</v>
      </c>
      <c r="M18" s="1433">
        <f t="shared" si="7"/>
        <v>0</v>
      </c>
      <c r="N18" s="1434">
        <f t="shared" si="8"/>
        <v>10</v>
      </c>
      <c r="O18" s="1435">
        <f t="shared" si="9"/>
        <v>5</v>
      </c>
      <c r="P18" s="1436">
        <f t="shared" si="10"/>
        <v>5</v>
      </c>
      <c r="Q18" s="1436">
        <f t="shared" si="11"/>
        <v>5</v>
      </c>
      <c r="R18" s="1436">
        <f t="shared" si="12"/>
        <v>5</v>
      </c>
      <c r="S18" s="1437">
        <f t="shared" si="13"/>
        <v>5</v>
      </c>
      <c r="T18" s="785"/>
      <c r="U18" s="795"/>
      <c r="V18" s="799"/>
      <c r="W18" s="786"/>
      <c r="X18" s="786"/>
      <c r="Y18" s="786"/>
      <c r="Z18" s="786"/>
      <c r="AA18" s="2241">
        <f t="shared" si="4"/>
        <v>0</v>
      </c>
      <c r="AB18" s="2302" t="s">
        <v>1620</v>
      </c>
      <c r="AC18" s="3172" t="s">
        <v>1599</v>
      </c>
      <c r="AD18" s="2324" t="s">
        <v>908</v>
      </c>
      <c r="AE18" s="799"/>
      <c r="AF18" s="795"/>
      <c r="AG18" s="799">
        <v>1</v>
      </c>
      <c r="AH18" s="786">
        <v>1</v>
      </c>
      <c r="AI18" s="786">
        <v>1</v>
      </c>
      <c r="AJ18" s="786">
        <v>1</v>
      </c>
      <c r="AK18" s="795">
        <v>1</v>
      </c>
      <c r="AL18" s="1487" t="s">
        <v>526</v>
      </c>
    </row>
    <row r="19" spans="1:38" ht="18.75" customHeight="1">
      <c r="A19" s="1752"/>
      <c r="B19" s="812">
        <v>2040207</v>
      </c>
      <c r="C19" s="813">
        <v>0.04</v>
      </c>
      <c r="D19" s="2239" t="s">
        <v>527</v>
      </c>
      <c r="E19" s="785">
        <v>54</v>
      </c>
      <c r="F19" s="795">
        <v>394</v>
      </c>
      <c r="G19" s="799">
        <f>138.41722-100</f>
        <v>38.417219999999986</v>
      </c>
      <c r="H19" s="786">
        <v>25</v>
      </c>
      <c r="I19" s="786">
        <f>11+30</f>
        <v>41</v>
      </c>
      <c r="J19" s="786">
        <f>5+30</f>
        <v>35</v>
      </c>
      <c r="K19" s="786">
        <f>5+40</f>
        <v>45</v>
      </c>
      <c r="L19" s="2240">
        <f t="shared" si="6"/>
        <v>184.41721999999999</v>
      </c>
      <c r="M19" s="1433">
        <f t="shared" si="7"/>
        <v>54</v>
      </c>
      <c r="N19" s="1434">
        <f t="shared" si="8"/>
        <v>394</v>
      </c>
      <c r="O19" s="1435">
        <f t="shared" si="9"/>
        <v>38.417219999999986</v>
      </c>
      <c r="P19" s="1436">
        <f t="shared" si="10"/>
        <v>25</v>
      </c>
      <c r="Q19" s="1436">
        <f t="shared" si="11"/>
        <v>41</v>
      </c>
      <c r="R19" s="1436">
        <f t="shared" si="12"/>
        <v>35</v>
      </c>
      <c r="S19" s="1437">
        <f t="shared" si="13"/>
        <v>45</v>
      </c>
      <c r="T19" s="785"/>
      <c r="U19" s="795"/>
      <c r="V19" s="799"/>
      <c r="W19" s="786"/>
      <c r="X19" s="786"/>
      <c r="Y19" s="786"/>
      <c r="Z19" s="786"/>
      <c r="AA19" s="2241">
        <f t="shared" si="4"/>
        <v>0</v>
      </c>
      <c r="AB19" s="2302" t="s">
        <v>1620</v>
      </c>
      <c r="AC19" s="3172" t="s">
        <v>1595</v>
      </c>
      <c r="AD19" s="2324" t="s">
        <v>908</v>
      </c>
      <c r="AE19" s="799">
        <v>8</v>
      </c>
      <c r="AF19" s="795"/>
      <c r="AG19" s="799">
        <v>2</v>
      </c>
      <c r="AH19" s="786">
        <v>1</v>
      </c>
      <c r="AI19" s="786">
        <v>2</v>
      </c>
      <c r="AJ19" s="786">
        <v>1</v>
      </c>
      <c r="AK19" s="795">
        <v>2</v>
      </c>
      <c r="AL19" s="1487" t="s">
        <v>526</v>
      </c>
    </row>
    <row r="20" spans="1:38" ht="18.75" customHeight="1">
      <c r="A20" s="1752"/>
      <c r="B20" s="812">
        <v>2030401</v>
      </c>
      <c r="C20" s="815">
        <v>0.1</v>
      </c>
      <c r="D20" s="2239" t="s">
        <v>528</v>
      </c>
      <c r="E20" s="785">
        <v>2</v>
      </c>
      <c r="F20" s="795">
        <v>80</v>
      </c>
      <c r="G20" s="799">
        <v>10</v>
      </c>
      <c r="H20" s="786">
        <v>10</v>
      </c>
      <c r="I20" s="786">
        <v>10</v>
      </c>
      <c r="J20" s="786"/>
      <c r="K20" s="786"/>
      <c r="L20" s="2240">
        <f t="shared" si="6"/>
        <v>30</v>
      </c>
      <c r="M20" s="1433">
        <f t="shared" si="7"/>
        <v>2</v>
      </c>
      <c r="N20" s="1434">
        <f t="shared" si="8"/>
        <v>80</v>
      </c>
      <c r="O20" s="1435">
        <f t="shared" si="9"/>
        <v>10</v>
      </c>
      <c r="P20" s="1436">
        <f t="shared" si="10"/>
        <v>10</v>
      </c>
      <c r="Q20" s="1436">
        <f t="shared" si="11"/>
        <v>10</v>
      </c>
      <c r="R20" s="1436">
        <f t="shared" si="12"/>
        <v>0</v>
      </c>
      <c r="S20" s="1437">
        <f t="shared" si="13"/>
        <v>0</v>
      </c>
      <c r="T20" s="785"/>
      <c r="U20" s="795"/>
      <c r="V20" s="799"/>
      <c r="W20" s="786"/>
      <c r="X20" s="786"/>
      <c r="Y20" s="786"/>
      <c r="Z20" s="786"/>
      <c r="AA20" s="2241">
        <f>L20-SUM(O20:S20)-SUM(V20:Z20)</f>
        <v>0</v>
      </c>
      <c r="AB20" s="2302" t="s">
        <v>1620</v>
      </c>
      <c r="AC20" s="3172" t="s">
        <v>1600</v>
      </c>
      <c r="AD20" s="2324" t="s">
        <v>908</v>
      </c>
      <c r="AE20" s="799">
        <v>1</v>
      </c>
      <c r="AF20" s="795"/>
      <c r="AG20" s="799">
        <v>5</v>
      </c>
      <c r="AH20" s="786">
        <v>5</v>
      </c>
      <c r="AI20" s="786">
        <v>5</v>
      </c>
      <c r="AJ20" s="786"/>
      <c r="AK20" s="795"/>
      <c r="AL20" s="1487" t="s">
        <v>526</v>
      </c>
    </row>
    <row r="21" spans="1:38" ht="24">
      <c r="A21" s="1752"/>
      <c r="B21" s="812">
        <v>2040205</v>
      </c>
      <c r="C21" s="813">
        <v>0.02</v>
      </c>
      <c r="D21" s="2238" t="s">
        <v>529</v>
      </c>
      <c r="E21" s="785">
        <v>309</v>
      </c>
      <c r="F21" s="795">
        <f>'[3]9.Инвестиционна програма'!F21+'[4]9.Инвестиционна програма'!F21</f>
        <v>1896</v>
      </c>
      <c r="G21" s="799">
        <f>1017/2-500</f>
        <v>8.5</v>
      </c>
      <c r="H21" s="786">
        <f>1559/3+10</f>
        <v>529.66666666666663</v>
      </c>
      <c r="I21" s="786">
        <f>617+100+15</f>
        <v>732</v>
      </c>
      <c r="J21" s="786">
        <f>563+200+35</f>
        <v>798</v>
      </c>
      <c r="K21" s="786">
        <f>598+200+155</f>
        <v>953</v>
      </c>
      <c r="L21" s="2240">
        <f t="shared" si="6"/>
        <v>3021.1666666666665</v>
      </c>
      <c r="M21" s="1433">
        <f t="shared" si="7"/>
        <v>309</v>
      </c>
      <c r="N21" s="1434">
        <f t="shared" si="8"/>
        <v>1896</v>
      </c>
      <c r="O21" s="1435">
        <f t="shared" si="9"/>
        <v>8.5</v>
      </c>
      <c r="P21" s="1436">
        <f t="shared" si="10"/>
        <v>529.66666666666663</v>
      </c>
      <c r="Q21" s="1436">
        <f t="shared" si="11"/>
        <v>732</v>
      </c>
      <c r="R21" s="1436">
        <f t="shared" si="12"/>
        <v>798</v>
      </c>
      <c r="S21" s="1437">
        <f t="shared" si="13"/>
        <v>953</v>
      </c>
      <c r="T21" s="785"/>
      <c r="U21" s="795"/>
      <c r="V21" s="799"/>
      <c r="W21" s="786"/>
      <c r="X21" s="786"/>
      <c r="Y21" s="786"/>
      <c r="Z21" s="786"/>
      <c r="AA21" s="2241">
        <f t="shared" si="4"/>
        <v>0</v>
      </c>
      <c r="AB21" s="2302" t="s">
        <v>1620</v>
      </c>
      <c r="AC21" s="3172" t="s">
        <v>1601</v>
      </c>
      <c r="AD21" s="2324" t="s">
        <v>910</v>
      </c>
      <c r="AE21" s="799">
        <v>11129</v>
      </c>
      <c r="AF21" s="795">
        <v>53000</v>
      </c>
      <c r="AG21" s="799">
        <v>220</v>
      </c>
      <c r="AH21" s="786">
        <v>7500</v>
      </c>
      <c r="AI21" s="786">
        <v>9000</v>
      </c>
      <c r="AJ21" s="786">
        <v>10000</v>
      </c>
      <c r="AK21" s="795">
        <v>11000</v>
      </c>
      <c r="AL21" s="1487" t="s">
        <v>530</v>
      </c>
    </row>
    <row r="22" spans="1:38" ht="19.5" customHeight="1">
      <c r="A22" s="1752"/>
      <c r="B22" s="812">
        <v>2040205</v>
      </c>
      <c r="C22" s="813">
        <v>0.02</v>
      </c>
      <c r="D22" s="2238" t="s">
        <v>531</v>
      </c>
      <c r="E22" s="785"/>
      <c r="F22" s="795">
        <v>4</v>
      </c>
      <c r="G22" s="799">
        <v>25</v>
      </c>
      <c r="H22" s="786">
        <v>25</v>
      </c>
      <c r="I22" s="786">
        <v>25</v>
      </c>
      <c r="J22" s="786">
        <v>25</v>
      </c>
      <c r="K22" s="786">
        <v>25</v>
      </c>
      <c r="L22" s="2240">
        <f t="shared" si="6"/>
        <v>125</v>
      </c>
      <c r="M22" s="1433">
        <f t="shared" si="7"/>
        <v>0</v>
      </c>
      <c r="N22" s="1434">
        <f t="shared" si="8"/>
        <v>4</v>
      </c>
      <c r="O22" s="1435">
        <f t="shared" si="9"/>
        <v>25</v>
      </c>
      <c r="P22" s="1436">
        <f t="shared" si="10"/>
        <v>25</v>
      </c>
      <c r="Q22" s="1436">
        <f t="shared" si="11"/>
        <v>25</v>
      </c>
      <c r="R22" s="1436">
        <f t="shared" si="12"/>
        <v>25</v>
      </c>
      <c r="S22" s="1437">
        <f t="shared" si="13"/>
        <v>25</v>
      </c>
      <c r="T22" s="785"/>
      <c r="U22" s="795"/>
      <c r="V22" s="799"/>
      <c r="W22" s="786"/>
      <c r="X22" s="786"/>
      <c r="Y22" s="786"/>
      <c r="Z22" s="786"/>
      <c r="AA22" s="2241">
        <f t="shared" si="4"/>
        <v>0</v>
      </c>
      <c r="AB22" s="2302" t="s">
        <v>1620</v>
      </c>
      <c r="AC22" s="3172" t="s">
        <v>1602</v>
      </c>
      <c r="AD22" s="2324" t="s">
        <v>908</v>
      </c>
      <c r="AE22" s="799"/>
      <c r="AF22" s="795"/>
      <c r="AG22" s="799">
        <v>60</v>
      </c>
      <c r="AH22" s="786">
        <v>60</v>
      </c>
      <c r="AI22" s="786">
        <v>60</v>
      </c>
      <c r="AJ22" s="786">
        <v>60</v>
      </c>
      <c r="AK22" s="795">
        <v>60</v>
      </c>
      <c r="AL22" s="1487" t="s">
        <v>532</v>
      </c>
    </row>
    <row r="23" spans="1:38" ht="48">
      <c r="A23" s="1752"/>
      <c r="B23" s="812">
        <v>2030502</v>
      </c>
      <c r="C23" s="813">
        <v>0.1</v>
      </c>
      <c r="D23" s="2238" t="s">
        <v>533</v>
      </c>
      <c r="E23" s="785"/>
      <c r="F23" s="795">
        <v>83</v>
      </c>
      <c r="G23" s="799">
        <f>105</f>
        <v>105</v>
      </c>
      <c r="H23" s="786">
        <v>30</v>
      </c>
      <c r="I23" s="786">
        <v>10</v>
      </c>
      <c r="J23" s="786">
        <v>10</v>
      </c>
      <c r="K23" s="786">
        <v>10</v>
      </c>
      <c r="L23" s="2240">
        <f t="shared" si="6"/>
        <v>165</v>
      </c>
      <c r="M23" s="1433">
        <f t="shared" si="7"/>
        <v>0</v>
      </c>
      <c r="N23" s="1434">
        <f t="shared" si="8"/>
        <v>83</v>
      </c>
      <c r="O23" s="1435">
        <f t="shared" si="9"/>
        <v>105</v>
      </c>
      <c r="P23" s="1436">
        <f t="shared" si="10"/>
        <v>30</v>
      </c>
      <c r="Q23" s="1436">
        <f t="shared" si="11"/>
        <v>10</v>
      </c>
      <c r="R23" s="1436">
        <f t="shared" si="12"/>
        <v>10</v>
      </c>
      <c r="S23" s="1437">
        <f t="shared" si="13"/>
        <v>10</v>
      </c>
      <c r="T23" s="785"/>
      <c r="U23" s="795"/>
      <c r="V23" s="799"/>
      <c r="W23" s="786"/>
      <c r="X23" s="786"/>
      <c r="Y23" s="786"/>
      <c r="Z23" s="786"/>
      <c r="AA23" s="2241">
        <f t="shared" si="4"/>
        <v>0</v>
      </c>
      <c r="AB23" s="2302" t="s">
        <v>1620</v>
      </c>
      <c r="AC23" s="3172" t="s">
        <v>1603</v>
      </c>
      <c r="AD23" s="2324" t="s">
        <v>908</v>
      </c>
      <c r="AE23" s="799"/>
      <c r="AF23" s="795"/>
      <c r="AG23" s="799">
        <v>20</v>
      </c>
      <c r="AH23" s="786">
        <v>5</v>
      </c>
      <c r="AI23" s="786">
        <v>5</v>
      </c>
      <c r="AJ23" s="786">
        <v>5</v>
      </c>
      <c r="AK23" s="795">
        <v>5</v>
      </c>
      <c r="AL23" s="1798" t="s">
        <v>1468</v>
      </c>
    </row>
    <row r="24" spans="1:38" ht="36">
      <c r="A24" s="1752"/>
      <c r="B24" s="812">
        <v>2030501</v>
      </c>
      <c r="C24" s="815">
        <v>0.1</v>
      </c>
      <c r="D24" s="2239" t="s">
        <v>884</v>
      </c>
      <c r="E24" s="785"/>
      <c r="F24" s="795"/>
      <c r="G24" s="799">
        <v>30</v>
      </c>
      <c r="H24" s="786"/>
      <c r="I24" s="786"/>
      <c r="J24" s="786"/>
      <c r="K24" s="786"/>
      <c r="L24" s="2240">
        <f t="shared" si="6"/>
        <v>30</v>
      </c>
      <c r="M24" s="1433">
        <f t="shared" si="7"/>
        <v>0</v>
      </c>
      <c r="N24" s="1434">
        <f t="shared" si="8"/>
        <v>0</v>
      </c>
      <c r="O24" s="1435">
        <f t="shared" si="9"/>
        <v>30</v>
      </c>
      <c r="P24" s="1436">
        <f t="shared" si="10"/>
        <v>0</v>
      </c>
      <c r="Q24" s="1436">
        <f t="shared" si="11"/>
        <v>0</v>
      </c>
      <c r="R24" s="1436">
        <f t="shared" si="12"/>
        <v>0</v>
      </c>
      <c r="S24" s="1437">
        <f t="shared" si="13"/>
        <v>0</v>
      </c>
      <c r="T24" s="785"/>
      <c r="U24" s="795"/>
      <c r="V24" s="799"/>
      <c r="W24" s="786"/>
      <c r="X24" s="786"/>
      <c r="Y24" s="786"/>
      <c r="Z24" s="786"/>
      <c r="AA24" s="2241">
        <f t="shared" si="4"/>
        <v>0</v>
      </c>
      <c r="AB24" s="2302" t="s">
        <v>1620</v>
      </c>
      <c r="AC24" s="3172"/>
      <c r="AD24" s="2324" t="s">
        <v>908</v>
      </c>
      <c r="AE24" s="799"/>
      <c r="AF24" s="795"/>
      <c r="AG24" s="799">
        <v>5</v>
      </c>
      <c r="AH24" s="786"/>
      <c r="AI24" s="786"/>
      <c r="AJ24" s="786"/>
      <c r="AK24" s="795"/>
      <c r="AL24" s="1488" t="s">
        <v>962</v>
      </c>
    </row>
    <row r="25" spans="1:38" ht="36">
      <c r="A25" s="1752"/>
      <c r="B25" s="812">
        <v>2030501</v>
      </c>
      <c r="C25" s="815">
        <v>0.1</v>
      </c>
      <c r="D25" s="2238" t="s">
        <v>885</v>
      </c>
      <c r="E25" s="785"/>
      <c r="F25" s="795">
        <v>359</v>
      </c>
      <c r="G25" s="799">
        <f>231-35</f>
        <v>196</v>
      </c>
      <c r="H25" s="786">
        <f>72*2</f>
        <v>144</v>
      </c>
      <c r="I25" s="786">
        <f>52*2+35</f>
        <v>139</v>
      </c>
      <c r="J25" s="786">
        <f>46*3</f>
        <v>138</v>
      </c>
      <c r="K25" s="786">
        <f>46*3</f>
        <v>138</v>
      </c>
      <c r="L25" s="2240">
        <f t="shared" si="6"/>
        <v>755</v>
      </c>
      <c r="M25" s="1433">
        <f t="shared" si="7"/>
        <v>0</v>
      </c>
      <c r="N25" s="1434">
        <f t="shared" si="8"/>
        <v>359</v>
      </c>
      <c r="O25" s="1435">
        <f t="shared" si="9"/>
        <v>196</v>
      </c>
      <c r="P25" s="1436">
        <f t="shared" si="10"/>
        <v>144</v>
      </c>
      <c r="Q25" s="1436">
        <f t="shared" si="11"/>
        <v>139</v>
      </c>
      <c r="R25" s="1436">
        <f t="shared" si="12"/>
        <v>138</v>
      </c>
      <c r="S25" s="1437">
        <f t="shared" si="13"/>
        <v>138</v>
      </c>
      <c r="T25" s="785"/>
      <c r="U25" s="795"/>
      <c r="V25" s="799"/>
      <c r="W25" s="786"/>
      <c r="X25" s="786"/>
      <c r="Y25" s="786"/>
      <c r="Z25" s="786"/>
      <c r="AA25" s="2241">
        <f t="shared" si="4"/>
        <v>0</v>
      </c>
      <c r="AB25" s="2302" t="s">
        <v>1620</v>
      </c>
      <c r="AC25" s="3172" t="s">
        <v>1604</v>
      </c>
      <c r="AD25" s="2324" t="s">
        <v>908</v>
      </c>
      <c r="AE25" s="799"/>
      <c r="AF25" s="795">
        <v>51</v>
      </c>
      <c r="AG25" s="799">
        <v>50</v>
      </c>
      <c r="AH25" s="786">
        <v>40</v>
      </c>
      <c r="AI25" s="786">
        <v>40</v>
      </c>
      <c r="AJ25" s="786">
        <v>30</v>
      </c>
      <c r="AK25" s="795">
        <v>30</v>
      </c>
      <c r="AL25" s="1488" t="s">
        <v>886</v>
      </c>
    </row>
    <row r="26" spans="1:38" ht="25.5">
      <c r="A26" s="1752"/>
      <c r="B26" s="812">
        <v>2030502</v>
      </c>
      <c r="C26" s="815">
        <v>0.1</v>
      </c>
      <c r="D26" s="2239" t="s">
        <v>534</v>
      </c>
      <c r="E26" s="785"/>
      <c r="F26" s="795"/>
      <c r="G26" s="799">
        <v>100</v>
      </c>
      <c r="H26" s="786">
        <v>10</v>
      </c>
      <c r="I26" s="786">
        <v>10</v>
      </c>
      <c r="J26" s="786">
        <v>10</v>
      </c>
      <c r="K26" s="786">
        <v>10</v>
      </c>
      <c r="L26" s="2240">
        <f t="shared" si="6"/>
        <v>140</v>
      </c>
      <c r="M26" s="1433">
        <f t="shared" si="7"/>
        <v>0</v>
      </c>
      <c r="N26" s="1434">
        <f t="shared" si="8"/>
        <v>0</v>
      </c>
      <c r="O26" s="1435">
        <f t="shared" si="9"/>
        <v>100</v>
      </c>
      <c r="P26" s="1436">
        <f t="shared" si="10"/>
        <v>10</v>
      </c>
      <c r="Q26" s="1436">
        <f t="shared" si="11"/>
        <v>10</v>
      </c>
      <c r="R26" s="1436">
        <f t="shared" si="12"/>
        <v>10</v>
      </c>
      <c r="S26" s="1437">
        <f t="shared" si="13"/>
        <v>10</v>
      </c>
      <c r="T26" s="785"/>
      <c r="U26" s="795"/>
      <c r="V26" s="799"/>
      <c r="W26" s="786"/>
      <c r="X26" s="786"/>
      <c r="Y26" s="786"/>
      <c r="Z26" s="786"/>
      <c r="AA26" s="2241">
        <f t="shared" si="4"/>
        <v>0</v>
      </c>
      <c r="AB26" s="2302" t="s">
        <v>1620</v>
      </c>
      <c r="AC26" s="3172" t="s">
        <v>1605</v>
      </c>
      <c r="AD26" s="2324" t="s">
        <v>908</v>
      </c>
      <c r="AE26" s="799"/>
      <c r="AF26" s="795"/>
      <c r="AG26" s="799">
        <v>60</v>
      </c>
      <c r="AH26" s="786">
        <v>5</v>
      </c>
      <c r="AI26" s="786">
        <v>5</v>
      </c>
      <c r="AJ26" s="786">
        <v>18</v>
      </c>
      <c r="AK26" s="795">
        <v>18</v>
      </c>
      <c r="AL26" s="1488" t="s">
        <v>961</v>
      </c>
    </row>
    <row r="27" spans="1:38" ht="24">
      <c r="A27" s="1752"/>
      <c r="B27" s="812">
        <v>215</v>
      </c>
      <c r="C27" s="1768">
        <v>0.2</v>
      </c>
      <c r="D27" s="2238" t="s">
        <v>535</v>
      </c>
      <c r="E27" s="785"/>
      <c r="F27" s="795"/>
      <c r="G27" s="799">
        <v>5</v>
      </c>
      <c r="H27" s="786">
        <v>5</v>
      </c>
      <c r="I27" s="786">
        <v>5</v>
      </c>
      <c r="J27" s="786">
        <v>5</v>
      </c>
      <c r="K27" s="786">
        <v>5</v>
      </c>
      <c r="L27" s="2240">
        <f t="shared" si="6"/>
        <v>25</v>
      </c>
      <c r="M27" s="1433">
        <f t="shared" si="7"/>
        <v>0</v>
      </c>
      <c r="N27" s="1434">
        <f t="shared" si="8"/>
        <v>0</v>
      </c>
      <c r="O27" s="1435">
        <f t="shared" si="9"/>
        <v>5</v>
      </c>
      <c r="P27" s="1436">
        <f t="shared" si="10"/>
        <v>5</v>
      </c>
      <c r="Q27" s="1436">
        <f t="shared" si="11"/>
        <v>5</v>
      </c>
      <c r="R27" s="1436">
        <f t="shared" si="12"/>
        <v>5</v>
      </c>
      <c r="S27" s="1437">
        <f t="shared" si="13"/>
        <v>5</v>
      </c>
      <c r="T27" s="785"/>
      <c r="U27" s="795"/>
      <c r="V27" s="799"/>
      <c r="W27" s="786"/>
      <c r="X27" s="786"/>
      <c r="Y27" s="786"/>
      <c r="Z27" s="786"/>
      <c r="AA27" s="2241">
        <f t="shared" si="4"/>
        <v>0</v>
      </c>
      <c r="AB27" s="2302" t="s">
        <v>1620</v>
      </c>
      <c r="AC27" s="3172"/>
      <c r="AD27" s="1385" t="s">
        <v>380</v>
      </c>
      <c r="AE27" s="799"/>
      <c r="AF27" s="795"/>
      <c r="AG27" s="799">
        <v>1</v>
      </c>
      <c r="AH27" s="786">
        <v>1</v>
      </c>
      <c r="AI27" s="786">
        <v>1</v>
      </c>
      <c r="AJ27" s="786">
        <v>1</v>
      </c>
      <c r="AK27" s="795">
        <v>1</v>
      </c>
      <c r="AL27" s="1487" t="s">
        <v>536</v>
      </c>
    </row>
    <row r="28" spans="1:38" ht="22.5" customHeight="1">
      <c r="A28" s="1752"/>
      <c r="B28" s="812">
        <v>2030503</v>
      </c>
      <c r="C28" s="813">
        <v>0.1</v>
      </c>
      <c r="D28" s="2238" t="s">
        <v>896</v>
      </c>
      <c r="E28" s="785"/>
      <c r="F28" s="795"/>
      <c r="G28" s="799">
        <v>5</v>
      </c>
      <c r="H28" s="786">
        <v>5</v>
      </c>
      <c r="I28" s="786">
        <v>5</v>
      </c>
      <c r="J28" s="786">
        <v>5</v>
      </c>
      <c r="K28" s="786">
        <v>5</v>
      </c>
      <c r="L28" s="2240">
        <f t="shared" si="6"/>
        <v>25</v>
      </c>
      <c r="M28" s="1433">
        <f t="shared" si="7"/>
        <v>0</v>
      </c>
      <c r="N28" s="1434">
        <f t="shared" si="8"/>
        <v>0</v>
      </c>
      <c r="O28" s="1435">
        <f t="shared" si="9"/>
        <v>5</v>
      </c>
      <c r="P28" s="1436">
        <f t="shared" si="10"/>
        <v>5</v>
      </c>
      <c r="Q28" s="1436">
        <f t="shared" si="11"/>
        <v>5</v>
      </c>
      <c r="R28" s="1436">
        <f t="shared" si="12"/>
        <v>5</v>
      </c>
      <c r="S28" s="1437">
        <f t="shared" si="13"/>
        <v>5</v>
      </c>
      <c r="T28" s="785"/>
      <c r="U28" s="795"/>
      <c r="V28" s="799"/>
      <c r="W28" s="786"/>
      <c r="X28" s="786"/>
      <c r="Y28" s="786"/>
      <c r="Z28" s="786"/>
      <c r="AA28" s="2241">
        <f t="shared" si="4"/>
        <v>0</v>
      </c>
      <c r="AB28" s="2302" t="s">
        <v>1620</v>
      </c>
      <c r="AC28" s="3172" t="s">
        <v>1606</v>
      </c>
      <c r="AD28" s="2324" t="s">
        <v>908</v>
      </c>
      <c r="AE28" s="799"/>
      <c r="AF28" s="795"/>
      <c r="AG28" s="799">
        <v>1</v>
      </c>
      <c r="AH28" s="786">
        <v>1</v>
      </c>
      <c r="AI28" s="786">
        <v>1</v>
      </c>
      <c r="AJ28" s="786">
        <v>1</v>
      </c>
      <c r="AK28" s="795">
        <v>1</v>
      </c>
      <c r="AL28" s="1487" t="s">
        <v>537</v>
      </c>
    </row>
    <row r="29" spans="1:38" ht="21.75" customHeight="1">
      <c r="A29" s="1752"/>
      <c r="B29" s="812">
        <v>20302</v>
      </c>
      <c r="C29" s="813">
        <v>0.1</v>
      </c>
      <c r="D29" s="2238" t="s">
        <v>538</v>
      </c>
      <c r="E29" s="785"/>
      <c r="F29" s="795"/>
      <c r="G29" s="799">
        <v>5</v>
      </c>
      <c r="H29" s="786">
        <v>5</v>
      </c>
      <c r="I29" s="786">
        <v>5</v>
      </c>
      <c r="J29" s="786">
        <v>5</v>
      </c>
      <c r="K29" s="786">
        <v>5</v>
      </c>
      <c r="L29" s="2240">
        <f t="shared" si="6"/>
        <v>25</v>
      </c>
      <c r="M29" s="1433">
        <f t="shared" si="7"/>
        <v>0</v>
      </c>
      <c r="N29" s="1434">
        <f t="shared" si="8"/>
        <v>0</v>
      </c>
      <c r="O29" s="1435">
        <f t="shared" si="9"/>
        <v>5</v>
      </c>
      <c r="P29" s="1436">
        <f t="shared" si="10"/>
        <v>5</v>
      </c>
      <c r="Q29" s="1436">
        <f t="shared" si="11"/>
        <v>5</v>
      </c>
      <c r="R29" s="1436">
        <f t="shared" si="12"/>
        <v>5</v>
      </c>
      <c r="S29" s="1437">
        <f t="shared" si="13"/>
        <v>5</v>
      </c>
      <c r="T29" s="785"/>
      <c r="U29" s="795"/>
      <c r="V29" s="799"/>
      <c r="W29" s="786"/>
      <c r="X29" s="786"/>
      <c r="Y29" s="786"/>
      <c r="Z29" s="786"/>
      <c r="AA29" s="2241">
        <f t="shared" si="4"/>
        <v>0</v>
      </c>
      <c r="AB29" s="2302" t="s">
        <v>1620</v>
      </c>
      <c r="AC29" s="3172"/>
      <c r="AD29" s="2324" t="s">
        <v>908</v>
      </c>
      <c r="AE29" s="799"/>
      <c r="AF29" s="795"/>
      <c r="AG29" s="799">
        <v>1</v>
      </c>
      <c r="AH29" s="786">
        <v>1</v>
      </c>
      <c r="AI29" s="786">
        <v>1</v>
      </c>
      <c r="AJ29" s="786">
        <v>1</v>
      </c>
      <c r="AK29" s="795">
        <v>1</v>
      </c>
      <c r="AL29" s="1487" t="s">
        <v>539</v>
      </c>
    </row>
    <row r="30" spans="1:38" ht="24">
      <c r="A30" s="1753"/>
      <c r="B30" s="812">
        <v>20502</v>
      </c>
      <c r="C30" s="813">
        <v>0.1</v>
      </c>
      <c r="D30" s="2238" t="s">
        <v>540</v>
      </c>
      <c r="E30" s="785"/>
      <c r="F30" s="795"/>
      <c r="G30" s="799">
        <v>10</v>
      </c>
      <c r="H30" s="786">
        <v>10</v>
      </c>
      <c r="I30" s="786">
        <v>10</v>
      </c>
      <c r="J30" s="786">
        <v>10</v>
      </c>
      <c r="K30" s="786">
        <v>10</v>
      </c>
      <c r="L30" s="2240">
        <f t="shared" si="6"/>
        <v>50</v>
      </c>
      <c r="M30" s="1433">
        <f t="shared" si="7"/>
        <v>0</v>
      </c>
      <c r="N30" s="1434">
        <f t="shared" si="8"/>
        <v>0</v>
      </c>
      <c r="O30" s="1435">
        <f t="shared" si="9"/>
        <v>10</v>
      </c>
      <c r="P30" s="1436">
        <f t="shared" si="10"/>
        <v>10</v>
      </c>
      <c r="Q30" s="1436">
        <f t="shared" si="11"/>
        <v>10</v>
      </c>
      <c r="R30" s="1436">
        <f t="shared" si="12"/>
        <v>10</v>
      </c>
      <c r="S30" s="1437">
        <f t="shared" si="13"/>
        <v>10</v>
      </c>
      <c r="T30" s="785"/>
      <c r="U30" s="795"/>
      <c r="V30" s="799"/>
      <c r="W30" s="786"/>
      <c r="X30" s="786"/>
      <c r="Y30" s="786"/>
      <c r="Z30" s="786"/>
      <c r="AA30" s="2241">
        <f t="shared" si="4"/>
        <v>0</v>
      </c>
      <c r="AB30" s="2302" t="s">
        <v>1620</v>
      </c>
      <c r="AC30" s="3172" t="s">
        <v>1607</v>
      </c>
      <c r="AD30" s="2324" t="s">
        <v>908</v>
      </c>
      <c r="AE30" s="799"/>
      <c r="AF30" s="795"/>
      <c r="AG30" s="799">
        <v>1</v>
      </c>
      <c r="AH30" s="786">
        <v>1</v>
      </c>
      <c r="AI30" s="786">
        <v>1</v>
      </c>
      <c r="AJ30" s="786">
        <v>1</v>
      </c>
      <c r="AK30" s="795">
        <v>1</v>
      </c>
      <c r="AL30" s="1487" t="s">
        <v>541</v>
      </c>
    </row>
    <row r="31" spans="1:38" ht="24">
      <c r="A31" s="1753"/>
      <c r="B31" s="812">
        <v>20501</v>
      </c>
      <c r="C31" s="813">
        <v>0.08</v>
      </c>
      <c r="D31" s="2238" t="s">
        <v>542</v>
      </c>
      <c r="E31" s="785"/>
      <c r="F31" s="795"/>
      <c r="G31" s="799"/>
      <c r="H31" s="786"/>
      <c r="I31" s="786"/>
      <c r="J31" s="786">
        <v>30</v>
      </c>
      <c r="K31" s="786"/>
      <c r="L31" s="2240">
        <f t="shared" si="6"/>
        <v>30</v>
      </c>
      <c r="M31" s="1433">
        <f t="shared" si="7"/>
        <v>0</v>
      </c>
      <c r="N31" s="1434">
        <f t="shared" si="8"/>
        <v>0</v>
      </c>
      <c r="O31" s="1435">
        <f t="shared" si="9"/>
        <v>0</v>
      </c>
      <c r="P31" s="1436">
        <f t="shared" si="10"/>
        <v>0</v>
      </c>
      <c r="Q31" s="1436">
        <f t="shared" si="11"/>
        <v>0</v>
      </c>
      <c r="R31" s="1436">
        <f t="shared" si="12"/>
        <v>30</v>
      </c>
      <c r="S31" s="1437">
        <f t="shared" si="13"/>
        <v>0</v>
      </c>
      <c r="T31" s="785"/>
      <c r="U31" s="795"/>
      <c r="V31" s="799"/>
      <c r="W31" s="786"/>
      <c r="X31" s="786"/>
      <c r="Y31" s="786"/>
      <c r="Z31" s="786"/>
      <c r="AA31" s="2241">
        <f t="shared" si="4"/>
        <v>0</v>
      </c>
      <c r="AB31" s="2302" t="s">
        <v>1620</v>
      </c>
      <c r="AC31" s="3172" t="s">
        <v>1607</v>
      </c>
      <c r="AD31" s="2324" t="s">
        <v>908</v>
      </c>
      <c r="AE31" s="799"/>
      <c r="AF31" s="795"/>
      <c r="AG31" s="799"/>
      <c r="AH31" s="786"/>
      <c r="AI31" s="786"/>
      <c r="AJ31" s="786">
        <v>1</v>
      </c>
      <c r="AK31" s="795"/>
      <c r="AL31" s="1487" t="s">
        <v>541</v>
      </c>
    </row>
    <row r="32" spans="1:38" ht="24">
      <c r="A32" s="1753"/>
      <c r="B32" s="812">
        <v>20503</v>
      </c>
      <c r="C32" s="813">
        <v>0.1</v>
      </c>
      <c r="D32" s="2239" t="s">
        <v>906</v>
      </c>
      <c r="E32" s="785">
        <v>34</v>
      </c>
      <c r="F32" s="795"/>
      <c r="G32" s="799"/>
      <c r="H32" s="786"/>
      <c r="I32" s="786"/>
      <c r="J32" s="786"/>
      <c r="K32" s="786"/>
      <c r="L32" s="2240">
        <f t="shared" si="6"/>
        <v>0</v>
      </c>
      <c r="M32" s="1433">
        <f t="shared" si="7"/>
        <v>34</v>
      </c>
      <c r="N32" s="1434">
        <f t="shared" si="8"/>
        <v>0</v>
      </c>
      <c r="O32" s="1435">
        <f t="shared" si="9"/>
        <v>0</v>
      </c>
      <c r="P32" s="1436">
        <f t="shared" si="10"/>
        <v>0</v>
      </c>
      <c r="Q32" s="1436">
        <f t="shared" si="11"/>
        <v>0</v>
      </c>
      <c r="R32" s="1436">
        <f t="shared" si="12"/>
        <v>0</v>
      </c>
      <c r="S32" s="1437">
        <f t="shared" si="13"/>
        <v>0</v>
      </c>
      <c r="T32" s="785"/>
      <c r="U32" s="795"/>
      <c r="V32" s="799"/>
      <c r="W32" s="786"/>
      <c r="X32" s="786"/>
      <c r="Y32" s="786"/>
      <c r="Z32" s="786"/>
      <c r="AA32" s="2241">
        <f t="shared" si="4"/>
        <v>0</v>
      </c>
      <c r="AB32" s="2302" t="s">
        <v>1620</v>
      </c>
      <c r="AC32" s="3172" t="s">
        <v>1607</v>
      </c>
      <c r="AD32" s="2324" t="s">
        <v>908</v>
      </c>
      <c r="AE32" s="799">
        <v>1</v>
      </c>
      <c r="AF32" s="795"/>
      <c r="AG32" s="799"/>
      <c r="AH32" s="786"/>
      <c r="AI32" s="786"/>
      <c r="AJ32" s="786"/>
      <c r="AK32" s="795"/>
      <c r="AL32" s="1487" t="s">
        <v>541</v>
      </c>
    </row>
    <row r="33" spans="1:38" ht="34.5" customHeight="1">
      <c r="A33" s="1753"/>
      <c r="B33" s="812">
        <v>20303</v>
      </c>
      <c r="C33" s="813">
        <v>0.1</v>
      </c>
      <c r="D33" s="2238" t="s">
        <v>543</v>
      </c>
      <c r="E33" s="785"/>
      <c r="F33" s="795"/>
      <c r="G33" s="799"/>
      <c r="H33" s="786">
        <v>55</v>
      </c>
      <c r="I33" s="786">
        <v>30</v>
      </c>
      <c r="J33" s="786"/>
      <c r="K33" s="786"/>
      <c r="L33" s="2240">
        <f t="shared" si="6"/>
        <v>85</v>
      </c>
      <c r="M33" s="1433">
        <f t="shared" si="7"/>
        <v>0</v>
      </c>
      <c r="N33" s="1434">
        <f t="shared" si="8"/>
        <v>0</v>
      </c>
      <c r="O33" s="1435">
        <f t="shared" si="9"/>
        <v>0</v>
      </c>
      <c r="P33" s="1436">
        <f t="shared" si="10"/>
        <v>55</v>
      </c>
      <c r="Q33" s="1436">
        <f t="shared" si="11"/>
        <v>30</v>
      </c>
      <c r="R33" s="1436">
        <f t="shared" si="12"/>
        <v>0</v>
      </c>
      <c r="S33" s="1437">
        <f t="shared" si="13"/>
        <v>0</v>
      </c>
      <c r="T33" s="785"/>
      <c r="U33" s="795"/>
      <c r="V33" s="799"/>
      <c r="W33" s="786"/>
      <c r="X33" s="786"/>
      <c r="Y33" s="786"/>
      <c r="Z33" s="786"/>
      <c r="AA33" s="2241">
        <f t="shared" si="4"/>
        <v>0</v>
      </c>
      <c r="AB33" s="2302" t="s">
        <v>1620</v>
      </c>
      <c r="AC33" s="3172" t="s">
        <v>1607</v>
      </c>
      <c r="AD33" s="2324" t="s">
        <v>908</v>
      </c>
      <c r="AE33" s="799"/>
      <c r="AF33" s="795"/>
      <c r="AG33" s="799"/>
      <c r="AH33" s="786">
        <v>1</v>
      </c>
      <c r="AI33" s="786">
        <v>1</v>
      </c>
      <c r="AJ33" s="786"/>
      <c r="AK33" s="795"/>
      <c r="AL33" s="1487" t="s">
        <v>541</v>
      </c>
    </row>
    <row r="34" spans="1:38" ht="36.75" thickBot="1">
      <c r="A34" s="2330"/>
      <c r="B34" s="2331">
        <v>20306</v>
      </c>
      <c r="C34" s="2262">
        <v>0.1</v>
      </c>
      <c r="D34" s="2332" t="s">
        <v>965</v>
      </c>
      <c r="E34" s="789">
        <v>12</v>
      </c>
      <c r="F34" s="1905"/>
      <c r="G34" s="1906">
        <v>10</v>
      </c>
      <c r="H34" s="796">
        <v>10</v>
      </c>
      <c r="I34" s="796">
        <v>10</v>
      </c>
      <c r="J34" s="796">
        <v>10</v>
      </c>
      <c r="K34" s="796">
        <v>10</v>
      </c>
      <c r="L34" s="2333">
        <f t="shared" si="6"/>
        <v>50</v>
      </c>
      <c r="M34" s="2264">
        <f t="shared" si="7"/>
        <v>12</v>
      </c>
      <c r="N34" s="2265">
        <f t="shared" si="8"/>
        <v>0</v>
      </c>
      <c r="O34" s="2266">
        <f t="shared" si="9"/>
        <v>10</v>
      </c>
      <c r="P34" s="2267">
        <f t="shared" si="10"/>
        <v>10</v>
      </c>
      <c r="Q34" s="2267">
        <f t="shared" si="11"/>
        <v>10</v>
      </c>
      <c r="R34" s="2267">
        <f t="shared" si="12"/>
        <v>10</v>
      </c>
      <c r="S34" s="2268">
        <f t="shared" si="13"/>
        <v>10</v>
      </c>
      <c r="T34" s="789"/>
      <c r="U34" s="1905"/>
      <c r="V34" s="1906"/>
      <c r="W34" s="796"/>
      <c r="X34" s="796"/>
      <c r="Y34" s="796"/>
      <c r="Z34" s="796"/>
      <c r="AA34" s="2334">
        <f t="shared" si="4"/>
        <v>0</v>
      </c>
      <c r="AB34" s="2302" t="s">
        <v>1620</v>
      </c>
      <c r="AC34" s="3173" t="s">
        <v>1608</v>
      </c>
      <c r="AD34" s="2336" t="s">
        <v>908</v>
      </c>
      <c r="AE34" s="1906">
        <v>2</v>
      </c>
      <c r="AF34" s="1905"/>
      <c r="AG34" s="1906">
        <v>5</v>
      </c>
      <c r="AH34" s="796">
        <v>5</v>
      </c>
      <c r="AI34" s="796">
        <v>5</v>
      </c>
      <c r="AJ34" s="796">
        <v>5</v>
      </c>
      <c r="AK34" s="1905">
        <v>5</v>
      </c>
      <c r="AL34" s="2337" t="s">
        <v>898</v>
      </c>
    </row>
    <row r="35" spans="1:38" ht="27.75" customHeight="1" thickBot="1">
      <c r="A35" s="2305">
        <v>1.2</v>
      </c>
      <c r="B35" s="2305"/>
      <c r="C35" s="2306"/>
      <c r="D35" s="2307" t="s">
        <v>544</v>
      </c>
      <c r="E35" s="2308">
        <f t="shared" ref="E35:Z35" si="14">SUM(E36:E46)</f>
        <v>13</v>
      </c>
      <c r="F35" s="2309">
        <f t="shared" si="14"/>
        <v>49</v>
      </c>
      <c r="G35" s="2310">
        <f t="shared" si="14"/>
        <v>40</v>
      </c>
      <c r="H35" s="2311">
        <f t="shared" si="14"/>
        <v>149</v>
      </c>
      <c r="I35" s="2311">
        <f t="shared" si="14"/>
        <v>149</v>
      </c>
      <c r="J35" s="2311">
        <f t="shared" si="14"/>
        <v>134</v>
      </c>
      <c r="K35" s="2312">
        <f t="shared" si="14"/>
        <v>119</v>
      </c>
      <c r="L35" s="2313">
        <f t="shared" si="14"/>
        <v>591</v>
      </c>
      <c r="M35" s="2308">
        <f t="shared" si="14"/>
        <v>13</v>
      </c>
      <c r="N35" s="2309">
        <f t="shared" si="14"/>
        <v>49</v>
      </c>
      <c r="O35" s="2310">
        <f t="shared" si="14"/>
        <v>40</v>
      </c>
      <c r="P35" s="2311">
        <f t="shared" si="14"/>
        <v>149</v>
      </c>
      <c r="Q35" s="2311">
        <f t="shared" si="14"/>
        <v>149</v>
      </c>
      <c r="R35" s="2311">
        <f t="shared" si="14"/>
        <v>134</v>
      </c>
      <c r="S35" s="2314">
        <f t="shared" si="14"/>
        <v>119</v>
      </c>
      <c r="T35" s="2308">
        <f t="shared" si="14"/>
        <v>0</v>
      </c>
      <c r="U35" s="2309">
        <f t="shared" si="14"/>
        <v>0</v>
      </c>
      <c r="V35" s="2310">
        <f t="shared" si="14"/>
        <v>0</v>
      </c>
      <c r="W35" s="2311">
        <f t="shared" si="14"/>
        <v>0</v>
      </c>
      <c r="X35" s="2311">
        <f t="shared" si="14"/>
        <v>0</v>
      </c>
      <c r="Y35" s="2311">
        <f t="shared" si="14"/>
        <v>0</v>
      </c>
      <c r="Z35" s="2312">
        <f t="shared" si="14"/>
        <v>0</v>
      </c>
      <c r="AA35" s="2344">
        <f t="shared" si="4"/>
        <v>0</v>
      </c>
      <c r="AB35" s="2345"/>
      <c r="AC35" s="2346"/>
      <c r="AD35" s="2347"/>
      <c r="AE35" s="2348"/>
      <c r="AF35" s="2348"/>
      <c r="AG35" s="2349"/>
      <c r="AH35" s="2349"/>
      <c r="AI35" s="2349"/>
      <c r="AJ35" s="2349"/>
      <c r="AK35" s="2350"/>
      <c r="AL35" s="2351"/>
    </row>
    <row r="36" spans="1:38" ht="22.5" customHeight="1">
      <c r="A36" s="2338"/>
      <c r="B36" s="2339">
        <v>2040207</v>
      </c>
      <c r="C36" s="2289">
        <v>0.04</v>
      </c>
      <c r="D36" s="2340" t="s">
        <v>545</v>
      </c>
      <c r="E36" s="2291"/>
      <c r="F36" s="2292"/>
      <c r="G36" s="2293"/>
      <c r="H36" s="2294">
        <f>10+10+10</f>
        <v>30</v>
      </c>
      <c r="I36" s="2294">
        <f>10+20</f>
        <v>30</v>
      </c>
      <c r="J36" s="2294">
        <v>15</v>
      </c>
      <c r="K36" s="2294"/>
      <c r="L36" s="2341">
        <f t="shared" si="6"/>
        <v>75</v>
      </c>
      <c r="M36" s="2296">
        <f t="shared" ref="M36:M46" si="15">E36-T36</f>
        <v>0</v>
      </c>
      <c r="N36" s="2297">
        <f t="shared" ref="N36:N46" si="16">F36-U36</f>
        <v>0</v>
      </c>
      <c r="O36" s="2298">
        <f t="shared" ref="O36:O46" si="17">G36-V36</f>
        <v>0</v>
      </c>
      <c r="P36" s="2299">
        <f t="shared" ref="P36:P46" si="18">H36-W36</f>
        <v>30</v>
      </c>
      <c r="Q36" s="2299">
        <f t="shared" ref="Q36:Q46" si="19">I36-X36</f>
        <v>30</v>
      </c>
      <c r="R36" s="2299">
        <f t="shared" ref="R36:R46" si="20">J36-Y36</f>
        <v>15</v>
      </c>
      <c r="S36" s="2300">
        <f t="shared" ref="S36:S46" si="21">K36-Z36</f>
        <v>0</v>
      </c>
      <c r="T36" s="2291"/>
      <c r="U36" s="2292"/>
      <c r="V36" s="2293"/>
      <c r="W36" s="2294"/>
      <c r="X36" s="2294"/>
      <c r="Y36" s="2294"/>
      <c r="Z36" s="2294"/>
      <c r="AA36" s="2342">
        <f t="shared" si="4"/>
        <v>0</v>
      </c>
      <c r="AB36" s="2302" t="s">
        <v>1620</v>
      </c>
      <c r="AC36" s="3171" t="s">
        <v>1609</v>
      </c>
      <c r="AD36" s="2323" t="s">
        <v>908</v>
      </c>
      <c r="AE36" s="2293"/>
      <c r="AF36" s="2292"/>
      <c r="AG36" s="2293">
        <v>2</v>
      </c>
      <c r="AH36" s="2294">
        <v>2</v>
      </c>
      <c r="AI36" s="2294">
        <v>1</v>
      </c>
      <c r="AJ36" s="2294"/>
      <c r="AK36" s="2292"/>
      <c r="AL36" s="2343" t="s">
        <v>1459</v>
      </c>
    </row>
    <row r="37" spans="1:38" ht="25.5">
      <c r="A37" s="818"/>
      <c r="B37" s="817">
        <v>2040206</v>
      </c>
      <c r="C37" s="815">
        <v>0.02</v>
      </c>
      <c r="D37" s="816" t="s">
        <v>887</v>
      </c>
      <c r="E37" s="785"/>
      <c r="F37" s="795"/>
      <c r="G37" s="799"/>
      <c r="H37" s="786">
        <v>30</v>
      </c>
      <c r="I37" s="786">
        <f>25+5</f>
        <v>30</v>
      </c>
      <c r="J37" s="786">
        <f>20+10</f>
        <v>30</v>
      </c>
      <c r="K37" s="786">
        <f>20+10</f>
        <v>30</v>
      </c>
      <c r="L37" s="814">
        <f t="shared" si="6"/>
        <v>120</v>
      </c>
      <c r="M37" s="1433">
        <f t="shared" si="15"/>
        <v>0</v>
      </c>
      <c r="N37" s="1434">
        <f t="shared" si="16"/>
        <v>0</v>
      </c>
      <c r="O37" s="1435">
        <f t="shared" si="17"/>
        <v>0</v>
      </c>
      <c r="P37" s="1436">
        <f t="shared" si="18"/>
        <v>30</v>
      </c>
      <c r="Q37" s="1436">
        <f t="shared" si="19"/>
        <v>30</v>
      </c>
      <c r="R37" s="1436">
        <f t="shared" si="20"/>
        <v>30</v>
      </c>
      <c r="S37" s="1437">
        <f t="shared" si="21"/>
        <v>30</v>
      </c>
      <c r="T37" s="785"/>
      <c r="U37" s="795"/>
      <c r="V37" s="799"/>
      <c r="W37" s="786"/>
      <c r="X37" s="786"/>
      <c r="Y37" s="786"/>
      <c r="Z37" s="786"/>
      <c r="AA37" s="843">
        <f t="shared" si="4"/>
        <v>0</v>
      </c>
      <c r="AB37" s="2302" t="s">
        <v>1620</v>
      </c>
      <c r="AC37" s="3172" t="s">
        <v>1610</v>
      </c>
      <c r="AD37" s="2324" t="s">
        <v>909</v>
      </c>
      <c r="AE37" s="799"/>
      <c r="AF37" s="795"/>
      <c r="AG37" s="799"/>
      <c r="AH37" s="786">
        <v>10</v>
      </c>
      <c r="AI37" s="786">
        <v>10</v>
      </c>
      <c r="AJ37" s="786">
        <v>10</v>
      </c>
      <c r="AK37" s="795">
        <v>10</v>
      </c>
      <c r="AL37" s="1488" t="s">
        <v>897</v>
      </c>
    </row>
    <row r="38" spans="1:38" ht="25.5">
      <c r="A38" s="818"/>
      <c r="B38" s="817">
        <v>2040206</v>
      </c>
      <c r="C38" s="815">
        <v>0.02</v>
      </c>
      <c r="D38" s="816" t="s">
        <v>546</v>
      </c>
      <c r="E38" s="785">
        <v>6</v>
      </c>
      <c r="F38" s="795">
        <v>39</v>
      </c>
      <c r="G38" s="799">
        <v>10</v>
      </c>
      <c r="H38" s="786">
        <v>50</v>
      </c>
      <c r="I38" s="786">
        <v>50</v>
      </c>
      <c r="J38" s="786">
        <v>50</v>
      </c>
      <c r="K38" s="786">
        <v>50</v>
      </c>
      <c r="L38" s="814">
        <f t="shared" si="6"/>
        <v>210</v>
      </c>
      <c r="M38" s="1433">
        <f t="shared" si="15"/>
        <v>6</v>
      </c>
      <c r="N38" s="1434">
        <f t="shared" si="16"/>
        <v>39</v>
      </c>
      <c r="O38" s="1435">
        <f t="shared" si="17"/>
        <v>10</v>
      </c>
      <c r="P38" s="1436">
        <f t="shared" si="18"/>
        <v>50</v>
      </c>
      <c r="Q38" s="1436">
        <f t="shared" si="19"/>
        <v>50</v>
      </c>
      <c r="R38" s="1436">
        <f t="shared" si="20"/>
        <v>50</v>
      </c>
      <c r="S38" s="1437">
        <f t="shared" si="21"/>
        <v>50</v>
      </c>
      <c r="T38" s="785"/>
      <c r="U38" s="795"/>
      <c r="V38" s="799"/>
      <c r="W38" s="786"/>
      <c r="X38" s="786"/>
      <c r="Y38" s="786"/>
      <c r="Z38" s="786"/>
      <c r="AA38" s="843">
        <f t="shared" si="4"/>
        <v>0</v>
      </c>
      <c r="AB38" s="2302" t="s">
        <v>1620</v>
      </c>
      <c r="AC38" s="3172" t="s">
        <v>1611</v>
      </c>
      <c r="AD38" s="2324" t="s">
        <v>909</v>
      </c>
      <c r="AE38" s="799"/>
      <c r="AF38" s="795"/>
      <c r="AG38" s="799">
        <v>20</v>
      </c>
      <c r="AH38" s="786">
        <v>80</v>
      </c>
      <c r="AI38" s="786">
        <v>80</v>
      </c>
      <c r="AJ38" s="786">
        <v>80</v>
      </c>
      <c r="AK38" s="795">
        <v>80</v>
      </c>
      <c r="AL38" s="1487" t="s">
        <v>547</v>
      </c>
    </row>
    <row r="39" spans="1:38" ht="17.25" customHeight="1">
      <c r="A39" s="818"/>
      <c r="B39" s="817">
        <v>2040206</v>
      </c>
      <c r="C39" s="815">
        <v>0.02</v>
      </c>
      <c r="D39" s="1757" t="s">
        <v>548</v>
      </c>
      <c r="E39" s="785"/>
      <c r="F39" s="795">
        <v>5</v>
      </c>
      <c r="G39" s="799">
        <v>6</v>
      </c>
      <c r="H39" s="786">
        <v>10</v>
      </c>
      <c r="I39" s="786">
        <v>10</v>
      </c>
      <c r="J39" s="786">
        <v>10</v>
      </c>
      <c r="K39" s="786">
        <v>10</v>
      </c>
      <c r="L39" s="814">
        <f t="shared" si="6"/>
        <v>46</v>
      </c>
      <c r="M39" s="1433">
        <f t="shared" si="15"/>
        <v>0</v>
      </c>
      <c r="N39" s="1434">
        <f t="shared" si="16"/>
        <v>5</v>
      </c>
      <c r="O39" s="1435">
        <f t="shared" si="17"/>
        <v>6</v>
      </c>
      <c r="P39" s="1436">
        <f t="shared" si="18"/>
        <v>10</v>
      </c>
      <c r="Q39" s="1436">
        <f t="shared" si="19"/>
        <v>10</v>
      </c>
      <c r="R39" s="1436">
        <f t="shared" si="20"/>
        <v>10</v>
      </c>
      <c r="S39" s="1437">
        <f t="shared" si="21"/>
        <v>10</v>
      </c>
      <c r="T39" s="785"/>
      <c r="U39" s="795"/>
      <c r="V39" s="799"/>
      <c r="W39" s="786"/>
      <c r="X39" s="786"/>
      <c r="Y39" s="786"/>
      <c r="Z39" s="786"/>
      <c r="AA39" s="843">
        <f t="shared" si="4"/>
        <v>0</v>
      </c>
      <c r="AB39" s="2302" t="s">
        <v>1620</v>
      </c>
      <c r="AC39" s="3172" t="s">
        <v>1612</v>
      </c>
      <c r="AD39" s="2324" t="s">
        <v>908</v>
      </c>
      <c r="AE39" s="799"/>
      <c r="AF39" s="795"/>
      <c r="AG39" s="799">
        <v>1</v>
      </c>
      <c r="AH39" s="786">
        <v>2</v>
      </c>
      <c r="AI39" s="786">
        <v>2</v>
      </c>
      <c r="AJ39" s="786">
        <v>2</v>
      </c>
      <c r="AK39" s="795">
        <v>2</v>
      </c>
      <c r="AL39" s="1487" t="s">
        <v>532</v>
      </c>
    </row>
    <row r="40" spans="1:38" ht="17.25" customHeight="1">
      <c r="A40" s="818"/>
      <c r="B40" s="812">
        <v>2030503</v>
      </c>
      <c r="C40" s="813">
        <v>0.1</v>
      </c>
      <c r="D40" s="1757" t="s">
        <v>895</v>
      </c>
      <c r="E40" s="785"/>
      <c r="F40" s="795"/>
      <c r="G40" s="799"/>
      <c r="H40" s="786">
        <v>5</v>
      </c>
      <c r="I40" s="786">
        <v>5</v>
      </c>
      <c r="J40" s="786">
        <v>5</v>
      </c>
      <c r="K40" s="786">
        <v>5</v>
      </c>
      <c r="L40" s="814">
        <f t="shared" si="6"/>
        <v>20</v>
      </c>
      <c r="M40" s="1433">
        <f t="shared" si="15"/>
        <v>0</v>
      </c>
      <c r="N40" s="1434">
        <f t="shared" si="16"/>
        <v>0</v>
      </c>
      <c r="O40" s="1435">
        <f t="shared" si="17"/>
        <v>0</v>
      </c>
      <c r="P40" s="1436">
        <f t="shared" si="18"/>
        <v>5</v>
      </c>
      <c r="Q40" s="1436">
        <f t="shared" si="19"/>
        <v>5</v>
      </c>
      <c r="R40" s="1436">
        <f t="shared" si="20"/>
        <v>5</v>
      </c>
      <c r="S40" s="1437">
        <f t="shared" si="21"/>
        <v>5</v>
      </c>
      <c r="T40" s="785"/>
      <c r="U40" s="795"/>
      <c r="V40" s="799"/>
      <c r="W40" s="786"/>
      <c r="X40" s="786"/>
      <c r="Y40" s="786"/>
      <c r="Z40" s="786"/>
      <c r="AA40" s="843">
        <f t="shared" si="4"/>
        <v>0</v>
      </c>
      <c r="AB40" s="2302" t="s">
        <v>1620</v>
      </c>
      <c r="AC40" s="3172" t="s">
        <v>1613</v>
      </c>
      <c r="AD40" s="2324" t="s">
        <v>908</v>
      </c>
      <c r="AE40" s="799"/>
      <c r="AF40" s="795"/>
      <c r="AG40" s="799"/>
      <c r="AH40" s="786">
        <v>1</v>
      </c>
      <c r="AI40" s="786">
        <v>1</v>
      </c>
      <c r="AJ40" s="786">
        <v>1</v>
      </c>
      <c r="AK40" s="795">
        <v>1</v>
      </c>
      <c r="AL40" s="1487" t="s">
        <v>537</v>
      </c>
    </row>
    <row r="41" spans="1:38" ht="24">
      <c r="A41" s="818"/>
      <c r="B41" s="812">
        <v>215</v>
      </c>
      <c r="C41" s="1768">
        <v>0.2</v>
      </c>
      <c r="D41" s="1757" t="s">
        <v>549</v>
      </c>
      <c r="E41" s="785"/>
      <c r="F41" s="795"/>
      <c r="G41" s="799"/>
      <c r="H41" s="786">
        <v>15</v>
      </c>
      <c r="I41" s="786">
        <v>15</v>
      </c>
      <c r="J41" s="786">
        <v>15</v>
      </c>
      <c r="K41" s="786">
        <v>15</v>
      </c>
      <c r="L41" s="814">
        <f t="shared" si="6"/>
        <v>60</v>
      </c>
      <c r="M41" s="1433">
        <f t="shared" si="15"/>
        <v>0</v>
      </c>
      <c r="N41" s="1434">
        <f t="shared" si="16"/>
        <v>0</v>
      </c>
      <c r="O41" s="1435">
        <f t="shared" si="17"/>
        <v>0</v>
      </c>
      <c r="P41" s="1436">
        <f t="shared" si="18"/>
        <v>15</v>
      </c>
      <c r="Q41" s="1436">
        <f t="shared" si="19"/>
        <v>15</v>
      </c>
      <c r="R41" s="1436">
        <f t="shared" si="20"/>
        <v>15</v>
      </c>
      <c r="S41" s="1437">
        <f t="shared" si="21"/>
        <v>15</v>
      </c>
      <c r="T41" s="785"/>
      <c r="U41" s="795"/>
      <c r="V41" s="799"/>
      <c r="W41" s="786"/>
      <c r="X41" s="786"/>
      <c r="Y41" s="786"/>
      <c r="Z41" s="786"/>
      <c r="AA41" s="843">
        <f t="shared" si="4"/>
        <v>0</v>
      </c>
      <c r="AB41" s="2302" t="s">
        <v>1620</v>
      </c>
      <c r="AC41" s="3172"/>
      <c r="AD41" s="1385" t="s">
        <v>380</v>
      </c>
      <c r="AE41" s="2327"/>
      <c r="AF41" s="2243"/>
      <c r="AG41" s="2242"/>
      <c r="AH41" s="2244"/>
      <c r="AI41" s="2244"/>
      <c r="AJ41" s="2244"/>
      <c r="AK41" s="2245"/>
      <c r="AL41" s="1487" t="s">
        <v>536</v>
      </c>
    </row>
    <row r="42" spans="1:38" ht="25.5">
      <c r="A42" s="1754"/>
      <c r="B42" s="817">
        <v>20502</v>
      </c>
      <c r="C42" s="815">
        <v>0.1</v>
      </c>
      <c r="D42" s="1757" t="s">
        <v>550</v>
      </c>
      <c r="E42" s="785">
        <v>7</v>
      </c>
      <c r="F42" s="795"/>
      <c r="G42" s="799">
        <v>10</v>
      </c>
      <c r="H42" s="786"/>
      <c r="I42" s="786"/>
      <c r="J42" s="786"/>
      <c r="K42" s="786"/>
      <c r="L42" s="814">
        <f t="shared" si="6"/>
        <v>10</v>
      </c>
      <c r="M42" s="1433">
        <f t="shared" si="15"/>
        <v>7</v>
      </c>
      <c r="N42" s="1434">
        <f t="shared" si="16"/>
        <v>0</v>
      </c>
      <c r="O42" s="1435">
        <f t="shared" si="17"/>
        <v>10</v>
      </c>
      <c r="P42" s="1436">
        <f t="shared" si="18"/>
        <v>0</v>
      </c>
      <c r="Q42" s="1436">
        <f t="shared" si="19"/>
        <v>0</v>
      </c>
      <c r="R42" s="1436">
        <f t="shared" si="20"/>
        <v>0</v>
      </c>
      <c r="S42" s="1437">
        <f t="shared" si="21"/>
        <v>0</v>
      </c>
      <c r="T42" s="785"/>
      <c r="U42" s="795"/>
      <c r="V42" s="799"/>
      <c r="W42" s="786"/>
      <c r="X42" s="786"/>
      <c r="Y42" s="786"/>
      <c r="Z42" s="786"/>
      <c r="AA42" s="843">
        <f t="shared" si="4"/>
        <v>0</v>
      </c>
      <c r="AB42" s="2302" t="s">
        <v>1620</v>
      </c>
      <c r="AC42" s="3172" t="s">
        <v>1614</v>
      </c>
      <c r="AD42" s="2324" t="s">
        <v>908</v>
      </c>
      <c r="AE42" s="799"/>
      <c r="AF42" s="795"/>
      <c r="AG42" s="799">
        <v>1</v>
      </c>
      <c r="AH42" s="786"/>
      <c r="AI42" s="786"/>
      <c r="AJ42" s="786"/>
      <c r="AK42" s="795"/>
      <c r="AL42" s="1487" t="s">
        <v>541</v>
      </c>
    </row>
    <row r="43" spans="1:38" ht="25.5">
      <c r="A43" s="1754"/>
      <c r="B43" s="817">
        <v>20501</v>
      </c>
      <c r="C43" s="815">
        <v>0.08</v>
      </c>
      <c r="D43" s="1757" t="s">
        <v>551</v>
      </c>
      <c r="E43" s="785"/>
      <c r="F43" s="795"/>
      <c r="G43" s="799"/>
      <c r="H43" s="786"/>
      <c r="I43" s="786"/>
      <c r="J43" s="786"/>
      <c r="K43" s="786"/>
      <c r="L43" s="814">
        <f t="shared" si="6"/>
        <v>0</v>
      </c>
      <c r="M43" s="1433">
        <f t="shared" si="15"/>
        <v>0</v>
      </c>
      <c r="N43" s="1434">
        <f t="shared" si="16"/>
        <v>0</v>
      </c>
      <c r="O43" s="1435">
        <f t="shared" si="17"/>
        <v>0</v>
      </c>
      <c r="P43" s="1436">
        <f t="shared" si="18"/>
        <v>0</v>
      </c>
      <c r="Q43" s="1436">
        <f t="shared" si="19"/>
        <v>0</v>
      </c>
      <c r="R43" s="1436">
        <f t="shared" si="20"/>
        <v>0</v>
      </c>
      <c r="S43" s="1437">
        <f t="shared" si="21"/>
        <v>0</v>
      </c>
      <c r="T43" s="785"/>
      <c r="U43" s="795"/>
      <c r="V43" s="799"/>
      <c r="W43" s="786"/>
      <c r="X43" s="786"/>
      <c r="Y43" s="786"/>
      <c r="Z43" s="786"/>
      <c r="AA43" s="843">
        <f t="shared" si="4"/>
        <v>0</v>
      </c>
      <c r="AB43" s="2302" t="s">
        <v>1620</v>
      </c>
      <c r="AC43" s="3172" t="s">
        <v>1614</v>
      </c>
      <c r="AD43" s="2324" t="s">
        <v>908</v>
      </c>
      <c r="AE43" s="799"/>
      <c r="AF43" s="795"/>
      <c r="AG43" s="799"/>
      <c r="AH43" s="786"/>
      <c r="AI43" s="786"/>
      <c r="AJ43" s="786"/>
      <c r="AK43" s="795"/>
      <c r="AL43" s="1487" t="s">
        <v>541</v>
      </c>
    </row>
    <row r="44" spans="1:38" ht="25.5">
      <c r="A44" s="1754"/>
      <c r="B44" s="817">
        <v>20503</v>
      </c>
      <c r="C44" s="815">
        <v>0.1</v>
      </c>
      <c r="D44" s="1757" t="s">
        <v>904</v>
      </c>
      <c r="E44" s="785"/>
      <c r="F44" s="795"/>
      <c r="G44" s="799"/>
      <c r="H44" s="786"/>
      <c r="I44" s="786"/>
      <c r="J44" s="786"/>
      <c r="K44" s="786"/>
      <c r="L44" s="814">
        <f t="shared" si="6"/>
        <v>0</v>
      </c>
      <c r="M44" s="1433">
        <f t="shared" si="15"/>
        <v>0</v>
      </c>
      <c r="N44" s="1434">
        <f t="shared" si="16"/>
        <v>0</v>
      </c>
      <c r="O44" s="1435">
        <f t="shared" si="17"/>
        <v>0</v>
      </c>
      <c r="P44" s="1436">
        <f t="shared" si="18"/>
        <v>0</v>
      </c>
      <c r="Q44" s="1436">
        <f t="shared" si="19"/>
        <v>0</v>
      </c>
      <c r="R44" s="1436">
        <f t="shared" si="20"/>
        <v>0</v>
      </c>
      <c r="S44" s="1437">
        <f t="shared" si="21"/>
        <v>0</v>
      </c>
      <c r="T44" s="785"/>
      <c r="U44" s="795"/>
      <c r="V44" s="799"/>
      <c r="W44" s="786"/>
      <c r="X44" s="786"/>
      <c r="Y44" s="786"/>
      <c r="Z44" s="786"/>
      <c r="AA44" s="843">
        <f t="shared" si="4"/>
        <v>0</v>
      </c>
      <c r="AB44" s="2302" t="s">
        <v>1620</v>
      </c>
      <c r="AC44" s="3172" t="s">
        <v>1614</v>
      </c>
      <c r="AD44" s="2324" t="s">
        <v>908</v>
      </c>
      <c r="AE44" s="799"/>
      <c r="AF44" s="795"/>
      <c r="AG44" s="799"/>
      <c r="AH44" s="786"/>
      <c r="AI44" s="786"/>
      <c r="AJ44" s="786"/>
      <c r="AK44" s="795"/>
      <c r="AL44" s="1487" t="s">
        <v>541</v>
      </c>
    </row>
    <row r="45" spans="1:38" ht="36">
      <c r="A45" s="1754"/>
      <c r="B45" s="817">
        <v>20303</v>
      </c>
      <c r="C45" s="813">
        <v>0.1</v>
      </c>
      <c r="D45" s="816" t="s">
        <v>888</v>
      </c>
      <c r="E45" s="785"/>
      <c r="F45" s="795"/>
      <c r="G45" s="799">
        <v>9</v>
      </c>
      <c r="H45" s="786">
        <v>9</v>
      </c>
      <c r="I45" s="786">
        <v>9</v>
      </c>
      <c r="J45" s="786">
        <v>9</v>
      </c>
      <c r="K45" s="786">
        <v>9</v>
      </c>
      <c r="L45" s="814">
        <f t="shared" si="6"/>
        <v>45</v>
      </c>
      <c r="M45" s="1433">
        <f t="shared" si="15"/>
        <v>0</v>
      </c>
      <c r="N45" s="1434">
        <f t="shared" si="16"/>
        <v>0</v>
      </c>
      <c r="O45" s="1435">
        <f t="shared" si="17"/>
        <v>9</v>
      </c>
      <c r="P45" s="1436">
        <f t="shared" si="18"/>
        <v>9</v>
      </c>
      <c r="Q45" s="1436">
        <f t="shared" si="19"/>
        <v>9</v>
      </c>
      <c r="R45" s="1436">
        <f t="shared" si="20"/>
        <v>9</v>
      </c>
      <c r="S45" s="1437">
        <f t="shared" si="21"/>
        <v>9</v>
      </c>
      <c r="T45" s="785"/>
      <c r="U45" s="795"/>
      <c r="V45" s="799"/>
      <c r="W45" s="786"/>
      <c r="X45" s="786"/>
      <c r="Y45" s="786"/>
      <c r="Z45" s="786"/>
      <c r="AA45" s="843">
        <f t="shared" si="4"/>
        <v>0</v>
      </c>
      <c r="AB45" s="2302" t="s">
        <v>1620</v>
      </c>
      <c r="AC45" s="3172" t="s">
        <v>1614</v>
      </c>
      <c r="AD45" s="2324" t="s">
        <v>908</v>
      </c>
      <c r="AE45" s="799"/>
      <c r="AF45" s="795"/>
      <c r="AG45" s="799">
        <v>5</v>
      </c>
      <c r="AH45" s="786">
        <v>5</v>
      </c>
      <c r="AI45" s="786">
        <v>5</v>
      </c>
      <c r="AJ45" s="786">
        <v>5</v>
      </c>
      <c r="AK45" s="795">
        <v>5</v>
      </c>
      <c r="AL45" s="1488" t="s">
        <v>1458</v>
      </c>
    </row>
    <row r="46" spans="1:38" ht="36.75" thickBot="1">
      <c r="A46" s="2260"/>
      <c r="B46" s="2352">
        <v>20306</v>
      </c>
      <c r="C46" s="2262">
        <v>0.1</v>
      </c>
      <c r="D46" s="2263" t="s">
        <v>964</v>
      </c>
      <c r="E46" s="789"/>
      <c r="F46" s="1905">
        <v>5</v>
      </c>
      <c r="G46" s="1906">
        <v>5</v>
      </c>
      <c r="H46" s="796"/>
      <c r="I46" s="796"/>
      <c r="J46" s="796"/>
      <c r="K46" s="796"/>
      <c r="L46" s="1483">
        <f t="shared" si="6"/>
        <v>5</v>
      </c>
      <c r="M46" s="2264">
        <f t="shared" si="15"/>
        <v>0</v>
      </c>
      <c r="N46" s="2265">
        <f t="shared" si="16"/>
        <v>5</v>
      </c>
      <c r="O46" s="2266">
        <f t="shared" si="17"/>
        <v>5</v>
      </c>
      <c r="P46" s="2267">
        <f t="shared" si="18"/>
        <v>0</v>
      </c>
      <c r="Q46" s="2267">
        <f t="shared" si="19"/>
        <v>0</v>
      </c>
      <c r="R46" s="2267">
        <f t="shared" si="20"/>
        <v>0</v>
      </c>
      <c r="S46" s="2268">
        <f t="shared" si="21"/>
        <v>0</v>
      </c>
      <c r="T46" s="789"/>
      <c r="U46" s="1905"/>
      <c r="V46" s="1906"/>
      <c r="W46" s="796"/>
      <c r="X46" s="796"/>
      <c r="Y46" s="796"/>
      <c r="Z46" s="796"/>
      <c r="AA46" s="2269">
        <f t="shared" si="4"/>
        <v>0</v>
      </c>
      <c r="AB46" s="2302" t="s">
        <v>1620</v>
      </c>
      <c r="AC46" s="2335"/>
      <c r="AD46" s="2336" t="s">
        <v>908</v>
      </c>
      <c r="AE46" s="1906"/>
      <c r="AF46" s="1905"/>
      <c r="AG46" s="1906">
        <v>1</v>
      </c>
      <c r="AH46" s="796"/>
      <c r="AI46" s="796"/>
      <c r="AJ46" s="796"/>
      <c r="AK46" s="1905"/>
      <c r="AL46" s="2337" t="s">
        <v>1457</v>
      </c>
    </row>
    <row r="47" spans="1:38" ht="24.75" thickBot="1">
      <c r="A47" s="2305">
        <v>1.3</v>
      </c>
      <c r="B47" s="2305"/>
      <c r="C47" s="2306"/>
      <c r="D47" s="2307" t="s">
        <v>552</v>
      </c>
      <c r="E47" s="2308">
        <f t="shared" ref="E47:K47" si="22">SUM(E48:E55)</f>
        <v>17</v>
      </c>
      <c r="F47" s="2309">
        <f t="shared" si="22"/>
        <v>110</v>
      </c>
      <c r="G47" s="2310">
        <f t="shared" si="22"/>
        <v>175</v>
      </c>
      <c r="H47" s="2311">
        <f t="shared" si="22"/>
        <v>253</v>
      </c>
      <c r="I47" s="2311">
        <f t="shared" si="22"/>
        <v>296</v>
      </c>
      <c r="J47" s="2311">
        <f t="shared" si="22"/>
        <v>288</v>
      </c>
      <c r="K47" s="2312">
        <f t="shared" si="22"/>
        <v>268</v>
      </c>
      <c r="L47" s="2313">
        <f t="shared" ref="L47:Z47" si="23">SUM(L48:L55)</f>
        <v>1280</v>
      </c>
      <c r="M47" s="2308">
        <f t="shared" si="23"/>
        <v>17</v>
      </c>
      <c r="N47" s="2309">
        <f t="shared" si="23"/>
        <v>110</v>
      </c>
      <c r="O47" s="2310">
        <f t="shared" si="23"/>
        <v>175</v>
      </c>
      <c r="P47" s="2311">
        <f t="shared" si="23"/>
        <v>253</v>
      </c>
      <c r="Q47" s="2311">
        <f t="shared" si="23"/>
        <v>296</v>
      </c>
      <c r="R47" s="2311">
        <f t="shared" si="23"/>
        <v>288</v>
      </c>
      <c r="S47" s="2314">
        <f t="shared" si="23"/>
        <v>268</v>
      </c>
      <c r="T47" s="2308">
        <f t="shared" si="23"/>
        <v>0</v>
      </c>
      <c r="U47" s="2309">
        <f t="shared" si="23"/>
        <v>0</v>
      </c>
      <c r="V47" s="2310">
        <f t="shared" si="23"/>
        <v>0</v>
      </c>
      <c r="W47" s="2311">
        <f t="shared" si="23"/>
        <v>0</v>
      </c>
      <c r="X47" s="2311">
        <f t="shared" si="23"/>
        <v>0</v>
      </c>
      <c r="Y47" s="2311">
        <f t="shared" si="23"/>
        <v>0</v>
      </c>
      <c r="Z47" s="2312">
        <f t="shared" si="23"/>
        <v>0</v>
      </c>
      <c r="AA47" s="2344">
        <f t="shared" si="4"/>
        <v>0</v>
      </c>
      <c r="AB47" s="2345"/>
      <c r="AC47" s="2346"/>
      <c r="AD47" s="2347"/>
      <c r="AE47" s="2348"/>
      <c r="AF47" s="2348"/>
      <c r="AG47" s="2349"/>
      <c r="AH47" s="2349"/>
      <c r="AI47" s="2349"/>
      <c r="AJ47" s="2349"/>
      <c r="AK47" s="2350"/>
      <c r="AL47" s="2351"/>
    </row>
    <row r="48" spans="1:38" ht="15.75" customHeight="1">
      <c r="A48" s="2287"/>
      <c r="B48" s="2339">
        <v>2040207</v>
      </c>
      <c r="C48" s="2289">
        <v>0.04</v>
      </c>
      <c r="D48" s="2353" t="s">
        <v>553</v>
      </c>
      <c r="E48" s="2291">
        <v>17</v>
      </c>
      <c r="F48" s="2292">
        <v>110</v>
      </c>
      <c r="G48" s="2293">
        <v>100</v>
      </c>
      <c r="H48" s="2294">
        <v>170</v>
      </c>
      <c r="I48" s="2294">
        <v>170</v>
      </c>
      <c r="J48" s="2294">
        <v>170</v>
      </c>
      <c r="K48" s="2294">
        <v>170</v>
      </c>
      <c r="L48" s="2341">
        <f t="shared" si="6"/>
        <v>780</v>
      </c>
      <c r="M48" s="2296">
        <f t="shared" ref="M48:M55" si="24">E48-T48</f>
        <v>17</v>
      </c>
      <c r="N48" s="2297">
        <f t="shared" ref="N48:N55" si="25">F48-U48</f>
        <v>110</v>
      </c>
      <c r="O48" s="2298">
        <f t="shared" ref="O48:O55" si="26">G48-V48</f>
        <v>100</v>
      </c>
      <c r="P48" s="2299">
        <f t="shared" ref="P48:P55" si="27">H48-W48</f>
        <v>170</v>
      </c>
      <c r="Q48" s="2299">
        <f t="shared" ref="Q48:Q55" si="28">I48-X48</f>
        <v>170</v>
      </c>
      <c r="R48" s="2299">
        <f t="shared" ref="R48:R55" si="29">J48-Y48</f>
        <v>170</v>
      </c>
      <c r="S48" s="2300">
        <f t="shared" ref="S48:S55" si="30">K48-Z48</f>
        <v>170</v>
      </c>
      <c r="T48" s="2291"/>
      <c r="U48" s="2292"/>
      <c r="V48" s="2293"/>
      <c r="W48" s="2294"/>
      <c r="X48" s="2294"/>
      <c r="Y48" s="2294"/>
      <c r="Z48" s="2294"/>
      <c r="AA48" s="2342">
        <f t="shared" si="4"/>
        <v>0</v>
      </c>
      <c r="AB48" s="2302" t="s">
        <v>1620</v>
      </c>
      <c r="AC48" s="3171" t="s">
        <v>1615</v>
      </c>
      <c r="AD48" s="2323" t="s">
        <v>908</v>
      </c>
      <c r="AE48" s="2293"/>
      <c r="AF48" s="2292"/>
      <c r="AG48" s="2293">
        <v>1</v>
      </c>
      <c r="AH48" s="2294">
        <v>1</v>
      </c>
      <c r="AI48" s="2294">
        <v>1</v>
      </c>
      <c r="AJ48" s="2294">
        <v>1</v>
      </c>
      <c r="AK48" s="2292">
        <v>1</v>
      </c>
      <c r="AL48" s="2343" t="s">
        <v>1460</v>
      </c>
    </row>
    <row r="49" spans="1:38" ht="15.75" customHeight="1">
      <c r="A49" s="1752"/>
      <c r="B49" s="817">
        <v>20302</v>
      </c>
      <c r="C49" s="813">
        <v>0.1</v>
      </c>
      <c r="D49" s="1757" t="s">
        <v>554</v>
      </c>
      <c r="E49" s="785"/>
      <c r="F49" s="795"/>
      <c r="G49" s="799">
        <v>49</v>
      </c>
      <c r="H49" s="786">
        <v>53</v>
      </c>
      <c r="I49" s="786">
        <v>91</v>
      </c>
      <c r="J49" s="786">
        <v>78</v>
      </c>
      <c r="K49" s="786">
        <v>48</v>
      </c>
      <c r="L49" s="814">
        <f t="shared" si="6"/>
        <v>319</v>
      </c>
      <c r="M49" s="1433">
        <f t="shared" si="24"/>
        <v>0</v>
      </c>
      <c r="N49" s="1434">
        <f t="shared" si="25"/>
        <v>0</v>
      </c>
      <c r="O49" s="1435">
        <f t="shared" si="26"/>
        <v>49</v>
      </c>
      <c r="P49" s="1436">
        <f t="shared" si="27"/>
        <v>53</v>
      </c>
      <c r="Q49" s="1436">
        <f t="shared" si="28"/>
        <v>91</v>
      </c>
      <c r="R49" s="1436">
        <f t="shared" si="29"/>
        <v>78</v>
      </c>
      <c r="S49" s="1437">
        <f t="shared" si="30"/>
        <v>48</v>
      </c>
      <c r="T49" s="785"/>
      <c r="U49" s="795"/>
      <c r="V49" s="799"/>
      <c r="W49" s="786"/>
      <c r="X49" s="786"/>
      <c r="Y49" s="786"/>
      <c r="Z49" s="786"/>
      <c r="AA49" s="843">
        <f t="shared" si="4"/>
        <v>0</v>
      </c>
      <c r="AB49" s="2302" t="s">
        <v>1620</v>
      </c>
      <c r="AC49" s="3171" t="s">
        <v>1616</v>
      </c>
      <c r="AD49" s="2324" t="s">
        <v>908</v>
      </c>
      <c r="AE49" s="799"/>
      <c r="AF49" s="795"/>
      <c r="AG49" s="799">
        <v>1</v>
      </c>
      <c r="AH49" s="786">
        <v>1</v>
      </c>
      <c r="AI49" s="786">
        <v>1</v>
      </c>
      <c r="AJ49" s="786">
        <v>1</v>
      </c>
      <c r="AK49" s="795">
        <v>1</v>
      </c>
      <c r="AL49" s="1488" t="s">
        <v>539</v>
      </c>
    </row>
    <row r="50" spans="1:38" ht="15.75" customHeight="1">
      <c r="A50" s="1752"/>
      <c r="B50" s="812">
        <v>2030503</v>
      </c>
      <c r="C50" s="813">
        <v>0.1</v>
      </c>
      <c r="D50" s="1757" t="s">
        <v>899</v>
      </c>
      <c r="E50" s="785"/>
      <c r="F50" s="795"/>
      <c r="G50" s="799">
        <v>20</v>
      </c>
      <c r="H50" s="786">
        <v>20</v>
      </c>
      <c r="I50" s="786">
        <v>20</v>
      </c>
      <c r="J50" s="786">
        <v>20</v>
      </c>
      <c r="K50" s="786">
        <v>20</v>
      </c>
      <c r="L50" s="814">
        <f t="shared" si="6"/>
        <v>100</v>
      </c>
      <c r="M50" s="1433">
        <f t="shared" si="24"/>
        <v>0</v>
      </c>
      <c r="N50" s="1434">
        <f t="shared" si="25"/>
        <v>0</v>
      </c>
      <c r="O50" s="1435">
        <f t="shared" si="26"/>
        <v>20</v>
      </c>
      <c r="P50" s="1436">
        <f t="shared" si="27"/>
        <v>20</v>
      </c>
      <c r="Q50" s="1436">
        <f t="shared" si="28"/>
        <v>20</v>
      </c>
      <c r="R50" s="1436">
        <f t="shared" si="29"/>
        <v>20</v>
      </c>
      <c r="S50" s="1437">
        <f t="shared" si="30"/>
        <v>20</v>
      </c>
      <c r="T50" s="785"/>
      <c r="U50" s="795"/>
      <c r="V50" s="799"/>
      <c r="W50" s="786"/>
      <c r="X50" s="786"/>
      <c r="Y50" s="786"/>
      <c r="Z50" s="786"/>
      <c r="AA50" s="843">
        <f t="shared" si="4"/>
        <v>0</v>
      </c>
      <c r="AB50" s="2302" t="s">
        <v>1620</v>
      </c>
      <c r="AC50" s="3172"/>
      <c r="AD50" s="2324" t="s">
        <v>908</v>
      </c>
      <c r="AE50" s="799"/>
      <c r="AF50" s="795"/>
      <c r="AG50" s="799">
        <v>1</v>
      </c>
      <c r="AH50" s="786">
        <v>1</v>
      </c>
      <c r="AI50" s="786">
        <v>1</v>
      </c>
      <c r="AJ50" s="786">
        <v>1</v>
      </c>
      <c r="AK50" s="795">
        <v>1</v>
      </c>
      <c r="AL50" s="1488" t="s">
        <v>537</v>
      </c>
    </row>
    <row r="51" spans="1:38" ht="24">
      <c r="A51" s="1753"/>
      <c r="B51" s="817">
        <v>20502</v>
      </c>
      <c r="C51" s="813">
        <v>0.1</v>
      </c>
      <c r="D51" s="1757" t="s">
        <v>555</v>
      </c>
      <c r="E51" s="785"/>
      <c r="F51" s="795"/>
      <c r="G51" s="799"/>
      <c r="H51" s="786"/>
      <c r="I51" s="786"/>
      <c r="J51" s="786"/>
      <c r="K51" s="786"/>
      <c r="L51" s="814">
        <f t="shared" si="6"/>
        <v>0</v>
      </c>
      <c r="M51" s="1433">
        <f t="shared" si="24"/>
        <v>0</v>
      </c>
      <c r="N51" s="1434">
        <f t="shared" si="25"/>
        <v>0</v>
      </c>
      <c r="O51" s="1435">
        <f t="shared" si="26"/>
        <v>0</v>
      </c>
      <c r="P51" s="1436">
        <f t="shared" si="27"/>
        <v>0</v>
      </c>
      <c r="Q51" s="1436">
        <f t="shared" si="28"/>
        <v>0</v>
      </c>
      <c r="R51" s="1436">
        <f t="shared" si="29"/>
        <v>0</v>
      </c>
      <c r="S51" s="1437">
        <f t="shared" si="30"/>
        <v>0</v>
      </c>
      <c r="T51" s="785"/>
      <c r="U51" s="795"/>
      <c r="V51" s="799"/>
      <c r="W51" s="786"/>
      <c r="X51" s="786"/>
      <c r="Y51" s="786"/>
      <c r="Z51" s="786"/>
      <c r="AA51" s="843">
        <f t="shared" si="4"/>
        <v>0</v>
      </c>
      <c r="AB51" s="2302" t="s">
        <v>1620</v>
      </c>
      <c r="AC51" s="3172" t="s">
        <v>1617</v>
      </c>
      <c r="AD51" s="2324" t="s">
        <v>908</v>
      </c>
      <c r="AE51" s="799"/>
      <c r="AF51" s="795"/>
      <c r="AG51" s="799"/>
      <c r="AH51" s="786"/>
      <c r="AI51" s="786"/>
      <c r="AJ51" s="786"/>
      <c r="AK51" s="795"/>
      <c r="AL51" s="1488" t="s">
        <v>541</v>
      </c>
    </row>
    <row r="52" spans="1:38" ht="24">
      <c r="A52" s="1753"/>
      <c r="B52" s="817">
        <v>20501</v>
      </c>
      <c r="C52" s="813">
        <v>0.08</v>
      </c>
      <c r="D52" s="816" t="s">
        <v>556</v>
      </c>
      <c r="E52" s="785"/>
      <c r="F52" s="795"/>
      <c r="G52" s="799"/>
      <c r="H52" s="786"/>
      <c r="I52" s="786"/>
      <c r="J52" s="786"/>
      <c r="K52" s="786"/>
      <c r="L52" s="814">
        <f t="shared" si="6"/>
        <v>0</v>
      </c>
      <c r="M52" s="1433">
        <f t="shared" si="24"/>
        <v>0</v>
      </c>
      <c r="N52" s="1434">
        <f t="shared" si="25"/>
        <v>0</v>
      </c>
      <c r="O52" s="1435">
        <f t="shared" si="26"/>
        <v>0</v>
      </c>
      <c r="P52" s="1436">
        <f t="shared" si="27"/>
        <v>0</v>
      </c>
      <c r="Q52" s="1436">
        <f t="shared" si="28"/>
        <v>0</v>
      </c>
      <c r="R52" s="1436">
        <f t="shared" si="29"/>
        <v>0</v>
      </c>
      <c r="S52" s="1437">
        <f t="shared" si="30"/>
        <v>0</v>
      </c>
      <c r="T52" s="785"/>
      <c r="U52" s="795"/>
      <c r="V52" s="799"/>
      <c r="W52" s="786"/>
      <c r="X52" s="786"/>
      <c r="Y52" s="786"/>
      <c r="Z52" s="786"/>
      <c r="AA52" s="843">
        <f t="shared" si="4"/>
        <v>0</v>
      </c>
      <c r="AB52" s="2302" t="s">
        <v>1620</v>
      </c>
      <c r="AC52" s="3172" t="s">
        <v>1617</v>
      </c>
      <c r="AD52" s="2324" t="s">
        <v>908</v>
      </c>
      <c r="AE52" s="799"/>
      <c r="AF52" s="795"/>
      <c r="AG52" s="799"/>
      <c r="AH52" s="786"/>
      <c r="AI52" s="786"/>
      <c r="AJ52" s="786"/>
      <c r="AK52" s="795"/>
      <c r="AL52" s="1487" t="s">
        <v>541</v>
      </c>
    </row>
    <row r="53" spans="1:38" ht="24">
      <c r="A53" s="1753"/>
      <c r="B53" s="817">
        <v>20503</v>
      </c>
      <c r="C53" s="813">
        <v>0.1</v>
      </c>
      <c r="D53" s="816" t="s">
        <v>905</v>
      </c>
      <c r="E53" s="785"/>
      <c r="F53" s="795"/>
      <c r="G53" s="799"/>
      <c r="H53" s="786"/>
      <c r="I53" s="786"/>
      <c r="J53" s="786"/>
      <c r="K53" s="786"/>
      <c r="L53" s="814">
        <f t="shared" si="6"/>
        <v>0</v>
      </c>
      <c r="M53" s="1433">
        <f t="shared" si="24"/>
        <v>0</v>
      </c>
      <c r="N53" s="1434">
        <f t="shared" si="25"/>
        <v>0</v>
      </c>
      <c r="O53" s="1435">
        <f t="shared" si="26"/>
        <v>0</v>
      </c>
      <c r="P53" s="1436">
        <f t="shared" si="27"/>
        <v>0</v>
      </c>
      <c r="Q53" s="1436">
        <f t="shared" si="28"/>
        <v>0</v>
      </c>
      <c r="R53" s="1436">
        <f t="shared" si="29"/>
        <v>0</v>
      </c>
      <c r="S53" s="1437">
        <f t="shared" si="30"/>
        <v>0</v>
      </c>
      <c r="T53" s="785"/>
      <c r="U53" s="795"/>
      <c r="V53" s="799"/>
      <c r="W53" s="786"/>
      <c r="X53" s="786"/>
      <c r="Y53" s="786"/>
      <c r="Z53" s="786"/>
      <c r="AA53" s="843">
        <f t="shared" si="4"/>
        <v>0</v>
      </c>
      <c r="AB53" s="2302" t="s">
        <v>1620</v>
      </c>
      <c r="AC53" s="3172" t="s">
        <v>1617</v>
      </c>
      <c r="AD53" s="2324" t="s">
        <v>908</v>
      </c>
      <c r="AE53" s="799"/>
      <c r="AF53" s="795"/>
      <c r="AG53" s="799"/>
      <c r="AH53" s="786"/>
      <c r="AI53" s="786"/>
      <c r="AJ53" s="786"/>
      <c r="AK53" s="795"/>
      <c r="AL53" s="1487" t="s">
        <v>541</v>
      </c>
    </row>
    <row r="54" spans="1:38" ht="24">
      <c r="A54" s="1753"/>
      <c r="B54" s="817">
        <v>20303</v>
      </c>
      <c r="C54" s="813">
        <v>0.1</v>
      </c>
      <c r="D54" s="816" t="s">
        <v>557</v>
      </c>
      <c r="E54" s="785"/>
      <c r="F54" s="795"/>
      <c r="G54" s="799"/>
      <c r="H54" s="786"/>
      <c r="I54" s="786">
        <v>5</v>
      </c>
      <c r="J54" s="786">
        <v>10</v>
      </c>
      <c r="K54" s="786">
        <v>20</v>
      </c>
      <c r="L54" s="814">
        <f t="shared" si="6"/>
        <v>35</v>
      </c>
      <c r="M54" s="1433">
        <f t="shared" si="24"/>
        <v>0</v>
      </c>
      <c r="N54" s="1434">
        <f t="shared" si="25"/>
        <v>0</v>
      </c>
      <c r="O54" s="1435">
        <f t="shared" si="26"/>
        <v>0</v>
      </c>
      <c r="P54" s="1436">
        <f t="shared" si="27"/>
        <v>0</v>
      </c>
      <c r="Q54" s="1436">
        <f t="shared" si="28"/>
        <v>5</v>
      </c>
      <c r="R54" s="1436">
        <f t="shared" si="29"/>
        <v>10</v>
      </c>
      <c r="S54" s="1437">
        <f t="shared" si="30"/>
        <v>20</v>
      </c>
      <c r="T54" s="785"/>
      <c r="U54" s="795"/>
      <c r="V54" s="799"/>
      <c r="W54" s="786"/>
      <c r="X54" s="786"/>
      <c r="Y54" s="786"/>
      <c r="Z54" s="786"/>
      <c r="AA54" s="843">
        <f t="shared" si="4"/>
        <v>0</v>
      </c>
      <c r="AB54" s="2302" t="s">
        <v>1620</v>
      </c>
      <c r="AC54" s="2250"/>
      <c r="AD54" s="2324" t="s">
        <v>908</v>
      </c>
      <c r="AE54" s="799"/>
      <c r="AF54" s="795"/>
      <c r="AG54" s="799"/>
      <c r="AH54" s="786"/>
      <c r="AI54" s="786">
        <v>1</v>
      </c>
      <c r="AJ54" s="786">
        <v>2</v>
      </c>
      <c r="AK54" s="795">
        <v>4</v>
      </c>
      <c r="AL54" s="1487" t="s">
        <v>541</v>
      </c>
    </row>
    <row r="55" spans="1:38" ht="24.75" thickBot="1">
      <c r="A55" s="2330"/>
      <c r="B55" s="2352">
        <v>20306</v>
      </c>
      <c r="C55" s="2262">
        <v>0.1</v>
      </c>
      <c r="D55" s="2263" t="s">
        <v>963</v>
      </c>
      <c r="E55" s="789"/>
      <c r="F55" s="1905"/>
      <c r="G55" s="1906">
        <v>6</v>
      </c>
      <c r="H55" s="796">
        <v>10</v>
      </c>
      <c r="I55" s="796">
        <v>10</v>
      </c>
      <c r="J55" s="796">
        <v>10</v>
      </c>
      <c r="K55" s="796">
        <v>10</v>
      </c>
      <c r="L55" s="1483">
        <f t="shared" si="6"/>
        <v>46</v>
      </c>
      <c r="M55" s="2264">
        <f t="shared" si="24"/>
        <v>0</v>
      </c>
      <c r="N55" s="2265">
        <f t="shared" si="25"/>
        <v>0</v>
      </c>
      <c r="O55" s="2266">
        <f t="shared" si="26"/>
        <v>6</v>
      </c>
      <c r="P55" s="2267">
        <f t="shared" si="27"/>
        <v>10</v>
      </c>
      <c r="Q55" s="2267">
        <f t="shared" si="28"/>
        <v>10</v>
      </c>
      <c r="R55" s="2267">
        <f t="shared" si="29"/>
        <v>10</v>
      </c>
      <c r="S55" s="2268">
        <f t="shared" si="30"/>
        <v>10</v>
      </c>
      <c r="T55" s="789"/>
      <c r="U55" s="1905"/>
      <c r="V55" s="1906"/>
      <c r="W55" s="796"/>
      <c r="X55" s="796"/>
      <c r="Y55" s="796"/>
      <c r="Z55" s="796"/>
      <c r="AA55" s="2269">
        <f t="shared" si="4"/>
        <v>0</v>
      </c>
      <c r="AB55" s="2302" t="s">
        <v>1620</v>
      </c>
      <c r="AC55" s="2335"/>
      <c r="AD55" s="2336" t="s">
        <v>908</v>
      </c>
      <c r="AE55" s="1906"/>
      <c r="AF55" s="1905"/>
      <c r="AG55" s="1906">
        <v>2</v>
      </c>
      <c r="AH55" s="796">
        <v>3</v>
      </c>
      <c r="AI55" s="796">
        <v>3</v>
      </c>
      <c r="AJ55" s="796">
        <v>3</v>
      </c>
      <c r="AK55" s="1905">
        <v>3</v>
      </c>
      <c r="AL55" s="2337" t="s">
        <v>541</v>
      </c>
    </row>
    <row r="56" spans="1:38" ht="23.25" customHeight="1" thickBot="1">
      <c r="A56" s="2305">
        <v>1.4</v>
      </c>
      <c r="B56" s="2305"/>
      <c r="C56" s="2306"/>
      <c r="D56" s="2307" t="s">
        <v>558</v>
      </c>
      <c r="E56" s="2308">
        <f t="shared" ref="E56:Z56" si="31">SUM(E57:E58)</f>
        <v>0</v>
      </c>
      <c r="F56" s="2309">
        <f t="shared" si="31"/>
        <v>674</v>
      </c>
      <c r="G56" s="2310">
        <f t="shared" si="31"/>
        <v>998</v>
      </c>
      <c r="H56" s="2311">
        <f t="shared" si="31"/>
        <v>623</v>
      </c>
      <c r="I56" s="2311">
        <f t="shared" si="31"/>
        <v>623</v>
      </c>
      <c r="J56" s="2311">
        <f t="shared" si="31"/>
        <v>623</v>
      </c>
      <c r="K56" s="2312">
        <f t="shared" si="31"/>
        <v>623</v>
      </c>
      <c r="L56" s="2313">
        <f t="shared" si="31"/>
        <v>3490</v>
      </c>
      <c r="M56" s="2308">
        <f t="shared" si="31"/>
        <v>0</v>
      </c>
      <c r="N56" s="2309">
        <f t="shared" si="31"/>
        <v>674</v>
      </c>
      <c r="O56" s="2310">
        <f t="shared" si="31"/>
        <v>998</v>
      </c>
      <c r="P56" s="2311">
        <f t="shared" si="31"/>
        <v>623</v>
      </c>
      <c r="Q56" s="2311">
        <f t="shared" si="31"/>
        <v>623</v>
      </c>
      <c r="R56" s="2311">
        <f t="shared" si="31"/>
        <v>623</v>
      </c>
      <c r="S56" s="2314">
        <f t="shared" si="31"/>
        <v>623</v>
      </c>
      <c r="T56" s="2308">
        <f t="shared" si="31"/>
        <v>0</v>
      </c>
      <c r="U56" s="2309">
        <f t="shared" si="31"/>
        <v>0</v>
      </c>
      <c r="V56" s="2310">
        <f t="shared" si="31"/>
        <v>0</v>
      </c>
      <c r="W56" s="2311">
        <f t="shared" si="31"/>
        <v>0</v>
      </c>
      <c r="X56" s="2311">
        <f t="shared" si="31"/>
        <v>0</v>
      </c>
      <c r="Y56" s="2311">
        <f t="shared" si="31"/>
        <v>0</v>
      </c>
      <c r="Z56" s="2312">
        <f t="shared" si="31"/>
        <v>0</v>
      </c>
      <c r="AA56" s="2344">
        <f t="shared" si="4"/>
        <v>0</v>
      </c>
      <c r="AB56" s="2345"/>
      <c r="AC56" s="2346"/>
      <c r="AD56" s="2347"/>
      <c r="AE56" s="2348"/>
      <c r="AF56" s="2348"/>
      <c r="AG56" s="2349"/>
      <c r="AH56" s="2349"/>
      <c r="AI56" s="2349"/>
      <c r="AJ56" s="2349"/>
      <c r="AK56" s="2350"/>
      <c r="AL56" s="2351"/>
    </row>
    <row r="57" spans="1:38" ht="25.5" customHeight="1">
      <c r="A57" s="2338"/>
      <c r="B57" s="2339">
        <v>2030501</v>
      </c>
      <c r="C57" s="2354">
        <v>0.1</v>
      </c>
      <c r="D57" s="2353" t="s">
        <v>559</v>
      </c>
      <c r="E57" s="2291">
        <v>0</v>
      </c>
      <c r="F57" s="2292">
        <v>674</v>
      </c>
      <c r="G57" s="2293">
        <v>853</v>
      </c>
      <c r="H57" s="2294">
        <v>566</v>
      </c>
      <c r="I57" s="2294">
        <v>566</v>
      </c>
      <c r="J57" s="2294">
        <v>566</v>
      </c>
      <c r="K57" s="2294">
        <v>566</v>
      </c>
      <c r="L57" s="2341">
        <f t="shared" si="6"/>
        <v>3117</v>
      </c>
      <c r="M57" s="2296">
        <f t="shared" ref="M57:S58" si="32">E57-T57</f>
        <v>0</v>
      </c>
      <c r="N57" s="2297">
        <f t="shared" si="32"/>
        <v>674</v>
      </c>
      <c r="O57" s="2298">
        <f t="shared" si="32"/>
        <v>853</v>
      </c>
      <c r="P57" s="2299">
        <f t="shared" si="32"/>
        <v>566</v>
      </c>
      <c r="Q57" s="2299">
        <f t="shared" si="32"/>
        <v>566</v>
      </c>
      <c r="R57" s="2299">
        <f t="shared" si="32"/>
        <v>566</v>
      </c>
      <c r="S57" s="2300">
        <f t="shared" si="32"/>
        <v>566</v>
      </c>
      <c r="T57" s="2291"/>
      <c r="U57" s="2292"/>
      <c r="V57" s="2293"/>
      <c r="W57" s="2294"/>
      <c r="X57" s="2294"/>
      <c r="Y57" s="2294"/>
      <c r="Z57" s="2294"/>
      <c r="AA57" s="2342">
        <f t="shared" si="4"/>
        <v>0</v>
      </c>
      <c r="AB57" s="2302" t="s">
        <v>1620</v>
      </c>
      <c r="AC57" s="2303"/>
      <c r="AD57" s="2323" t="s">
        <v>908</v>
      </c>
      <c r="AE57" s="2293">
        <v>0</v>
      </c>
      <c r="AF57" s="2355">
        <v>8600</v>
      </c>
      <c r="AG57" s="2293">
        <f>10600-AG58</f>
        <v>8500</v>
      </c>
      <c r="AH57" s="2294">
        <f>10600-AH58</f>
        <v>9600</v>
      </c>
      <c r="AI57" s="2294">
        <f>10600-AI58</f>
        <v>9600</v>
      </c>
      <c r="AJ57" s="2294">
        <f>10600-AJ58</f>
        <v>9600</v>
      </c>
      <c r="AK57" s="2292">
        <f>10600-AK58</f>
        <v>9600</v>
      </c>
      <c r="AL57" s="2356" t="s">
        <v>889</v>
      </c>
    </row>
    <row r="58" spans="1:38" ht="24.75" thickBot="1">
      <c r="A58" s="2261"/>
      <c r="B58" s="2352">
        <v>2030501</v>
      </c>
      <c r="C58" s="2357">
        <v>0.1</v>
      </c>
      <c r="D58" s="2358" t="s">
        <v>560</v>
      </c>
      <c r="E58" s="789">
        <v>0</v>
      </c>
      <c r="F58" s="1905"/>
      <c r="G58" s="1906">
        <v>145</v>
      </c>
      <c r="H58" s="796">
        <v>57</v>
      </c>
      <c r="I58" s="796">
        <v>57</v>
      </c>
      <c r="J58" s="796">
        <v>57</v>
      </c>
      <c r="K58" s="796">
        <v>57</v>
      </c>
      <c r="L58" s="1483">
        <f t="shared" si="6"/>
        <v>373</v>
      </c>
      <c r="M58" s="2264">
        <f t="shared" si="32"/>
        <v>0</v>
      </c>
      <c r="N58" s="2265">
        <f t="shared" si="32"/>
        <v>0</v>
      </c>
      <c r="O58" s="2266">
        <f t="shared" si="32"/>
        <v>145</v>
      </c>
      <c r="P58" s="2267">
        <f t="shared" si="32"/>
        <v>57</v>
      </c>
      <c r="Q58" s="2267">
        <f t="shared" si="32"/>
        <v>57</v>
      </c>
      <c r="R58" s="2267">
        <f t="shared" si="32"/>
        <v>57</v>
      </c>
      <c r="S58" s="2268">
        <f t="shared" si="32"/>
        <v>57</v>
      </c>
      <c r="T58" s="789"/>
      <c r="U58" s="1905"/>
      <c r="V58" s="1906"/>
      <c r="W58" s="796"/>
      <c r="X58" s="796"/>
      <c r="Y58" s="796"/>
      <c r="Z58" s="796"/>
      <c r="AA58" s="2269">
        <f t="shared" si="4"/>
        <v>0</v>
      </c>
      <c r="AB58" s="2302" t="s">
        <v>1620</v>
      </c>
      <c r="AC58" s="2335"/>
      <c r="AD58" s="2336" t="s">
        <v>908</v>
      </c>
      <c r="AE58" s="1906"/>
      <c r="AF58" s="2359"/>
      <c r="AG58" s="1906">
        <v>2100</v>
      </c>
      <c r="AH58" s="796">
        <v>1000</v>
      </c>
      <c r="AI58" s="796">
        <v>1000</v>
      </c>
      <c r="AJ58" s="796">
        <v>1000</v>
      </c>
      <c r="AK58" s="1905">
        <v>1000</v>
      </c>
      <c r="AL58" s="2337" t="s">
        <v>890</v>
      </c>
    </row>
    <row r="59" spans="1:38" ht="16.5" customHeight="1" thickBot="1">
      <c r="A59" s="2305">
        <v>1.5</v>
      </c>
      <c r="B59" s="2305"/>
      <c r="C59" s="2306"/>
      <c r="D59" s="2307" t="s">
        <v>561</v>
      </c>
      <c r="E59" s="2308">
        <f>SUM(E60:E67)</f>
        <v>0</v>
      </c>
      <c r="F59" s="2309">
        <f t="shared" ref="F59:Z59" si="33">SUM(F60:F67)</f>
        <v>0</v>
      </c>
      <c r="G59" s="2310">
        <f t="shared" si="33"/>
        <v>35</v>
      </c>
      <c r="H59" s="2311">
        <f t="shared" si="33"/>
        <v>45</v>
      </c>
      <c r="I59" s="2311">
        <f t="shared" si="33"/>
        <v>45</v>
      </c>
      <c r="J59" s="2311">
        <f t="shared" si="33"/>
        <v>45</v>
      </c>
      <c r="K59" s="2312">
        <f t="shared" si="33"/>
        <v>45</v>
      </c>
      <c r="L59" s="2313">
        <f t="shared" si="33"/>
        <v>215</v>
      </c>
      <c r="M59" s="2308">
        <f t="shared" si="33"/>
        <v>0</v>
      </c>
      <c r="N59" s="2309">
        <f t="shared" si="33"/>
        <v>0</v>
      </c>
      <c r="O59" s="2310">
        <f t="shared" si="33"/>
        <v>35</v>
      </c>
      <c r="P59" s="2311">
        <f t="shared" si="33"/>
        <v>45</v>
      </c>
      <c r="Q59" s="2311">
        <f t="shared" si="33"/>
        <v>45</v>
      </c>
      <c r="R59" s="2311">
        <f t="shared" si="33"/>
        <v>45</v>
      </c>
      <c r="S59" s="2314">
        <f t="shared" si="33"/>
        <v>45</v>
      </c>
      <c r="T59" s="2308">
        <f t="shared" si="33"/>
        <v>0</v>
      </c>
      <c r="U59" s="2309">
        <f t="shared" si="33"/>
        <v>0</v>
      </c>
      <c r="V59" s="2310">
        <f t="shared" si="33"/>
        <v>0</v>
      </c>
      <c r="W59" s="2311">
        <f t="shared" si="33"/>
        <v>0</v>
      </c>
      <c r="X59" s="2311">
        <f t="shared" si="33"/>
        <v>0</v>
      </c>
      <c r="Y59" s="2311">
        <f t="shared" si="33"/>
        <v>0</v>
      </c>
      <c r="Z59" s="2312">
        <f t="shared" si="33"/>
        <v>0</v>
      </c>
      <c r="AA59" s="2344">
        <f t="shared" si="4"/>
        <v>0</v>
      </c>
      <c r="AB59" s="2345"/>
      <c r="AC59" s="2346"/>
      <c r="AD59" s="2347"/>
      <c r="AE59" s="2348"/>
      <c r="AF59" s="2348"/>
      <c r="AG59" s="2349"/>
      <c r="AH59" s="2349"/>
      <c r="AI59" s="2349"/>
      <c r="AJ59" s="2349"/>
      <c r="AK59" s="2350"/>
      <c r="AL59" s="2351"/>
    </row>
    <row r="60" spans="1:38" ht="24">
      <c r="A60" s="2360"/>
      <c r="B60" s="2338">
        <v>20201</v>
      </c>
      <c r="C60" s="2361">
        <v>0.03</v>
      </c>
      <c r="D60" s="2340" t="s">
        <v>562</v>
      </c>
      <c r="E60" s="2291"/>
      <c r="F60" s="2292"/>
      <c r="G60" s="2293">
        <v>10</v>
      </c>
      <c r="H60" s="2294">
        <v>10</v>
      </c>
      <c r="I60" s="2294">
        <v>10</v>
      </c>
      <c r="J60" s="2294">
        <v>10</v>
      </c>
      <c r="K60" s="2294">
        <v>10</v>
      </c>
      <c r="L60" s="2341">
        <f t="shared" si="6"/>
        <v>50</v>
      </c>
      <c r="M60" s="2296">
        <f t="shared" ref="M60:M67" si="34">E60-T60</f>
        <v>0</v>
      </c>
      <c r="N60" s="2297">
        <f t="shared" ref="N60:N67" si="35">F60-U60</f>
        <v>0</v>
      </c>
      <c r="O60" s="2298">
        <f t="shared" ref="O60:O67" si="36">G60-V60</f>
        <v>10</v>
      </c>
      <c r="P60" s="2299">
        <f t="shared" ref="P60:P67" si="37">H60-W60</f>
        <v>10</v>
      </c>
      <c r="Q60" s="2299">
        <f t="shared" ref="Q60:Q67" si="38">I60-X60</f>
        <v>10</v>
      </c>
      <c r="R60" s="2299">
        <f t="shared" ref="R60:R67" si="39">J60-Y60</f>
        <v>10</v>
      </c>
      <c r="S60" s="2300">
        <f t="shared" ref="S60:S67" si="40">K60-Z60</f>
        <v>10</v>
      </c>
      <c r="T60" s="2291"/>
      <c r="U60" s="2292"/>
      <c r="V60" s="2293"/>
      <c r="W60" s="2294"/>
      <c r="X60" s="2294"/>
      <c r="Y60" s="2294"/>
      <c r="Z60" s="2294"/>
      <c r="AA60" s="2342">
        <f t="shared" si="4"/>
        <v>0</v>
      </c>
      <c r="AB60" s="2302" t="s">
        <v>1620</v>
      </c>
      <c r="AC60" s="2303"/>
      <c r="AD60" s="2323" t="s">
        <v>908</v>
      </c>
      <c r="AE60" s="2293"/>
      <c r="AF60" s="2292"/>
      <c r="AG60" s="2293">
        <v>1</v>
      </c>
      <c r="AH60" s="2294">
        <v>1</v>
      </c>
      <c r="AI60" s="2294">
        <v>1</v>
      </c>
      <c r="AJ60" s="2294">
        <v>1</v>
      </c>
      <c r="AK60" s="2292">
        <v>1</v>
      </c>
      <c r="AL60" s="2304" t="s">
        <v>563</v>
      </c>
    </row>
    <row r="61" spans="1:38" ht="24">
      <c r="A61" s="1754"/>
      <c r="B61" s="818">
        <v>20601</v>
      </c>
      <c r="C61" s="1768">
        <v>0.1</v>
      </c>
      <c r="D61" s="816" t="s">
        <v>564</v>
      </c>
      <c r="E61" s="785"/>
      <c r="F61" s="795"/>
      <c r="G61" s="799"/>
      <c r="H61" s="786">
        <v>10</v>
      </c>
      <c r="I61" s="786">
        <v>10</v>
      </c>
      <c r="J61" s="786">
        <v>10</v>
      </c>
      <c r="K61" s="786">
        <v>10</v>
      </c>
      <c r="L61" s="814">
        <f t="shared" si="6"/>
        <v>40</v>
      </c>
      <c r="M61" s="1433">
        <f t="shared" si="34"/>
        <v>0</v>
      </c>
      <c r="N61" s="1434">
        <f t="shared" si="35"/>
        <v>0</v>
      </c>
      <c r="O61" s="1435">
        <f t="shared" si="36"/>
        <v>0</v>
      </c>
      <c r="P61" s="1436">
        <f t="shared" si="37"/>
        <v>10</v>
      </c>
      <c r="Q61" s="1436">
        <f t="shared" si="38"/>
        <v>10</v>
      </c>
      <c r="R61" s="1436">
        <f t="shared" si="39"/>
        <v>10</v>
      </c>
      <c r="S61" s="1437">
        <f t="shared" si="40"/>
        <v>10</v>
      </c>
      <c r="T61" s="785"/>
      <c r="U61" s="795"/>
      <c r="V61" s="799"/>
      <c r="W61" s="786"/>
      <c r="X61" s="786"/>
      <c r="Y61" s="786"/>
      <c r="Z61" s="786"/>
      <c r="AA61" s="843">
        <f t="shared" si="4"/>
        <v>0</v>
      </c>
      <c r="AB61" s="2302" t="s">
        <v>1620</v>
      </c>
      <c r="AC61" s="2250"/>
      <c r="AD61" s="2324" t="s">
        <v>908</v>
      </c>
      <c r="AE61" s="799"/>
      <c r="AF61" s="795"/>
      <c r="AG61" s="799"/>
      <c r="AH61" s="786">
        <v>5</v>
      </c>
      <c r="AI61" s="786">
        <v>5</v>
      </c>
      <c r="AJ61" s="786">
        <v>5</v>
      </c>
      <c r="AK61" s="795">
        <v>5</v>
      </c>
      <c r="AL61" s="1487" t="s">
        <v>565</v>
      </c>
    </row>
    <row r="62" spans="1:38" ht="24">
      <c r="A62" s="1754"/>
      <c r="B62" s="817">
        <v>20502</v>
      </c>
      <c r="C62" s="1768">
        <v>0.1</v>
      </c>
      <c r="D62" s="1757" t="s">
        <v>901</v>
      </c>
      <c r="E62" s="785"/>
      <c r="F62" s="795"/>
      <c r="G62" s="799"/>
      <c r="H62" s="786"/>
      <c r="I62" s="786"/>
      <c r="J62" s="786"/>
      <c r="K62" s="786"/>
      <c r="L62" s="814">
        <f t="shared" si="6"/>
        <v>0</v>
      </c>
      <c r="M62" s="1433">
        <f t="shared" si="34"/>
        <v>0</v>
      </c>
      <c r="N62" s="1434">
        <f t="shared" si="35"/>
        <v>0</v>
      </c>
      <c r="O62" s="1435">
        <f t="shared" si="36"/>
        <v>0</v>
      </c>
      <c r="P62" s="1436">
        <f t="shared" si="37"/>
        <v>0</v>
      </c>
      <c r="Q62" s="1436">
        <f t="shared" si="38"/>
        <v>0</v>
      </c>
      <c r="R62" s="1436">
        <f t="shared" si="39"/>
        <v>0</v>
      </c>
      <c r="S62" s="1437">
        <f t="shared" si="40"/>
        <v>0</v>
      </c>
      <c r="T62" s="785"/>
      <c r="U62" s="795"/>
      <c r="V62" s="799"/>
      <c r="W62" s="786"/>
      <c r="X62" s="786"/>
      <c r="Y62" s="786"/>
      <c r="Z62" s="786"/>
      <c r="AA62" s="843">
        <f t="shared" si="4"/>
        <v>0</v>
      </c>
      <c r="AB62" s="2302" t="s">
        <v>1620</v>
      </c>
      <c r="AC62" s="2250"/>
      <c r="AD62" s="2324" t="s">
        <v>908</v>
      </c>
      <c r="AE62" s="799"/>
      <c r="AF62" s="795"/>
      <c r="AG62" s="799"/>
      <c r="AH62" s="786"/>
      <c r="AI62" s="786"/>
      <c r="AJ62" s="786"/>
      <c r="AK62" s="795"/>
      <c r="AL62" s="1487" t="s">
        <v>541</v>
      </c>
    </row>
    <row r="63" spans="1:38" ht="24">
      <c r="A63" s="1754"/>
      <c r="B63" s="817">
        <v>20503</v>
      </c>
      <c r="C63" s="1768">
        <v>0.1</v>
      </c>
      <c r="D63" s="1757" t="s">
        <v>900</v>
      </c>
      <c r="E63" s="785"/>
      <c r="F63" s="795"/>
      <c r="G63" s="799"/>
      <c r="H63" s="786"/>
      <c r="I63" s="786"/>
      <c r="J63" s="786"/>
      <c r="K63" s="786"/>
      <c r="L63" s="814">
        <f t="shared" si="6"/>
        <v>0</v>
      </c>
      <c r="M63" s="1433">
        <f t="shared" si="34"/>
        <v>0</v>
      </c>
      <c r="N63" s="1434">
        <f t="shared" si="35"/>
        <v>0</v>
      </c>
      <c r="O63" s="1435">
        <f t="shared" si="36"/>
        <v>0</v>
      </c>
      <c r="P63" s="1436">
        <f t="shared" si="37"/>
        <v>0</v>
      </c>
      <c r="Q63" s="1436">
        <f t="shared" si="38"/>
        <v>0</v>
      </c>
      <c r="R63" s="1436">
        <f t="shared" si="39"/>
        <v>0</v>
      </c>
      <c r="S63" s="1437">
        <f t="shared" si="40"/>
        <v>0</v>
      </c>
      <c r="T63" s="785"/>
      <c r="U63" s="795"/>
      <c r="V63" s="799"/>
      <c r="W63" s="786"/>
      <c r="X63" s="786"/>
      <c r="Y63" s="786"/>
      <c r="Z63" s="786"/>
      <c r="AA63" s="843">
        <f t="shared" si="4"/>
        <v>0</v>
      </c>
      <c r="AB63" s="2302" t="s">
        <v>1620</v>
      </c>
      <c r="AC63" s="2250"/>
      <c r="AD63" s="2324" t="s">
        <v>908</v>
      </c>
      <c r="AE63" s="799"/>
      <c r="AF63" s="795"/>
      <c r="AG63" s="799"/>
      <c r="AH63" s="786"/>
      <c r="AI63" s="786"/>
      <c r="AJ63" s="786"/>
      <c r="AK63" s="795"/>
      <c r="AL63" s="1488" t="s">
        <v>541</v>
      </c>
    </row>
    <row r="64" spans="1:38" ht="24">
      <c r="A64" s="1754"/>
      <c r="B64" s="817">
        <v>212</v>
      </c>
      <c r="C64" s="1768">
        <v>0.2</v>
      </c>
      <c r="D64" s="1757" t="s">
        <v>1317</v>
      </c>
      <c r="E64" s="785"/>
      <c r="F64" s="795"/>
      <c r="G64" s="799"/>
      <c r="H64" s="786"/>
      <c r="I64" s="786"/>
      <c r="J64" s="786"/>
      <c r="K64" s="786"/>
      <c r="L64" s="814">
        <f t="shared" si="6"/>
        <v>0</v>
      </c>
      <c r="M64" s="1433">
        <f t="shared" si="34"/>
        <v>0</v>
      </c>
      <c r="N64" s="1434">
        <f t="shared" si="35"/>
        <v>0</v>
      </c>
      <c r="O64" s="1435">
        <f t="shared" si="36"/>
        <v>0</v>
      </c>
      <c r="P64" s="1436">
        <f t="shared" si="37"/>
        <v>0</v>
      </c>
      <c r="Q64" s="1436">
        <f t="shared" si="38"/>
        <v>0</v>
      </c>
      <c r="R64" s="1436">
        <f t="shared" si="39"/>
        <v>0</v>
      </c>
      <c r="S64" s="1437">
        <f t="shared" si="40"/>
        <v>0</v>
      </c>
      <c r="T64" s="785"/>
      <c r="U64" s="795"/>
      <c r="V64" s="799"/>
      <c r="W64" s="786"/>
      <c r="X64" s="786"/>
      <c r="Y64" s="786"/>
      <c r="Z64" s="786"/>
      <c r="AA64" s="843">
        <f t="shared" si="4"/>
        <v>0</v>
      </c>
      <c r="AB64" s="2302" t="s">
        <v>1620</v>
      </c>
      <c r="AC64" s="2250"/>
      <c r="AD64" s="2324" t="s">
        <v>908</v>
      </c>
      <c r="AE64" s="799"/>
      <c r="AF64" s="795"/>
      <c r="AG64" s="799"/>
      <c r="AH64" s="786"/>
      <c r="AI64" s="786"/>
      <c r="AJ64" s="786"/>
      <c r="AK64" s="795"/>
      <c r="AL64" s="1488" t="s">
        <v>566</v>
      </c>
    </row>
    <row r="65" spans="1:38" ht="29.25" customHeight="1" thickBot="1">
      <c r="A65" s="818"/>
      <c r="B65" s="817">
        <v>215</v>
      </c>
      <c r="C65" s="1768">
        <v>0.2</v>
      </c>
      <c r="D65" s="1757" t="s">
        <v>1318</v>
      </c>
      <c r="E65" s="785"/>
      <c r="F65" s="795"/>
      <c r="G65" s="799">
        <v>10</v>
      </c>
      <c r="H65" s="786">
        <v>10</v>
      </c>
      <c r="I65" s="786">
        <v>10</v>
      </c>
      <c r="J65" s="786">
        <v>10</v>
      </c>
      <c r="K65" s="786">
        <v>10</v>
      </c>
      <c r="L65" s="814">
        <f t="shared" si="6"/>
        <v>50</v>
      </c>
      <c r="M65" s="1433">
        <f t="shared" si="34"/>
        <v>0</v>
      </c>
      <c r="N65" s="1434">
        <f t="shared" si="35"/>
        <v>0</v>
      </c>
      <c r="O65" s="1435">
        <f t="shared" si="36"/>
        <v>10</v>
      </c>
      <c r="P65" s="1436">
        <f t="shared" si="37"/>
        <v>10</v>
      </c>
      <c r="Q65" s="1436">
        <f t="shared" si="38"/>
        <v>10</v>
      </c>
      <c r="R65" s="1436">
        <f t="shared" si="39"/>
        <v>10</v>
      </c>
      <c r="S65" s="1437">
        <f t="shared" si="40"/>
        <v>10</v>
      </c>
      <c r="T65" s="785"/>
      <c r="U65" s="795"/>
      <c r="V65" s="799"/>
      <c r="W65" s="786"/>
      <c r="X65" s="786"/>
      <c r="Y65" s="786"/>
      <c r="Z65" s="786"/>
      <c r="AA65" s="843">
        <f t="shared" si="4"/>
        <v>0</v>
      </c>
      <c r="AB65" s="2302" t="s">
        <v>1620</v>
      </c>
      <c r="AC65" s="2250"/>
      <c r="AD65" s="819" t="s">
        <v>908</v>
      </c>
      <c r="AE65" s="799"/>
      <c r="AF65" s="795"/>
      <c r="AG65" s="799">
        <v>1</v>
      </c>
      <c r="AH65" s="786">
        <v>1</v>
      </c>
      <c r="AI65" s="786">
        <v>1</v>
      </c>
      <c r="AJ65" s="786">
        <v>1</v>
      </c>
      <c r="AK65" s="795">
        <v>1</v>
      </c>
      <c r="AL65" s="1488" t="s">
        <v>902</v>
      </c>
    </row>
    <row r="66" spans="1:38" ht="39" customHeight="1">
      <c r="A66" s="818"/>
      <c r="B66" s="817">
        <v>215</v>
      </c>
      <c r="C66" s="1768">
        <v>0.2</v>
      </c>
      <c r="D66" s="1757" t="s">
        <v>891</v>
      </c>
      <c r="E66" s="785"/>
      <c r="F66" s="795"/>
      <c r="G66" s="799">
        <v>10</v>
      </c>
      <c r="H66" s="786">
        <v>10</v>
      </c>
      <c r="I66" s="786">
        <v>10</v>
      </c>
      <c r="J66" s="786">
        <v>10</v>
      </c>
      <c r="K66" s="786">
        <v>10</v>
      </c>
      <c r="L66" s="814">
        <f t="shared" si="6"/>
        <v>50</v>
      </c>
      <c r="M66" s="1433">
        <f t="shared" si="34"/>
        <v>0</v>
      </c>
      <c r="N66" s="1434">
        <f t="shared" si="35"/>
        <v>0</v>
      </c>
      <c r="O66" s="1435">
        <f t="shared" si="36"/>
        <v>10</v>
      </c>
      <c r="P66" s="1436">
        <f t="shared" si="37"/>
        <v>10</v>
      </c>
      <c r="Q66" s="1436">
        <f t="shared" si="38"/>
        <v>10</v>
      </c>
      <c r="R66" s="1436">
        <f t="shared" si="39"/>
        <v>10</v>
      </c>
      <c r="S66" s="1437">
        <f t="shared" si="40"/>
        <v>10</v>
      </c>
      <c r="T66" s="785"/>
      <c r="U66" s="795"/>
      <c r="V66" s="799"/>
      <c r="W66" s="786"/>
      <c r="X66" s="786"/>
      <c r="Y66" s="786"/>
      <c r="Z66" s="786"/>
      <c r="AA66" s="843">
        <f t="shared" si="4"/>
        <v>0</v>
      </c>
      <c r="AB66" s="2302" t="s">
        <v>1620</v>
      </c>
      <c r="AC66" s="2250"/>
      <c r="AD66" s="2328" t="s">
        <v>380</v>
      </c>
      <c r="AE66" s="2242"/>
      <c r="AF66" s="2243"/>
      <c r="AG66" s="2242"/>
      <c r="AH66" s="2244"/>
      <c r="AI66" s="2244"/>
      <c r="AJ66" s="2244"/>
      <c r="AK66" s="2245"/>
      <c r="AL66" s="1488" t="s">
        <v>903</v>
      </c>
    </row>
    <row r="67" spans="1:38" ht="30.75" customHeight="1" thickBot="1">
      <c r="A67" s="2260"/>
      <c r="B67" s="2261">
        <v>208</v>
      </c>
      <c r="C67" s="2262">
        <v>0.2</v>
      </c>
      <c r="D67" s="2263" t="s">
        <v>567</v>
      </c>
      <c r="E67" s="789"/>
      <c r="F67" s="1905"/>
      <c r="G67" s="1906">
        <v>5</v>
      </c>
      <c r="H67" s="796">
        <v>5</v>
      </c>
      <c r="I67" s="796">
        <v>5</v>
      </c>
      <c r="J67" s="796">
        <v>5</v>
      </c>
      <c r="K67" s="796">
        <v>5</v>
      </c>
      <c r="L67" s="1483">
        <f t="shared" si="6"/>
        <v>25</v>
      </c>
      <c r="M67" s="2264">
        <f t="shared" si="34"/>
        <v>0</v>
      </c>
      <c r="N67" s="2265">
        <f t="shared" si="35"/>
        <v>0</v>
      </c>
      <c r="O67" s="2266">
        <f t="shared" si="36"/>
        <v>5</v>
      </c>
      <c r="P67" s="2267">
        <f t="shared" si="37"/>
        <v>5</v>
      </c>
      <c r="Q67" s="2267">
        <f t="shared" si="38"/>
        <v>5</v>
      </c>
      <c r="R67" s="2267">
        <f t="shared" si="39"/>
        <v>5</v>
      </c>
      <c r="S67" s="2268">
        <f t="shared" si="40"/>
        <v>5</v>
      </c>
      <c r="T67" s="789"/>
      <c r="U67" s="1905"/>
      <c r="V67" s="1906"/>
      <c r="W67" s="796"/>
      <c r="X67" s="796"/>
      <c r="Y67" s="796"/>
      <c r="Z67" s="796"/>
      <c r="AA67" s="2269">
        <f t="shared" si="4"/>
        <v>0</v>
      </c>
      <c r="AB67" s="2302" t="s">
        <v>1620</v>
      </c>
      <c r="AC67" s="2251"/>
      <c r="AD67" s="819" t="s">
        <v>908</v>
      </c>
      <c r="AE67" s="2246"/>
      <c r="AF67" s="2247"/>
      <c r="AG67" s="2252">
        <v>5</v>
      </c>
      <c r="AH67" s="2253">
        <v>5</v>
      </c>
      <c r="AI67" s="2253">
        <v>5</v>
      </c>
      <c r="AJ67" s="2253">
        <v>5</v>
      </c>
      <c r="AK67" s="2247">
        <v>5</v>
      </c>
      <c r="AL67" s="1489" t="s">
        <v>565</v>
      </c>
    </row>
    <row r="68" spans="1:38" s="185" customFormat="1" ht="18.75" customHeight="1">
      <c r="A68" s="2270">
        <v>1</v>
      </c>
      <c r="B68" s="2270"/>
      <c r="C68" s="2271"/>
      <c r="D68" s="2272" t="s">
        <v>518</v>
      </c>
      <c r="E68" s="1230">
        <f t="shared" ref="E68:L68" si="41">E59+E56+E47+E35+E10</f>
        <v>466</v>
      </c>
      <c r="F68" s="1469">
        <f t="shared" si="41"/>
        <v>3831</v>
      </c>
      <c r="G68" s="1466">
        <f t="shared" si="41"/>
        <v>1936.91722</v>
      </c>
      <c r="H68" s="909">
        <f t="shared" si="41"/>
        <v>2173.6666666666665</v>
      </c>
      <c r="I68" s="909">
        <f t="shared" si="41"/>
        <v>2365</v>
      </c>
      <c r="J68" s="909">
        <f t="shared" si="41"/>
        <v>2396</v>
      </c>
      <c r="K68" s="1231">
        <f t="shared" si="41"/>
        <v>2576</v>
      </c>
      <c r="L68" s="1228">
        <f t="shared" si="41"/>
        <v>11447.583886666667</v>
      </c>
      <c r="M68" s="1230">
        <f t="shared" ref="M68:Z68" si="42">M86</f>
        <v>466</v>
      </c>
      <c r="N68" s="1469">
        <f t="shared" si="42"/>
        <v>3831</v>
      </c>
      <c r="O68" s="1466">
        <f t="shared" si="42"/>
        <v>1936.9172199999998</v>
      </c>
      <c r="P68" s="909">
        <f t="shared" si="42"/>
        <v>2173.6666666666665</v>
      </c>
      <c r="Q68" s="909">
        <f t="shared" si="42"/>
        <v>2365</v>
      </c>
      <c r="R68" s="909">
        <f t="shared" si="42"/>
        <v>2396</v>
      </c>
      <c r="S68" s="914">
        <f t="shared" si="42"/>
        <v>2576</v>
      </c>
      <c r="T68" s="1230">
        <f t="shared" si="42"/>
        <v>0</v>
      </c>
      <c r="U68" s="1469">
        <f t="shared" si="42"/>
        <v>0</v>
      </c>
      <c r="V68" s="1466">
        <f t="shared" si="42"/>
        <v>0</v>
      </c>
      <c r="W68" s="909">
        <f t="shared" si="42"/>
        <v>0</v>
      </c>
      <c r="X68" s="909">
        <f t="shared" si="42"/>
        <v>0</v>
      </c>
      <c r="Y68" s="909">
        <f t="shared" si="42"/>
        <v>0</v>
      </c>
      <c r="Z68" s="1231">
        <f t="shared" si="42"/>
        <v>0</v>
      </c>
      <c r="AA68" s="2273">
        <f>L68-SUM(O68:S68)-SUM(V68:Z68)</f>
        <v>0</v>
      </c>
      <c r="AB68" s="2362"/>
      <c r="AC68" s="2362"/>
      <c r="AD68" s="2207"/>
      <c r="AE68" s="2207"/>
      <c r="AF68" s="2207"/>
      <c r="AG68" s="2207"/>
      <c r="AH68" s="2207"/>
      <c r="AI68" s="2207"/>
      <c r="AJ68" s="2207"/>
      <c r="AK68" s="2362"/>
      <c r="AL68" s="2363"/>
    </row>
    <row r="69" spans="1:38" ht="18.75" customHeight="1">
      <c r="A69" s="907"/>
      <c r="B69" s="907"/>
      <c r="C69" s="906"/>
      <c r="D69" s="1758" t="s">
        <v>841</v>
      </c>
      <c r="E69" s="2254">
        <f>SUM(E29:E34)+SUM(E42:E46)+E49+SUM(E51:E55)+E59-E65-E66</f>
        <v>53</v>
      </c>
      <c r="F69" s="2255">
        <f t="shared" ref="F69:Z69" si="43">SUM(F29:F34)+SUM(F42:F46)+F49+SUM(F51:F55)+F59-F65-F66</f>
        <v>5</v>
      </c>
      <c r="G69" s="2256">
        <f t="shared" si="43"/>
        <v>119</v>
      </c>
      <c r="H69" s="2257">
        <f t="shared" si="43"/>
        <v>177</v>
      </c>
      <c r="I69" s="2257">
        <f t="shared" si="43"/>
        <v>195</v>
      </c>
      <c r="J69" s="2257">
        <f t="shared" si="43"/>
        <v>187</v>
      </c>
      <c r="K69" s="2258">
        <f t="shared" si="43"/>
        <v>137</v>
      </c>
      <c r="L69" s="2259">
        <f t="shared" si="43"/>
        <v>815</v>
      </c>
      <c r="M69" s="2254">
        <f t="shared" si="43"/>
        <v>53</v>
      </c>
      <c r="N69" s="2255">
        <f t="shared" si="43"/>
        <v>5</v>
      </c>
      <c r="O69" s="2256">
        <f t="shared" si="43"/>
        <v>119</v>
      </c>
      <c r="P69" s="2257">
        <f t="shared" si="43"/>
        <v>177</v>
      </c>
      <c r="Q69" s="2257">
        <f t="shared" si="43"/>
        <v>195</v>
      </c>
      <c r="R69" s="2257">
        <f t="shared" si="43"/>
        <v>187</v>
      </c>
      <c r="S69" s="2259">
        <f t="shared" si="43"/>
        <v>137</v>
      </c>
      <c r="T69" s="2254">
        <f t="shared" si="43"/>
        <v>0</v>
      </c>
      <c r="U69" s="2255">
        <f t="shared" si="43"/>
        <v>0</v>
      </c>
      <c r="V69" s="2256">
        <f t="shared" si="43"/>
        <v>0</v>
      </c>
      <c r="W69" s="2257">
        <f t="shared" si="43"/>
        <v>0</v>
      </c>
      <c r="X69" s="2257">
        <f t="shared" si="43"/>
        <v>0</v>
      </c>
      <c r="Y69" s="2257">
        <f t="shared" si="43"/>
        <v>0</v>
      </c>
      <c r="Z69" s="2258">
        <f t="shared" si="43"/>
        <v>0</v>
      </c>
      <c r="AA69" s="908">
        <f>L69-SUM(O69:S69)-SUM(V69:Z69)</f>
        <v>0</v>
      </c>
      <c r="AB69" s="739"/>
      <c r="AC69" s="739"/>
      <c r="AD69" s="1784"/>
      <c r="AE69" s="1784"/>
      <c r="AF69" s="1784"/>
      <c r="AG69" s="1784"/>
      <c r="AH69" s="1784"/>
      <c r="AI69" s="1784"/>
      <c r="AJ69" s="1784"/>
      <c r="AK69" s="739"/>
      <c r="AL69" s="1791"/>
    </row>
    <row r="70" spans="1:38" ht="18.75" customHeight="1" thickBot="1">
      <c r="A70" s="2274"/>
      <c r="B70" s="2274"/>
      <c r="C70" s="2275"/>
      <c r="D70" s="2276" t="s">
        <v>842</v>
      </c>
      <c r="E70" s="2277">
        <f>SUM(E11:E28)+SUM(E36:E41)+E48+E50+E56+E65+E66</f>
        <v>413</v>
      </c>
      <c r="F70" s="2278">
        <f t="shared" ref="F70:Z70" si="44">SUM(F11:F28)+SUM(F36:F41)+F48+F50+F56+F65+F66</f>
        <v>3826</v>
      </c>
      <c r="G70" s="2279">
        <f t="shared" si="44"/>
        <v>1817.91722</v>
      </c>
      <c r="H70" s="2280">
        <f t="shared" si="44"/>
        <v>1996.6666666666665</v>
      </c>
      <c r="I70" s="2280">
        <f t="shared" si="44"/>
        <v>2170</v>
      </c>
      <c r="J70" s="2280">
        <f t="shared" si="44"/>
        <v>2209</v>
      </c>
      <c r="K70" s="2281">
        <f t="shared" si="44"/>
        <v>2439</v>
      </c>
      <c r="L70" s="2282">
        <f t="shared" si="44"/>
        <v>10632.583886666667</v>
      </c>
      <c r="M70" s="2283">
        <f t="shared" si="44"/>
        <v>413</v>
      </c>
      <c r="N70" s="2284">
        <f t="shared" si="44"/>
        <v>3826</v>
      </c>
      <c r="O70" s="2279">
        <f t="shared" si="44"/>
        <v>1817.91722</v>
      </c>
      <c r="P70" s="2280">
        <f t="shared" si="44"/>
        <v>1996.6666666666665</v>
      </c>
      <c r="Q70" s="2280">
        <f t="shared" si="44"/>
        <v>2170</v>
      </c>
      <c r="R70" s="2280">
        <f t="shared" si="44"/>
        <v>2209</v>
      </c>
      <c r="S70" s="2282">
        <f t="shared" si="44"/>
        <v>2439</v>
      </c>
      <c r="T70" s="2283">
        <f t="shared" si="44"/>
        <v>0</v>
      </c>
      <c r="U70" s="2284">
        <f t="shared" si="44"/>
        <v>0</v>
      </c>
      <c r="V70" s="2279">
        <f t="shared" si="44"/>
        <v>0</v>
      </c>
      <c r="W70" s="2280">
        <f t="shared" si="44"/>
        <v>0</v>
      </c>
      <c r="X70" s="2280">
        <f t="shared" si="44"/>
        <v>0</v>
      </c>
      <c r="Y70" s="2280">
        <f t="shared" si="44"/>
        <v>0</v>
      </c>
      <c r="Z70" s="2281">
        <f t="shared" si="44"/>
        <v>0</v>
      </c>
      <c r="AA70" s="2285">
        <f>L70-SUM(O70:S70)-SUM(V70:Z70)</f>
        <v>0</v>
      </c>
      <c r="AB70" s="741"/>
      <c r="AC70" s="741"/>
      <c r="AD70" s="2364"/>
      <c r="AE70" s="2364"/>
      <c r="AF70" s="2364"/>
      <c r="AG70" s="2364"/>
      <c r="AH70" s="2364"/>
      <c r="AI70" s="2364"/>
      <c r="AJ70" s="2364"/>
      <c r="AK70" s="741"/>
      <c r="AL70" s="2365"/>
    </row>
    <row r="71" spans="1:38" ht="13.5" customHeight="1">
      <c r="A71" s="794"/>
      <c r="B71" s="794"/>
      <c r="C71" s="177"/>
      <c r="D71" s="1759"/>
      <c r="E71" s="845"/>
      <c r="F71" s="845"/>
      <c r="G71" s="821"/>
      <c r="H71" s="821"/>
      <c r="I71" s="821"/>
      <c r="J71" s="821"/>
      <c r="K71" s="821"/>
      <c r="L71" s="822"/>
      <c r="M71" s="855"/>
      <c r="N71" s="855"/>
      <c r="O71" s="822"/>
      <c r="P71" s="822"/>
      <c r="Q71" s="822"/>
      <c r="R71" s="822"/>
      <c r="S71" s="822"/>
      <c r="T71" s="855"/>
      <c r="U71" s="855"/>
      <c r="V71" s="822"/>
      <c r="W71" s="822"/>
      <c r="X71" s="822"/>
      <c r="Y71" s="822"/>
      <c r="Z71" s="822"/>
      <c r="AA71" s="822"/>
      <c r="AB71" s="783"/>
      <c r="AC71" s="783"/>
      <c r="AD71" s="823"/>
      <c r="AE71" s="823"/>
      <c r="AF71" s="480"/>
      <c r="AG71" s="480"/>
      <c r="AH71" s="480"/>
      <c r="AI71" s="480"/>
      <c r="AJ71" s="480"/>
      <c r="AK71" s="824"/>
      <c r="AL71" s="820"/>
    </row>
    <row r="72" spans="1:38" ht="13.5" customHeight="1" thickBot="1">
      <c r="A72" s="794"/>
      <c r="B72" s="794"/>
      <c r="C72" s="177"/>
      <c r="D72" s="1759"/>
      <c r="E72" s="845"/>
      <c r="F72" s="845"/>
      <c r="G72" s="821"/>
      <c r="H72" s="821"/>
      <c r="I72" s="821"/>
      <c r="J72" s="821"/>
      <c r="K72" s="821"/>
      <c r="L72" s="822"/>
      <c r="M72" s="855"/>
      <c r="N72" s="855"/>
      <c r="O72" s="822"/>
      <c r="P72" s="822"/>
      <c r="Q72" s="822"/>
      <c r="R72" s="822"/>
      <c r="S72" s="822"/>
      <c r="T72" s="855"/>
      <c r="U72" s="855"/>
      <c r="V72" s="822"/>
      <c r="W72" s="822"/>
      <c r="X72" s="822"/>
      <c r="Y72" s="822"/>
      <c r="Z72" s="822"/>
      <c r="AA72" s="822"/>
      <c r="AB72" s="783"/>
      <c r="AC72" s="783"/>
      <c r="AD72" s="823"/>
      <c r="AE72" s="823"/>
      <c r="AF72" s="480"/>
      <c r="AG72" s="480"/>
      <c r="AH72" s="480"/>
      <c r="AI72" s="480"/>
      <c r="AJ72" s="480"/>
      <c r="AK72" s="824"/>
      <c r="AL72" s="1790"/>
    </row>
    <row r="73" spans="1:38" s="508" customFormat="1" ht="13.5" customHeight="1">
      <c r="A73" s="483"/>
      <c r="B73" s="159"/>
      <c r="C73" s="159"/>
      <c r="D73" s="1760" t="s">
        <v>870</v>
      </c>
      <c r="E73" s="1230">
        <f t="shared" ref="E73:K73" si="45">SUM(E74:E76)</f>
        <v>466</v>
      </c>
      <c r="F73" s="1469">
        <f t="shared" si="45"/>
        <v>3157</v>
      </c>
      <c r="G73" s="1466">
        <f t="shared" si="45"/>
        <v>903.91722000000004</v>
      </c>
      <c r="H73" s="909">
        <f t="shared" si="45"/>
        <v>1505.6666666666665</v>
      </c>
      <c r="I73" s="909">
        <f t="shared" si="45"/>
        <v>1697</v>
      </c>
      <c r="J73" s="909">
        <f t="shared" si="45"/>
        <v>1728</v>
      </c>
      <c r="K73" s="914">
        <f t="shared" si="45"/>
        <v>1908</v>
      </c>
      <c r="L73" s="1484">
        <f t="shared" ref="L73:L98" si="46">SUM(G73:K73)</f>
        <v>7742.5838866666663</v>
      </c>
      <c r="M73" s="1230">
        <f t="shared" ref="M73:Z73" si="47">SUM(M74:M76)</f>
        <v>466</v>
      </c>
      <c r="N73" s="1469">
        <f t="shared" si="47"/>
        <v>3157</v>
      </c>
      <c r="O73" s="1466">
        <f t="shared" si="47"/>
        <v>903.91722000000004</v>
      </c>
      <c r="P73" s="909">
        <f t="shared" si="47"/>
        <v>1505.6666666666665</v>
      </c>
      <c r="Q73" s="909">
        <f t="shared" si="47"/>
        <v>1697</v>
      </c>
      <c r="R73" s="909">
        <f t="shared" si="47"/>
        <v>1728</v>
      </c>
      <c r="S73" s="1231">
        <f t="shared" si="47"/>
        <v>1908</v>
      </c>
      <c r="T73" s="1230">
        <f t="shared" si="47"/>
        <v>0</v>
      </c>
      <c r="U73" s="1469">
        <f t="shared" si="47"/>
        <v>0</v>
      </c>
      <c r="V73" s="1466">
        <f t="shared" si="47"/>
        <v>0</v>
      </c>
      <c r="W73" s="909">
        <f t="shared" si="47"/>
        <v>0</v>
      </c>
      <c r="X73" s="909">
        <f t="shared" si="47"/>
        <v>0</v>
      </c>
      <c r="Y73" s="909">
        <f t="shared" si="47"/>
        <v>0</v>
      </c>
      <c r="Z73" s="914">
        <f t="shared" si="47"/>
        <v>0</v>
      </c>
      <c r="AA73" s="915">
        <f>L73-SUM(O73:S73)-SUM(V73:Z73)</f>
        <v>0</v>
      </c>
      <c r="AB73" s="825"/>
      <c r="AC73" s="825"/>
      <c r="AD73" s="826"/>
      <c r="AE73" s="826"/>
      <c r="AF73" s="1785"/>
      <c r="AG73" s="1785"/>
      <c r="AH73" s="1785"/>
      <c r="AI73" s="1785"/>
      <c r="AJ73" s="1785"/>
      <c r="AK73" s="827"/>
      <c r="AL73" s="1790"/>
    </row>
    <row r="74" spans="1:38">
      <c r="A74" s="483"/>
      <c r="B74" s="159"/>
      <c r="C74" s="159"/>
      <c r="D74" s="1761" t="s">
        <v>568</v>
      </c>
      <c r="E74" s="846">
        <f t="shared" ref="E74:K74" si="48">E10</f>
        <v>436</v>
      </c>
      <c r="F74" s="1443">
        <f t="shared" si="48"/>
        <v>2998</v>
      </c>
      <c r="G74" s="1467">
        <f t="shared" si="48"/>
        <v>688.91722000000004</v>
      </c>
      <c r="H74" s="830">
        <f t="shared" si="48"/>
        <v>1103.6666666666665</v>
      </c>
      <c r="I74" s="830">
        <f t="shared" si="48"/>
        <v>1252</v>
      </c>
      <c r="J74" s="830">
        <f t="shared" si="48"/>
        <v>1306</v>
      </c>
      <c r="K74" s="879">
        <f t="shared" si="48"/>
        <v>1521</v>
      </c>
      <c r="L74" s="814">
        <f t="shared" si="46"/>
        <v>5871.5838866666663</v>
      </c>
      <c r="M74" s="846">
        <f t="shared" ref="M74:Z74" si="49">M10</f>
        <v>436</v>
      </c>
      <c r="N74" s="1443">
        <f t="shared" si="49"/>
        <v>2998</v>
      </c>
      <c r="O74" s="1467">
        <f t="shared" si="49"/>
        <v>688.91722000000004</v>
      </c>
      <c r="P74" s="830">
        <f t="shared" si="49"/>
        <v>1103.6666666666665</v>
      </c>
      <c r="Q74" s="830">
        <f t="shared" si="49"/>
        <v>1252</v>
      </c>
      <c r="R74" s="830">
        <f t="shared" si="49"/>
        <v>1306</v>
      </c>
      <c r="S74" s="828">
        <f t="shared" si="49"/>
        <v>1521</v>
      </c>
      <c r="T74" s="846">
        <f t="shared" si="49"/>
        <v>0</v>
      </c>
      <c r="U74" s="1443">
        <f t="shared" si="49"/>
        <v>0</v>
      </c>
      <c r="V74" s="1467">
        <f t="shared" si="49"/>
        <v>0</v>
      </c>
      <c r="W74" s="830">
        <f t="shared" si="49"/>
        <v>0</v>
      </c>
      <c r="X74" s="830">
        <f t="shared" si="49"/>
        <v>0</v>
      </c>
      <c r="Y74" s="830">
        <f t="shared" si="49"/>
        <v>0</v>
      </c>
      <c r="Z74" s="879">
        <f t="shared" si="49"/>
        <v>0</v>
      </c>
      <c r="AA74" s="916">
        <f>L74-SUM(O74:S74)-SUM(V74:Z74)</f>
        <v>0</v>
      </c>
      <c r="AB74" s="783"/>
      <c r="AC74" s="783"/>
      <c r="AD74" s="823"/>
      <c r="AE74" s="823"/>
      <c r="AF74" s="480"/>
      <c r="AG74" s="480"/>
      <c r="AH74" s="480"/>
      <c r="AI74" s="480"/>
      <c r="AJ74" s="480"/>
      <c r="AK74" s="824"/>
      <c r="AL74" s="1790"/>
    </row>
    <row r="75" spans="1:38">
      <c r="A75" s="483"/>
      <c r="B75" s="159"/>
      <c r="C75" s="159"/>
      <c r="D75" s="1761" t="s">
        <v>869</v>
      </c>
      <c r="E75" s="846">
        <f t="shared" ref="E75:K75" si="50">E35</f>
        <v>13</v>
      </c>
      <c r="F75" s="1443">
        <f t="shared" si="50"/>
        <v>49</v>
      </c>
      <c r="G75" s="1467">
        <f t="shared" si="50"/>
        <v>40</v>
      </c>
      <c r="H75" s="830">
        <f t="shared" si="50"/>
        <v>149</v>
      </c>
      <c r="I75" s="830">
        <f t="shared" si="50"/>
        <v>149</v>
      </c>
      <c r="J75" s="830">
        <f t="shared" si="50"/>
        <v>134</v>
      </c>
      <c r="K75" s="879">
        <f t="shared" si="50"/>
        <v>119</v>
      </c>
      <c r="L75" s="814">
        <f t="shared" si="46"/>
        <v>591</v>
      </c>
      <c r="M75" s="846">
        <f t="shared" ref="M75:Z75" si="51">M35</f>
        <v>13</v>
      </c>
      <c r="N75" s="1443">
        <f t="shared" si="51"/>
        <v>49</v>
      </c>
      <c r="O75" s="1467">
        <f t="shared" si="51"/>
        <v>40</v>
      </c>
      <c r="P75" s="830">
        <f t="shared" si="51"/>
        <v>149</v>
      </c>
      <c r="Q75" s="830">
        <f t="shared" si="51"/>
        <v>149</v>
      </c>
      <c r="R75" s="830">
        <f t="shared" si="51"/>
        <v>134</v>
      </c>
      <c r="S75" s="828">
        <f t="shared" si="51"/>
        <v>119</v>
      </c>
      <c r="T75" s="846">
        <f t="shared" si="51"/>
        <v>0</v>
      </c>
      <c r="U75" s="1443">
        <f t="shared" si="51"/>
        <v>0</v>
      </c>
      <c r="V75" s="1467">
        <f t="shared" si="51"/>
        <v>0</v>
      </c>
      <c r="W75" s="830">
        <f t="shared" si="51"/>
        <v>0</v>
      </c>
      <c r="X75" s="830">
        <f t="shared" si="51"/>
        <v>0</v>
      </c>
      <c r="Y75" s="830">
        <f t="shared" si="51"/>
        <v>0</v>
      </c>
      <c r="Z75" s="879">
        <f t="shared" si="51"/>
        <v>0</v>
      </c>
      <c r="AA75" s="916">
        <f>L75-SUM(O75:S75)-SUM(V75:Z75)</f>
        <v>0</v>
      </c>
      <c r="AB75" s="783"/>
      <c r="AC75" s="783"/>
      <c r="AD75" s="823"/>
      <c r="AE75" s="823"/>
      <c r="AF75" s="480"/>
      <c r="AG75" s="480"/>
      <c r="AH75" s="480"/>
      <c r="AI75" s="480"/>
      <c r="AJ75" s="480"/>
      <c r="AK75" s="824"/>
      <c r="AL75" s="1790"/>
    </row>
    <row r="76" spans="1:38" ht="13.5" thickBot="1">
      <c r="A76" s="483"/>
      <c r="B76" s="159"/>
      <c r="C76" s="159"/>
      <c r="D76" s="1762" t="s">
        <v>569</v>
      </c>
      <c r="E76" s="1232">
        <f t="shared" ref="E76:K76" si="52">E47</f>
        <v>17</v>
      </c>
      <c r="F76" s="1470">
        <f t="shared" si="52"/>
        <v>110</v>
      </c>
      <c r="G76" s="1468">
        <f t="shared" si="52"/>
        <v>175</v>
      </c>
      <c r="H76" s="831">
        <f t="shared" si="52"/>
        <v>253</v>
      </c>
      <c r="I76" s="831">
        <f t="shared" si="52"/>
        <v>296</v>
      </c>
      <c r="J76" s="831">
        <f t="shared" si="52"/>
        <v>288</v>
      </c>
      <c r="K76" s="880">
        <f t="shared" si="52"/>
        <v>268</v>
      </c>
      <c r="L76" s="1483">
        <f t="shared" si="46"/>
        <v>1280</v>
      </c>
      <c r="M76" s="1232">
        <f t="shared" ref="M76:Z76" si="53">M47</f>
        <v>17</v>
      </c>
      <c r="N76" s="1470">
        <f t="shared" si="53"/>
        <v>110</v>
      </c>
      <c r="O76" s="1468">
        <f t="shared" si="53"/>
        <v>175</v>
      </c>
      <c r="P76" s="831">
        <f t="shared" si="53"/>
        <v>253</v>
      </c>
      <c r="Q76" s="831">
        <f t="shared" si="53"/>
        <v>296</v>
      </c>
      <c r="R76" s="831">
        <f t="shared" si="53"/>
        <v>288</v>
      </c>
      <c r="S76" s="1233">
        <f t="shared" si="53"/>
        <v>268</v>
      </c>
      <c r="T76" s="1232">
        <f t="shared" si="53"/>
        <v>0</v>
      </c>
      <c r="U76" s="1470">
        <f t="shared" si="53"/>
        <v>0</v>
      </c>
      <c r="V76" s="1468">
        <f t="shared" si="53"/>
        <v>0</v>
      </c>
      <c r="W76" s="831">
        <f t="shared" si="53"/>
        <v>0</v>
      </c>
      <c r="X76" s="831">
        <f t="shared" si="53"/>
        <v>0</v>
      </c>
      <c r="Y76" s="831">
        <f t="shared" si="53"/>
        <v>0</v>
      </c>
      <c r="Z76" s="880">
        <f t="shared" si="53"/>
        <v>0</v>
      </c>
      <c r="AA76" s="919">
        <f>L76-SUM(O76:S76)-SUM(V76:Z76)</f>
        <v>0</v>
      </c>
      <c r="AB76" s="783"/>
      <c r="AC76" s="783"/>
      <c r="AD76" s="823"/>
      <c r="AE76" s="823"/>
      <c r="AF76" s="480"/>
      <c r="AG76" s="480"/>
      <c r="AH76" s="480"/>
      <c r="AI76" s="480"/>
      <c r="AJ76" s="480"/>
      <c r="AK76" s="824"/>
      <c r="AL76" s="1790"/>
    </row>
    <row r="77" spans="1:38">
      <c r="A77" s="483"/>
      <c r="B77" s="159"/>
      <c r="C77" s="159"/>
      <c r="D77" s="1763" t="s">
        <v>570</v>
      </c>
      <c r="E77" s="1234">
        <f t="shared" ref="E77:K77" si="54">IFERROR(E74/E$73,0)</f>
        <v>0.93562231759656656</v>
      </c>
      <c r="F77" s="1471">
        <f t="shared" si="54"/>
        <v>0.94963573012353497</v>
      </c>
      <c r="G77" s="3194">
        <f t="shared" si="54"/>
        <v>0.7621463611457695</v>
      </c>
      <c r="H77" s="3195">
        <f t="shared" si="54"/>
        <v>0.73300863404914762</v>
      </c>
      <c r="I77" s="3195">
        <f t="shared" si="54"/>
        <v>0.73777253977607538</v>
      </c>
      <c r="J77" s="3195">
        <f t="shared" si="54"/>
        <v>0.75578703703703709</v>
      </c>
      <c r="K77" s="3196">
        <f t="shared" si="54"/>
        <v>0.79716981132075471</v>
      </c>
      <c r="L77" s="1508">
        <f t="shared" si="46"/>
        <v>3.7858843833287845</v>
      </c>
      <c r="M77" s="1769">
        <f>IFERROR(M74/M$73,0)</f>
        <v>0.93562231759656656</v>
      </c>
      <c r="N77" s="1770">
        <f t="shared" ref="N77:Z77" si="55">IFERROR(N74/N$73,0)</f>
        <v>0.94963573012353497</v>
      </c>
      <c r="O77" s="1771">
        <f>IFERROR(O74/O$73,0)</f>
        <v>0.7621463611457695</v>
      </c>
      <c r="P77" s="1772">
        <f t="shared" si="55"/>
        <v>0.73300863404914762</v>
      </c>
      <c r="Q77" s="1772">
        <f t="shared" si="55"/>
        <v>0.73777253977607538</v>
      </c>
      <c r="R77" s="1772">
        <f t="shared" si="55"/>
        <v>0.75578703703703709</v>
      </c>
      <c r="S77" s="1772">
        <f t="shared" si="55"/>
        <v>0.79716981132075471</v>
      </c>
      <c r="T77" s="1773">
        <f t="shared" si="55"/>
        <v>0</v>
      </c>
      <c r="U77" s="1772">
        <f t="shared" si="55"/>
        <v>0</v>
      </c>
      <c r="V77" s="1773">
        <f t="shared" si="55"/>
        <v>0</v>
      </c>
      <c r="W77" s="1772">
        <f t="shared" si="55"/>
        <v>0</v>
      </c>
      <c r="X77" s="1772">
        <f t="shared" si="55"/>
        <v>0</v>
      </c>
      <c r="Y77" s="1772">
        <f t="shared" si="55"/>
        <v>0</v>
      </c>
      <c r="Z77" s="1770">
        <f t="shared" si="55"/>
        <v>0</v>
      </c>
      <c r="AA77" s="918"/>
      <c r="AB77" s="783"/>
      <c r="AC77" s="783"/>
      <c r="AD77" s="823"/>
      <c r="AE77" s="823"/>
      <c r="AF77" s="480"/>
      <c r="AG77" s="480"/>
      <c r="AH77" s="480"/>
      <c r="AI77" s="480"/>
      <c r="AJ77" s="480"/>
      <c r="AK77" s="824"/>
      <c r="AL77" s="1790"/>
    </row>
    <row r="78" spans="1:38">
      <c r="A78" s="483"/>
      <c r="B78" s="159"/>
      <c r="C78" s="159"/>
      <c r="D78" s="1761" t="s">
        <v>868</v>
      </c>
      <c r="E78" s="1235">
        <f>IFERROR(E75/E$73,0)</f>
        <v>2.7896995708154508E-2</v>
      </c>
      <c r="F78" s="1472">
        <f t="shared" ref="F78:K78" si="56">IFERROR(F75/F$73,0)</f>
        <v>1.5521064301552107E-2</v>
      </c>
      <c r="G78" s="3188">
        <f t="shared" si="56"/>
        <v>4.4251839786833579E-2</v>
      </c>
      <c r="H78" s="3189">
        <f t="shared" si="56"/>
        <v>9.8959486384768661E-2</v>
      </c>
      <c r="I78" s="3189">
        <f t="shared" si="56"/>
        <v>8.7802003535651152E-2</v>
      </c>
      <c r="J78" s="3189">
        <f t="shared" si="56"/>
        <v>7.7546296296296294E-2</v>
      </c>
      <c r="K78" s="3190">
        <f t="shared" si="56"/>
        <v>6.2368972746331235E-2</v>
      </c>
      <c r="L78" s="1509">
        <f t="shared" si="46"/>
        <v>0.37092859874988093</v>
      </c>
      <c r="M78" s="1774">
        <f>IFERROR(M75/M$73,0)</f>
        <v>2.7896995708154508E-2</v>
      </c>
      <c r="N78" s="1775">
        <f>IFERROR(N75/N$73,0)</f>
        <v>1.5521064301552107E-2</v>
      </c>
      <c r="O78" s="1776">
        <f>IFERROR(O75/O$73,0)</f>
        <v>4.4251839786833579E-2</v>
      </c>
      <c r="P78" s="1777">
        <f t="shared" ref="P78:Z78" si="57">IFERROR(P75/P$73,0)</f>
        <v>9.8959486384768661E-2</v>
      </c>
      <c r="Q78" s="1777">
        <f t="shared" si="57"/>
        <v>8.7802003535651152E-2</v>
      </c>
      <c r="R78" s="1777">
        <f t="shared" si="57"/>
        <v>7.7546296296296294E-2</v>
      </c>
      <c r="S78" s="1777">
        <f t="shared" si="57"/>
        <v>6.2368972746331235E-2</v>
      </c>
      <c r="T78" s="1778">
        <f t="shared" si="57"/>
        <v>0</v>
      </c>
      <c r="U78" s="1777">
        <f t="shared" si="57"/>
        <v>0</v>
      </c>
      <c r="V78" s="1778">
        <f t="shared" si="57"/>
        <v>0</v>
      </c>
      <c r="W78" s="1777">
        <f t="shared" si="57"/>
        <v>0</v>
      </c>
      <c r="X78" s="1777">
        <f t="shared" si="57"/>
        <v>0</v>
      </c>
      <c r="Y78" s="1777">
        <f t="shared" si="57"/>
        <v>0</v>
      </c>
      <c r="Z78" s="1775">
        <f t="shared" si="57"/>
        <v>0</v>
      </c>
      <c r="AA78" s="916"/>
      <c r="AB78" s="783"/>
      <c r="AC78" s="783"/>
      <c r="AD78" s="823"/>
      <c r="AE78" s="823"/>
      <c r="AF78" s="480"/>
      <c r="AG78" s="480"/>
      <c r="AH78" s="480"/>
      <c r="AI78" s="480"/>
      <c r="AJ78" s="480"/>
      <c r="AK78" s="824"/>
      <c r="AL78" s="1790"/>
    </row>
    <row r="79" spans="1:38" ht="13.5" thickBot="1">
      <c r="A79" s="483"/>
      <c r="B79" s="159"/>
      <c r="C79" s="159"/>
      <c r="D79" s="1764" t="s">
        <v>571</v>
      </c>
      <c r="E79" s="1236">
        <f>IFERROR(E76/E$73,0)</f>
        <v>3.6480686695278972E-2</v>
      </c>
      <c r="F79" s="1473">
        <f t="shared" ref="F79:K79" si="58">IFERROR(F76/F$73,0)</f>
        <v>3.484320557491289E-2</v>
      </c>
      <c r="G79" s="3191">
        <f t="shared" si="58"/>
        <v>0.19360179906739688</v>
      </c>
      <c r="H79" s="3192">
        <f t="shared" si="58"/>
        <v>0.1680318795660837</v>
      </c>
      <c r="I79" s="3192">
        <f t="shared" si="58"/>
        <v>0.17442545668827342</v>
      </c>
      <c r="J79" s="3192">
        <f t="shared" si="58"/>
        <v>0.16666666666666666</v>
      </c>
      <c r="K79" s="3193">
        <f t="shared" si="58"/>
        <v>0.14046121593291405</v>
      </c>
      <c r="L79" s="1510">
        <f t="shared" si="46"/>
        <v>0.84318701792133477</v>
      </c>
      <c r="M79" s="1779">
        <f>IFERROR(M76/M$73,0)</f>
        <v>3.6480686695278972E-2</v>
      </c>
      <c r="N79" s="1780">
        <f t="shared" ref="N79:Z79" si="59">IFERROR(N76/N$73,0)</f>
        <v>3.484320557491289E-2</v>
      </c>
      <c r="O79" s="1781">
        <f>IFERROR(O76/O$73,0)</f>
        <v>0.19360179906739688</v>
      </c>
      <c r="P79" s="1782">
        <f t="shared" si="59"/>
        <v>0.1680318795660837</v>
      </c>
      <c r="Q79" s="1782">
        <f t="shared" si="59"/>
        <v>0.17442545668827342</v>
      </c>
      <c r="R79" s="1782">
        <f t="shared" si="59"/>
        <v>0.16666666666666666</v>
      </c>
      <c r="S79" s="1782">
        <f t="shared" si="59"/>
        <v>0.14046121593291405</v>
      </c>
      <c r="T79" s="1783">
        <f t="shared" si="59"/>
        <v>0</v>
      </c>
      <c r="U79" s="1782">
        <f t="shared" si="59"/>
        <v>0</v>
      </c>
      <c r="V79" s="1783">
        <f t="shared" si="59"/>
        <v>0</v>
      </c>
      <c r="W79" s="1782">
        <f t="shared" si="59"/>
        <v>0</v>
      </c>
      <c r="X79" s="1782">
        <f t="shared" si="59"/>
        <v>0</v>
      </c>
      <c r="Y79" s="1782">
        <f t="shared" si="59"/>
        <v>0</v>
      </c>
      <c r="Z79" s="1780">
        <f t="shared" si="59"/>
        <v>0</v>
      </c>
      <c r="AA79" s="917"/>
      <c r="AB79" s="783"/>
      <c r="AC79" s="783"/>
      <c r="AD79" s="823"/>
      <c r="AE79" s="823"/>
      <c r="AF79" s="480"/>
      <c r="AG79" s="480"/>
      <c r="AH79" s="480"/>
      <c r="AI79" s="480"/>
      <c r="AJ79" s="480"/>
      <c r="AK79" s="824"/>
      <c r="AL79" s="1790"/>
    </row>
    <row r="80" spans="1:38" ht="13.5" thickBot="1">
      <c r="A80" s="483"/>
      <c r="B80" s="159"/>
      <c r="C80" s="159"/>
      <c r="D80" s="1759"/>
      <c r="E80" s="845"/>
      <c r="F80" s="845"/>
      <c r="G80" s="821"/>
      <c r="H80" s="821"/>
      <c r="I80" s="821"/>
      <c r="J80" s="821"/>
      <c r="K80" s="829"/>
      <c r="L80" s="829"/>
      <c r="M80" s="845"/>
      <c r="N80" s="845"/>
      <c r="O80" s="821"/>
      <c r="P80" s="821"/>
      <c r="Q80" s="821"/>
      <c r="R80" s="821"/>
      <c r="S80" s="829"/>
      <c r="T80" s="864"/>
      <c r="U80" s="864"/>
      <c r="V80" s="829"/>
      <c r="W80" s="829"/>
      <c r="X80" s="829"/>
      <c r="Y80" s="829"/>
      <c r="Z80" s="829"/>
      <c r="AA80" s="910"/>
      <c r="AB80" s="783"/>
      <c r="AC80" s="783"/>
      <c r="AD80" s="823"/>
      <c r="AE80" s="823"/>
      <c r="AF80" s="480"/>
      <c r="AG80" s="480"/>
      <c r="AH80" s="480"/>
      <c r="AI80" s="480"/>
      <c r="AJ80" s="480"/>
      <c r="AK80" s="824"/>
      <c r="AL80" s="1790"/>
    </row>
    <row r="81" spans="1:38" s="1442" customFormat="1">
      <c r="A81" s="1755"/>
      <c r="B81" s="1438"/>
      <c r="C81" s="1438"/>
      <c r="D81" s="1760" t="s">
        <v>572</v>
      </c>
      <c r="E81" s="1230">
        <f>E56+E59</f>
        <v>0</v>
      </c>
      <c r="F81" s="1469">
        <f t="shared" ref="F81:K81" si="60">F56+F59</f>
        <v>674</v>
      </c>
      <c r="G81" s="1466">
        <f>G56+G59</f>
        <v>1033</v>
      </c>
      <c r="H81" s="909">
        <f t="shared" si="60"/>
        <v>668</v>
      </c>
      <c r="I81" s="909">
        <f t="shared" si="60"/>
        <v>668</v>
      </c>
      <c r="J81" s="909">
        <f t="shared" si="60"/>
        <v>668</v>
      </c>
      <c r="K81" s="914">
        <f t="shared" si="60"/>
        <v>668</v>
      </c>
      <c r="L81" s="1484">
        <f t="shared" si="46"/>
        <v>3705</v>
      </c>
      <c r="M81" s="1230">
        <f t="shared" ref="M81:Z81" si="61">M56+M59</f>
        <v>0</v>
      </c>
      <c r="N81" s="1469">
        <f t="shared" si="61"/>
        <v>674</v>
      </c>
      <c r="O81" s="1466">
        <f t="shared" si="61"/>
        <v>1033</v>
      </c>
      <c r="P81" s="909">
        <f t="shared" si="61"/>
        <v>668</v>
      </c>
      <c r="Q81" s="909">
        <f t="shared" si="61"/>
        <v>668</v>
      </c>
      <c r="R81" s="909">
        <f t="shared" si="61"/>
        <v>668</v>
      </c>
      <c r="S81" s="1231">
        <f t="shared" si="61"/>
        <v>668</v>
      </c>
      <c r="T81" s="1230">
        <f t="shared" si="61"/>
        <v>0</v>
      </c>
      <c r="U81" s="1469">
        <f t="shared" si="61"/>
        <v>0</v>
      </c>
      <c r="V81" s="1466">
        <f t="shared" si="61"/>
        <v>0</v>
      </c>
      <c r="W81" s="909">
        <f t="shared" si="61"/>
        <v>0</v>
      </c>
      <c r="X81" s="909">
        <f t="shared" si="61"/>
        <v>0</v>
      </c>
      <c r="Y81" s="909">
        <f t="shared" si="61"/>
        <v>0</v>
      </c>
      <c r="Z81" s="914">
        <f t="shared" si="61"/>
        <v>0</v>
      </c>
      <c r="AA81" s="1439">
        <f t="shared" ref="AA81:AA98" si="62">L81-SUM(O81:S81)-SUM(V81:Z81)</f>
        <v>0</v>
      </c>
      <c r="AB81" s="832"/>
      <c r="AC81" s="832"/>
      <c r="AD81" s="833"/>
      <c r="AE81" s="833"/>
      <c r="AF81" s="1786"/>
      <c r="AG81" s="1786"/>
      <c r="AH81" s="1786"/>
      <c r="AI81" s="1786"/>
      <c r="AJ81" s="1786"/>
      <c r="AK81" s="1441"/>
      <c r="AL81" s="1792"/>
    </row>
    <row r="82" spans="1:38">
      <c r="A82" s="483"/>
      <c r="B82" s="159"/>
      <c r="C82" s="159"/>
      <c r="D82" s="1761" t="s">
        <v>568</v>
      </c>
      <c r="E82" s="847">
        <f t="shared" ref="E82:K82" si="63">E77*E$81</f>
        <v>0</v>
      </c>
      <c r="F82" s="1480">
        <f>F77*F$81</f>
        <v>640.05448210326256</v>
      </c>
      <c r="G82" s="835">
        <f t="shared" si="63"/>
        <v>787.29719106357993</v>
      </c>
      <c r="H82" s="834">
        <f t="shared" si="63"/>
        <v>489.64976754483064</v>
      </c>
      <c r="I82" s="834">
        <f t="shared" si="63"/>
        <v>492.83205657041833</v>
      </c>
      <c r="J82" s="834">
        <f t="shared" si="63"/>
        <v>504.86574074074076</v>
      </c>
      <c r="K82" s="1474">
        <f t="shared" si="63"/>
        <v>532.5094339622641</v>
      </c>
      <c r="L82" s="814">
        <f t="shared" si="46"/>
        <v>2807.1541898818341</v>
      </c>
      <c r="M82" s="846">
        <f>E77*M$81</f>
        <v>0</v>
      </c>
      <c r="N82" s="1480">
        <f t="shared" ref="N82:S82" si="64">F77*N$81</f>
        <v>640.05448210326256</v>
      </c>
      <c r="O82" s="1467">
        <f t="shared" si="64"/>
        <v>787.29719106357993</v>
      </c>
      <c r="P82" s="830">
        <f>H77*P$81</f>
        <v>489.64976754483064</v>
      </c>
      <c r="Q82" s="830">
        <f t="shared" si="64"/>
        <v>492.83205657041833</v>
      </c>
      <c r="R82" s="830">
        <f t="shared" si="64"/>
        <v>504.86574074074076</v>
      </c>
      <c r="S82" s="828">
        <f t="shared" si="64"/>
        <v>532.5094339622641</v>
      </c>
      <c r="T82" s="847">
        <f>E77*T$81</f>
        <v>0</v>
      </c>
      <c r="U82" s="1480">
        <f t="shared" ref="U82:Z82" si="65">F77*U$81</f>
        <v>0</v>
      </c>
      <c r="V82" s="1478">
        <f t="shared" si="65"/>
        <v>0</v>
      </c>
      <c r="W82" s="857">
        <f t="shared" si="65"/>
        <v>0</v>
      </c>
      <c r="X82" s="857">
        <f t="shared" si="65"/>
        <v>0</v>
      </c>
      <c r="Y82" s="857">
        <f t="shared" si="65"/>
        <v>0</v>
      </c>
      <c r="Z82" s="857">
        <f t="shared" si="65"/>
        <v>0</v>
      </c>
      <c r="AA82" s="919">
        <f t="shared" si="62"/>
        <v>0</v>
      </c>
      <c r="AB82" s="783"/>
      <c r="AC82" s="783"/>
      <c r="AD82" s="823"/>
      <c r="AE82" s="823"/>
      <c r="AF82" s="480"/>
      <c r="AG82" s="480"/>
      <c r="AH82" s="480"/>
      <c r="AI82" s="480"/>
      <c r="AJ82" s="480"/>
      <c r="AK82" s="824"/>
      <c r="AL82" s="1790"/>
    </row>
    <row r="83" spans="1:38">
      <c r="A83" s="483"/>
      <c r="B83" s="159"/>
      <c r="C83" s="159"/>
      <c r="D83" s="1761" t="s">
        <v>869</v>
      </c>
      <c r="E83" s="846">
        <f>E78*E$81</f>
        <v>0</v>
      </c>
      <c r="F83" s="1480">
        <f>F78*F$81</f>
        <v>10.461197339246119</v>
      </c>
      <c r="G83" s="835">
        <f t="shared" ref="G83:K84" si="66">G78*G$81</f>
        <v>45.712150499799087</v>
      </c>
      <c r="H83" s="834">
        <f t="shared" si="66"/>
        <v>66.104936905025468</v>
      </c>
      <c r="I83" s="834">
        <f t="shared" si="66"/>
        <v>58.651738361814971</v>
      </c>
      <c r="J83" s="834">
        <f t="shared" si="66"/>
        <v>51.800925925925924</v>
      </c>
      <c r="K83" s="1474">
        <f t="shared" si="66"/>
        <v>41.662473794549264</v>
      </c>
      <c r="L83" s="814">
        <f t="shared" si="46"/>
        <v>263.93222548711469</v>
      </c>
      <c r="M83" s="846">
        <f>E78*M$81</f>
        <v>0</v>
      </c>
      <c r="N83" s="1443">
        <f t="shared" ref="N83:S83" si="67">F78*N$81</f>
        <v>10.461197339246119</v>
      </c>
      <c r="O83" s="1229">
        <f>G78*O$81</f>
        <v>45.712150499799087</v>
      </c>
      <c r="P83" s="856">
        <f>H78*P$81</f>
        <v>66.104936905025468</v>
      </c>
      <c r="Q83" s="856">
        <f t="shared" si="67"/>
        <v>58.651738361814971</v>
      </c>
      <c r="R83" s="856">
        <f t="shared" si="67"/>
        <v>51.800925925925924</v>
      </c>
      <c r="S83" s="1443">
        <f t="shared" si="67"/>
        <v>41.662473794549264</v>
      </c>
      <c r="T83" s="846">
        <f>E78*T$81</f>
        <v>0</v>
      </c>
      <c r="U83" s="1443">
        <f t="shared" ref="U83:Z83" si="68">F78*U$81</f>
        <v>0</v>
      </c>
      <c r="V83" s="1229">
        <f t="shared" si="68"/>
        <v>0</v>
      </c>
      <c r="W83" s="856">
        <f t="shared" si="68"/>
        <v>0</v>
      </c>
      <c r="X83" s="856">
        <f t="shared" si="68"/>
        <v>0</v>
      </c>
      <c r="Y83" s="856">
        <f t="shared" si="68"/>
        <v>0</v>
      </c>
      <c r="Z83" s="856">
        <f t="shared" si="68"/>
        <v>0</v>
      </c>
      <c r="AA83" s="919">
        <f t="shared" si="62"/>
        <v>0</v>
      </c>
      <c r="AB83" s="783"/>
      <c r="AC83" s="783"/>
      <c r="AD83" s="823"/>
      <c r="AE83" s="823"/>
      <c r="AF83" s="480"/>
      <c r="AG83" s="480"/>
      <c r="AH83" s="480"/>
      <c r="AI83" s="480"/>
      <c r="AJ83" s="480"/>
      <c r="AK83" s="824"/>
      <c r="AL83" s="1790"/>
    </row>
    <row r="84" spans="1:38" ht="13.5" thickBot="1">
      <c r="A84" s="483"/>
      <c r="B84" s="159"/>
      <c r="C84" s="159"/>
      <c r="D84" s="1764" t="s">
        <v>569</v>
      </c>
      <c r="E84" s="850">
        <f>E79*E$81</f>
        <v>0</v>
      </c>
      <c r="F84" s="1481">
        <f>F79*F$81</f>
        <v>23.484320557491287</v>
      </c>
      <c r="G84" s="1476">
        <f t="shared" si="66"/>
        <v>199.99065843662098</v>
      </c>
      <c r="H84" s="836">
        <f t="shared" si="66"/>
        <v>112.24529555014391</v>
      </c>
      <c r="I84" s="836">
        <f t="shared" si="66"/>
        <v>116.51620506776665</v>
      </c>
      <c r="J84" s="836">
        <f t="shared" si="66"/>
        <v>111.33333333333333</v>
      </c>
      <c r="K84" s="1475">
        <f t="shared" si="66"/>
        <v>93.828092243186589</v>
      </c>
      <c r="L84" s="1485">
        <f t="shared" si="46"/>
        <v>633.91358463105144</v>
      </c>
      <c r="M84" s="850">
        <f>E79*M$81</f>
        <v>0</v>
      </c>
      <c r="N84" s="1444">
        <f t="shared" ref="N84:S84" si="69">F79*N$81</f>
        <v>23.484320557491287</v>
      </c>
      <c r="O84" s="1479">
        <f t="shared" si="69"/>
        <v>199.99065843662098</v>
      </c>
      <c r="P84" s="859">
        <f t="shared" si="69"/>
        <v>112.24529555014391</v>
      </c>
      <c r="Q84" s="859">
        <f t="shared" si="69"/>
        <v>116.51620506776665</v>
      </c>
      <c r="R84" s="859">
        <f t="shared" si="69"/>
        <v>111.33333333333333</v>
      </c>
      <c r="S84" s="1444">
        <f t="shared" si="69"/>
        <v>93.828092243186589</v>
      </c>
      <c r="T84" s="848">
        <f>E79*T$81</f>
        <v>0</v>
      </c>
      <c r="U84" s="1481">
        <f t="shared" ref="U84:Z84" si="70">F79*U$81</f>
        <v>0</v>
      </c>
      <c r="V84" s="1482">
        <f t="shared" si="70"/>
        <v>0</v>
      </c>
      <c r="W84" s="858">
        <f t="shared" si="70"/>
        <v>0</v>
      </c>
      <c r="X84" s="858">
        <f t="shared" si="70"/>
        <v>0</v>
      </c>
      <c r="Y84" s="858">
        <f t="shared" si="70"/>
        <v>0</v>
      </c>
      <c r="Z84" s="858">
        <f t="shared" si="70"/>
        <v>0</v>
      </c>
      <c r="AA84" s="917">
        <f t="shared" si="62"/>
        <v>0</v>
      </c>
      <c r="AB84" s="783"/>
      <c r="AC84" s="783"/>
      <c r="AD84" s="823"/>
      <c r="AE84" s="823"/>
      <c r="AF84" s="480"/>
      <c r="AG84" s="480"/>
      <c r="AH84" s="480"/>
      <c r="AI84" s="480"/>
      <c r="AJ84" s="480"/>
      <c r="AK84" s="824"/>
      <c r="AL84" s="1790"/>
    </row>
    <row r="85" spans="1:38" ht="13.5" thickBot="1">
      <c r="A85" s="483"/>
      <c r="B85" s="159"/>
      <c r="C85" s="159"/>
      <c r="D85" s="1765"/>
      <c r="E85" s="849"/>
      <c r="F85" s="849"/>
      <c r="G85" s="837"/>
      <c r="H85" s="837"/>
      <c r="I85" s="837"/>
      <c r="J85" s="837"/>
      <c r="K85" s="838"/>
      <c r="L85" s="822"/>
      <c r="M85" s="855"/>
      <c r="N85" s="855"/>
      <c r="O85" s="822"/>
      <c r="P85" s="822"/>
      <c r="Q85" s="822"/>
      <c r="R85" s="822"/>
      <c r="S85" s="822"/>
      <c r="T85" s="855"/>
      <c r="U85" s="855"/>
      <c r="V85" s="822"/>
      <c r="W85" s="822"/>
      <c r="X85" s="822"/>
      <c r="Y85" s="822"/>
      <c r="Z85" s="822"/>
      <c r="AA85" s="481"/>
      <c r="AB85" s="783"/>
      <c r="AC85" s="783"/>
      <c r="AD85" s="823"/>
      <c r="AE85" s="823"/>
      <c r="AF85" s="480"/>
      <c r="AG85" s="480"/>
      <c r="AH85" s="480"/>
      <c r="AI85" s="480"/>
      <c r="AJ85" s="480"/>
      <c r="AK85" s="824"/>
      <c r="AL85" s="1790"/>
    </row>
    <row r="86" spans="1:38" s="184" customFormat="1" ht="24">
      <c r="A86" s="1755"/>
      <c r="B86" s="1438"/>
      <c r="C86" s="1438"/>
      <c r="D86" s="1766" t="s">
        <v>573</v>
      </c>
      <c r="E86" s="1445">
        <f t="shared" ref="E86:K86" si="71">SUM(E87:E89)</f>
        <v>466</v>
      </c>
      <c r="F86" s="912">
        <f t="shared" si="71"/>
        <v>3831</v>
      </c>
      <c r="G86" s="1450">
        <f t="shared" si="71"/>
        <v>1936.9172199999998</v>
      </c>
      <c r="H86" s="911">
        <f t="shared" si="71"/>
        <v>2173.6666666666665</v>
      </c>
      <c r="I86" s="911">
        <f t="shared" si="71"/>
        <v>2365</v>
      </c>
      <c r="J86" s="911">
        <f t="shared" si="71"/>
        <v>2396</v>
      </c>
      <c r="K86" s="912">
        <f t="shared" si="71"/>
        <v>2576</v>
      </c>
      <c r="L86" s="1484">
        <f t="shared" si="46"/>
        <v>11447.583886666667</v>
      </c>
      <c r="M86" s="1445">
        <f t="shared" ref="M86:Z86" si="72">SUM(M87:M89)</f>
        <v>466</v>
      </c>
      <c r="N86" s="912">
        <f t="shared" si="72"/>
        <v>3831</v>
      </c>
      <c r="O86" s="1450">
        <f t="shared" si="72"/>
        <v>1936.9172199999998</v>
      </c>
      <c r="P86" s="911">
        <f t="shared" si="72"/>
        <v>2173.6666666666665</v>
      </c>
      <c r="Q86" s="911">
        <f t="shared" si="72"/>
        <v>2365</v>
      </c>
      <c r="R86" s="911">
        <f t="shared" si="72"/>
        <v>2396</v>
      </c>
      <c r="S86" s="912">
        <f t="shared" si="72"/>
        <v>2576</v>
      </c>
      <c r="T86" s="1445">
        <f t="shared" si="72"/>
        <v>0</v>
      </c>
      <c r="U86" s="912">
        <f t="shared" si="72"/>
        <v>0</v>
      </c>
      <c r="V86" s="1450">
        <f t="shared" si="72"/>
        <v>0</v>
      </c>
      <c r="W86" s="911">
        <f t="shared" si="72"/>
        <v>0</v>
      </c>
      <c r="X86" s="911">
        <f t="shared" si="72"/>
        <v>0</v>
      </c>
      <c r="Y86" s="911">
        <f t="shared" si="72"/>
        <v>0</v>
      </c>
      <c r="Z86" s="912">
        <f t="shared" si="72"/>
        <v>0</v>
      </c>
      <c r="AA86" s="1439">
        <f t="shared" si="62"/>
        <v>0</v>
      </c>
      <c r="AB86" s="839"/>
      <c r="AC86" s="839"/>
      <c r="AD86" s="840"/>
      <c r="AE86" s="840"/>
      <c r="AF86" s="1787"/>
      <c r="AG86" s="1787"/>
      <c r="AH86" s="1787"/>
      <c r="AI86" s="1787"/>
      <c r="AJ86" s="1787"/>
      <c r="AK86" s="1440"/>
      <c r="AL86" s="1792"/>
    </row>
    <row r="87" spans="1:38">
      <c r="A87" s="532"/>
      <c r="B87" s="1125"/>
      <c r="C87" s="1125"/>
      <c r="D87" s="1761" t="s">
        <v>568</v>
      </c>
      <c r="E87" s="1446">
        <f t="shared" ref="E87:K87" si="73">E74+E82</f>
        <v>436</v>
      </c>
      <c r="F87" s="828">
        <f t="shared" si="73"/>
        <v>3638.0544821032627</v>
      </c>
      <c r="G87" s="1467">
        <f t="shared" si="73"/>
        <v>1476.21441106358</v>
      </c>
      <c r="H87" s="830">
        <f t="shared" si="73"/>
        <v>1593.3164342114972</v>
      </c>
      <c r="I87" s="830">
        <f t="shared" si="73"/>
        <v>1744.8320565704184</v>
      </c>
      <c r="J87" s="830">
        <f t="shared" si="73"/>
        <v>1810.8657407407409</v>
      </c>
      <c r="K87" s="828">
        <f t="shared" si="73"/>
        <v>2053.5094339622642</v>
      </c>
      <c r="L87" s="814">
        <f t="shared" si="46"/>
        <v>8678.7380765485013</v>
      </c>
      <c r="M87" s="1447">
        <f t="shared" ref="M87:Z87" si="74">M74+M82</f>
        <v>436</v>
      </c>
      <c r="N87" s="828">
        <f t="shared" si="74"/>
        <v>3638.0544821032627</v>
      </c>
      <c r="O87" s="1467">
        <f t="shared" si="74"/>
        <v>1476.21441106358</v>
      </c>
      <c r="P87" s="830">
        <f t="shared" si="74"/>
        <v>1593.3164342114972</v>
      </c>
      <c r="Q87" s="830">
        <f t="shared" si="74"/>
        <v>1744.8320565704184</v>
      </c>
      <c r="R87" s="830">
        <f t="shared" si="74"/>
        <v>1810.8657407407409</v>
      </c>
      <c r="S87" s="828">
        <f t="shared" si="74"/>
        <v>2053.5094339622642</v>
      </c>
      <c r="T87" s="1447">
        <f t="shared" si="74"/>
        <v>0</v>
      </c>
      <c r="U87" s="828">
        <f t="shared" si="74"/>
        <v>0</v>
      </c>
      <c r="V87" s="1467">
        <f t="shared" si="74"/>
        <v>0</v>
      </c>
      <c r="W87" s="830">
        <f t="shared" si="74"/>
        <v>0</v>
      </c>
      <c r="X87" s="830">
        <f t="shared" si="74"/>
        <v>0</v>
      </c>
      <c r="Y87" s="830">
        <f t="shared" si="74"/>
        <v>0</v>
      </c>
      <c r="Z87" s="828">
        <f t="shared" si="74"/>
        <v>0</v>
      </c>
      <c r="AA87" s="919">
        <f t="shared" si="62"/>
        <v>0</v>
      </c>
      <c r="AB87" s="783"/>
      <c r="AC87" s="783"/>
      <c r="AD87" s="823"/>
      <c r="AE87" s="823"/>
      <c r="AF87" s="480"/>
      <c r="AG87" s="480"/>
      <c r="AH87" s="480"/>
      <c r="AI87" s="480"/>
      <c r="AJ87" s="480"/>
      <c r="AK87" s="824"/>
      <c r="AL87" s="1790"/>
    </row>
    <row r="88" spans="1:38">
      <c r="A88" s="532"/>
      <c r="B88" s="1125"/>
      <c r="C88" s="1125"/>
      <c r="D88" s="1761" t="s">
        <v>869</v>
      </c>
      <c r="E88" s="1446">
        <f>E75+E83</f>
        <v>13</v>
      </c>
      <c r="F88" s="828">
        <f t="shared" ref="F88:K89" si="75">F75+F83</f>
        <v>59.461197339246119</v>
      </c>
      <c r="G88" s="1467">
        <f t="shared" si="75"/>
        <v>85.712150499799094</v>
      </c>
      <c r="H88" s="830">
        <f t="shared" si="75"/>
        <v>215.10493690502545</v>
      </c>
      <c r="I88" s="830">
        <f t="shared" si="75"/>
        <v>207.65173836181498</v>
      </c>
      <c r="J88" s="830">
        <f t="shared" si="75"/>
        <v>185.80092592592592</v>
      </c>
      <c r="K88" s="828">
        <f t="shared" si="75"/>
        <v>160.66247379454927</v>
      </c>
      <c r="L88" s="814">
        <f t="shared" si="46"/>
        <v>854.93222548711469</v>
      </c>
      <c r="M88" s="1447">
        <f t="shared" ref="M88:S88" si="76">M75+M83</f>
        <v>13</v>
      </c>
      <c r="N88" s="828">
        <f t="shared" si="76"/>
        <v>59.461197339246119</v>
      </c>
      <c r="O88" s="1467">
        <f t="shared" si="76"/>
        <v>85.712150499799094</v>
      </c>
      <c r="P88" s="830">
        <f t="shared" si="76"/>
        <v>215.10493690502545</v>
      </c>
      <c r="Q88" s="830">
        <f t="shared" si="76"/>
        <v>207.65173836181498</v>
      </c>
      <c r="R88" s="830">
        <f t="shared" si="76"/>
        <v>185.80092592592592</v>
      </c>
      <c r="S88" s="828">
        <f t="shared" si="76"/>
        <v>160.66247379454927</v>
      </c>
      <c r="T88" s="1447">
        <f t="shared" ref="T88:Z89" si="77">T75+T83</f>
        <v>0</v>
      </c>
      <c r="U88" s="828">
        <f t="shared" si="77"/>
        <v>0</v>
      </c>
      <c r="V88" s="1467">
        <f t="shared" si="77"/>
        <v>0</v>
      </c>
      <c r="W88" s="830">
        <f t="shared" si="77"/>
        <v>0</v>
      </c>
      <c r="X88" s="830">
        <f t="shared" si="77"/>
        <v>0</v>
      </c>
      <c r="Y88" s="830">
        <f t="shared" si="77"/>
        <v>0</v>
      </c>
      <c r="Z88" s="828">
        <f t="shared" si="77"/>
        <v>0</v>
      </c>
      <c r="AA88" s="919">
        <f t="shared" si="62"/>
        <v>0</v>
      </c>
      <c r="AB88" s="783"/>
      <c r="AC88" s="783"/>
      <c r="AD88" s="823"/>
      <c r="AE88" s="823"/>
      <c r="AF88" s="480"/>
      <c r="AG88" s="480"/>
      <c r="AH88" s="480"/>
      <c r="AI88" s="480"/>
      <c r="AJ88" s="480"/>
      <c r="AK88" s="824"/>
      <c r="AL88" s="1790"/>
    </row>
    <row r="89" spans="1:38" ht="13.5" thickBot="1">
      <c r="A89" s="532"/>
      <c r="B89" s="1125"/>
      <c r="C89" s="1125"/>
      <c r="D89" s="1764" t="s">
        <v>569</v>
      </c>
      <c r="E89" s="1448">
        <f>E76+E84</f>
        <v>17</v>
      </c>
      <c r="F89" s="842">
        <f t="shared" si="75"/>
        <v>133.48432055749129</v>
      </c>
      <c r="G89" s="1477">
        <f t="shared" si="75"/>
        <v>374.99065843662095</v>
      </c>
      <c r="H89" s="841">
        <f t="shared" si="75"/>
        <v>365.24529555014391</v>
      </c>
      <c r="I89" s="841">
        <f t="shared" si="75"/>
        <v>412.51620506776663</v>
      </c>
      <c r="J89" s="841">
        <f t="shared" si="75"/>
        <v>399.33333333333331</v>
      </c>
      <c r="K89" s="842">
        <f t="shared" si="75"/>
        <v>361.82809224318657</v>
      </c>
      <c r="L89" s="1485">
        <f t="shared" si="46"/>
        <v>1913.9135846310512</v>
      </c>
      <c r="M89" s="1449">
        <f t="shared" ref="M89:S89" si="78">M76+M84</f>
        <v>17</v>
      </c>
      <c r="N89" s="842">
        <f t="shared" si="78"/>
        <v>133.48432055749129</v>
      </c>
      <c r="O89" s="1477">
        <f t="shared" si="78"/>
        <v>374.99065843662095</v>
      </c>
      <c r="P89" s="841">
        <f t="shared" si="78"/>
        <v>365.24529555014391</v>
      </c>
      <c r="Q89" s="841">
        <f t="shared" si="78"/>
        <v>412.51620506776663</v>
      </c>
      <c r="R89" s="841">
        <f t="shared" si="78"/>
        <v>399.33333333333331</v>
      </c>
      <c r="S89" s="842">
        <f t="shared" si="78"/>
        <v>361.82809224318657</v>
      </c>
      <c r="T89" s="1449">
        <f t="shared" si="77"/>
        <v>0</v>
      </c>
      <c r="U89" s="842">
        <f t="shared" si="77"/>
        <v>0</v>
      </c>
      <c r="V89" s="1477">
        <f t="shared" si="77"/>
        <v>0</v>
      </c>
      <c r="W89" s="841">
        <f t="shared" si="77"/>
        <v>0</v>
      </c>
      <c r="X89" s="841">
        <f t="shared" si="77"/>
        <v>0</v>
      </c>
      <c r="Y89" s="841">
        <f t="shared" si="77"/>
        <v>0</v>
      </c>
      <c r="Z89" s="842">
        <f t="shared" si="77"/>
        <v>0</v>
      </c>
      <c r="AA89" s="917">
        <f t="shared" si="62"/>
        <v>0</v>
      </c>
      <c r="AB89" s="783"/>
      <c r="AC89" s="2020"/>
      <c r="AD89" s="823"/>
      <c r="AE89" s="823"/>
      <c r="AF89" s="480"/>
      <c r="AG89" s="480"/>
      <c r="AH89" s="480"/>
      <c r="AI89" s="480"/>
      <c r="AJ89" s="480"/>
      <c r="AK89" s="824"/>
      <c r="AL89" s="1790"/>
    </row>
    <row r="90" spans="1:38" ht="13.5" thickBot="1">
      <c r="F90" s="852"/>
      <c r="G90" s="515"/>
      <c r="H90" s="515"/>
      <c r="I90" s="515"/>
      <c r="J90" s="515"/>
      <c r="K90" s="515"/>
      <c r="L90" s="481"/>
      <c r="M90" s="860"/>
      <c r="N90" s="860"/>
      <c r="O90" s="481"/>
      <c r="P90" s="481"/>
      <c r="Q90" s="481"/>
      <c r="R90" s="481"/>
      <c r="S90" s="481"/>
      <c r="T90" s="860"/>
      <c r="U90" s="860"/>
      <c r="V90" s="481"/>
      <c r="W90" s="481"/>
      <c r="X90" s="481"/>
      <c r="Y90" s="481"/>
      <c r="Z90" s="481"/>
      <c r="AA90" s="481"/>
      <c r="AB90" s="238"/>
      <c r="AC90" s="238"/>
      <c r="AD90" s="537"/>
      <c r="AE90" s="537"/>
      <c r="AL90" s="1790"/>
    </row>
    <row r="91" spans="1:38">
      <c r="D91" s="1766" t="s">
        <v>1249</v>
      </c>
      <c r="E91" s="1445">
        <f>SUM(E92:E94)</f>
        <v>53</v>
      </c>
      <c r="F91" s="912">
        <f t="shared" ref="F91:K91" si="79">SUM(F92:F94)</f>
        <v>5</v>
      </c>
      <c r="G91" s="1450">
        <f t="shared" si="79"/>
        <v>65</v>
      </c>
      <c r="H91" s="911">
        <f t="shared" si="79"/>
        <v>119</v>
      </c>
      <c r="I91" s="911">
        <f t="shared" si="79"/>
        <v>99</v>
      </c>
      <c r="J91" s="911">
        <f t="shared" si="79"/>
        <v>104</v>
      </c>
      <c r="K91" s="912">
        <f t="shared" si="79"/>
        <v>84</v>
      </c>
      <c r="L91" s="1484">
        <f t="shared" si="46"/>
        <v>471</v>
      </c>
      <c r="M91" s="1445">
        <f t="shared" ref="M91:Z91" si="80">SUM(M92:M94)</f>
        <v>53</v>
      </c>
      <c r="N91" s="912">
        <f t="shared" si="80"/>
        <v>5</v>
      </c>
      <c r="O91" s="1450">
        <f t="shared" si="80"/>
        <v>65</v>
      </c>
      <c r="P91" s="911">
        <f t="shared" si="80"/>
        <v>119</v>
      </c>
      <c r="Q91" s="911">
        <f t="shared" si="80"/>
        <v>99</v>
      </c>
      <c r="R91" s="911">
        <f t="shared" si="80"/>
        <v>104</v>
      </c>
      <c r="S91" s="913">
        <f t="shared" si="80"/>
        <v>84</v>
      </c>
      <c r="T91" s="1445">
        <f t="shared" si="80"/>
        <v>0</v>
      </c>
      <c r="U91" s="912">
        <f t="shared" si="80"/>
        <v>0</v>
      </c>
      <c r="V91" s="1450">
        <f t="shared" si="80"/>
        <v>0</v>
      </c>
      <c r="W91" s="911">
        <f t="shared" si="80"/>
        <v>0</v>
      </c>
      <c r="X91" s="911">
        <f t="shared" si="80"/>
        <v>0</v>
      </c>
      <c r="Y91" s="911">
        <f t="shared" si="80"/>
        <v>0</v>
      </c>
      <c r="Z91" s="912">
        <f t="shared" si="80"/>
        <v>0</v>
      </c>
      <c r="AA91" s="1237">
        <f t="shared" si="62"/>
        <v>0</v>
      </c>
      <c r="AB91" s="238"/>
      <c r="AC91" s="238"/>
      <c r="AD91" s="537"/>
      <c r="AE91" s="537"/>
      <c r="AL91" s="1790"/>
    </row>
    <row r="92" spans="1:38">
      <c r="D92" s="1761" t="s">
        <v>568</v>
      </c>
      <c r="E92" s="1454">
        <f>SUM(E30:E34)+(E59-E65-E66)*E77</f>
        <v>46</v>
      </c>
      <c r="F92" s="1453">
        <f t="shared" ref="F92:K92" si="81">SUM(F30:F34)+(F59-F65-F66)*F77</f>
        <v>0</v>
      </c>
      <c r="G92" s="1451">
        <f t="shared" si="81"/>
        <v>31.432195417186541</v>
      </c>
      <c r="H92" s="1452">
        <f t="shared" si="81"/>
        <v>93.325215851228691</v>
      </c>
      <c r="I92" s="1452">
        <f t="shared" si="81"/>
        <v>68.444313494401882</v>
      </c>
      <c r="J92" s="1452">
        <f t="shared" si="81"/>
        <v>68.894675925925924</v>
      </c>
      <c r="K92" s="1453">
        <f t="shared" si="81"/>
        <v>39.929245283018872</v>
      </c>
      <c r="L92" s="814">
        <f t="shared" si="46"/>
        <v>302.02564597176195</v>
      </c>
      <c r="M92" s="1511">
        <f>SUM(M30:M34)+(M59-M65-M66)*M77</f>
        <v>46</v>
      </c>
      <c r="N92" s="1453">
        <f t="shared" ref="N92:S92" si="82">SUM(N30:N34)+(N59-N65-N66)*N77</f>
        <v>0</v>
      </c>
      <c r="O92" s="1451">
        <f t="shared" si="82"/>
        <v>31.432195417186541</v>
      </c>
      <c r="P92" s="1452">
        <f t="shared" si="82"/>
        <v>93.325215851228691</v>
      </c>
      <c r="Q92" s="1452">
        <f t="shared" si="82"/>
        <v>68.444313494401882</v>
      </c>
      <c r="R92" s="1452">
        <f t="shared" si="82"/>
        <v>68.894675925925924</v>
      </c>
      <c r="S92" s="1455">
        <f t="shared" si="82"/>
        <v>39.929245283018872</v>
      </c>
      <c r="T92" s="1454">
        <f>SUM(T30:T34)+(T59-T65-T66)*T77</f>
        <v>0</v>
      </c>
      <c r="U92" s="1453">
        <f t="shared" ref="U92:Z92" si="83">SUM(U30:U34)+(U59-U65-U66)*U77</f>
        <v>0</v>
      </c>
      <c r="V92" s="1451">
        <f t="shared" si="83"/>
        <v>0</v>
      </c>
      <c r="W92" s="1452">
        <f t="shared" si="83"/>
        <v>0</v>
      </c>
      <c r="X92" s="1452">
        <f t="shared" si="83"/>
        <v>0</v>
      </c>
      <c r="Y92" s="1452">
        <f t="shared" si="83"/>
        <v>0</v>
      </c>
      <c r="Z92" s="1453">
        <f t="shared" si="83"/>
        <v>0</v>
      </c>
      <c r="AA92" s="919">
        <f t="shared" si="62"/>
        <v>0</v>
      </c>
      <c r="AB92" s="238"/>
      <c r="AC92" s="238"/>
      <c r="AD92" s="537"/>
      <c r="AE92" s="537"/>
      <c r="AL92" s="1790"/>
    </row>
    <row r="93" spans="1:38">
      <c r="D93" s="1761" t="s">
        <v>869</v>
      </c>
      <c r="E93" s="1454">
        <f>SUM(E42:E46)+(E59-E65-E66)*E78</f>
        <v>7</v>
      </c>
      <c r="F93" s="1453">
        <f t="shared" ref="F93:K93" si="84">SUM(F42:F46)+(F59-F65-F66)*F78</f>
        <v>5</v>
      </c>
      <c r="G93" s="1451">
        <f t="shared" si="84"/>
        <v>24.663777596802504</v>
      </c>
      <c r="H93" s="1452">
        <f t="shared" si="84"/>
        <v>11.473987159619217</v>
      </c>
      <c r="I93" s="1452">
        <f t="shared" si="84"/>
        <v>11.195050088391278</v>
      </c>
      <c r="J93" s="1452">
        <f t="shared" si="84"/>
        <v>10.938657407407408</v>
      </c>
      <c r="K93" s="1453">
        <f t="shared" si="84"/>
        <v>10.559224318658281</v>
      </c>
      <c r="L93" s="814">
        <f t="shared" si="46"/>
        <v>68.830696570878686</v>
      </c>
      <c r="M93" s="1511">
        <f>SUM(M42:M46)+(M59-M65-M66)*M78</f>
        <v>7</v>
      </c>
      <c r="N93" s="1453">
        <f t="shared" ref="N93:S93" si="85">SUM(N42:N46)+(N59-N65-N66)*N78</f>
        <v>5</v>
      </c>
      <c r="O93" s="1451">
        <f t="shared" si="85"/>
        <v>24.663777596802504</v>
      </c>
      <c r="P93" s="1452">
        <f t="shared" si="85"/>
        <v>11.473987159619217</v>
      </c>
      <c r="Q93" s="1452">
        <f t="shared" si="85"/>
        <v>11.195050088391278</v>
      </c>
      <c r="R93" s="1452">
        <f t="shared" si="85"/>
        <v>10.938657407407408</v>
      </c>
      <c r="S93" s="1455">
        <f t="shared" si="85"/>
        <v>10.559224318658281</v>
      </c>
      <c r="T93" s="1454">
        <f>SUM(T42:T46)+(T59-T65-T66)*T78</f>
        <v>0</v>
      </c>
      <c r="U93" s="1453">
        <f t="shared" ref="U93:Z93" si="86">SUM(U42:U46)+(U59-U65-U66)*U78</f>
        <v>0</v>
      </c>
      <c r="V93" s="1451">
        <f t="shared" si="86"/>
        <v>0</v>
      </c>
      <c r="W93" s="1452">
        <f t="shared" si="86"/>
        <v>0</v>
      </c>
      <c r="X93" s="1452">
        <f t="shared" si="86"/>
        <v>0</v>
      </c>
      <c r="Y93" s="1452">
        <f t="shared" si="86"/>
        <v>0</v>
      </c>
      <c r="Z93" s="1453">
        <f t="shared" si="86"/>
        <v>0</v>
      </c>
      <c r="AA93" s="919">
        <f t="shared" si="62"/>
        <v>0</v>
      </c>
      <c r="AB93" s="238"/>
      <c r="AC93" s="238"/>
      <c r="AD93" s="537"/>
      <c r="AE93" s="537"/>
      <c r="AL93" s="1790"/>
    </row>
    <row r="94" spans="1:38" ht="13.5" thickBot="1">
      <c r="D94" s="1762" t="s">
        <v>569</v>
      </c>
      <c r="E94" s="1459">
        <f>SUM(E51:E55)+(E59-E65-E66)*E79</f>
        <v>0</v>
      </c>
      <c r="F94" s="1458">
        <f t="shared" ref="F94:K94" si="87">SUM(F51:F55)+(F59-F65-F66)*F79</f>
        <v>0</v>
      </c>
      <c r="G94" s="1456">
        <f t="shared" si="87"/>
        <v>8.9040269860109529</v>
      </c>
      <c r="H94" s="1457">
        <f t="shared" si="87"/>
        <v>14.200796989152092</v>
      </c>
      <c r="I94" s="1457">
        <f t="shared" si="87"/>
        <v>19.360636417206834</v>
      </c>
      <c r="J94" s="1457">
        <f t="shared" si="87"/>
        <v>24.166666666666664</v>
      </c>
      <c r="K94" s="1458">
        <f t="shared" si="87"/>
        <v>33.511530398322854</v>
      </c>
      <c r="L94" s="1483">
        <f t="shared" si="46"/>
        <v>100.14365745735941</v>
      </c>
      <c r="M94" s="1512">
        <f>SUM(M51:M55)+(M59-M65-M66)*M79</f>
        <v>0</v>
      </c>
      <c r="N94" s="1458">
        <f t="shared" ref="N94:S94" si="88">SUM(N51:N55)+(N59-N65-N66)*N79</f>
        <v>0</v>
      </c>
      <c r="O94" s="1456">
        <f t="shared" si="88"/>
        <v>8.9040269860109529</v>
      </c>
      <c r="P94" s="1457">
        <f t="shared" si="88"/>
        <v>14.200796989152092</v>
      </c>
      <c r="Q94" s="1457">
        <f t="shared" si="88"/>
        <v>19.360636417206834</v>
      </c>
      <c r="R94" s="1457">
        <f t="shared" si="88"/>
        <v>24.166666666666664</v>
      </c>
      <c r="S94" s="1460">
        <f t="shared" si="88"/>
        <v>33.511530398322854</v>
      </c>
      <c r="T94" s="1459">
        <f>SUM(T51:T55)+(T59-T65-T66)*T79</f>
        <v>0</v>
      </c>
      <c r="U94" s="1458">
        <f t="shared" ref="U94:Z94" si="89">SUM(U51:U55)+(U59-U65-U66)*U79</f>
        <v>0</v>
      </c>
      <c r="V94" s="1456">
        <f t="shared" si="89"/>
        <v>0</v>
      </c>
      <c r="W94" s="1457">
        <f t="shared" si="89"/>
        <v>0</v>
      </c>
      <c r="X94" s="1457">
        <f t="shared" si="89"/>
        <v>0</v>
      </c>
      <c r="Y94" s="1457">
        <f t="shared" si="89"/>
        <v>0</v>
      </c>
      <c r="Z94" s="1458">
        <f t="shared" si="89"/>
        <v>0</v>
      </c>
      <c r="AA94" s="917">
        <f t="shared" si="62"/>
        <v>0</v>
      </c>
      <c r="AB94" s="238"/>
      <c r="AC94" s="238"/>
      <c r="AD94" s="537"/>
      <c r="AE94" s="537"/>
      <c r="AL94" s="1790"/>
    </row>
    <row r="95" spans="1:38">
      <c r="D95" s="1766" t="s">
        <v>1250</v>
      </c>
      <c r="E95" s="1445">
        <f t="shared" ref="E95:K95" si="90">SUM(E96:E98)</f>
        <v>413</v>
      </c>
      <c r="F95" s="912">
        <f t="shared" si="90"/>
        <v>3826</v>
      </c>
      <c r="G95" s="1450">
        <f t="shared" si="90"/>
        <v>1871.91722</v>
      </c>
      <c r="H95" s="911">
        <f t="shared" si="90"/>
        <v>2054.6666666666665</v>
      </c>
      <c r="I95" s="911">
        <f t="shared" si="90"/>
        <v>2266</v>
      </c>
      <c r="J95" s="911">
        <f t="shared" si="90"/>
        <v>2292</v>
      </c>
      <c r="K95" s="912">
        <f t="shared" si="90"/>
        <v>2492</v>
      </c>
      <c r="L95" s="1484">
        <f t="shared" si="46"/>
        <v>10976.583886666667</v>
      </c>
      <c r="M95" s="1445">
        <f t="shared" ref="M95:Z95" si="91">SUM(M96:M98)</f>
        <v>413</v>
      </c>
      <c r="N95" s="912">
        <f t="shared" si="91"/>
        <v>3826</v>
      </c>
      <c r="O95" s="1450">
        <f t="shared" si="91"/>
        <v>1871.91722</v>
      </c>
      <c r="P95" s="911">
        <f t="shared" si="91"/>
        <v>2054.6666666666665</v>
      </c>
      <c r="Q95" s="911">
        <f t="shared" si="91"/>
        <v>2266</v>
      </c>
      <c r="R95" s="911">
        <f t="shared" si="91"/>
        <v>2292</v>
      </c>
      <c r="S95" s="913">
        <f t="shared" si="91"/>
        <v>2492</v>
      </c>
      <c r="T95" s="1445">
        <f t="shared" si="91"/>
        <v>0</v>
      </c>
      <c r="U95" s="912">
        <f t="shared" si="91"/>
        <v>0</v>
      </c>
      <c r="V95" s="1450">
        <f t="shared" si="91"/>
        <v>0</v>
      </c>
      <c r="W95" s="911">
        <f t="shared" si="91"/>
        <v>0</v>
      </c>
      <c r="X95" s="911">
        <f t="shared" si="91"/>
        <v>0</v>
      </c>
      <c r="Y95" s="911">
        <f t="shared" si="91"/>
        <v>0</v>
      </c>
      <c r="Z95" s="912">
        <f t="shared" si="91"/>
        <v>0</v>
      </c>
      <c r="AA95" s="1238">
        <f t="shared" si="62"/>
        <v>0</v>
      </c>
      <c r="AB95" s="238"/>
      <c r="AC95" s="238"/>
      <c r="AD95" s="537"/>
      <c r="AE95" s="537"/>
      <c r="AL95" s="1790"/>
    </row>
    <row r="96" spans="1:38">
      <c r="D96" s="1761" t="s">
        <v>568</v>
      </c>
      <c r="E96" s="1454">
        <f>E87-E92</f>
        <v>390</v>
      </c>
      <c r="F96" s="1453">
        <f t="shared" ref="F96:K96" si="92">F87-F92</f>
        <v>3638.0544821032627</v>
      </c>
      <c r="G96" s="1451">
        <f t="shared" si="92"/>
        <v>1444.7822156463935</v>
      </c>
      <c r="H96" s="1452">
        <f t="shared" si="92"/>
        <v>1499.9912183602685</v>
      </c>
      <c r="I96" s="1452">
        <f t="shared" si="92"/>
        <v>1676.3877430760165</v>
      </c>
      <c r="J96" s="1452">
        <f t="shared" si="92"/>
        <v>1741.971064814815</v>
      </c>
      <c r="K96" s="1453">
        <f t="shared" si="92"/>
        <v>2013.5801886792453</v>
      </c>
      <c r="L96" s="814">
        <f t="shared" si="46"/>
        <v>8376.7124305767393</v>
      </c>
      <c r="M96" s="1454">
        <f>M87-M92</f>
        <v>390</v>
      </c>
      <c r="N96" s="1453">
        <f t="shared" ref="N96:Z96" si="93">N87-N92</f>
        <v>3638.0544821032627</v>
      </c>
      <c r="O96" s="1451">
        <f t="shared" si="93"/>
        <v>1444.7822156463935</v>
      </c>
      <c r="P96" s="1452">
        <f t="shared" si="93"/>
        <v>1499.9912183602685</v>
      </c>
      <c r="Q96" s="1452">
        <f t="shared" si="93"/>
        <v>1676.3877430760165</v>
      </c>
      <c r="R96" s="1452">
        <f t="shared" si="93"/>
        <v>1741.971064814815</v>
      </c>
      <c r="S96" s="1455">
        <f t="shared" si="93"/>
        <v>2013.5801886792453</v>
      </c>
      <c r="T96" s="1454">
        <f t="shared" si="93"/>
        <v>0</v>
      </c>
      <c r="U96" s="1453">
        <f t="shared" si="93"/>
        <v>0</v>
      </c>
      <c r="V96" s="1451">
        <f t="shared" si="93"/>
        <v>0</v>
      </c>
      <c r="W96" s="1452">
        <f t="shared" si="93"/>
        <v>0</v>
      </c>
      <c r="X96" s="1452">
        <f t="shared" si="93"/>
        <v>0</v>
      </c>
      <c r="Y96" s="1452">
        <f t="shared" si="93"/>
        <v>0</v>
      </c>
      <c r="Z96" s="1453">
        <f t="shared" si="93"/>
        <v>0</v>
      </c>
      <c r="AA96" s="919">
        <f t="shared" si="62"/>
        <v>0</v>
      </c>
      <c r="AB96" s="238"/>
      <c r="AC96" s="238"/>
      <c r="AD96" s="537"/>
      <c r="AE96" s="537"/>
      <c r="AL96" s="1790"/>
    </row>
    <row r="97" spans="1:38">
      <c r="D97" s="1761" t="s">
        <v>869</v>
      </c>
      <c r="E97" s="1454">
        <f t="shared" ref="E97:K98" si="94">E88-E93</f>
        <v>6</v>
      </c>
      <c r="F97" s="1453">
        <f t="shared" si="94"/>
        <v>54.461197339246119</v>
      </c>
      <c r="G97" s="1451">
        <f t="shared" si="94"/>
        <v>61.04837290299659</v>
      </c>
      <c r="H97" s="1452">
        <f>H88-H93</f>
        <v>203.63094974540624</v>
      </c>
      <c r="I97" s="1452">
        <f t="shared" si="94"/>
        <v>196.45668827342371</v>
      </c>
      <c r="J97" s="1452">
        <f t="shared" si="94"/>
        <v>174.8622685185185</v>
      </c>
      <c r="K97" s="1453">
        <f t="shared" si="94"/>
        <v>150.103249475891</v>
      </c>
      <c r="L97" s="814">
        <f t="shared" si="46"/>
        <v>786.10152891623602</v>
      </c>
      <c r="M97" s="1454">
        <f t="shared" ref="M97:Z97" si="95">M88-M93</f>
        <v>6</v>
      </c>
      <c r="N97" s="1453">
        <f t="shared" si="95"/>
        <v>54.461197339246119</v>
      </c>
      <c r="O97" s="1451">
        <f t="shared" si="95"/>
        <v>61.04837290299659</v>
      </c>
      <c r="P97" s="1452">
        <f t="shared" si="95"/>
        <v>203.63094974540624</v>
      </c>
      <c r="Q97" s="1452">
        <f t="shared" si="95"/>
        <v>196.45668827342371</v>
      </c>
      <c r="R97" s="1452">
        <f t="shared" si="95"/>
        <v>174.8622685185185</v>
      </c>
      <c r="S97" s="1455">
        <f t="shared" si="95"/>
        <v>150.103249475891</v>
      </c>
      <c r="T97" s="1454">
        <f t="shared" si="95"/>
        <v>0</v>
      </c>
      <c r="U97" s="1453">
        <f t="shared" si="95"/>
        <v>0</v>
      </c>
      <c r="V97" s="1451">
        <f t="shared" si="95"/>
        <v>0</v>
      </c>
      <c r="W97" s="1452">
        <f t="shared" si="95"/>
        <v>0</v>
      </c>
      <c r="X97" s="1452">
        <f t="shared" si="95"/>
        <v>0</v>
      </c>
      <c r="Y97" s="1452">
        <f t="shared" si="95"/>
        <v>0</v>
      </c>
      <c r="Z97" s="1453">
        <f t="shared" si="95"/>
        <v>0</v>
      </c>
      <c r="AA97" s="919">
        <f t="shared" si="62"/>
        <v>0</v>
      </c>
      <c r="AB97" s="238"/>
      <c r="AC97" s="238"/>
      <c r="AD97" s="537"/>
      <c r="AE97" s="537"/>
      <c r="AL97" s="1790"/>
    </row>
    <row r="98" spans="1:38" ht="13.5" thickBot="1">
      <c r="D98" s="1764" t="s">
        <v>569</v>
      </c>
      <c r="E98" s="1464">
        <f t="shared" si="94"/>
        <v>17</v>
      </c>
      <c r="F98" s="1463">
        <f t="shared" si="94"/>
        <v>133.48432055749129</v>
      </c>
      <c r="G98" s="1461">
        <f t="shared" si="94"/>
        <v>366.08663145061001</v>
      </c>
      <c r="H98" s="1462">
        <f t="shared" si="94"/>
        <v>351.04449856099183</v>
      </c>
      <c r="I98" s="1462">
        <f t="shared" si="94"/>
        <v>393.15556865055981</v>
      </c>
      <c r="J98" s="1462">
        <f t="shared" si="94"/>
        <v>375.16666666666663</v>
      </c>
      <c r="K98" s="1463">
        <f t="shared" si="94"/>
        <v>328.31656184486371</v>
      </c>
      <c r="L98" s="1485">
        <f t="shared" si="46"/>
        <v>1813.7699271736919</v>
      </c>
      <c r="M98" s="1464">
        <f t="shared" ref="M98:Z98" si="96">M89-M94</f>
        <v>17</v>
      </c>
      <c r="N98" s="1463">
        <f t="shared" si="96"/>
        <v>133.48432055749129</v>
      </c>
      <c r="O98" s="1461">
        <f t="shared" si="96"/>
        <v>366.08663145061001</v>
      </c>
      <c r="P98" s="1462">
        <f t="shared" si="96"/>
        <v>351.04449856099183</v>
      </c>
      <c r="Q98" s="1462">
        <f t="shared" si="96"/>
        <v>393.15556865055981</v>
      </c>
      <c r="R98" s="1462">
        <f t="shared" si="96"/>
        <v>375.16666666666663</v>
      </c>
      <c r="S98" s="1465">
        <f t="shared" si="96"/>
        <v>328.31656184486371</v>
      </c>
      <c r="T98" s="1464">
        <f t="shared" si="96"/>
        <v>0</v>
      </c>
      <c r="U98" s="1463">
        <f t="shared" si="96"/>
        <v>0</v>
      </c>
      <c r="V98" s="1461">
        <f t="shared" si="96"/>
        <v>0</v>
      </c>
      <c r="W98" s="1462">
        <f t="shared" si="96"/>
        <v>0</v>
      </c>
      <c r="X98" s="1462">
        <f t="shared" si="96"/>
        <v>0</v>
      </c>
      <c r="Y98" s="1462">
        <f t="shared" si="96"/>
        <v>0</v>
      </c>
      <c r="Z98" s="1463">
        <f t="shared" si="96"/>
        <v>0</v>
      </c>
      <c r="AA98" s="917">
        <f t="shared" si="62"/>
        <v>0</v>
      </c>
      <c r="AB98" s="238"/>
      <c r="AC98" s="238"/>
      <c r="AD98" s="537"/>
      <c r="AE98" s="537"/>
      <c r="AL98" s="1790"/>
    </row>
    <row r="99" spans="1:38">
      <c r="F99" s="852"/>
      <c r="G99" s="515"/>
      <c r="H99" s="515"/>
      <c r="I99" s="515"/>
      <c r="J99" s="515"/>
      <c r="K99" s="515"/>
      <c r="L99" s="481"/>
      <c r="M99" s="860"/>
      <c r="N99" s="860"/>
      <c r="O99" s="481"/>
      <c r="P99" s="481"/>
      <c r="Q99" s="481"/>
      <c r="R99" s="481"/>
      <c r="S99" s="481"/>
      <c r="T99" s="860"/>
      <c r="U99" s="860"/>
      <c r="V99" s="481"/>
      <c r="W99" s="481"/>
      <c r="X99" s="481"/>
      <c r="Y99" s="481"/>
      <c r="Z99" s="481"/>
      <c r="AA99" s="481"/>
      <c r="AB99" s="238"/>
      <c r="AC99" s="2021" t="str">
        <f>'8. Ремонтна програма'!B52</f>
        <v>Главен счетоводител:</v>
      </c>
      <c r="AD99" s="537"/>
      <c r="AE99" s="481" t="str">
        <f>'8. Ремонтна програма'!C52</f>
        <v>..............................................</v>
      </c>
      <c r="AL99" s="1790"/>
    </row>
    <row r="100" spans="1:38">
      <c r="L100" s="481"/>
      <c r="M100" s="860" t="s">
        <v>263</v>
      </c>
      <c r="N100" s="860"/>
      <c r="O100" s="481"/>
      <c r="P100" s="481"/>
      <c r="Q100" s="481"/>
      <c r="R100" s="481"/>
      <c r="S100" s="481"/>
      <c r="T100" s="860"/>
      <c r="U100" s="860"/>
      <c r="V100" s="481"/>
      <c r="W100" s="481"/>
      <c r="X100" s="481"/>
      <c r="Y100" s="481"/>
      <c r="Z100" s="481"/>
      <c r="AA100" s="481"/>
      <c r="AB100" s="238"/>
      <c r="AC100" s="238"/>
      <c r="AD100" s="537"/>
      <c r="AE100" s="2022" t="str">
        <f>'8. Ремонтна програма'!C53</f>
        <v>(подпис)</v>
      </c>
      <c r="AL100" s="1790"/>
    </row>
    <row r="101" spans="1:38" s="159" customFormat="1">
      <c r="A101" s="1756"/>
      <c r="B101" s="163" t="str">
        <f>'8. Ремонтна програма'!A51</f>
        <v>Дата: 10.11.2017 г.</v>
      </c>
      <c r="C101" s="162"/>
      <c r="D101" s="779"/>
      <c r="E101" s="853"/>
      <c r="F101" s="853"/>
      <c r="L101" s="532"/>
      <c r="M101" s="861"/>
      <c r="N101" s="861"/>
      <c r="O101" s="483"/>
      <c r="P101" s="483"/>
      <c r="Q101" s="483"/>
      <c r="R101" s="483"/>
      <c r="S101" s="483"/>
      <c r="T101" s="861"/>
      <c r="U101" s="861"/>
      <c r="V101" s="483"/>
      <c r="W101" s="483"/>
      <c r="X101" s="483"/>
      <c r="Y101" s="483"/>
      <c r="Z101" s="483"/>
      <c r="AA101" s="483"/>
      <c r="AD101" s="483"/>
      <c r="AE101" s="483"/>
      <c r="AF101" s="483"/>
      <c r="AG101" s="483"/>
      <c r="AH101" s="483"/>
      <c r="AI101" s="483"/>
      <c r="AJ101" s="483"/>
      <c r="AL101" s="1790"/>
    </row>
    <row r="102" spans="1:38" s="159" customFormat="1">
      <c r="A102" s="1756"/>
      <c r="B102" s="164"/>
      <c r="D102" s="1767"/>
      <c r="E102" s="854"/>
      <c r="F102" s="854"/>
      <c r="I102" s="165"/>
      <c r="J102" s="164"/>
      <c r="L102" s="532"/>
      <c r="M102" s="861"/>
      <c r="N102" s="861"/>
      <c r="O102" s="483"/>
      <c r="P102" s="483"/>
      <c r="Q102" s="483"/>
      <c r="R102" s="483"/>
      <c r="S102" s="483"/>
      <c r="T102" s="861"/>
      <c r="U102" s="861"/>
      <c r="V102" s="483"/>
      <c r="W102" s="483"/>
      <c r="X102" s="483"/>
      <c r="Y102" s="483"/>
      <c r="Z102" s="483"/>
      <c r="AA102" s="483"/>
      <c r="AD102" s="483"/>
      <c r="AE102" s="483"/>
      <c r="AF102" s="483"/>
      <c r="AG102" s="483"/>
      <c r="AH102" s="483"/>
      <c r="AI102" s="483"/>
      <c r="AJ102" s="483"/>
      <c r="AL102" s="1790"/>
    </row>
    <row r="103" spans="1:38" s="159" customFormat="1">
      <c r="A103" s="1756"/>
      <c r="B103" s="162"/>
      <c r="D103" s="1767"/>
      <c r="E103" s="854"/>
      <c r="F103" s="854"/>
      <c r="I103" s="166"/>
      <c r="J103" s="168"/>
      <c r="L103" s="532"/>
      <c r="M103" s="861"/>
      <c r="N103" s="861"/>
      <c r="O103" s="483"/>
      <c r="P103" s="483"/>
      <c r="Q103" s="483"/>
      <c r="R103" s="483"/>
      <c r="S103" s="483"/>
      <c r="T103" s="861"/>
      <c r="U103" s="861"/>
      <c r="V103" s="483"/>
      <c r="W103" s="483"/>
      <c r="X103" s="483"/>
      <c r="Y103" s="483"/>
      <c r="Z103" s="483"/>
      <c r="AA103" s="483"/>
      <c r="AD103" s="483"/>
      <c r="AE103" s="483"/>
      <c r="AF103" s="483"/>
      <c r="AG103" s="483"/>
      <c r="AH103" s="483"/>
      <c r="AI103" s="483"/>
      <c r="AJ103" s="483"/>
      <c r="AL103" s="1790"/>
    </row>
    <row r="104" spans="1:38" s="159" customFormat="1">
      <c r="A104" s="1756"/>
      <c r="B104" s="162"/>
      <c r="D104" s="1767"/>
      <c r="E104" s="854"/>
      <c r="F104" s="854"/>
      <c r="I104" s="166"/>
      <c r="J104" s="167"/>
      <c r="L104" s="532"/>
      <c r="M104" s="861"/>
      <c r="N104" s="861"/>
      <c r="O104" s="483"/>
      <c r="P104" s="483"/>
      <c r="Q104" s="483"/>
      <c r="R104" s="483"/>
      <c r="S104" s="483"/>
      <c r="T104" s="861"/>
      <c r="U104" s="861"/>
      <c r="V104" s="483"/>
      <c r="W104" s="483"/>
      <c r="X104" s="483"/>
      <c r="Y104" s="483"/>
      <c r="Z104" s="483"/>
      <c r="AA104" s="483"/>
      <c r="AD104" s="483"/>
      <c r="AE104" s="483"/>
      <c r="AF104" s="483"/>
      <c r="AG104" s="483"/>
      <c r="AH104" s="483"/>
      <c r="AI104" s="483"/>
      <c r="AJ104" s="483"/>
      <c r="AL104" s="1790"/>
    </row>
    <row r="105" spans="1:38" s="159" customFormat="1">
      <c r="A105" s="1756"/>
      <c r="B105" s="162"/>
      <c r="C105" s="162"/>
      <c r="D105" s="779"/>
      <c r="E105" s="854"/>
      <c r="F105" s="854"/>
      <c r="I105" s="166"/>
      <c r="J105" s="167"/>
      <c r="L105" s="532"/>
      <c r="M105" s="861"/>
      <c r="N105" s="861"/>
      <c r="O105" s="483"/>
      <c r="P105" s="483"/>
      <c r="Q105" s="483"/>
      <c r="R105" s="483"/>
      <c r="S105" s="483"/>
      <c r="T105" s="861"/>
      <c r="U105" s="861"/>
      <c r="V105" s="483"/>
      <c r="W105" s="483"/>
      <c r="X105" s="483"/>
      <c r="Y105" s="483"/>
      <c r="Z105" s="483"/>
      <c r="AA105" s="483"/>
      <c r="AC105" s="2024" t="str">
        <f>'8. Ремонтна програма'!B56</f>
        <v>Управител:</v>
      </c>
      <c r="AD105" s="483"/>
      <c r="AE105" s="483" t="str">
        <f>'8. Ремонтна програма'!C56</f>
        <v>..............................................</v>
      </c>
      <c r="AF105" s="483"/>
      <c r="AG105" s="483"/>
      <c r="AH105" s="483"/>
      <c r="AI105" s="483"/>
      <c r="AJ105" s="483"/>
      <c r="AL105" s="1793"/>
    </row>
    <row r="106" spans="1:38" s="159" customFormat="1">
      <c r="A106" s="3491" t="s">
        <v>247</v>
      </c>
      <c r="B106" s="3491"/>
      <c r="C106" s="3491"/>
      <c r="D106" s="3491"/>
      <c r="E106" s="854"/>
      <c r="F106" s="854"/>
      <c r="I106" s="165"/>
      <c r="J106" s="164"/>
      <c r="L106" s="532"/>
      <c r="M106" s="861"/>
      <c r="N106" s="861"/>
      <c r="O106" s="483"/>
      <c r="P106" s="483"/>
      <c r="Q106" s="483"/>
      <c r="R106" s="483"/>
      <c r="S106" s="483"/>
      <c r="T106" s="861"/>
      <c r="U106" s="861"/>
      <c r="V106" s="483"/>
      <c r="W106" s="483"/>
      <c r="X106" s="483"/>
      <c r="Y106" s="483"/>
      <c r="Z106" s="483"/>
      <c r="AA106" s="483"/>
      <c r="AD106" s="483"/>
      <c r="AE106" s="2023" t="str">
        <f>'8. Ремонтна програма'!C57</f>
        <v>(подпис и печат)</v>
      </c>
      <c r="AF106" s="483"/>
      <c r="AG106" s="483"/>
      <c r="AH106" s="483"/>
      <c r="AI106" s="483"/>
      <c r="AJ106" s="483"/>
      <c r="AL106" s="1794"/>
    </row>
    <row r="107" spans="1:38" s="159" customFormat="1">
      <c r="A107" s="3502" t="s">
        <v>248</v>
      </c>
      <c r="B107" s="3502"/>
      <c r="C107" s="3502"/>
      <c r="D107" s="3502"/>
      <c r="E107" s="854"/>
      <c r="F107" s="854"/>
      <c r="I107" s="169"/>
      <c r="J107" s="168"/>
      <c r="L107" s="532"/>
      <c r="M107" s="861"/>
      <c r="N107" s="861"/>
      <c r="O107" s="483"/>
      <c r="P107" s="483"/>
      <c r="Q107" s="483"/>
      <c r="R107" s="483"/>
      <c r="S107" s="483"/>
      <c r="T107" s="861"/>
      <c r="U107" s="861"/>
      <c r="V107" s="483"/>
      <c r="W107" s="483"/>
      <c r="X107" s="483"/>
      <c r="Y107" s="483"/>
      <c r="Z107" s="483"/>
      <c r="AA107" s="483"/>
      <c r="AD107" s="483"/>
      <c r="AE107" s="483"/>
      <c r="AF107" s="483"/>
      <c r="AG107" s="483"/>
      <c r="AH107" s="483"/>
      <c r="AI107" s="483"/>
      <c r="AJ107" s="483"/>
      <c r="AL107" s="1795"/>
    </row>
    <row r="108" spans="1:38" s="159" customFormat="1" ht="39.75" customHeight="1">
      <c r="A108" s="3413" t="s">
        <v>1554</v>
      </c>
      <c r="B108" s="3413"/>
      <c r="C108" s="3413"/>
      <c r="D108" s="3413"/>
      <c r="E108" s="3413"/>
      <c r="F108" s="3413"/>
      <c r="G108" s="3413"/>
      <c r="H108" s="3413"/>
      <c r="I108" s="3413"/>
      <c r="J108" s="3413"/>
      <c r="K108" s="3413"/>
      <c r="L108" s="3413"/>
      <c r="M108" s="3413"/>
      <c r="N108" s="3413"/>
      <c r="O108" s="3413"/>
      <c r="P108" s="3413"/>
      <c r="Q108" s="3413"/>
      <c r="R108" s="483"/>
      <c r="S108" s="483"/>
      <c r="T108" s="861"/>
      <c r="U108" s="861"/>
      <c r="V108" s="483"/>
      <c r="W108" s="483"/>
      <c r="X108" s="483"/>
      <c r="Y108" s="483"/>
      <c r="Z108" s="483"/>
      <c r="AA108" s="483"/>
      <c r="AD108" s="483"/>
      <c r="AE108" s="483"/>
      <c r="AF108" s="483"/>
      <c r="AG108" s="483"/>
      <c r="AH108" s="483"/>
      <c r="AI108" s="483"/>
      <c r="AJ108" s="483"/>
      <c r="AL108" s="1796"/>
    </row>
    <row r="109" spans="1:38" s="221" customFormat="1">
      <c r="A109" s="178"/>
      <c r="B109" s="178"/>
      <c r="C109" s="172"/>
      <c r="D109" s="181"/>
      <c r="E109" s="231"/>
      <c r="F109" s="231"/>
      <c r="L109" s="533"/>
      <c r="M109" s="862"/>
      <c r="N109" s="862"/>
      <c r="O109" s="484"/>
      <c r="P109" s="484"/>
      <c r="Q109" s="484"/>
      <c r="R109" s="484"/>
      <c r="S109" s="484"/>
      <c r="T109" s="862"/>
      <c r="U109" s="862"/>
      <c r="V109" s="484"/>
      <c r="W109" s="484"/>
      <c r="X109" s="484"/>
      <c r="Y109" s="484"/>
      <c r="Z109" s="484"/>
      <c r="AA109" s="484"/>
      <c r="AD109" s="484"/>
      <c r="AE109" s="484"/>
      <c r="AF109" s="484"/>
      <c r="AG109" s="484"/>
      <c r="AH109" s="484"/>
      <c r="AI109" s="484"/>
      <c r="AJ109" s="484"/>
      <c r="AL109" s="1797"/>
    </row>
    <row r="110" spans="1:38" s="236" customFormat="1">
      <c r="A110" s="178"/>
      <c r="B110" s="178"/>
      <c r="C110" s="172"/>
      <c r="D110" s="181"/>
      <c r="E110" s="231"/>
      <c r="F110" s="231"/>
      <c r="G110" s="235"/>
      <c r="H110" s="235"/>
      <c r="J110" s="237"/>
      <c r="L110" s="534"/>
      <c r="M110" s="863"/>
      <c r="N110" s="863"/>
      <c r="O110" s="485"/>
      <c r="P110" s="485"/>
      <c r="Q110" s="485"/>
      <c r="R110" s="485"/>
      <c r="S110" s="485"/>
      <c r="T110" s="863"/>
      <c r="U110" s="863"/>
      <c r="V110" s="485"/>
      <c r="W110" s="485"/>
      <c r="X110" s="485"/>
      <c r="Y110" s="485"/>
      <c r="Z110" s="485"/>
      <c r="AA110" s="485"/>
      <c r="AD110" s="485"/>
      <c r="AE110" s="485"/>
      <c r="AF110" s="485"/>
      <c r="AG110" s="485"/>
      <c r="AH110" s="485"/>
      <c r="AI110" s="485"/>
      <c r="AJ110" s="485"/>
      <c r="AL110" s="1797"/>
    </row>
  </sheetData>
  <sheetProtection password="C6DB" sheet="1" objects="1" scenarios="1" formatCells="0" formatColumns="0" formatRows="0"/>
  <autoFilter ref="B1:B107"/>
  <mergeCells count="22">
    <mergeCell ref="A108:Q108"/>
    <mergeCell ref="A2:AA2"/>
    <mergeCell ref="AL8:AL9"/>
    <mergeCell ref="A8:A9"/>
    <mergeCell ref="B8:B9"/>
    <mergeCell ref="C8:C9"/>
    <mergeCell ref="D8:D9"/>
    <mergeCell ref="AD8:AK8"/>
    <mergeCell ref="AB6:AC6"/>
    <mergeCell ref="E8:K8"/>
    <mergeCell ref="L8:L9"/>
    <mergeCell ref="M8:S8"/>
    <mergeCell ref="T8:Z8"/>
    <mergeCell ref="A7:AC7"/>
    <mergeCell ref="AA8:AA9"/>
    <mergeCell ref="AB8:AB9"/>
    <mergeCell ref="A107:D107"/>
    <mergeCell ref="AC8:AC9"/>
    <mergeCell ref="A3:AA3"/>
    <mergeCell ref="A4:AA4"/>
    <mergeCell ref="A5:AA5"/>
    <mergeCell ref="A106:D106"/>
  </mergeCells>
  <printOptions horizontalCentered="1"/>
  <pageMargins left="0.31496062992125984" right="0.31496062992125984" top="1.1417322834645669" bottom="0.15748031496062992" header="0.31496062992125984" footer="0.31496062992125984"/>
  <pageSetup paperSize="9" scale="50" orientation="landscape" r:id="rId1"/>
  <headerFooter>
    <oddFooter>&amp;A&amp;RPage &amp;P</oddFooter>
  </headerFooter>
  <rowBreaks count="2" manualBreakCount="2">
    <brk id="34" max="37" man="1"/>
    <brk id="65" max="37" man="1"/>
  </rowBreaks>
  <colBreaks count="2" manualBreakCount="2">
    <brk id="27" max="107" man="1"/>
    <brk id="38" max="109" man="1"/>
  </colBreaks>
  <ignoredErrors>
    <ignoredError sqref="N86:N89 P89 R89" evalError="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CCFFCC"/>
  </sheetPr>
  <dimension ref="A1:W88"/>
  <sheetViews>
    <sheetView showGridLines="0" view="pageBreakPreview" zoomScaleNormal="100" zoomScaleSheetLayoutView="100" workbookViewId="0">
      <pane xSplit="2" ySplit="7" topLeftCell="D8" activePane="bottomRight" state="frozen"/>
      <selection pane="topRight" activeCell="C1" sqref="C1"/>
      <selection pane="bottomLeft" activeCell="A8" sqref="A8"/>
      <selection pane="bottomRight" activeCell="S29" activeCellId="2" sqref="E29:I29 L29:P29 S29:W29"/>
    </sheetView>
  </sheetViews>
  <sheetFormatPr defaultColWidth="11.85546875" defaultRowHeight="12.75"/>
  <cols>
    <col min="1" max="1" width="6.42578125" style="1251" bestFit="1" customWidth="1"/>
    <col min="2" max="2" width="40" style="33" customWidth="1"/>
    <col min="3" max="23" width="7.85546875" style="33" customWidth="1"/>
    <col min="24" max="257" width="11.85546875" style="33"/>
    <col min="258" max="258" width="35.85546875" style="33" customWidth="1"/>
    <col min="259" max="265" width="10.7109375" style="33" customWidth="1"/>
    <col min="266" max="513" width="11.85546875" style="33"/>
    <col min="514" max="514" width="35.85546875" style="33" customWidth="1"/>
    <col min="515" max="521" width="10.7109375" style="33" customWidth="1"/>
    <col min="522" max="769" width="11.85546875" style="33"/>
    <col min="770" max="770" width="35.85546875" style="33" customWidth="1"/>
    <col min="771" max="777" width="10.7109375" style="33" customWidth="1"/>
    <col min="778" max="1025" width="11.85546875" style="33"/>
    <col min="1026" max="1026" width="35.85546875" style="33" customWidth="1"/>
    <col min="1027" max="1033" width="10.7109375" style="33" customWidth="1"/>
    <col min="1034" max="1281" width="11.85546875" style="33"/>
    <col min="1282" max="1282" width="35.85546875" style="33" customWidth="1"/>
    <col min="1283" max="1289" width="10.7109375" style="33" customWidth="1"/>
    <col min="1290" max="1537" width="11.85546875" style="33"/>
    <col min="1538" max="1538" width="35.85546875" style="33" customWidth="1"/>
    <col min="1539" max="1545" width="10.7109375" style="33" customWidth="1"/>
    <col min="1546" max="1793" width="11.85546875" style="33"/>
    <col min="1794" max="1794" width="35.85546875" style="33" customWidth="1"/>
    <col min="1795" max="1801" width="10.7109375" style="33" customWidth="1"/>
    <col min="1802" max="2049" width="11.85546875" style="33"/>
    <col min="2050" max="2050" width="35.85546875" style="33" customWidth="1"/>
    <col min="2051" max="2057" width="10.7109375" style="33" customWidth="1"/>
    <col min="2058" max="2305" width="11.85546875" style="33"/>
    <col min="2306" max="2306" width="35.85546875" style="33" customWidth="1"/>
    <col min="2307" max="2313" width="10.7109375" style="33" customWidth="1"/>
    <col min="2314" max="2561" width="11.85546875" style="33"/>
    <col min="2562" max="2562" width="35.85546875" style="33" customWidth="1"/>
    <col min="2563" max="2569" width="10.7109375" style="33" customWidth="1"/>
    <col min="2570" max="2817" width="11.85546875" style="33"/>
    <col min="2818" max="2818" width="35.85546875" style="33" customWidth="1"/>
    <col min="2819" max="2825" width="10.7109375" style="33" customWidth="1"/>
    <col min="2826" max="3073" width="11.85546875" style="33"/>
    <col min="3074" max="3074" width="35.85546875" style="33" customWidth="1"/>
    <col min="3075" max="3081" width="10.7109375" style="33" customWidth="1"/>
    <col min="3082" max="3329" width="11.85546875" style="33"/>
    <col min="3330" max="3330" width="35.85546875" style="33" customWidth="1"/>
    <col min="3331" max="3337" width="10.7109375" style="33" customWidth="1"/>
    <col min="3338" max="3585" width="11.85546875" style="33"/>
    <col min="3586" max="3586" width="35.85546875" style="33" customWidth="1"/>
    <col min="3587" max="3593" width="10.7109375" style="33" customWidth="1"/>
    <col min="3594" max="3841" width="11.85546875" style="33"/>
    <col min="3842" max="3842" width="35.85546875" style="33" customWidth="1"/>
    <col min="3843" max="3849" width="10.7109375" style="33" customWidth="1"/>
    <col min="3850" max="4097" width="11.85546875" style="33"/>
    <col min="4098" max="4098" width="35.85546875" style="33" customWidth="1"/>
    <col min="4099" max="4105" width="10.7109375" style="33" customWidth="1"/>
    <col min="4106" max="4353" width="11.85546875" style="33"/>
    <col min="4354" max="4354" width="35.85546875" style="33" customWidth="1"/>
    <col min="4355" max="4361" width="10.7109375" style="33" customWidth="1"/>
    <col min="4362" max="4609" width="11.85546875" style="33"/>
    <col min="4610" max="4610" width="35.85546875" style="33" customWidth="1"/>
    <col min="4611" max="4617" width="10.7109375" style="33" customWidth="1"/>
    <col min="4618" max="4865" width="11.85546875" style="33"/>
    <col min="4866" max="4866" width="35.85546875" style="33" customWidth="1"/>
    <col min="4867" max="4873" width="10.7109375" style="33" customWidth="1"/>
    <col min="4874" max="5121" width="11.85546875" style="33"/>
    <col min="5122" max="5122" width="35.85546875" style="33" customWidth="1"/>
    <col min="5123" max="5129" width="10.7109375" style="33" customWidth="1"/>
    <col min="5130" max="5377" width="11.85546875" style="33"/>
    <col min="5378" max="5378" width="35.85546875" style="33" customWidth="1"/>
    <col min="5379" max="5385" width="10.7109375" style="33" customWidth="1"/>
    <col min="5386" max="5633" width="11.85546875" style="33"/>
    <col min="5634" max="5634" width="35.85546875" style="33" customWidth="1"/>
    <col min="5635" max="5641" width="10.7109375" style="33" customWidth="1"/>
    <col min="5642" max="5889" width="11.85546875" style="33"/>
    <col min="5890" max="5890" width="35.85546875" style="33" customWidth="1"/>
    <col min="5891" max="5897" width="10.7109375" style="33" customWidth="1"/>
    <col min="5898" max="6145" width="11.85546875" style="33"/>
    <col min="6146" max="6146" width="35.85546875" style="33" customWidth="1"/>
    <col min="6147" max="6153" width="10.7109375" style="33" customWidth="1"/>
    <col min="6154" max="6401" width="11.85546875" style="33"/>
    <col min="6402" max="6402" width="35.85546875" style="33" customWidth="1"/>
    <col min="6403" max="6409" width="10.7109375" style="33" customWidth="1"/>
    <col min="6410" max="6657" width="11.85546875" style="33"/>
    <col min="6658" max="6658" width="35.85546875" style="33" customWidth="1"/>
    <col min="6659" max="6665" width="10.7109375" style="33" customWidth="1"/>
    <col min="6666" max="6913" width="11.85546875" style="33"/>
    <col min="6914" max="6914" width="35.85546875" style="33" customWidth="1"/>
    <col min="6915" max="6921" width="10.7109375" style="33" customWidth="1"/>
    <col min="6922" max="7169" width="11.85546875" style="33"/>
    <col min="7170" max="7170" width="35.85546875" style="33" customWidth="1"/>
    <col min="7171" max="7177" width="10.7109375" style="33" customWidth="1"/>
    <col min="7178" max="7425" width="11.85546875" style="33"/>
    <col min="7426" max="7426" width="35.85546875" style="33" customWidth="1"/>
    <col min="7427" max="7433" width="10.7109375" style="33" customWidth="1"/>
    <col min="7434" max="7681" width="11.85546875" style="33"/>
    <col min="7682" max="7682" width="35.85546875" style="33" customWidth="1"/>
    <col min="7683" max="7689" width="10.7109375" style="33" customWidth="1"/>
    <col min="7690" max="7937" width="11.85546875" style="33"/>
    <col min="7938" max="7938" width="35.85546875" style="33" customWidth="1"/>
    <col min="7939" max="7945" width="10.7109375" style="33" customWidth="1"/>
    <col min="7946" max="8193" width="11.85546875" style="33"/>
    <col min="8194" max="8194" width="35.85546875" style="33" customWidth="1"/>
    <col min="8195" max="8201" width="10.7109375" style="33" customWidth="1"/>
    <col min="8202" max="8449" width="11.85546875" style="33"/>
    <col min="8450" max="8450" width="35.85546875" style="33" customWidth="1"/>
    <col min="8451" max="8457" width="10.7109375" style="33" customWidth="1"/>
    <col min="8458" max="8705" width="11.85546875" style="33"/>
    <col min="8706" max="8706" width="35.85546875" style="33" customWidth="1"/>
    <col min="8707" max="8713" width="10.7109375" style="33" customWidth="1"/>
    <col min="8714" max="8961" width="11.85546875" style="33"/>
    <col min="8962" max="8962" width="35.85546875" style="33" customWidth="1"/>
    <col min="8963" max="8969" width="10.7109375" style="33" customWidth="1"/>
    <col min="8970" max="9217" width="11.85546875" style="33"/>
    <col min="9218" max="9218" width="35.85546875" style="33" customWidth="1"/>
    <col min="9219" max="9225" width="10.7109375" style="33" customWidth="1"/>
    <col min="9226" max="9473" width="11.85546875" style="33"/>
    <col min="9474" max="9474" width="35.85546875" style="33" customWidth="1"/>
    <col min="9475" max="9481" width="10.7109375" style="33" customWidth="1"/>
    <col min="9482" max="9729" width="11.85546875" style="33"/>
    <col min="9730" max="9730" width="35.85546875" style="33" customWidth="1"/>
    <col min="9731" max="9737" width="10.7109375" style="33" customWidth="1"/>
    <col min="9738" max="9985" width="11.85546875" style="33"/>
    <col min="9986" max="9986" width="35.85546875" style="33" customWidth="1"/>
    <col min="9987" max="9993" width="10.7109375" style="33" customWidth="1"/>
    <col min="9994" max="10241" width="11.85546875" style="33"/>
    <col min="10242" max="10242" width="35.85546875" style="33" customWidth="1"/>
    <col min="10243" max="10249" width="10.7109375" style="33" customWidth="1"/>
    <col min="10250" max="10497" width="11.85546875" style="33"/>
    <col min="10498" max="10498" width="35.85546875" style="33" customWidth="1"/>
    <col min="10499" max="10505" width="10.7109375" style="33" customWidth="1"/>
    <col min="10506" max="10753" width="11.85546875" style="33"/>
    <col min="10754" max="10754" width="35.85546875" style="33" customWidth="1"/>
    <col min="10755" max="10761" width="10.7109375" style="33" customWidth="1"/>
    <col min="10762" max="11009" width="11.85546875" style="33"/>
    <col min="11010" max="11010" width="35.85546875" style="33" customWidth="1"/>
    <col min="11011" max="11017" width="10.7109375" style="33" customWidth="1"/>
    <col min="11018" max="11265" width="11.85546875" style="33"/>
    <col min="11266" max="11266" width="35.85546875" style="33" customWidth="1"/>
    <col min="11267" max="11273" width="10.7109375" style="33" customWidth="1"/>
    <col min="11274" max="11521" width="11.85546875" style="33"/>
    <col min="11522" max="11522" width="35.85546875" style="33" customWidth="1"/>
    <col min="11523" max="11529" width="10.7109375" style="33" customWidth="1"/>
    <col min="11530" max="11777" width="11.85546875" style="33"/>
    <col min="11778" max="11778" width="35.85546875" style="33" customWidth="1"/>
    <col min="11779" max="11785" width="10.7109375" style="33" customWidth="1"/>
    <col min="11786" max="12033" width="11.85546875" style="33"/>
    <col min="12034" max="12034" width="35.85546875" style="33" customWidth="1"/>
    <col min="12035" max="12041" width="10.7109375" style="33" customWidth="1"/>
    <col min="12042" max="12289" width="11.85546875" style="33"/>
    <col min="12290" max="12290" width="35.85546875" style="33" customWidth="1"/>
    <col min="12291" max="12297" width="10.7109375" style="33" customWidth="1"/>
    <col min="12298" max="12545" width="11.85546875" style="33"/>
    <col min="12546" max="12546" width="35.85546875" style="33" customWidth="1"/>
    <col min="12547" max="12553" width="10.7109375" style="33" customWidth="1"/>
    <col min="12554" max="12801" width="11.85546875" style="33"/>
    <col min="12802" max="12802" width="35.85546875" style="33" customWidth="1"/>
    <col min="12803" max="12809" width="10.7109375" style="33" customWidth="1"/>
    <col min="12810" max="13057" width="11.85546875" style="33"/>
    <col min="13058" max="13058" width="35.85546875" style="33" customWidth="1"/>
    <col min="13059" max="13065" width="10.7109375" style="33" customWidth="1"/>
    <col min="13066" max="13313" width="11.85546875" style="33"/>
    <col min="13314" max="13314" width="35.85546875" style="33" customWidth="1"/>
    <col min="13315" max="13321" width="10.7109375" style="33" customWidth="1"/>
    <col min="13322" max="13569" width="11.85546875" style="33"/>
    <col min="13570" max="13570" width="35.85546875" style="33" customWidth="1"/>
    <col min="13571" max="13577" width="10.7109375" style="33" customWidth="1"/>
    <col min="13578" max="13825" width="11.85546875" style="33"/>
    <col min="13826" max="13826" width="35.85546875" style="33" customWidth="1"/>
    <col min="13827" max="13833" width="10.7109375" style="33" customWidth="1"/>
    <col min="13834" max="14081" width="11.85546875" style="33"/>
    <col min="14082" max="14082" width="35.85546875" style="33" customWidth="1"/>
    <col min="14083" max="14089" width="10.7109375" style="33" customWidth="1"/>
    <col min="14090" max="14337" width="11.85546875" style="33"/>
    <col min="14338" max="14338" width="35.85546875" style="33" customWidth="1"/>
    <col min="14339" max="14345" width="10.7109375" style="33" customWidth="1"/>
    <col min="14346" max="14593" width="11.85546875" style="33"/>
    <col min="14594" max="14594" width="35.85546875" style="33" customWidth="1"/>
    <col min="14595" max="14601" width="10.7109375" style="33" customWidth="1"/>
    <col min="14602" max="14849" width="11.85546875" style="33"/>
    <col min="14850" max="14850" width="35.85546875" style="33" customWidth="1"/>
    <col min="14851" max="14857" width="10.7109375" style="33" customWidth="1"/>
    <col min="14858" max="15105" width="11.85546875" style="33"/>
    <col min="15106" max="15106" width="35.85546875" style="33" customWidth="1"/>
    <col min="15107" max="15113" width="10.7109375" style="33" customWidth="1"/>
    <col min="15114" max="15361" width="11.85546875" style="33"/>
    <col min="15362" max="15362" width="35.85546875" style="33" customWidth="1"/>
    <col min="15363" max="15369" width="10.7109375" style="33" customWidth="1"/>
    <col min="15370" max="15617" width="11.85546875" style="33"/>
    <col min="15618" max="15618" width="35.85546875" style="33" customWidth="1"/>
    <col min="15619" max="15625" width="10.7109375" style="33" customWidth="1"/>
    <col min="15626" max="15873" width="11.85546875" style="33"/>
    <col min="15874" max="15874" width="35.85546875" style="33" customWidth="1"/>
    <col min="15875" max="15881" width="10.7109375" style="33" customWidth="1"/>
    <col min="15882" max="16129" width="11.85546875" style="33"/>
    <col min="16130" max="16130" width="35.85546875" style="33" customWidth="1"/>
    <col min="16131" max="16137" width="10.7109375" style="33" customWidth="1"/>
    <col min="16138" max="16384" width="11.85546875" style="33"/>
  </cols>
  <sheetData>
    <row r="1" spans="1:23" ht="12.75" customHeight="1">
      <c r="A1" s="3525" t="s">
        <v>249</v>
      </c>
      <c r="B1" s="3525"/>
      <c r="C1" s="3525"/>
      <c r="D1" s="3525"/>
      <c r="E1" s="3525"/>
      <c r="F1" s="3525"/>
      <c r="G1" s="3525"/>
      <c r="H1" s="3525"/>
      <c r="I1" s="3525"/>
      <c r="J1" s="3525"/>
      <c r="K1" s="3525"/>
      <c r="L1" s="3525"/>
      <c r="M1" s="3525"/>
      <c r="N1" s="3525"/>
      <c r="O1" s="3525"/>
      <c r="P1" s="3525"/>
      <c r="Q1" s="3525"/>
      <c r="R1" s="3525"/>
      <c r="S1" s="3525"/>
      <c r="T1" s="3525"/>
      <c r="U1" s="3525"/>
      <c r="V1" s="3525"/>
      <c r="W1" s="3525"/>
    </row>
    <row r="2" spans="1:23" ht="36.75" customHeight="1">
      <c r="A2" s="3523" t="s">
        <v>877</v>
      </c>
      <c r="B2" s="3523"/>
      <c r="C2" s="3523"/>
      <c r="D2" s="3523"/>
      <c r="E2" s="3523"/>
      <c r="F2" s="3523"/>
      <c r="G2" s="3523"/>
      <c r="H2" s="3523"/>
      <c r="I2" s="3523"/>
      <c r="J2" s="3523"/>
      <c r="K2" s="3523"/>
      <c r="L2" s="3523"/>
      <c r="M2" s="3523"/>
      <c r="N2" s="3523"/>
      <c r="O2" s="3523"/>
      <c r="P2" s="3523"/>
      <c r="Q2" s="3523"/>
      <c r="R2" s="3523"/>
      <c r="S2" s="3523"/>
      <c r="T2" s="3523"/>
      <c r="U2" s="3523"/>
      <c r="V2" s="3523"/>
      <c r="W2" s="3523"/>
    </row>
    <row r="3" spans="1:23" s="232" customFormat="1" ht="18" customHeight="1">
      <c r="A3" s="3524" t="str">
        <f>'1. Анкетна карта'!A3</f>
        <v>на "ВОДОСНАБДЯВАНЕ И КАНАЛИЗАЦИЯ ДОБРИЧ" АД, гр. Добрич</v>
      </c>
      <c r="B3" s="3524"/>
      <c r="C3" s="3524"/>
      <c r="D3" s="3524"/>
      <c r="E3" s="3524"/>
      <c r="F3" s="3524"/>
      <c r="G3" s="3524"/>
      <c r="H3" s="3524"/>
      <c r="I3" s="3524"/>
      <c r="J3" s="3524"/>
      <c r="K3" s="3524"/>
      <c r="L3" s="3524"/>
      <c r="M3" s="3524"/>
      <c r="N3" s="3524"/>
      <c r="O3" s="3524"/>
      <c r="P3" s="3524"/>
      <c r="Q3" s="3524"/>
      <c r="R3" s="3524"/>
      <c r="S3" s="3524"/>
      <c r="T3" s="3524"/>
      <c r="U3" s="3524"/>
      <c r="V3" s="3524"/>
      <c r="W3" s="3524"/>
    </row>
    <row r="4" spans="1:23" s="232" customFormat="1" ht="18" customHeight="1">
      <c r="A4" s="3524" t="str">
        <f>'1. Анкетна карта'!A4</f>
        <v>ЕИК по БУЛСТАТ: 204219357</v>
      </c>
      <c r="B4" s="3524"/>
      <c r="C4" s="3524"/>
      <c r="D4" s="3524"/>
      <c r="E4" s="3524"/>
      <c r="F4" s="3524"/>
      <c r="G4" s="3524"/>
      <c r="H4" s="3524"/>
      <c r="I4" s="3524"/>
      <c r="J4" s="3524"/>
      <c r="K4" s="3524"/>
      <c r="L4" s="3524"/>
      <c r="M4" s="3524"/>
      <c r="N4" s="3524"/>
      <c r="O4" s="3524"/>
      <c r="P4" s="3524"/>
      <c r="Q4" s="3524"/>
      <c r="R4" s="3524"/>
      <c r="S4" s="3524"/>
      <c r="T4" s="3524"/>
      <c r="U4" s="3524"/>
      <c r="V4" s="3524"/>
      <c r="W4" s="3524"/>
    </row>
    <row r="5" spans="1:23" ht="13.5" customHeight="1" thickBot="1">
      <c r="B5" s="34"/>
      <c r="C5" s="35"/>
      <c r="D5" s="36"/>
      <c r="E5" s="37"/>
      <c r="F5" s="37"/>
      <c r="G5" s="37"/>
      <c r="K5" s="123"/>
      <c r="L5" s="23"/>
      <c r="M5" s="23"/>
      <c r="W5" s="38" t="s">
        <v>250</v>
      </c>
    </row>
    <row r="6" spans="1:23" ht="13.5" customHeight="1">
      <c r="A6" s="3530" t="s">
        <v>1</v>
      </c>
      <c r="B6" s="3534" t="s">
        <v>251</v>
      </c>
      <c r="C6" s="3536" t="s">
        <v>273</v>
      </c>
      <c r="D6" s="3537"/>
      <c r="E6" s="3537"/>
      <c r="F6" s="3537"/>
      <c r="G6" s="3537"/>
      <c r="H6" s="3537"/>
      <c r="I6" s="3538"/>
      <c r="J6" s="3541" t="s">
        <v>230</v>
      </c>
      <c r="K6" s="3537"/>
      <c r="L6" s="3537"/>
      <c r="M6" s="3537"/>
      <c r="N6" s="3537"/>
      <c r="O6" s="3537"/>
      <c r="P6" s="3542"/>
      <c r="Q6" s="3536" t="s">
        <v>241</v>
      </c>
      <c r="R6" s="3537"/>
      <c r="S6" s="3537"/>
      <c r="T6" s="3537"/>
      <c r="U6" s="3537"/>
      <c r="V6" s="3537"/>
      <c r="W6" s="3538"/>
    </row>
    <row r="7" spans="1:23" s="39" customFormat="1" ht="21.75" customHeight="1" thickBot="1">
      <c r="A7" s="3531"/>
      <c r="B7" s="3535"/>
      <c r="C7" s="1312" t="str">
        <f>'Приложение '!G12</f>
        <v>2015 г.</v>
      </c>
      <c r="D7" s="1267" t="str">
        <f>'Приложение '!G13</f>
        <v>2016 г.</v>
      </c>
      <c r="E7" s="1267" t="str">
        <f>'Приложение '!G14</f>
        <v>2017 г.</v>
      </c>
      <c r="F7" s="1267" t="str">
        <f>'Приложение '!G15</f>
        <v>2018 г.</v>
      </c>
      <c r="G7" s="1267" t="str">
        <f>'Приложение '!G16</f>
        <v>2019 г.</v>
      </c>
      <c r="H7" s="1267" t="str">
        <f>'Приложение '!G17</f>
        <v>2020 г.</v>
      </c>
      <c r="I7" s="1268" t="str">
        <f>'Приложение '!G18</f>
        <v>2021 г.</v>
      </c>
      <c r="J7" s="1308" t="str">
        <f>C7</f>
        <v>2015 г.</v>
      </c>
      <c r="K7" s="1267" t="str">
        <f t="shared" ref="K7:W7" si="0">D7</f>
        <v>2016 г.</v>
      </c>
      <c r="L7" s="1267" t="str">
        <f t="shared" si="0"/>
        <v>2017 г.</v>
      </c>
      <c r="M7" s="1267" t="str">
        <f t="shared" si="0"/>
        <v>2018 г.</v>
      </c>
      <c r="N7" s="1267" t="str">
        <f t="shared" si="0"/>
        <v>2019 г.</v>
      </c>
      <c r="O7" s="1267" t="str">
        <f t="shared" si="0"/>
        <v>2020 г.</v>
      </c>
      <c r="P7" s="1304" t="str">
        <f t="shared" si="0"/>
        <v>2021 г.</v>
      </c>
      <c r="Q7" s="1312" t="str">
        <f t="shared" si="0"/>
        <v>2015 г.</v>
      </c>
      <c r="R7" s="1267" t="str">
        <f t="shared" si="0"/>
        <v>2016 г.</v>
      </c>
      <c r="S7" s="1267" t="str">
        <f t="shared" si="0"/>
        <v>2017 г.</v>
      </c>
      <c r="T7" s="1267" t="str">
        <f t="shared" si="0"/>
        <v>2018 г.</v>
      </c>
      <c r="U7" s="1267" t="str">
        <f t="shared" si="0"/>
        <v>2019 г.</v>
      </c>
      <c r="V7" s="1267" t="str">
        <f t="shared" si="0"/>
        <v>2020 г.</v>
      </c>
      <c r="W7" s="1268" t="str">
        <f t="shared" si="0"/>
        <v>2021 г.</v>
      </c>
    </row>
    <row r="8" spans="1:23" s="39" customFormat="1" ht="15" customHeight="1">
      <c r="A8" s="1260">
        <v>1</v>
      </c>
      <c r="B8" s="1301" t="s">
        <v>481</v>
      </c>
      <c r="C8" s="1313">
        <f>'9.Инвестиционна програма'!E87</f>
        <v>436</v>
      </c>
      <c r="D8" s="1261">
        <f>'9.Инвестиционна програма'!F87</f>
        <v>3638.0544821032627</v>
      </c>
      <c r="E8" s="1261">
        <f>'9.Инвестиционна програма'!G87</f>
        <v>1476.21441106358</v>
      </c>
      <c r="F8" s="1261">
        <f>'9.Инвестиционна програма'!H87</f>
        <v>1593.3164342114972</v>
      </c>
      <c r="G8" s="1261">
        <f>'9.Инвестиционна програма'!I87</f>
        <v>1744.8320565704184</v>
      </c>
      <c r="H8" s="1261">
        <f>'9.Инвестиционна програма'!J87</f>
        <v>1810.8657407407409</v>
      </c>
      <c r="I8" s="1262">
        <f>'9.Инвестиционна програма'!K87</f>
        <v>2053.5094339622642</v>
      </c>
      <c r="J8" s="1309">
        <f>'9.Инвестиционна програма'!E88</f>
        <v>13</v>
      </c>
      <c r="K8" s="1261">
        <f>'9.Инвестиционна програма'!F88</f>
        <v>59.461197339246119</v>
      </c>
      <c r="L8" s="1261">
        <f>'9.Инвестиционна програма'!G88</f>
        <v>85.712150499799094</v>
      </c>
      <c r="M8" s="1261">
        <f>'9.Инвестиционна програма'!H88</f>
        <v>215.10493690502545</v>
      </c>
      <c r="N8" s="1261">
        <f>'9.Инвестиционна програма'!I88</f>
        <v>207.65173836181498</v>
      </c>
      <c r="O8" s="1261">
        <f>'9.Инвестиционна програма'!J88</f>
        <v>185.80092592592592</v>
      </c>
      <c r="P8" s="1305">
        <f>'9.Инвестиционна програма'!K88</f>
        <v>160.66247379454927</v>
      </c>
      <c r="Q8" s="1313">
        <f>'9.Инвестиционна програма'!E89</f>
        <v>17</v>
      </c>
      <c r="R8" s="1261">
        <f>'9.Инвестиционна програма'!F89</f>
        <v>133.48432055749129</v>
      </c>
      <c r="S8" s="1261">
        <f>'9.Инвестиционна програма'!G89</f>
        <v>374.99065843662095</v>
      </c>
      <c r="T8" s="1261">
        <f>'9.Инвестиционна програма'!H89</f>
        <v>365.24529555014391</v>
      </c>
      <c r="U8" s="1261">
        <f>'9.Инвестиционна програма'!I89</f>
        <v>412.51620506776663</v>
      </c>
      <c r="V8" s="1261">
        <f>'9.Инвестиционна програма'!J89</f>
        <v>399.33333333333331</v>
      </c>
      <c r="W8" s="1262">
        <f>'9.Инвестиционна програма'!K89</f>
        <v>361.82809224318657</v>
      </c>
    </row>
    <row r="9" spans="1:23" s="1257" customFormat="1" ht="12">
      <c r="A9" s="1277" t="s">
        <v>642</v>
      </c>
      <c r="B9" s="1302" t="s">
        <v>1248</v>
      </c>
      <c r="C9" s="1314">
        <f>'9.Инвестиционна програма'!E92</f>
        <v>46</v>
      </c>
      <c r="D9" s="1255">
        <f>'9.Инвестиционна програма'!F92</f>
        <v>0</v>
      </c>
      <c r="E9" s="1255">
        <f>'9.Инвестиционна програма'!G92</f>
        <v>31.432195417186541</v>
      </c>
      <c r="F9" s="1255">
        <f>'9.Инвестиционна програма'!H92</f>
        <v>93.325215851228691</v>
      </c>
      <c r="G9" s="1255">
        <f>'9.Инвестиционна програма'!I92</f>
        <v>68.444313494401882</v>
      </c>
      <c r="H9" s="1255">
        <f>'9.Инвестиционна програма'!J92</f>
        <v>68.894675925925924</v>
      </c>
      <c r="I9" s="1315">
        <f>'9.Инвестиционна програма'!K92</f>
        <v>39.929245283018872</v>
      </c>
      <c r="J9" s="1310">
        <f>'9.Инвестиционна програма'!E93</f>
        <v>7</v>
      </c>
      <c r="K9" s="1255">
        <f>'9.Инвестиционна програма'!F93</f>
        <v>5</v>
      </c>
      <c r="L9" s="1255">
        <f>'9.Инвестиционна програма'!G93</f>
        <v>24.663777596802504</v>
      </c>
      <c r="M9" s="1255">
        <f>'9.Инвестиционна програма'!H93</f>
        <v>11.473987159619217</v>
      </c>
      <c r="N9" s="1255">
        <f>'9.Инвестиционна програма'!I93</f>
        <v>11.195050088391278</v>
      </c>
      <c r="O9" s="1255">
        <f>'9.Инвестиционна програма'!J93</f>
        <v>10.938657407407408</v>
      </c>
      <c r="P9" s="1306">
        <f>'9.Инвестиционна програма'!K93</f>
        <v>10.559224318658281</v>
      </c>
      <c r="Q9" s="1318">
        <f>'9.Инвестиционна програма'!E94</f>
        <v>0</v>
      </c>
      <c r="R9" s="1256">
        <f>'9.Инвестиционна програма'!F94</f>
        <v>0</v>
      </c>
      <c r="S9" s="1256">
        <f>'9.Инвестиционна програма'!G94</f>
        <v>8.9040269860109529</v>
      </c>
      <c r="T9" s="1256">
        <f>'9.Инвестиционна програма'!H94</f>
        <v>14.200796989152092</v>
      </c>
      <c r="U9" s="1256">
        <f>'9.Инвестиционна програма'!I94</f>
        <v>19.360636417206834</v>
      </c>
      <c r="V9" s="1256">
        <f>'9.Инвестиционна програма'!J94</f>
        <v>24.166666666666664</v>
      </c>
      <c r="W9" s="1263">
        <f>'9.Инвестиционна програма'!K94</f>
        <v>33.511530398322854</v>
      </c>
    </row>
    <row r="10" spans="1:23" s="1257" customFormat="1" thickBot="1">
      <c r="A10" s="1278" t="s">
        <v>644</v>
      </c>
      <c r="B10" s="1303" t="s">
        <v>1247</v>
      </c>
      <c r="C10" s="1316">
        <f>'9.Инвестиционна програма'!E96</f>
        <v>390</v>
      </c>
      <c r="D10" s="1264">
        <f>'9.Инвестиционна програма'!F96</f>
        <v>3638.0544821032627</v>
      </c>
      <c r="E10" s="1264">
        <f>'9.Инвестиционна програма'!G96</f>
        <v>1444.7822156463935</v>
      </c>
      <c r="F10" s="1264">
        <f>'9.Инвестиционна програма'!H96</f>
        <v>1499.9912183602685</v>
      </c>
      <c r="G10" s="1264">
        <f>'9.Инвестиционна програма'!I96</f>
        <v>1676.3877430760165</v>
      </c>
      <c r="H10" s="1264">
        <f>'9.Инвестиционна програма'!J96</f>
        <v>1741.971064814815</v>
      </c>
      <c r="I10" s="1317">
        <f>'9.Инвестиционна програма'!K96</f>
        <v>2013.5801886792453</v>
      </c>
      <c r="J10" s="1311">
        <f>'9.Инвестиционна програма'!E97</f>
        <v>6</v>
      </c>
      <c r="K10" s="1265">
        <f>'9.Инвестиционна програма'!F97</f>
        <v>54.461197339246119</v>
      </c>
      <c r="L10" s="1265">
        <f>'9.Инвестиционна програма'!G97</f>
        <v>61.04837290299659</v>
      </c>
      <c r="M10" s="1265">
        <f>'9.Инвестиционна програма'!H97</f>
        <v>203.63094974540624</v>
      </c>
      <c r="N10" s="1265">
        <f>'9.Инвестиционна програма'!I97</f>
        <v>196.45668827342371</v>
      </c>
      <c r="O10" s="1265">
        <f>'9.Инвестиционна програма'!J97</f>
        <v>174.8622685185185</v>
      </c>
      <c r="P10" s="1307">
        <f>'9.Инвестиционна програма'!K97</f>
        <v>150.103249475891</v>
      </c>
      <c r="Q10" s="1319">
        <f>'9.Инвестиционна програма'!E98</f>
        <v>17</v>
      </c>
      <c r="R10" s="1265">
        <f>'9.Инвестиционна програма'!F98</f>
        <v>133.48432055749129</v>
      </c>
      <c r="S10" s="1265">
        <f>'9.Инвестиционна програма'!G98</f>
        <v>366.08663145061001</v>
      </c>
      <c r="T10" s="1265">
        <f>'9.Инвестиционна програма'!H98</f>
        <v>351.04449856099183</v>
      </c>
      <c r="U10" s="1265">
        <f>'9.Инвестиционна програма'!I98</f>
        <v>393.15556865055981</v>
      </c>
      <c r="V10" s="1265">
        <f>'9.Инвестиционна програма'!J98</f>
        <v>375.16666666666663</v>
      </c>
      <c r="W10" s="1266">
        <f>'9.Инвестиционна програма'!K98</f>
        <v>328.31656184486371</v>
      </c>
    </row>
    <row r="11" spans="1:23" s="126" customFormat="1" ht="13.5" thickBot="1">
      <c r="A11" s="1254"/>
      <c r="B11" s="1204"/>
      <c r="C11" s="1204"/>
      <c r="D11" s="1205"/>
      <c r="E11" s="1205"/>
      <c r="F11" s="1205"/>
      <c r="G11" s="1205"/>
      <c r="H11" s="1205"/>
      <c r="I11" s="1205"/>
      <c r="K11" s="1202"/>
      <c r="L11" s="49"/>
      <c r="M11" s="49"/>
    </row>
    <row r="12" spans="1:23" s="1254" customFormat="1">
      <c r="A12" s="1269">
        <v>2</v>
      </c>
      <c r="B12" s="1301" t="s">
        <v>480</v>
      </c>
      <c r="C12" s="1329">
        <f t="shared" ref="C12:W12" si="1">C13+C16</f>
        <v>436</v>
      </c>
      <c r="D12" s="1270">
        <f t="shared" si="1"/>
        <v>3638.0544821032627</v>
      </c>
      <c r="E12" s="1270">
        <f t="shared" si="1"/>
        <v>1476.21441106358</v>
      </c>
      <c r="F12" s="1270">
        <f t="shared" si="1"/>
        <v>1593.3164342114972</v>
      </c>
      <c r="G12" s="1270">
        <f t="shared" si="1"/>
        <v>1744.8320565704184</v>
      </c>
      <c r="H12" s="1270">
        <f t="shared" si="1"/>
        <v>1810.8657407407409</v>
      </c>
      <c r="I12" s="1271">
        <f t="shared" si="1"/>
        <v>2053.5094339622642</v>
      </c>
      <c r="J12" s="1325">
        <f t="shared" si="1"/>
        <v>13</v>
      </c>
      <c r="K12" s="1270">
        <f t="shared" si="1"/>
        <v>59.461197339246119</v>
      </c>
      <c r="L12" s="1270">
        <f t="shared" si="1"/>
        <v>85.712150499799094</v>
      </c>
      <c r="M12" s="1270">
        <f t="shared" si="1"/>
        <v>215.10493690502545</v>
      </c>
      <c r="N12" s="1270">
        <f t="shared" si="1"/>
        <v>207.65173836181498</v>
      </c>
      <c r="O12" s="1270">
        <f t="shared" si="1"/>
        <v>185.80092592592592</v>
      </c>
      <c r="P12" s="1321">
        <f t="shared" si="1"/>
        <v>160.66247379454927</v>
      </c>
      <c r="Q12" s="1329">
        <f t="shared" si="1"/>
        <v>17</v>
      </c>
      <c r="R12" s="1270">
        <f t="shared" si="1"/>
        <v>133.48432055749129</v>
      </c>
      <c r="S12" s="1270">
        <f t="shared" si="1"/>
        <v>374.99065843662095</v>
      </c>
      <c r="T12" s="1270">
        <f t="shared" si="1"/>
        <v>365.24529555014391</v>
      </c>
      <c r="U12" s="1270">
        <f t="shared" si="1"/>
        <v>412.51620506776663</v>
      </c>
      <c r="V12" s="1270">
        <f t="shared" si="1"/>
        <v>399.33333333333331</v>
      </c>
      <c r="W12" s="1271">
        <f t="shared" si="1"/>
        <v>361.82809224318657</v>
      </c>
    </row>
    <row r="13" spans="1:23" s="1250" customFormat="1">
      <c r="A13" s="1272" t="s">
        <v>661</v>
      </c>
      <c r="B13" s="1320" t="s">
        <v>1263</v>
      </c>
      <c r="C13" s="1330">
        <f>C14+C15</f>
        <v>46</v>
      </c>
      <c r="D13" s="1252">
        <f t="shared" ref="D13:W13" si="2">D14+D15</f>
        <v>0</v>
      </c>
      <c r="E13" s="1252">
        <f t="shared" si="2"/>
        <v>31.432195417186541</v>
      </c>
      <c r="F13" s="1252">
        <f t="shared" si="2"/>
        <v>93.325215851228691</v>
      </c>
      <c r="G13" s="1252">
        <f t="shared" si="2"/>
        <v>68.444313494401882</v>
      </c>
      <c r="H13" s="1252">
        <f t="shared" si="2"/>
        <v>68.894675925925924</v>
      </c>
      <c r="I13" s="1273">
        <f t="shared" si="2"/>
        <v>39.929245283018872</v>
      </c>
      <c r="J13" s="1326">
        <f t="shared" si="2"/>
        <v>7</v>
      </c>
      <c r="K13" s="1252">
        <f t="shared" si="2"/>
        <v>5</v>
      </c>
      <c r="L13" s="1252">
        <f t="shared" si="2"/>
        <v>24.663777596802504</v>
      </c>
      <c r="M13" s="1252">
        <f t="shared" si="2"/>
        <v>11.473987159619217</v>
      </c>
      <c r="N13" s="1252">
        <f t="shared" si="2"/>
        <v>11.195050088391278</v>
      </c>
      <c r="O13" s="1252">
        <f t="shared" si="2"/>
        <v>10.938657407407408</v>
      </c>
      <c r="P13" s="1322">
        <f t="shared" si="2"/>
        <v>10.559224318658281</v>
      </c>
      <c r="Q13" s="1330">
        <f t="shared" si="2"/>
        <v>0</v>
      </c>
      <c r="R13" s="1252">
        <f t="shared" si="2"/>
        <v>0</v>
      </c>
      <c r="S13" s="1252">
        <f t="shared" si="2"/>
        <v>8.9040269860109529</v>
      </c>
      <c r="T13" s="1252">
        <f t="shared" si="2"/>
        <v>14.200796989152092</v>
      </c>
      <c r="U13" s="1252">
        <f t="shared" si="2"/>
        <v>19.360636417206834</v>
      </c>
      <c r="V13" s="1252">
        <f t="shared" si="2"/>
        <v>24.166666666666664</v>
      </c>
      <c r="W13" s="1273">
        <f t="shared" si="2"/>
        <v>33.511530398322854</v>
      </c>
    </row>
    <row r="14" spans="1:23" s="38" customFormat="1">
      <c r="A14" s="1279" t="s">
        <v>1268</v>
      </c>
      <c r="B14" s="1302" t="s">
        <v>1264</v>
      </c>
      <c r="C14" s="1331">
        <f>'9.Инвестиционна програма'!M92</f>
        <v>46</v>
      </c>
      <c r="D14" s="1253">
        <f>'9.Инвестиционна програма'!N92</f>
        <v>0</v>
      </c>
      <c r="E14" s="1253">
        <f>'9.Инвестиционна програма'!O92</f>
        <v>31.432195417186541</v>
      </c>
      <c r="F14" s="1253">
        <f>'9.Инвестиционна програма'!P92</f>
        <v>93.325215851228691</v>
      </c>
      <c r="G14" s="1253">
        <f>'9.Инвестиционна програма'!Q92</f>
        <v>68.444313494401882</v>
      </c>
      <c r="H14" s="1253">
        <f>'9.Инвестиционна програма'!R92</f>
        <v>68.894675925925924</v>
      </c>
      <c r="I14" s="1274">
        <f>'9.Инвестиционна програма'!S92</f>
        <v>39.929245283018872</v>
      </c>
      <c r="J14" s="1327">
        <f>'9.Инвестиционна програма'!M93</f>
        <v>7</v>
      </c>
      <c r="K14" s="1253">
        <f>'9.Инвестиционна програма'!N93</f>
        <v>5</v>
      </c>
      <c r="L14" s="1253">
        <f>'9.Инвестиционна програма'!O93</f>
        <v>24.663777596802504</v>
      </c>
      <c r="M14" s="1253">
        <f>'9.Инвестиционна програма'!P93</f>
        <v>11.473987159619217</v>
      </c>
      <c r="N14" s="1253">
        <f>'9.Инвестиционна програма'!Q93</f>
        <v>11.195050088391278</v>
      </c>
      <c r="O14" s="1253">
        <f>'9.Инвестиционна програма'!R93</f>
        <v>10.938657407407408</v>
      </c>
      <c r="P14" s="1323">
        <f>'9.Инвестиционна програма'!S93</f>
        <v>10.559224318658281</v>
      </c>
      <c r="Q14" s="1331">
        <f>'9.Инвестиционна програма'!M94</f>
        <v>0</v>
      </c>
      <c r="R14" s="1253">
        <f>'9.Инвестиционна програма'!N94</f>
        <v>0</v>
      </c>
      <c r="S14" s="1253">
        <f>'9.Инвестиционна програма'!O94</f>
        <v>8.9040269860109529</v>
      </c>
      <c r="T14" s="1253">
        <f>'9.Инвестиционна програма'!P94</f>
        <v>14.200796989152092</v>
      </c>
      <c r="U14" s="1253">
        <f>'9.Инвестиционна програма'!Q94</f>
        <v>19.360636417206834</v>
      </c>
      <c r="V14" s="1253">
        <f>'9.Инвестиционна програма'!R94</f>
        <v>24.166666666666664</v>
      </c>
      <c r="W14" s="1274">
        <f>'9.Инвестиционна програма'!S94</f>
        <v>33.511530398322854</v>
      </c>
    </row>
    <row r="15" spans="1:23" s="38" customFormat="1">
      <c r="A15" s="1279" t="s">
        <v>1269</v>
      </c>
      <c r="B15" s="1302" t="s">
        <v>1265</v>
      </c>
      <c r="C15" s="1331">
        <f>'9.Инвестиционна програма'!T92</f>
        <v>0</v>
      </c>
      <c r="D15" s="1253">
        <f>'9.Инвестиционна програма'!U92</f>
        <v>0</v>
      </c>
      <c r="E15" s="1253">
        <f>'9.Инвестиционна програма'!V92</f>
        <v>0</v>
      </c>
      <c r="F15" s="1253">
        <f>'9.Инвестиционна програма'!W92</f>
        <v>0</v>
      </c>
      <c r="G15" s="1253">
        <f>'9.Инвестиционна програма'!X92</f>
        <v>0</v>
      </c>
      <c r="H15" s="1253">
        <f>'9.Инвестиционна програма'!Y92</f>
        <v>0</v>
      </c>
      <c r="I15" s="1274">
        <f>'9.Инвестиционна програма'!Z92</f>
        <v>0</v>
      </c>
      <c r="J15" s="1327">
        <f>'9.Инвестиционна програма'!T93</f>
        <v>0</v>
      </c>
      <c r="K15" s="1253">
        <f>'9.Инвестиционна програма'!U93</f>
        <v>0</v>
      </c>
      <c r="L15" s="1253">
        <f>'9.Инвестиционна програма'!V93</f>
        <v>0</v>
      </c>
      <c r="M15" s="1253">
        <f>'9.Инвестиционна програма'!W93</f>
        <v>0</v>
      </c>
      <c r="N15" s="1253">
        <f>'9.Инвестиционна програма'!X93</f>
        <v>0</v>
      </c>
      <c r="O15" s="1253">
        <f>'9.Инвестиционна програма'!Y93</f>
        <v>0</v>
      </c>
      <c r="P15" s="1323">
        <f>'9.Инвестиционна програма'!Z93</f>
        <v>0</v>
      </c>
      <c r="Q15" s="1331">
        <f>'9.Инвестиционна програма'!T94</f>
        <v>0</v>
      </c>
      <c r="R15" s="1253">
        <f>'9.Инвестиционна програма'!U94</f>
        <v>0</v>
      </c>
      <c r="S15" s="1253">
        <f>'9.Инвестиционна програма'!V94</f>
        <v>0</v>
      </c>
      <c r="T15" s="1253">
        <f>'9.Инвестиционна програма'!W94</f>
        <v>0</v>
      </c>
      <c r="U15" s="1253">
        <f>'9.Инвестиционна програма'!X94</f>
        <v>0</v>
      </c>
      <c r="V15" s="1253">
        <f>'9.Инвестиционна програма'!Y94</f>
        <v>0</v>
      </c>
      <c r="W15" s="1274">
        <f>'9.Инвестиционна програма'!Z94</f>
        <v>0</v>
      </c>
    </row>
    <row r="16" spans="1:23" s="1250" customFormat="1">
      <c r="A16" s="1272" t="s">
        <v>663</v>
      </c>
      <c r="B16" s="1320" t="s">
        <v>1266</v>
      </c>
      <c r="C16" s="1330">
        <f t="shared" ref="C16:W16" si="3">C17+C18</f>
        <v>390</v>
      </c>
      <c r="D16" s="1252">
        <f t="shared" si="3"/>
        <v>3638.0544821032627</v>
      </c>
      <c r="E16" s="1252">
        <f t="shared" si="3"/>
        <v>1444.7822156463935</v>
      </c>
      <c r="F16" s="1252">
        <f t="shared" si="3"/>
        <v>1499.9912183602685</v>
      </c>
      <c r="G16" s="1252">
        <f t="shared" si="3"/>
        <v>1676.3877430760165</v>
      </c>
      <c r="H16" s="1252">
        <f t="shared" si="3"/>
        <v>1741.971064814815</v>
      </c>
      <c r="I16" s="1273">
        <f t="shared" si="3"/>
        <v>2013.5801886792453</v>
      </c>
      <c r="J16" s="1326">
        <f t="shared" si="3"/>
        <v>6</v>
      </c>
      <c r="K16" s="1252">
        <f t="shared" si="3"/>
        <v>54.461197339246119</v>
      </c>
      <c r="L16" s="1252">
        <f t="shared" si="3"/>
        <v>61.04837290299659</v>
      </c>
      <c r="M16" s="1252">
        <f t="shared" si="3"/>
        <v>203.63094974540624</v>
      </c>
      <c r="N16" s="1252">
        <f t="shared" si="3"/>
        <v>196.45668827342371</v>
      </c>
      <c r="O16" s="1252">
        <f t="shared" si="3"/>
        <v>174.8622685185185</v>
      </c>
      <c r="P16" s="1322">
        <f t="shared" si="3"/>
        <v>150.103249475891</v>
      </c>
      <c r="Q16" s="1330">
        <f t="shared" si="3"/>
        <v>17</v>
      </c>
      <c r="R16" s="1252">
        <f t="shared" si="3"/>
        <v>133.48432055749129</v>
      </c>
      <c r="S16" s="1252">
        <f t="shared" si="3"/>
        <v>366.08663145061001</v>
      </c>
      <c r="T16" s="1252">
        <f t="shared" si="3"/>
        <v>351.04449856099183</v>
      </c>
      <c r="U16" s="1252">
        <f t="shared" si="3"/>
        <v>393.15556865055981</v>
      </c>
      <c r="V16" s="1252">
        <f t="shared" si="3"/>
        <v>375.16666666666663</v>
      </c>
      <c r="W16" s="1273">
        <f t="shared" si="3"/>
        <v>328.31656184486371</v>
      </c>
    </row>
    <row r="17" spans="1:23" s="38" customFormat="1">
      <c r="A17" s="1279" t="s">
        <v>1270</v>
      </c>
      <c r="B17" s="1302" t="s">
        <v>1264</v>
      </c>
      <c r="C17" s="1331">
        <f>'9.Инвестиционна програма'!M96</f>
        <v>390</v>
      </c>
      <c r="D17" s="1253">
        <f>'9.Инвестиционна програма'!N96</f>
        <v>3638.0544821032627</v>
      </c>
      <c r="E17" s="1253">
        <f>'9.Инвестиционна програма'!O96</f>
        <v>1444.7822156463935</v>
      </c>
      <c r="F17" s="1253">
        <f>'9.Инвестиционна програма'!P96</f>
        <v>1499.9912183602685</v>
      </c>
      <c r="G17" s="1253">
        <f>'9.Инвестиционна програма'!Q96</f>
        <v>1676.3877430760165</v>
      </c>
      <c r="H17" s="1253">
        <f>'9.Инвестиционна програма'!R96</f>
        <v>1741.971064814815</v>
      </c>
      <c r="I17" s="1274">
        <f>'9.Инвестиционна програма'!S96</f>
        <v>2013.5801886792453</v>
      </c>
      <c r="J17" s="1327">
        <f>'9.Инвестиционна програма'!M97</f>
        <v>6</v>
      </c>
      <c r="K17" s="1253">
        <f>'9.Инвестиционна програма'!N97</f>
        <v>54.461197339246119</v>
      </c>
      <c r="L17" s="1253">
        <f>'9.Инвестиционна програма'!O97</f>
        <v>61.04837290299659</v>
      </c>
      <c r="M17" s="1253">
        <f>'9.Инвестиционна програма'!P97</f>
        <v>203.63094974540624</v>
      </c>
      <c r="N17" s="1253">
        <f>'9.Инвестиционна програма'!Q97</f>
        <v>196.45668827342371</v>
      </c>
      <c r="O17" s="1253">
        <f>'9.Инвестиционна програма'!R97</f>
        <v>174.8622685185185</v>
      </c>
      <c r="P17" s="1323">
        <f>'9.Инвестиционна програма'!S97</f>
        <v>150.103249475891</v>
      </c>
      <c r="Q17" s="1331">
        <f>'9.Инвестиционна програма'!M98</f>
        <v>17</v>
      </c>
      <c r="R17" s="1253">
        <f>'9.Инвестиционна програма'!N98</f>
        <v>133.48432055749129</v>
      </c>
      <c r="S17" s="1253">
        <f>'9.Инвестиционна програма'!O98</f>
        <v>366.08663145061001</v>
      </c>
      <c r="T17" s="1253">
        <f>'9.Инвестиционна програма'!P98</f>
        <v>351.04449856099183</v>
      </c>
      <c r="U17" s="1253">
        <f>'9.Инвестиционна програма'!Q98</f>
        <v>393.15556865055981</v>
      </c>
      <c r="V17" s="1253">
        <f>'9.Инвестиционна програма'!R98</f>
        <v>375.16666666666663</v>
      </c>
      <c r="W17" s="1274">
        <f>'9.Инвестиционна програма'!S98</f>
        <v>328.31656184486371</v>
      </c>
    </row>
    <row r="18" spans="1:23" s="38" customFormat="1" ht="13.5" thickBot="1">
      <c r="A18" s="1280" t="s">
        <v>1269</v>
      </c>
      <c r="B18" s="1303" t="s">
        <v>1265</v>
      </c>
      <c r="C18" s="1332">
        <f>'9.Инвестиционна програма'!T96</f>
        <v>0</v>
      </c>
      <c r="D18" s="1275">
        <f>'9.Инвестиционна програма'!U96</f>
        <v>0</v>
      </c>
      <c r="E18" s="1275">
        <f>'9.Инвестиционна програма'!V96</f>
        <v>0</v>
      </c>
      <c r="F18" s="1275">
        <f>'9.Инвестиционна програма'!W96</f>
        <v>0</v>
      </c>
      <c r="G18" s="1275">
        <f>'9.Инвестиционна програма'!X96</f>
        <v>0</v>
      </c>
      <c r="H18" s="1275">
        <f>'9.Инвестиционна програма'!Y96</f>
        <v>0</v>
      </c>
      <c r="I18" s="1276">
        <f>'9.Инвестиционна програма'!Z96</f>
        <v>0</v>
      </c>
      <c r="J18" s="1328">
        <f>'9.Инвестиционна програма'!T97</f>
        <v>0</v>
      </c>
      <c r="K18" s="1275">
        <f>'9.Инвестиционна програма'!U97</f>
        <v>0</v>
      </c>
      <c r="L18" s="1275">
        <f>'9.Инвестиционна програма'!V97</f>
        <v>0</v>
      </c>
      <c r="M18" s="1275">
        <f>'9.Инвестиционна програма'!W97</f>
        <v>0</v>
      </c>
      <c r="N18" s="1275">
        <f>'9.Инвестиционна програма'!X97</f>
        <v>0</v>
      </c>
      <c r="O18" s="1275">
        <f>'9.Инвестиционна програма'!Y97</f>
        <v>0</v>
      </c>
      <c r="P18" s="1324">
        <f>'9.Инвестиционна програма'!Z97</f>
        <v>0</v>
      </c>
      <c r="Q18" s="1332">
        <f>'9.Инвестиционна програма'!T98</f>
        <v>0</v>
      </c>
      <c r="R18" s="1275">
        <f>'9.Инвестиционна програма'!U98</f>
        <v>0</v>
      </c>
      <c r="S18" s="1275">
        <f>'9.Инвестиционна програма'!V98</f>
        <v>0</v>
      </c>
      <c r="T18" s="1275">
        <f>'9.Инвестиционна програма'!W98</f>
        <v>0</v>
      </c>
      <c r="U18" s="1275">
        <f>'9.Инвестиционна програма'!X98</f>
        <v>0</v>
      </c>
      <c r="V18" s="1275">
        <f>'9.Инвестиционна програма'!Y98</f>
        <v>0</v>
      </c>
      <c r="W18" s="1276">
        <f>'9.Инвестиционна програма'!Z98</f>
        <v>0</v>
      </c>
    </row>
    <row r="19" spans="1:23" s="2" customFormat="1" ht="13.5" thickBot="1">
      <c r="A19" s="1281"/>
      <c r="B19" s="1206"/>
      <c r="C19" s="1207"/>
      <c r="D19" s="1207"/>
      <c r="E19" s="1207"/>
      <c r="F19" s="1207"/>
      <c r="G19" s="1207"/>
      <c r="H19" s="1207"/>
      <c r="I19" s="1207"/>
      <c r="J19" s="49"/>
      <c r="K19" s="123"/>
      <c r="L19" s="23"/>
    </row>
    <row r="20" spans="1:23" s="2" customFormat="1" ht="24.75" thickBot="1">
      <c r="A20" s="1299" t="s">
        <v>327</v>
      </c>
      <c r="B20" s="2222" t="s">
        <v>1246</v>
      </c>
      <c r="C20" s="2223">
        <f>C12-C8</f>
        <v>0</v>
      </c>
      <c r="D20" s="2224">
        <f t="shared" ref="D20:W20" si="4">D12-D8</f>
        <v>0</v>
      </c>
      <c r="E20" s="2224">
        <f t="shared" si="4"/>
        <v>0</v>
      </c>
      <c r="F20" s="2224">
        <f t="shared" si="4"/>
        <v>0</v>
      </c>
      <c r="G20" s="2224">
        <f t="shared" si="4"/>
        <v>0</v>
      </c>
      <c r="H20" s="2224">
        <f t="shared" si="4"/>
        <v>0</v>
      </c>
      <c r="I20" s="2225">
        <f t="shared" si="4"/>
        <v>0</v>
      </c>
      <c r="J20" s="2226">
        <f t="shared" si="4"/>
        <v>0</v>
      </c>
      <c r="K20" s="2224">
        <f t="shared" si="4"/>
        <v>0</v>
      </c>
      <c r="L20" s="2224">
        <f t="shared" si="4"/>
        <v>0</v>
      </c>
      <c r="M20" s="2224">
        <f t="shared" si="4"/>
        <v>0</v>
      </c>
      <c r="N20" s="2224">
        <f t="shared" si="4"/>
        <v>0</v>
      </c>
      <c r="O20" s="2224">
        <f t="shared" si="4"/>
        <v>0</v>
      </c>
      <c r="P20" s="2227">
        <f t="shared" si="4"/>
        <v>0</v>
      </c>
      <c r="Q20" s="2223">
        <f t="shared" si="4"/>
        <v>0</v>
      </c>
      <c r="R20" s="2224">
        <f t="shared" si="4"/>
        <v>0</v>
      </c>
      <c r="S20" s="2224">
        <f t="shared" si="4"/>
        <v>0</v>
      </c>
      <c r="T20" s="2224">
        <f t="shared" si="4"/>
        <v>0</v>
      </c>
      <c r="U20" s="2224">
        <f t="shared" si="4"/>
        <v>0</v>
      </c>
      <c r="V20" s="2224">
        <f t="shared" si="4"/>
        <v>0</v>
      </c>
      <c r="W20" s="2225">
        <f t="shared" si="4"/>
        <v>0</v>
      </c>
    </row>
    <row r="21" spans="1:23" s="2" customFormat="1" ht="24.75" thickBot="1">
      <c r="A21" s="1300" t="s">
        <v>328</v>
      </c>
      <c r="B21" s="2228" t="s">
        <v>1306</v>
      </c>
      <c r="C21" s="2229">
        <f t="shared" ref="C21:I21" si="5">C15+C18-C67*C61-J67*J61</f>
        <v>0</v>
      </c>
      <c r="D21" s="2229">
        <f t="shared" si="5"/>
        <v>0</v>
      </c>
      <c r="E21" s="2230">
        <f t="shared" si="5"/>
        <v>0</v>
      </c>
      <c r="F21" s="2230">
        <f t="shared" si="5"/>
        <v>0</v>
      </c>
      <c r="G21" s="2230">
        <f t="shared" si="5"/>
        <v>0</v>
      </c>
      <c r="H21" s="2230">
        <f t="shared" si="5"/>
        <v>0</v>
      </c>
      <c r="I21" s="2231">
        <f t="shared" si="5"/>
        <v>0</v>
      </c>
      <c r="J21" s="2229">
        <f>J15+J18-C68*C61-J68*J61</f>
        <v>0</v>
      </c>
      <c r="K21" s="2230">
        <f t="shared" ref="K21:P21" si="6">K15+K18-D68*D61-K68*K61</f>
        <v>0</v>
      </c>
      <c r="L21" s="2230">
        <f t="shared" si="6"/>
        <v>0</v>
      </c>
      <c r="M21" s="2230">
        <f t="shared" si="6"/>
        <v>0</v>
      </c>
      <c r="N21" s="2230">
        <f t="shared" si="6"/>
        <v>0</v>
      </c>
      <c r="O21" s="2230">
        <f t="shared" si="6"/>
        <v>0</v>
      </c>
      <c r="P21" s="2232">
        <f t="shared" si="6"/>
        <v>0</v>
      </c>
      <c r="Q21" s="2233">
        <f>Q15+Q18-C69*C61-J69*J61</f>
        <v>0</v>
      </c>
      <c r="R21" s="2230">
        <f t="shared" ref="R21:W21" si="7">R15+R18-D69*D61-K69*K61</f>
        <v>0</v>
      </c>
      <c r="S21" s="2230">
        <f t="shared" si="7"/>
        <v>0</v>
      </c>
      <c r="T21" s="2230">
        <f t="shared" si="7"/>
        <v>0</v>
      </c>
      <c r="U21" s="2230">
        <f t="shared" si="7"/>
        <v>0</v>
      </c>
      <c r="V21" s="2230">
        <f t="shared" si="7"/>
        <v>0</v>
      </c>
      <c r="W21" s="2232">
        <f t="shared" si="7"/>
        <v>0</v>
      </c>
    </row>
    <row r="22" spans="1:23" s="2" customFormat="1" ht="13.5" thickBot="1">
      <c r="A22" s="1281"/>
      <c r="B22" s="1243"/>
      <c r="C22" s="1244"/>
      <c r="D22" s="1244"/>
      <c r="E22" s="1244"/>
      <c r="F22" s="1244"/>
      <c r="G22" s="1244"/>
      <c r="H22" s="1244"/>
      <c r="I22" s="1244"/>
      <c r="J22" s="1244"/>
      <c r="K22" s="1244"/>
      <c r="L22" s="1244"/>
      <c r="M22" s="1244"/>
      <c r="N22" s="1244"/>
      <c r="O22" s="1244"/>
      <c r="P22" s="1244"/>
      <c r="Q22" s="1244"/>
      <c r="R22" s="1244"/>
      <c r="S22" s="1244"/>
      <c r="T22" s="1244"/>
      <c r="U22" s="1244"/>
      <c r="V22" s="1244"/>
      <c r="W22" s="1244"/>
    </row>
    <row r="23" spans="1:23" s="2" customFormat="1" ht="34.5" customHeight="1" thickBot="1">
      <c r="A23" s="3075">
        <v>4</v>
      </c>
      <c r="B23" s="3076" t="s">
        <v>1267</v>
      </c>
      <c r="C23" s="3077">
        <f>C38*C43+J38*J43+Q38*Q43+C50*C55+J50*J55+C62*C67+J62*J67</f>
        <v>281.28571428571428</v>
      </c>
      <c r="D23" s="3078">
        <f t="shared" ref="D23:I23" si="8">D38*D43+K38*K43+R38*R43+D50*D55+K50*K55+D62*D67+K62*K67</f>
        <v>281.28571428571428</v>
      </c>
      <c r="E23" s="3078">
        <f t="shared" si="8"/>
        <v>281.28571428571428</v>
      </c>
      <c r="F23" s="3078">
        <f t="shared" si="8"/>
        <v>281.28571428571428</v>
      </c>
      <c r="G23" s="3078">
        <f t="shared" si="8"/>
        <v>281.28571428571428</v>
      </c>
      <c r="H23" s="3078">
        <f t="shared" si="8"/>
        <v>281.28571428571428</v>
      </c>
      <c r="I23" s="3079">
        <f t="shared" si="8"/>
        <v>260.28571428571428</v>
      </c>
      <c r="J23" s="3077">
        <f>C38*C44+J38*J44+Q38*Q44+C50*C56+J50*J56+C62*C68+J62*J68</f>
        <v>0</v>
      </c>
      <c r="K23" s="3078">
        <f t="shared" ref="K23:P23" si="9">D38*D44+K38*K44+R38*R44+D50*D56+K50*K56+D62*D68+K62*K68</f>
        <v>0</v>
      </c>
      <c r="L23" s="3078">
        <f t="shared" si="9"/>
        <v>0</v>
      </c>
      <c r="M23" s="3078">
        <f t="shared" si="9"/>
        <v>0</v>
      </c>
      <c r="N23" s="3078">
        <f t="shared" si="9"/>
        <v>0</v>
      </c>
      <c r="O23" s="3078">
        <f t="shared" si="9"/>
        <v>0</v>
      </c>
      <c r="P23" s="3079">
        <f t="shared" si="9"/>
        <v>0</v>
      </c>
      <c r="Q23" s="3077">
        <f>C38*C45+J38*J45+Q38*Q45+C50*C57+J50*J57+C62*C69+J62*J69</f>
        <v>0</v>
      </c>
      <c r="R23" s="3078">
        <f t="shared" ref="R23:W23" si="10">D38*D45+K38*K45+R38*R45+D50*D57+K50*K57+D62*D69+K62*K69</f>
        <v>0</v>
      </c>
      <c r="S23" s="3078">
        <f t="shared" si="10"/>
        <v>0</v>
      </c>
      <c r="T23" s="3078">
        <f t="shared" si="10"/>
        <v>0</v>
      </c>
      <c r="U23" s="3078">
        <f t="shared" si="10"/>
        <v>0</v>
      </c>
      <c r="V23" s="3078">
        <f t="shared" si="10"/>
        <v>0</v>
      </c>
      <c r="W23" s="3080">
        <f t="shared" si="10"/>
        <v>0</v>
      </c>
    </row>
    <row r="24" spans="1:23" s="57" customFormat="1" ht="13.5" thickBot="1">
      <c r="A24" s="1282"/>
      <c r="B24" s="1208"/>
      <c r="C24" s="1209"/>
      <c r="D24" s="1209"/>
      <c r="E24" s="1209"/>
      <c r="F24" s="1209"/>
      <c r="G24" s="1209"/>
      <c r="H24" s="1209"/>
      <c r="I24" s="1209"/>
      <c r="K24" s="1203"/>
      <c r="L24" s="64"/>
    </row>
    <row r="25" spans="1:23" s="57" customFormat="1">
      <c r="A25" s="1284" t="s">
        <v>770</v>
      </c>
      <c r="B25" s="1334" t="s">
        <v>1256</v>
      </c>
      <c r="C25" s="1339">
        <f>'11. Амортиз. план'!E34</f>
        <v>340.35848186148394</v>
      </c>
      <c r="D25" s="1210">
        <f>'11. Амортиз. план'!F34</f>
        <v>263.39514852815057</v>
      </c>
      <c r="E25" s="1210">
        <f>'11. Амортиз. план'!G34</f>
        <v>125.43905001871542</v>
      </c>
      <c r="F25" s="1210">
        <f>'11. Амортиз. план'!H34</f>
        <v>129.19333656460552</v>
      </c>
      <c r="G25" s="1210">
        <f>'11. Амортиз. план'!I34</f>
        <v>101.67449744246385</v>
      </c>
      <c r="H25" s="1210">
        <f>'11. Амортиз. план'!J34</f>
        <v>103.4894491018236</v>
      </c>
      <c r="I25" s="1285">
        <f>'11. Амортиз. план'!K34</f>
        <v>70.992053972212418</v>
      </c>
      <c r="J25" s="1245">
        <f>'11. Амортиз. план'!L34</f>
        <v>53.553076926119786</v>
      </c>
      <c r="K25" s="1210">
        <f>'11. Амортиз. план'!M34</f>
        <v>40.953076926119785</v>
      </c>
      <c r="L25" s="1210">
        <f>'11. Амортиз. план'!N34</f>
        <v>25.215001667458218</v>
      </c>
      <c r="M25" s="1210">
        <f>'11. Амортиз. план'!O34</f>
        <v>10.44088919222064</v>
      </c>
      <c r="N25" s="1210">
        <f>'11. Амортиз. план'!P34</f>
        <v>10.403414967308318</v>
      </c>
      <c r="O25" s="1210">
        <f>'11. Амортиз. план'!Q34</f>
        <v>10.489748843279452</v>
      </c>
      <c r="P25" s="1343">
        <f>'11. Амортиз. план'!R34</f>
        <v>10.578233601058727</v>
      </c>
      <c r="Q25" s="1339">
        <f>'11. Амортиз. план'!S34</f>
        <v>13.53301805822921</v>
      </c>
      <c r="R25" s="1210">
        <f>'11. Амортиз. план'!T34</f>
        <v>10.733018058229213</v>
      </c>
      <c r="S25" s="1210">
        <f>'11. Амортиз. план'!U34</f>
        <v>9.2371918263259598</v>
      </c>
      <c r="T25" s="1210">
        <f>'11. Амортиз. план'!V34</f>
        <v>13.557017755673447</v>
      </c>
      <c r="U25" s="1210">
        <f>'11. Амортиз. план'!W34</f>
        <v>21.613331102727436</v>
      </c>
      <c r="V25" s="1210">
        <f>'11. Амортиз. план'!X34</f>
        <v>30.812045567396567</v>
      </c>
      <c r="W25" s="1285">
        <f>'11. Амортиз. план'!Y34</f>
        <v>39.820955939228512</v>
      </c>
    </row>
    <row r="26" spans="1:23" s="57" customFormat="1" ht="31.5" customHeight="1">
      <c r="A26" s="1286" t="s">
        <v>771</v>
      </c>
      <c r="B26" s="1040" t="s">
        <v>1255</v>
      </c>
      <c r="C26" s="1340">
        <f>C25-C14</f>
        <v>294.35848186148394</v>
      </c>
      <c r="D26" s="1288">
        <f>D25-D14</f>
        <v>263.39514852815057</v>
      </c>
      <c r="E26" s="1288">
        <f t="shared" ref="E26:W26" si="11">E25-E14</f>
        <v>94.006854601528886</v>
      </c>
      <c r="F26" s="1288">
        <f t="shared" si="11"/>
        <v>35.868120713376825</v>
      </c>
      <c r="G26" s="1288">
        <f t="shared" si="11"/>
        <v>33.230183948061963</v>
      </c>
      <c r="H26" s="1288">
        <f t="shared" si="11"/>
        <v>34.594773175897672</v>
      </c>
      <c r="I26" s="1289">
        <f t="shared" si="11"/>
        <v>31.062808689193545</v>
      </c>
      <c r="J26" s="1336">
        <f t="shared" si="11"/>
        <v>46.553076926119786</v>
      </c>
      <c r="K26" s="1288">
        <f t="shared" si="11"/>
        <v>35.953076926119785</v>
      </c>
      <c r="L26" s="1288">
        <f t="shared" si="11"/>
        <v>0.55122407065571366</v>
      </c>
      <c r="M26" s="1288">
        <f t="shared" si="11"/>
        <v>-1.033097967398577</v>
      </c>
      <c r="N26" s="1288">
        <f t="shared" si="11"/>
        <v>-0.79163512108295997</v>
      </c>
      <c r="O26" s="1288">
        <f t="shared" si="11"/>
        <v>-0.44890856412795621</v>
      </c>
      <c r="P26" s="1344">
        <f t="shared" si="11"/>
        <v>1.9009282400446637E-2</v>
      </c>
      <c r="Q26" s="1340">
        <f t="shared" si="11"/>
        <v>13.53301805822921</v>
      </c>
      <c r="R26" s="1288">
        <f t="shared" si="11"/>
        <v>10.733018058229213</v>
      </c>
      <c r="S26" s="1288">
        <f t="shared" si="11"/>
        <v>0.33316484031500693</v>
      </c>
      <c r="T26" s="1288">
        <f t="shared" si="11"/>
        <v>-0.64377923347864474</v>
      </c>
      <c r="U26" s="1288">
        <f t="shared" si="11"/>
        <v>2.252694685520602</v>
      </c>
      <c r="V26" s="1288">
        <f t="shared" si="11"/>
        <v>6.6453789007299022</v>
      </c>
      <c r="W26" s="1289">
        <f t="shared" si="11"/>
        <v>6.3094255409056572</v>
      </c>
    </row>
    <row r="27" spans="1:23" s="57" customFormat="1" ht="29.25" customHeight="1">
      <c r="A27" s="1286" t="s">
        <v>1271</v>
      </c>
      <c r="B27" s="1335" t="s">
        <v>1257</v>
      </c>
      <c r="C27" s="1341">
        <f>'11. Амортиз. план'!E130</f>
        <v>0</v>
      </c>
      <c r="D27" s="1211">
        <f>'11. Амортиз. план'!F130</f>
        <v>86.941375093730173</v>
      </c>
      <c r="E27" s="1211">
        <f>'11. Амортиз. план'!G130</f>
        <v>244.24377695033178</v>
      </c>
      <c r="F27" s="1211">
        <f>'11. Амортиз. план'!H130</f>
        <v>354.9060324392762</v>
      </c>
      <c r="G27" s="1211">
        <f>'11. Амортиз. план'!I130</f>
        <v>437.47895904397365</v>
      </c>
      <c r="H27" s="1211">
        <f>'11. Амортиз. план'!J130</f>
        <v>519.8133665729232</v>
      </c>
      <c r="I27" s="1287">
        <f>'11. Амортиз. план'!K130</f>
        <v>606.43803856662055</v>
      </c>
      <c r="J27" s="1337">
        <f>'11. Амортиз. план'!L130</f>
        <v>0</v>
      </c>
      <c r="K27" s="1337">
        <f>'11. Амортиз. план'!M130</f>
        <v>0.84237065236200037</v>
      </c>
      <c r="L27" s="1211">
        <f>'11. Амортиз. план'!N130</f>
        <v>3.2286486795002096</v>
      </c>
      <c r="M27" s="1211">
        <f>'11. Амортиз. план'!O130</f>
        <v>11.774259827636662</v>
      </c>
      <c r="N27" s="1211">
        <f>'11. Амортиз. план'!P130</f>
        <v>25.213998073195022</v>
      </c>
      <c r="O27" s="1211">
        <f>'11. Амортиз. план'!Q130</f>
        <v>38.020440069070887</v>
      </c>
      <c r="P27" s="1345">
        <f>'11. Амортиз. план'!R130</f>
        <v>49.711971034131281</v>
      </c>
      <c r="Q27" s="1341">
        <f>'11. Амортиз. план'!S130</f>
        <v>0</v>
      </c>
      <c r="R27" s="1211">
        <f>'11. Амортиз. план'!T130</f>
        <v>3.4829209205744944</v>
      </c>
      <c r="S27" s="1211">
        <f>'11. Амортиз. план'!U130</f>
        <v>15.507585436834718</v>
      </c>
      <c r="T27" s="1211">
        <f>'11. Амортиз. план'!V130</f>
        <v>36.819729866420481</v>
      </c>
      <c r="U27" s="1211">
        <f>'11. Амортиз. план'!W130</f>
        <v>61.793731682831407</v>
      </c>
      <c r="V27" s="1211">
        <f>'11. Амортиз. план'!X130</f>
        <v>88.272882158005913</v>
      </c>
      <c r="W27" s="1287">
        <f>'11. Амортиз. план'!Y130</f>
        <v>113.5666791992482</v>
      </c>
    </row>
    <row r="28" spans="1:23" s="57" customFormat="1" ht="55.5" customHeight="1">
      <c r="A28" s="1286" t="s">
        <v>1272</v>
      </c>
      <c r="B28" s="1040" t="s">
        <v>1258</v>
      </c>
      <c r="C28" s="1342">
        <f>C27-C17-C23</f>
        <v>-671.28571428571422</v>
      </c>
      <c r="D28" s="1283">
        <f>D27-D17-D23</f>
        <v>-3832.3988212952468</v>
      </c>
      <c r="E28" s="1283">
        <f t="shared" ref="E28:W28" si="12">E27-E17-E23</f>
        <v>-1481.824152981776</v>
      </c>
      <c r="F28" s="1283">
        <f>F27-F17-F23</f>
        <v>-1426.3709002067064</v>
      </c>
      <c r="G28" s="1283">
        <f t="shared" si="12"/>
        <v>-1520.1944983177571</v>
      </c>
      <c r="H28" s="1283">
        <f t="shared" si="12"/>
        <v>-1503.4434125276061</v>
      </c>
      <c r="I28" s="1290">
        <f t="shared" si="12"/>
        <v>-1667.4278643983389</v>
      </c>
      <c r="J28" s="1338">
        <f t="shared" si="12"/>
        <v>-6</v>
      </c>
      <c r="K28" s="1283">
        <f t="shared" si="12"/>
        <v>-53.61882668688412</v>
      </c>
      <c r="L28" s="1283">
        <f t="shared" si="12"/>
        <v>-57.81972422349638</v>
      </c>
      <c r="M28" s="1283">
        <f t="shared" si="12"/>
        <v>-191.85668991776959</v>
      </c>
      <c r="N28" s="1283">
        <f t="shared" si="12"/>
        <v>-171.24269020022868</v>
      </c>
      <c r="O28" s="1283">
        <f t="shared" si="12"/>
        <v>-136.84182844944763</v>
      </c>
      <c r="P28" s="1346">
        <f t="shared" si="12"/>
        <v>-100.39127844175972</v>
      </c>
      <c r="Q28" s="1342">
        <f t="shared" si="12"/>
        <v>-17</v>
      </c>
      <c r="R28" s="1283">
        <f t="shared" si="12"/>
        <v>-130.0013996369168</v>
      </c>
      <c r="S28" s="1283">
        <f t="shared" si="12"/>
        <v>-350.57904601377527</v>
      </c>
      <c r="T28" s="1283">
        <f t="shared" si="12"/>
        <v>-314.22476869457137</v>
      </c>
      <c r="U28" s="1283">
        <f t="shared" si="12"/>
        <v>-331.36183696772844</v>
      </c>
      <c r="V28" s="1283">
        <f t="shared" si="12"/>
        <v>-286.8937845086607</v>
      </c>
      <c r="W28" s="1290">
        <f t="shared" si="12"/>
        <v>-214.74988264561551</v>
      </c>
    </row>
    <row r="29" spans="1:23" s="57" customFormat="1" ht="24.75" thickBot="1">
      <c r="A29" s="2379" t="s">
        <v>1273</v>
      </c>
      <c r="B29" s="2380" t="s">
        <v>1259</v>
      </c>
      <c r="C29" s="2366">
        <f>'11. Амортиз. план'!E213</f>
        <v>1394.1712977</v>
      </c>
      <c r="D29" s="2367">
        <f>'11. Амортиз. план'!F213</f>
        <v>1318.1712976999997</v>
      </c>
      <c r="E29" s="2367">
        <f>'11. Амортиз. план'!G213</f>
        <v>1290.1712977</v>
      </c>
      <c r="F29" s="2367">
        <f>'11. Амортиз. план'!H213</f>
        <v>1074.6712976999997</v>
      </c>
      <c r="G29" s="2367">
        <f>'11. Амортиз. план'!I213</f>
        <v>1054.1712976999997</v>
      </c>
      <c r="H29" s="2367">
        <f>'11. Амортиз. план'!J213</f>
        <v>943.17129770000008</v>
      </c>
      <c r="I29" s="2368">
        <f>'11. Амортиз. план'!K213</f>
        <v>909.97129770000004</v>
      </c>
      <c r="J29" s="2369">
        <f>'11. Амортиз. план'!L213</f>
        <v>1048.4589661000002</v>
      </c>
      <c r="K29" s="2367">
        <f>'11. Амортиз. план'!M213</f>
        <v>1042.4589661000002</v>
      </c>
      <c r="L29" s="2367">
        <f>'11. Амортиз. план'!N213</f>
        <v>1042.4589661000002</v>
      </c>
      <c r="M29" s="2367">
        <f>'11. Амортиз. план'!O213</f>
        <v>1042.0589661000001</v>
      </c>
      <c r="N29" s="2367">
        <f>'11. Амортиз. план'!P213</f>
        <v>1041.6589661</v>
      </c>
      <c r="O29" s="2367">
        <f>'11. Амортиз. план'!Q213</f>
        <v>1041.6589661</v>
      </c>
      <c r="P29" s="2370">
        <f>'11. Амортиз. план'!R213</f>
        <v>1041.6589661</v>
      </c>
      <c r="Q29" s="2366">
        <f>'11. Амортиз. план'!S213</f>
        <v>649.03701390000003</v>
      </c>
      <c r="R29" s="2367">
        <f>'11. Амортиз. план'!T213</f>
        <v>648.53701390000003</v>
      </c>
      <c r="S29" s="2367">
        <f>'11. Амортиз. план'!U213</f>
        <v>645.53701390000003</v>
      </c>
      <c r="T29" s="2367">
        <f>'11. Амортиз. план'!V213</f>
        <v>645.53701390000003</v>
      </c>
      <c r="U29" s="2367">
        <f>'11. Амортиз. план'!W213</f>
        <v>644.43701390000001</v>
      </c>
      <c r="V29" s="2367">
        <f>'11. Амортиз. план'!X213</f>
        <v>644.43701390000001</v>
      </c>
      <c r="W29" s="2368">
        <f>'11. Амортиз. план'!Y213</f>
        <v>644.43701390000001</v>
      </c>
    </row>
    <row r="30" spans="1:23" s="57" customFormat="1" ht="54.75" customHeight="1" thickBot="1">
      <c r="A30" s="2381" t="s">
        <v>1274</v>
      </c>
      <c r="B30" s="1333" t="s">
        <v>1496</v>
      </c>
      <c r="C30" s="2371">
        <f>C29</f>
        <v>1394.1712977</v>
      </c>
      <c r="D30" s="2372">
        <f>D29</f>
        <v>1318.1712976999997</v>
      </c>
      <c r="E30" s="2372">
        <f t="shared" ref="E30:K30" si="13">-E28</f>
        <v>1481.824152981776</v>
      </c>
      <c r="F30" s="2372">
        <f t="shared" si="13"/>
        <v>1426.3709002067064</v>
      </c>
      <c r="G30" s="2372">
        <f t="shared" si="13"/>
        <v>1520.1944983177571</v>
      </c>
      <c r="H30" s="2372">
        <f t="shared" si="13"/>
        <v>1503.4434125276061</v>
      </c>
      <c r="I30" s="2372">
        <f t="shared" si="13"/>
        <v>1667.4278643983389</v>
      </c>
      <c r="J30" s="2371">
        <f t="shared" si="13"/>
        <v>6</v>
      </c>
      <c r="K30" s="2372">
        <f t="shared" si="13"/>
        <v>53.61882668688412</v>
      </c>
      <c r="L30" s="2372">
        <f t="shared" ref="L30:W30" si="14">-L28</f>
        <v>57.81972422349638</v>
      </c>
      <c r="M30" s="2372">
        <f t="shared" si="14"/>
        <v>191.85668991776959</v>
      </c>
      <c r="N30" s="2372">
        <f t="shared" si="14"/>
        <v>171.24269020022868</v>
      </c>
      <c r="O30" s="2372">
        <f t="shared" si="14"/>
        <v>136.84182844944763</v>
      </c>
      <c r="P30" s="2372">
        <f t="shared" si="14"/>
        <v>100.39127844175972</v>
      </c>
      <c r="Q30" s="2373">
        <f t="shared" si="14"/>
        <v>17</v>
      </c>
      <c r="R30" s="2372">
        <f t="shared" si="14"/>
        <v>130.0013996369168</v>
      </c>
      <c r="S30" s="2372">
        <f t="shared" si="14"/>
        <v>350.57904601377527</v>
      </c>
      <c r="T30" s="2372">
        <f t="shared" si="14"/>
        <v>314.22476869457137</v>
      </c>
      <c r="U30" s="2372">
        <f t="shared" si="14"/>
        <v>331.36183696772844</v>
      </c>
      <c r="V30" s="2372">
        <f t="shared" si="14"/>
        <v>286.8937845086607</v>
      </c>
      <c r="W30" s="2372">
        <f t="shared" si="14"/>
        <v>214.74988264561551</v>
      </c>
    </row>
    <row r="31" spans="1:23" s="57" customFormat="1" ht="39.75" customHeight="1" thickBot="1">
      <c r="A31" s="2382" t="s">
        <v>1275</v>
      </c>
      <c r="B31" s="3068" t="s">
        <v>1260</v>
      </c>
      <c r="C31" s="2387">
        <f>IF(C30=0,0,C30/C29)</f>
        <v>1</v>
      </c>
      <c r="D31" s="2383">
        <f t="shared" ref="D31:W31" si="15">IF(D30=0,0,D30/D29)</f>
        <v>1</v>
      </c>
      <c r="E31" s="2383">
        <f t="shared" si="15"/>
        <v>1.148548379291523</v>
      </c>
      <c r="F31" s="2383">
        <f t="shared" si="15"/>
        <v>1.3272624878503878</v>
      </c>
      <c r="G31" s="2383">
        <f t="shared" si="15"/>
        <v>1.4420754023890907</v>
      </c>
      <c r="H31" s="2383">
        <f t="shared" si="15"/>
        <v>1.5940300730035732</v>
      </c>
      <c r="I31" s="2384">
        <f t="shared" si="15"/>
        <v>1.8323961081111568</v>
      </c>
      <c r="J31" s="2385">
        <f t="shared" si="15"/>
        <v>5.7226846199985E-3</v>
      </c>
      <c r="K31" s="2383">
        <f t="shared" si="15"/>
        <v>5.1434951811561866E-2</v>
      </c>
      <c r="L31" s="2383">
        <f t="shared" si="15"/>
        <v>5.5464748353413744E-2</v>
      </c>
      <c r="M31" s="2383">
        <f t="shared" si="15"/>
        <v>0.18411308396089196</v>
      </c>
      <c r="N31" s="2383">
        <f t="shared" si="15"/>
        <v>0.16439419788356072</v>
      </c>
      <c r="O31" s="2383">
        <f t="shared" si="15"/>
        <v>0.13136912646351734</v>
      </c>
      <c r="P31" s="2386">
        <f t="shared" si="15"/>
        <v>9.6376339770421648E-2</v>
      </c>
      <c r="Q31" s="2387">
        <f t="shared" si="15"/>
        <v>2.6192651013612706E-2</v>
      </c>
      <c r="R31" s="2383">
        <f t="shared" si="15"/>
        <v>0.2004533231729502</v>
      </c>
      <c r="S31" s="2383">
        <f t="shared" si="15"/>
        <v>0.54308124625690846</v>
      </c>
      <c r="T31" s="2383">
        <f t="shared" si="15"/>
        <v>0.48676491344189265</v>
      </c>
      <c r="U31" s="2383">
        <f t="shared" si="15"/>
        <v>0.51418808948045192</v>
      </c>
      <c r="V31" s="2383">
        <f t="shared" si="15"/>
        <v>0.4451851434982585</v>
      </c>
      <c r="W31" s="2383">
        <f t="shared" si="15"/>
        <v>0.33323641878667626</v>
      </c>
    </row>
    <row r="32" spans="1:23" s="57" customFormat="1" ht="30" customHeight="1" thickBot="1">
      <c r="A32" s="2381">
        <v>8</v>
      </c>
      <c r="B32" s="3069" t="s">
        <v>1540</v>
      </c>
      <c r="C32" s="3067">
        <f t="shared" ref="C32:H32" si="16">C28+C30</f>
        <v>722.88558341428575</v>
      </c>
      <c r="D32" s="3063">
        <f t="shared" si="16"/>
        <v>-2514.227523595247</v>
      </c>
      <c r="E32" s="3063">
        <f t="shared" si="16"/>
        <v>0</v>
      </c>
      <c r="F32" s="3063">
        <f t="shared" si="16"/>
        <v>0</v>
      </c>
      <c r="G32" s="3063">
        <f t="shared" si="16"/>
        <v>0</v>
      </c>
      <c r="H32" s="3063">
        <f t="shared" si="16"/>
        <v>0</v>
      </c>
      <c r="I32" s="3070">
        <f>I28+I30</f>
        <v>0</v>
      </c>
      <c r="J32" s="3067">
        <f t="shared" ref="J32:W32" si="17">J28+J30</f>
        <v>0</v>
      </c>
      <c r="K32" s="3063">
        <f t="shared" si="17"/>
        <v>0</v>
      </c>
      <c r="L32" s="3063">
        <f t="shared" si="17"/>
        <v>0</v>
      </c>
      <c r="M32" s="3063">
        <f t="shared" si="17"/>
        <v>0</v>
      </c>
      <c r="N32" s="3063">
        <f t="shared" si="17"/>
        <v>0</v>
      </c>
      <c r="O32" s="3063">
        <f t="shared" si="17"/>
        <v>0</v>
      </c>
      <c r="P32" s="3070">
        <f t="shared" si="17"/>
        <v>0</v>
      </c>
      <c r="Q32" s="3067">
        <f t="shared" si="17"/>
        <v>0</v>
      </c>
      <c r="R32" s="3063">
        <f t="shared" si="17"/>
        <v>0</v>
      </c>
      <c r="S32" s="3063">
        <f t="shared" si="17"/>
        <v>0</v>
      </c>
      <c r="T32" s="3063">
        <f t="shared" si="17"/>
        <v>0</v>
      </c>
      <c r="U32" s="3063">
        <f t="shared" si="17"/>
        <v>0</v>
      </c>
      <c r="V32" s="3063">
        <f t="shared" si="17"/>
        <v>0</v>
      </c>
      <c r="W32" s="3063">
        <f t="shared" si="17"/>
        <v>0</v>
      </c>
    </row>
    <row r="33" spans="1:23" s="57" customFormat="1" ht="13.5" thickBot="1">
      <c r="A33" s="1347"/>
      <c r="B33" s="1348"/>
      <c r="C33" s="1348"/>
      <c r="D33" s="1348"/>
      <c r="E33" s="1348"/>
      <c r="F33" s="1348"/>
      <c r="G33" s="1348"/>
      <c r="H33" s="1348"/>
      <c r="I33" s="1348"/>
      <c r="J33" s="1348"/>
      <c r="K33" s="1348"/>
      <c r="L33" s="1348"/>
      <c r="M33" s="1348"/>
      <c r="N33" s="1348"/>
      <c r="O33" s="1348"/>
      <c r="P33" s="1348"/>
      <c r="Q33" s="1348"/>
      <c r="R33" s="1348"/>
      <c r="S33" s="1348"/>
      <c r="T33" s="1348"/>
      <c r="U33" s="1348"/>
      <c r="V33" s="1348"/>
      <c r="W33" s="1349"/>
    </row>
    <row r="34" spans="1:23" s="126" customFormat="1" ht="27" customHeight="1">
      <c r="A34" s="3532">
        <v>9</v>
      </c>
      <c r="B34" s="3539" t="s">
        <v>1252</v>
      </c>
      <c r="C34" s="3526" t="s">
        <v>945</v>
      </c>
      <c r="D34" s="3527"/>
      <c r="E34" s="3527"/>
      <c r="F34" s="3527"/>
      <c r="G34" s="3527"/>
      <c r="H34" s="3527"/>
      <c r="I34" s="3528"/>
      <c r="J34" s="3526" t="s">
        <v>1251</v>
      </c>
      <c r="K34" s="3527"/>
      <c r="L34" s="3527"/>
      <c r="M34" s="3527"/>
      <c r="N34" s="3527"/>
      <c r="O34" s="3527"/>
      <c r="P34" s="3528"/>
      <c r="Q34" s="3529" t="s">
        <v>946</v>
      </c>
      <c r="R34" s="3527"/>
      <c r="S34" s="3527"/>
      <c r="T34" s="3527"/>
      <c r="U34" s="3527"/>
      <c r="V34" s="3527"/>
      <c r="W34" s="3528"/>
    </row>
    <row r="35" spans="1:23" s="2" customFormat="1" ht="13.5" thickBot="1">
      <c r="A35" s="3533"/>
      <c r="B35" s="3540"/>
      <c r="C35" s="2052" t="str">
        <f t="shared" ref="C35:W35" si="18">C7</f>
        <v>2015 г.</v>
      </c>
      <c r="D35" s="2053" t="str">
        <f t="shared" si="18"/>
        <v>2016 г.</v>
      </c>
      <c r="E35" s="2053" t="str">
        <f t="shared" si="18"/>
        <v>2017 г.</v>
      </c>
      <c r="F35" s="2053" t="str">
        <f t="shared" si="18"/>
        <v>2018 г.</v>
      </c>
      <c r="G35" s="2053" t="str">
        <f t="shared" si="18"/>
        <v>2019 г.</v>
      </c>
      <c r="H35" s="2053" t="str">
        <f t="shared" si="18"/>
        <v>2020 г.</v>
      </c>
      <c r="I35" s="2054" t="str">
        <f t="shared" si="18"/>
        <v>2021 г.</v>
      </c>
      <c r="J35" s="2052" t="str">
        <f t="shared" si="18"/>
        <v>2015 г.</v>
      </c>
      <c r="K35" s="2053" t="str">
        <f t="shared" si="18"/>
        <v>2016 г.</v>
      </c>
      <c r="L35" s="2053" t="str">
        <f t="shared" si="18"/>
        <v>2017 г.</v>
      </c>
      <c r="M35" s="2053" t="str">
        <f t="shared" si="18"/>
        <v>2018 г.</v>
      </c>
      <c r="N35" s="2053" t="str">
        <f t="shared" si="18"/>
        <v>2019 г.</v>
      </c>
      <c r="O35" s="2053" t="str">
        <f t="shared" si="18"/>
        <v>2020 г.</v>
      </c>
      <c r="P35" s="2054" t="str">
        <f t="shared" si="18"/>
        <v>2021 г.</v>
      </c>
      <c r="Q35" s="2055" t="str">
        <f t="shared" si="18"/>
        <v>2015 г.</v>
      </c>
      <c r="R35" s="2053" t="str">
        <f t="shared" si="18"/>
        <v>2016 г.</v>
      </c>
      <c r="S35" s="2053" t="str">
        <f t="shared" si="18"/>
        <v>2017 г.</v>
      </c>
      <c r="T35" s="2053" t="str">
        <f t="shared" si="18"/>
        <v>2018 г.</v>
      </c>
      <c r="U35" s="2053" t="str">
        <f t="shared" si="18"/>
        <v>2019 г.</v>
      </c>
      <c r="V35" s="2053" t="str">
        <f t="shared" si="18"/>
        <v>2020 г.</v>
      </c>
      <c r="W35" s="2054" t="str">
        <f t="shared" si="18"/>
        <v>2021 г.</v>
      </c>
    </row>
    <row r="36" spans="1:23" s="2" customFormat="1">
      <c r="A36" s="1295" t="s">
        <v>1276</v>
      </c>
      <c r="B36" s="1291" t="s">
        <v>255</v>
      </c>
      <c r="C36" s="809"/>
      <c r="D36" s="2941">
        <f t="shared" ref="D36:I36" si="19">C42</f>
        <v>0</v>
      </c>
      <c r="E36" s="2939">
        <f t="shared" si="19"/>
        <v>0</v>
      </c>
      <c r="F36" s="2939">
        <f t="shared" si="19"/>
        <v>0</v>
      </c>
      <c r="G36" s="2939">
        <f t="shared" si="19"/>
        <v>0</v>
      </c>
      <c r="H36" s="2939">
        <f t="shared" si="19"/>
        <v>0</v>
      </c>
      <c r="I36" s="2940">
        <f t="shared" si="19"/>
        <v>0</v>
      </c>
      <c r="J36" s="809"/>
      <c r="K36" s="2938">
        <f t="shared" ref="K36:P36" si="20">J42</f>
        <v>0</v>
      </c>
      <c r="L36" s="2939">
        <f t="shared" si="20"/>
        <v>0</v>
      </c>
      <c r="M36" s="2939">
        <f t="shared" si="20"/>
        <v>0</v>
      </c>
      <c r="N36" s="2939">
        <f t="shared" si="20"/>
        <v>0</v>
      </c>
      <c r="O36" s="2939">
        <f t="shared" si="20"/>
        <v>0</v>
      </c>
      <c r="P36" s="2940">
        <f t="shared" si="20"/>
        <v>0</v>
      </c>
      <c r="Q36" s="809"/>
      <c r="R36" s="2938">
        <f t="shared" ref="R36:W36" si="21">Q42</f>
        <v>0</v>
      </c>
      <c r="S36" s="2939">
        <f t="shared" si="21"/>
        <v>0</v>
      </c>
      <c r="T36" s="2939">
        <f t="shared" si="21"/>
        <v>0</v>
      </c>
      <c r="U36" s="2939">
        <f t="shared" si="21"/>
        <v>0</v>
      </c>
      <c r="V36" s="2939">
        <f t="shared" si="21"/>
        <v>0</v>
      </c>
      <c r="W36" s="2940">
        <f t="shared" si="21"/>
        <v>0</v>
      </c>
    </row>
    <row r="37" spans="1:23" s="2" customFormat="1">
      <c r="A37" s="1295" t="s">
        <v>1277</v>
      </c>
      <c r="B37" s="1292" t="s">
        <v>256</v>
      </c>
      <c r="C37" s="785"/>
      <c r="D37" s="786"/>
      <c r="E37" s="786"/>
      <c r="F37" s="786"/>
      <c r="G37" s="786"/>
      <c r="H37" s="786"/>
      <c r="I37" s="795"/>
      <c r="J37" s="785"/>
      <c r="K37" s="786"/>
      <c r="L37" s="786"/>
      <c r="M37" s="786"/>
      <c r="N37" s="786"/>
      <c r="O37" s="786"/>
      <c r="P37" s="795"/>
      <c r="Q37" s="785"/>
      <c r="R37" s="786"/>
      <c r="S37" s="786"/>
      <c r="T37" s="786"/>
      <c r="U37" s="786"/>
      <c r="V37" s="786"/>
      <c r="W37" s="795"/>
    </row>
    <row r="38" spans="1:23" s="2" customFormat="1">
      <c r="A38" s="1296" t="s">
        <v>1278</v>
      </c>
      <c r="B38" s="1292" t="s">
        <v>257</v>
      </c>
      <c r="C38" s="785"/>
      <c r="D38" s="786"/>
      <c r="E38" s="786"/>
      <c r="F38" s="786"/>
      <c r="G38" s="786"/>
      <c r="H38" s="786"/>
      <c r="I38" s="795"/>
      <c r="J38" s="785"/>
      <c r="K38" s="786"/>
      <c r="L38" s="786"/>
      <c r="M38" s="786"/>
      <c r="N38" s="786"/>
      <c r="O38" s="786"/>
      <c r="P38" s="795"/>
      <c r="Q38" s="785"/>
      <c r="R38" s="786"/>
      <c r="S38" s="786"/>
      <c r="T38" s="786"/>
      <c r="U38" s="786"/>
      <c r="V38" s="786"/>
      <c r="W38" s="795"/>
    </row>
    <row r="39" spans="1:23" s="2" customFormat="1">
      <c r="A39" s="1296" t="s">
        <v>1279</v>
      </c>
      <c r="B39" s="1292" t="s">
        <v>258</v>
      </c>
      <c r="C39" s="785"/>
      <c r="D39" s="786"/>
      <c r="E39" s="786"/>
      <c r="F39" s="786"/>
      <c r="G39" s="786"/>
      <c r="H39" s="786"/>
      <c r="I39" s="795"/>
      <c r="J39" s="785"/>
      <c r="K39" s="786"/>
      <c r="L39" s="786"/>
      <c r="M39" s="786"/>
      <c r="N39" s="786"/>
      <c r="O39" s="786"/>
      <c r="P39" s="795"/>
      <c r="Q39" s="785"/>
      <c r="R39" s="786"/>
      <c r="S39" s="786"/>
      <c r="T39" s="786"/>
      <c r="U39" s="786"/>
      <c r="V39" s="786"/>
      <c r="W39" s="795"/>
    </row>
    <row r="40" spans="1:23" s="2" customFormat="1">
      <c r="A40" s="1296" t="s">
        <v>1280</v>
      </c>
      <c r="B40" s="1292" t="s">
        <v>259</v>
      </c>
      <c r="C40" s="2236">
        <f t="shared" ref="C40:I40" si="22">IF(C36=0,0,C39/((C36+C42)/2))</f>
        <v>0</v>
      </c>
      <c r="D40" s="2237">
        <f t="shared" si="22"/>
        <v>0</v>
      </c>
      <c r="E40" s="2237">
        <f t="shared" si="22"/>
        <v>0</v>
      </c>
      <c r="F40" s="2237">
        <f t="shared" si="22"/>
        <v>0</v>
      </c>
      <c r="G40" s="2237">
        <f t="shared" si="22"/>
        <v>0</v>
      </c>
      <c r="H40" s="2237">
        <f t="shared" si="22"/>
        <v>0</v>
      </c>
      <c r="I40" s="2374">
        <f t="shared" si="22"/>
        <v>0</v>
      </c>
      <c r="J40" s="1214">
        <f t="shared" ref="J40:W40" si="23">IF(J36=0,0,J39/((J36+J42)/2))</f>
        <v>0</v>
      </c>
      <c r="K40" s="1215">
        <f t="shared" si="23"/>
        <v>0</v>
      </c>
      <c r="L40" s="1215">
        <f t="shared" si="23"/>
        <v>0</v>
      </c>
      <c r="M40" s="1215">
        <f t="shared" si="23"/>
        <v>0</v>
      </c>
      <c r="N40" s="1215">
        <f t="shared" si="23"/>
        <v>0</v>
      </c>
      <c r="O40" s="1215">
        <f t="shared" si="23"/>
        <v>0</v>
      </c>
      <c r="P40" s="1216">
        <f t="shared" si="23"/>
        <v>0</v>
      </c>
      <c r="Q40" s="1214">
        <f t="shared" si="23"/>
        <v>0</v>
      </c>
      <c r="R40" s="1215">
        <f t="shared" si="23"/>
        <v>0</v>
      </c>
      <c r="S40" s="1215">
        <f t="shared" si="23"/>
        <v>0</v>
      </c>
      <c r="T40" s="1215">
        <f t="shared" si="23"/>
        <v>0</v>
      </c>
      <c r="U40" s="1215">
        <f t="shared" si="23"/>
        <v>0</v>
      </c>
      <c r="V40" s="1215">
        <f t="shared" si="23"/>
        <v>0</v>
      </c>
      <c r="W40" s="1216">
        <f t="shared" si="23"/>
        <v>0</v>
      </c>
    </row>
    <row r="41" spans="1:23" s="2" customFormat="1">
      <c r="A41" s="1296" t="s">
        <v>1281</v>
      </c>
      <c r="B41" s="1292" t="s">
        <v>260</v>
      </c>
      <c r="C41" s="1217">
        <f>C38+C39</f>
        <v>0</v>
      </c>
      <c r="D41" s="1218">
        <f t="shared" ref="D41:I41" si="24">D38+D39</f>
        <v>0</v>
      </c>
      <c r="E41" s="1218">
        <f t="shared" si="24"/>
        <v>0</v>
      </c>
      <c r="F41" s="1218">
        <f t="shared" si="24"/>
        <v>0</v>
      </c>
      <c r="G41" s="1218">
        <f t="shared" si="24"/>
        <v>0</v>
      </c>
      <c r="H41" s="1218">
        <f t="shared" si="24"/>
        <v>0</v>
      </c>
      <c r="I41" s="1219">
        <f t="shared" si="24"/>
        <v>0</v>
      </c>
      <c r="J41" s="1217">
        <f>J38+J39</f>
        <v>0</v>
      </c>
      <c r="K41" s="1218">
        <f t="shared" ref="K41:P41" si="25">K38+K39</f>
        <v>0</v>
      </c>
      <c r="L41" s="1218">
        <f t="shared" si="25"/>
        <v>0</v>
      </c>
      <c r="M41" s="1218">
        <f t="shared" si="25"/>
        <v>0</v>
      </c>
      <c r="N41" s="1218">
        <f t="shared" si="25"/>
        <v>0</v>
      </c>
      <c r="O41" s="1218">
        <f t="shared" si="25"/>
        <v>0</v>
      </c>
      <c r="P41" s="1219">
        <f t="shared" si="25"/>
        <v>0</v>
      </c>
      <c r="Q41" s="1217">
        <f>Q38+Q39</f>
        <v>0</v>
      </c>
      <c r="R41" s="1218">
        <f t="shared" ref="R41:W41" si="26">R38+R39</f>
        <v>0</v>
      </c>
      <c r="S41" s="1218">
        <f t="shared" si="26"/>
        <v>0</v>
      </c>
      <c r="T41" s="1218">
        <f t="shared" si="26"/>
        <v>0</v>
      </c>
      <c r="U41" s="1218">
        <f t="shared" si="26"/>
        <v>0</v>
      </c>
      <c r="V41" s="1218">
        <f t="shared" si="26"/>
        <v>0</v>
      </c>
      <c r="W41" s="1219">
        <f t="shared" si="26"/>
        <v>0</v>
      </c>
    </row>
    <row r="42" spans="1:23" s="2" customFormat="1" ht="13.5" thickBot="1">
      <c r="A42" s="1297" t="s">
        <v>1282</v>
      </c>
      <c r="B42" s="1298" t="s">
        <v>261</v>
      </c>
      <c r="C42" s="1220">
        <f>C36+C37-C38</f>
        <v>0</v>
      </c>
      <c r="D42" s="1221">
        <f t="shared" ref="D42:I42" si="27">D36+D37-D38</f>
        <v>0</v>
      </c>
      <c r="E42" s="1221">
        <f t="shared" si="27"/>
        <v>0</v>
      </c>
      <c r="F42" s="1221">
        <f t="shared" si="27"/>
        <v>0</v>
      </c>
      <c r="G42" s="1221">
        <f t="shared" si="27"/>
        <v>0</v>
      </c>
      <c r="H42" s="1221">
        <f t="shared" si="27"/>
        <v>0</v>
      </c>
      <c r="I42" s="1222">
        <f t="shared" si="27"/>
        <v>0</v>
      </c>
      <c r="J42" s="1220">
        <f>J36+J37-J38</f>
        <v>0</v>
      </c>
      <c r="K42" s="1221">
        <f t="shared" ref="K42:P42" si="28">K36+K37-K38</f>
        <v>0</v>
      </c>
      <c r="L42" s="1221">
        <f t="shared" si="28"/>
        <v>0</v>
      </c>
      <c r="M42" s="1221">
        <f t="shared" si="28"/>
        <v>0</v>
      </c>
      <c r="N42" s="1221">
        <f t="shared" si="28"/>
        <v>0</v>
      </c>
      <c r="O42" s="1221">
        <f t="shared" si="28"/>
        <v>0</v>
      </c>
      <c r="P42" s="1222">
        <f t="shared" si="28"/>
        <v>0</v>
      </c>
      <c r="Q42" s="1220">
        <f>Q36+Q37-Q38</f>
        <v>0</v>
      </c>
      <c r="R42" s="1221">
        <f t="shared" ref="R42:W42" si="29">R36+R37-R38</f>
        <v>0</v>
      </c>
      <c r="S42" s="1221">
        <f t="shared" si="29"/>
        <v>0</v>
      </c>
      <c r="T42" s="1221">
        <f t="shared" si="29"/>
        <v>0</v>
      </c>
      <c r="U42" s="1221">
        <f t="shared" si="29"/>
        <v>0</v>
      </c>
      <c r="V42" s="1221">
        <f t="shared" si="29"/>
        <v>0</v>
      </c>
      <c r="W42" s="1222">
        <f t="shared" si="29"/>
        <v>0</v>
      </c>
    </row>
    <row r="43" spans="1:23" s="2" customFormat="1" ht="24">
      <c r="A43" s="2388" t="s">
        <v>1283</v>
      </c>
      <c r="B43" s="1350" t="s">
        <v>1307</v>
      </c>
      <c r="C43" s="3033"/>
      <c r="D43" s="3034"/>
      <c r="E43" s="3034"/>
      <c r="F43" s="3034"/>
      <c r="G43" s="3034"/>
      <c r="H43" s="3034"/>
      <c r="I43" s="3035"/>
      <c r="J43" s="3033"/>
      <c r="K43" s="3034"/>
      <c r="L43" s="3034"/>
      <c r="M43" s="3034"/>
      <c r="N43" s="3034"/>
      <c r="O43" s="3034"/>
      <c r="P43" s="3035"/>
      <c r="Q43" s="3033"/>
      <c r="R43" s="3034"/>
      <c r="S43" s="3034"/>
      <c r="T43" s="3034"/>
      <c r="U43" s="3034"/>
      <c r="V43" s="3034"/>
      <c r="W43" s="3035"/>
    </row>
    <row r="44" spans="1:23" s="2" customFormat="1" ht="24">
      <c r="A44" s="2389" t="s">
        <v>1284</v>
      </c>
      <c r="B44" s="1351" t="s">
        <v>1308</v>
      </c>
      <c r="C44" s="3036"/>
      <c r="D44" s="3037"/>
      <c r="E44" s="3037"/>
      <c r="F44" s="3037"/>
      <c r="G44" s="3037"/>
      <c r="H44" s="3037"/>
      <c r="I44" s="3038"/>
      <c r="J44" s="3036"/>
      <c r="K44" s="3037"/>
      <c r="L44" s="3037"/>
      <c r="M44" s="3037"/>
      <c r="N44" s="3037"/>
      <c r="O44" s="3037"/>
      <c r="P44" s="3038"/>
      <c r="Q44" s="3036"/>
      <c r="R44" s="3037"/>
      <c r="S44" s="3037"/>
      <c r="T44" s="3037"/>
      <c r="U44" s="3037"/>
      <c r="V44" s="3037"/>
      <c r="W44" s="3038"/>
    </row>
    <row r="45" spans="1:23" s="2" customFormat="1" ht="24.75" thickBot="1">
      <c r="A45" s="2390" t="s">
        <v>1285</v>
      </c>
      <c r="B45" s="1352" t="s">
        <v>1309</v>
      </c>
      <c r="C45" s="3039"/>
      <c r="D45" s="3040"/>
      <c r="E45" s="3040"/>
      <c r="F45" s="3040"/>
      <c r="G45" s="3040"/>
      <c r="H45" s="3040"/>
      <c r="I45" s="3041"/>
      <c r="J45" s="3039"/>
      <c r="K45" s="3040"/>
      <c r="L45" s="3040"/>
      <c r="M45" s="3040"/>
      <c r="N45" s="3040"/>
      <c r="O45" s="3040"/>
      <c r="P45" s="3041"/>
      <c r="Q45" s="3039"/>
      <c r="R45" s="3040"/>
      <c r="S45" s="3040"/>
      <c r="T45" s="3040"/>
      <c r="U45" s="3040"/>
      <c r="V45" s="3040"/>
      <c r="W45" s="3041"/>
    </row>
    <row r="46" spans="1:23" s="2" customFormat="1" ht="24" customHeight="1">
      <c r="A46" s="3544">
        <v>10</v>
      </c>
      <c r="B46" s="3551" t="s">
        <v>1253</v>
      </c>
      <c r="C46" s="3548" t="s">
        <v>1494</v>
      </c>
      <c r="D46" s="3549"/>
      <c r="E46" s="3549"/>
      <c r="F46" s="3549"/>
      <c r="G46" s="3549"/>
      <c r="H46" s="3549"/>
      <c r="I46" s="3550"/>
      <c r="J46" s="3554" t="s">
        <v>1495</v>
      </c>
      <c r="K46" s="3555"/>
      <c r="L46" s="3555"/>
      <c r="M46" s="3555"/>
      <c r="N46" s="3555"/>
      <c r="O46" s="3555"/>
      <c r="P46" s="3556"/>
      <c r="Q46" s="1239"/>
      <c r="R46" s="1239"/>
      <c r="S46" s="1239"/>
      <c r="T46" s="1239"/>
      <c r="U46" s="1239"/>
      <c r="V46" s="1239"/>
      <c r="W46" s="1239"/>
    </row>
    <row r="47" spans="1:23" s="2" customFormat="1" ht="13.5" thickBot="1">
      <c r="A47" s="3533"/>
      <c r="B47" s="3552"/>
      <c r="C47" s="2375" t="str">
        <f>C35</f>
        <v>2015 г.</v>
      </c>
      <c r="D47" s="2376" t="str">
        <f t="shared" ref="D47:P47" si="30">D35</f>
        <v>2016 г.</v>
      </c>
      <c r="E47" s="2376" t="str">
        <f t="shared" si="30"/>
        <v>2017 г.</v>
      </c>
      <c r="F47" s="2376" t="str">
        <f t="shared" si="30"/>
        <v>2018 г.</v>
      </c>
      <c r="G47" s="2376" t="str">
        <f t="shared" si="30"/>
        <v>2019 г.</v>
      </c>
      <c r="H47" s="2376" t="str">
        <f t="shared" si="30"/>
        <v>2020 г.</v>
      </c>
      <c r="I47" s="2377" t="str">
        <f t="shared" si="30"/>
        <v>2021 г.</v>
      </c>
      <c r="J47" s="2056" t="str">
        <f>J35</f>
        <v>2015 г.</v>
      </c>
      <c r="K47" s="2057" t="str">
        <f t="shared" si="30"/>
        <v>2016 г.</v>
      </c>
      <c r="L47" s="2057" t="str">
        <f t="shared" si="30"/>
        <v>2017 г.</v>
      </c>
      <c r="M47" s="2057" t="str">
        <f t="shared" si="30"/>
        <v>2018 г.</v>
      </c>
      <c r="N47" s="2057" t="str">
        <f t="shared" si="30"/>
        <v>2019 г.</v>
      </c>
      <c r="O47" s="2057" t="str">
        <f t="shared" si="30"/>
        <v>2020 г.</v>
      </c>
      <c r="P47" s="2058" t="str">
        <f t="shared" si="30"/>
        <v>2021 г.</v>
      </c>
    </row>
    <row r="48" spans="1:23" s="2" customFormat="1">
      <c r="A48" s="1295" t="s">
        <v>1286</v>
      </c>
      <c r="B48" s="1799" t="s">
        <v>255</v>
      </c>
      <c r="C48" s="809">
        <v>1948</v>
      </c>
      <c r="D48" s="2938">
        <f t="shared" ref="D48:I48" si="31">C54</f>
        <v>1666.7142857142858</v>
      </c>
      <c r="E48" s="2939">
        <f t="shared" si="31"/>
        <v>1385.4285714285716</v>
      </c>
      <c r="F48" s="2939">
        <f t="shared" si="31"/>
        <v>1104.1428571428573</v>
      </c>
      <c r="G48" s="2939">
        <f t="shared" si="31"/>
        <v>822.85714285714312</v>
      </c>
      <c r="H48" s="2939">
        <f t="shared" si="31"/>
        <v>541.5714285714289</v>
      </c>
      <c r="I48" s="2940">
        <f t="shared" si="31"/>
        <v>260.28571428571462</v>
      </c>
      <c r="J48" s="809"/>
      <c r="K48" s="2938">
        <f t="shared" ref="K48:P48" si="32">J54</f>
        <v>0</v>
      </c>
      <c r="L48" s="2939">
        <f t="shared" si="32"/>
        <v>0</v>
      </c>
      <c r="M48" s="2939">
        <f t="shared" si="32"/>
        <v>0</v>
      </c>
      <c r="N48" s="2939">
        <f t="shared" si="32"/>
        <v>0</v>
      </c>
      <c r="O48" s="2939">
        <f t="shared" si="32"/>
        <v>0</v>
      </c>
      <c r="P48" s="2940">
        <f t="shared" si="32"/>
        <v>0</v>
      </c>
    </row>
    <row r="49" spans="1:16" s="2" customFormat="1">
      <c r="A49" s="1295" t="s">
        <v>1287</v>
      </c>
      <c r="B49" s="1800" t="s">
        <v>256</v>
      </c>
      <c r="C49" s="785"/>
      <c r="D49" s="786"/>
      <c r="E49" s="786"/>
      <c r="F49" s="786"/>
      <c r="G49" s="786"/>
      <c r="H49" s="786"/>
      <c r="I49" s="795"/>
      <c r="J49" s="785"/>
      <c r="K49" s="786"/>
      <c r="L49" s="786"/>
      <c r="M49" s="786"/>
      <c r="N49" s="786"/>
      <c r="O49" s="786"/>
      <c r="P49" s="795"/>
    </row>
    <row r="50" spans="1:16" s="2" customFormat="1">
      <c r="A50" s="1296" t="s">
        <v>1288</v>
      </c>
      <c r="B50" s="1800" t="s">
        <v>257</v>
      </c>
      <c r="C50" s="785">
        <f>C48/7+3</f>
        <v>281.28571428571428</v>
      </c>
      <c r="D50" s="786">
        <f>C50</f>
        <v>281.28571428571428</v>
      </c>
      <c r="E50" s="786">
        <f>D50</f>
        <v>281.28571428571428</v>
      </c>
      <c r="F50" s="786">
        <f>E50</f>
        <v>281.28571428571428</v>
      </c>
      <c r="G50" s="786">
        <f>F50</f>
        <v>281.28571428571428</v>
      </c>
      <c r="H50" s="786">
        <f>G50</f>
        <v>281.28571428571428</v>
      </c>
      <c r="I50" s="795">
        <f>H50-21</f>
        <v>260.28571428571428</v>
      </c>
      <c r="J50" s="785"/>
      <c r="K50" s="786"/>
      <c r="L50" s="786"/>
      <c r="M50" s="786"/>
      <c r="N50" s="786"/>
      <c r="O50" s="786"/>
      <c r="P50" s="795"/>
    </row>
    <row r="51" spans="1:16" s="2" customFormat="1">
      <c r="A51" s="1296" t="s">
        <v>1289</v>
      </c>
      <c r="B51" s="1800" t="s">
        <v>258</v>
      </c>
      <c r="C51" s="785">
        <v>55.3</v>
      </c>
      <c r="D51" s="786">
        <v>46.7</v>
      </c>
      <c r="E51" s="786">
        <v>38.1</v>
      </c>
      <c r="F51" s="786">
        <v>29.5</v>
      </c>
      <c r="G51" s="786">
        <v>20.9</v>
      </c>
      <c r="H51" s="786">
        <v>12.25</v>
      </c>
      <c r="I51" s="786">
        <v>3.65</v>
      </c>
      <c r="J51" s="785"/>
      <c r="K51" s="786"/>
      <c r="L51" s="786"/>
      <c r="M51" s="786"/>
      <c r="N51" s="786"/>
      <c r="O51" s="786"/>
      <c r="P51" s="795"/>
    </row>
    <row r="52" spans="1:16" s="2" customFormat="1">
      <c r="A52" s="1296" t="s">
        <v>1290</v>
      </c>
      <c r="B52" s="1800" t="s">
        <v>259</v>
      </c>
      <c r="C52" s="1214">
        <f t="shared" ref="C52:P52" si="33">IF(C48=0,0,C51/((C48+C54)/2))</f>
        <v>3.0597162391811244E-2</v>
      </c>
      <c r="D52" s="1215">
        <f t="shared" si="33"/>
        <v>3.0601450971214604E-2</v>
      </c>
      <c r="E52" s="1215">
        <f t="shared" si="33"/>
        <v>3.0607677741435701E-2</v>
      </c>
      <c r="F52" s="1215">
        <f t="shared" si="33"/>
        <v>3.0617540217955364E-2</v>
      </c>
      <c r="G52" s="1215">
        <f t="shared" si="33"/>
        <v>3.0635535546016109E-2</v>
      </c>
      <c r="H52" s="1215">
        <f t="shared" si="33"/>
        <v>3.0554070906823418E-2</v>
      </c>
      <c r="I52" s="1216">
        <f t="shared" si="33"/>
        <v>2.8046103183315001E-2</v>
      </c>
      <c r="J52" s="1258">
        <f t="shared" si="33"/>
        <v>0</v>
      </c>
      <c r="K52" s="1215">
        <f t="shared" si="33"/>
        <v>0</v>
      </c>
      <c r="L52" s="1215">
        <f t="shared" si="33"/>
        <v>0</v>
      </c>
      <c r="M52" s="1215">
        <f t="shared" si="33"/>
        <v>0</v>
      </c>
      <c r="N52" s="1215">
        <f t="shared" si="33"/>
        <v>0</v>
      </c>
      <c r="O52" s="1215">
        <f t="shared" si="33"/>
        <v>0</v>
      </c>
      <c r="P52" s="1216">
        <f t="shared" si="33"/>
        <v>0</v>
      </c>
    </row>
    <row r="53" spans="1:16" s="2" customFormat="1">
      <c r="A53" s="1296" t="s">
        <v>1291</v>
      </c>
      <c r="B53" s="1800" t="s">
        <v>260</v>
      </c>
      <c r="C53" s="1217">
        <f>C50+C51</f>
        <v>336.58571428571429</v>
      </c>
      <c r="D53" s="1218">
        <f t="shared" ref="D53:I53" si="34">D50+D51</f>
        <v>327.98571428571427</v>
      </c>
      <c r="E53" s="1218">
        <f t="shared" si="34"/>
        <v>319.3857142857143</v>
      </c>
      <c r="F53" s="1218">
        <f t="shared" si="34"/>
        <v>310.78571428571428</v>
      </c>
      <c r="G53" s="1218">
        <f t="shared" si="34"/>
        <v>302.18571428571425</v>
      </c>
      <c r="H53" s="1218">
        <f t="shared" si="34"/>
        <v>293.53571428571428</v>
      </c>
      <c r="I53" s="1219">
        <f t="shared" si="34"/>
        <v>263.93571428571425</v>
      </c>
      <c r="J53" s="1259">
        <f>J50+J51</f>
        <v>0</v>
      </c>
      <c r="K53" s="1218">
        <f t="shared" ref="K53:P53" si="35">K50+K51</f>
        <v>0</v>
      </c>
      <c r="L53" s="1218">
        <f t="shared" si="35"/>
        <v>0</v>
      </c>
      <c r="M53" s="1218">
        <f t="shared" si="35"/>
        <v>0</v>
      </c>
      <c r="N53" s="1218">
        <f t="shared" si="35"/>
        <v>0</v>
      </c>
      <c r="O53" s="1218">
        <f t="shared" si="35"/>
        <v>0</v>
      </c>
      <c r="P53" s="1219">
        <f t="shared" si="35"/>
        <v>0</v>
      </c>
    </row>
    <row r="54" spans="1:16" s="2" customFormat="1" ht="13.5" thickBot="1">
      <c r="A54" s="1365" t="s">
        <v>1292</v>
      </c>
      <c r="B54" s="1801" t="s">
        <v>261</v>
      </c>
      <c r="C54" s="1224">
        <f>C48+C49-C50</f>
        <v>1666.7142857142858</v>
      </c>
      <c r="D54" s="1225">
        <f t="shared" ref="D54:I54" si="36">D48+D49-D50</f>
        <v>1385.4285714285716</v>
      </c>
      <c r="E54" s="1225">
        <f t="shared" si="36"/>
        <v>1104.1428571428573</v>
      </c>
      <c r="F54" s="1225">
        <f t="shared" si="36"/>
        <v>822.85714285714312</v>
      </c>
      <c r="G54" s="1225">
        <f t="shared" si="36"/>
        <v>541.5714285714289</v>
      </c>
      <c r="H54" s="1225">
        <f t="shared" si="36"/>
        <v>260.28571428571462</v>
      </c>
      <c r="I54" s="1226">
        <f t="shared" si="36"/>
        <v>0</v>
      </c>
      <c r="J54" s="2378">
        <f>J48+J49-J50</f>
        <v>0</v>
      </c>
      <c r="K54" s="1225">
        <f t="shared" ref="K54:P54" si="37">K48+K49-K50</f>
        <v>0</v>
      </c>
      <c r="L54" s="1225">
        <f t="shared" si="37"/>
        <v>0</v>
      </c>
      <c r="M54" s="1225">
        <f t="shared" si="37"/>
        <v>0</v>
      </c>
      <c r="N54" s="1225">
        <f t="shared" si="37"/>
        <v>0</v>
      </c>
      <c r="O54" s="1225">
        <f t="shared" si="37"/>
        <v>0</v>
      </c>
      <c r="P54" s="1226">
        <f t="shared" si="37"/>
        <v>0</v>
      </c>
    </row>
    <row r="55" spans="1:16" s="2" customFormat="1" ht="24">
      <c r="A55" s="2388" t="s">
        <v>1293</v>
      </c>
      <c r="B55" s="1366" t="s">
        <v>1307</v>
      </c>
      <c r="C55" s="3036">
        <v>1</v>
      </c>
      <c r="D55" s="3037">
        <v>1</v>
      </c>
      <c r="E55" s="3037">
        <v>1</v>
      </c>
      <c r="F55" s="3037">
        <v>1</v>
      </c>
      <c r="G55" s="3037">
        <v>1</v>
      </c>
      <c r="H55" s="3037">
        <v>1</v>
      </c>
      <c r="I55" s="3038">
        <v>1</v>
      </c>
      <c r="J55" s="3036"/>
      <c r="K55" s="3037"/>
      <c r="L55" s="3037"/>
      <c r="M55" s="3037"/>
      <c r="N55" s="3037"/>
      <c r="O55" s="3037"/>
      <c r="P55" s="3038"/>
    </row>
    <row r="56" spans="1:16" s="2" customFormat="1" ht="24">
      <c r="A56" s="2389" t="s">
        <v>1294</v>
      </c>
      <c r="B56" s="1293" t="s">
        <v>1308</v>
      </c>
      <c r="C56" s="3036"/>
      <c r="D56" s="3037"/>
      <c r="E56" s="3037"/>
      <c r="F56" s="3037"/>
      <c r="G56" s="3037"/>
      <c r="H56" s="3037"/>
      <c r="I56" s="3038"/>
      <c r="J56" s="3036"/>
      <c r="K56" s="3037"/>
      <c r="L56" s="3037"/>
      <c r="M56" s="3037"/>
      <c r="N56" s="3037"/>
      <c r="O56" s="3037"/>
      <c r="P56" s="3038"/>
    </row>
    <row r="57" spans="1:16" s="2" customFormat="1" ht="24.75" thickBot="1">
      <c r="A57" s="2390" t="s">
        <v>1295</v>
      </c>
      <c r="B57" s="1294" t="s">
        <v>1309</v>
      </c>
      <c r="C57" s="3036"/>
      <c r="D57" s="3037"/>
      <c r="E57" s="3037"/>
      <c r="F57" s="3037"/>
      <c r="G57" s="3037"/>
      <c r="H57" s="3037"/>
      <c r="I57" s="3038"/>
      <c r="J57" s="3039"/>
      <c r="K57" s="3040"/>
      <c r="L57" s="3040"/>
      <c r="M57" s="3040"/>
      <c r="N57" s="3040"/>
      <c r="O57" s="3040"/>
      <c r="P57" s="3041"/>
    </row>
    <row r="58" spans="1:16" s="2" customFormat="1" ht="13.5" customHeight="1">
      <c r="A58" s="3544">
        <v>11</v>
      </c>
      <c r="B58" s="3546" t="s">
        <v>1254</v>
      </c>
      <c r="C58" s="3548" t="s">
        <v>1547</v>
      </c>
      <c r="D58" s="3549"/>
      <c r="E58" s="3549"/>
      <c r="F58" s="3549"/>
      <c r="G58" s="3549"/>
      <c r="H58" s="3549"/>
      <c r="I58" s="3550"/>
      <c r="J58" s="3548" t="s">
        <v>1548</v>
      </c>
      <c r="K58" s="3549"/>
      <c r="L58" s="3549"/>
      <c r="M58" s="3549"/>
      <c r="N58" s="3549"/>
      <c r="O58" s="3549"/>
      <c r="P58" s="3550"/>
    </row>
    <row r="59" spans="1:16" s="2" customFormat="1" ht="13.5" thickBot="1">
      <c r="A59" s="3533"/>
      <c r="B59" s="3547"/>
      <c r="C59" s="1242" t="str">
        <f t="shared" ref="C59:P59" si="38">C7</f>
        <v>2015 г.</v>
      </c>
      <c r="D59" s="1240" t="str">
        <f t="shared" si="38"/>
        <v>2016 г.</v>
      </c>
      <c r="E59" s="1240" t="str">
        <f t="shared" si="38"/>
        <v>2017 г.</v>
      </c>
      <c r="F59" s="1240" t="str">
        <f t="shared" si="38"/>
        <v>2018 г.</v>
      </c>
      <c r="G59" s="1240" t="str">
        <f t="shared" si="38"/>
        <v>2019 г.</v>
      </c>
      <c r="H59" s="1240" t="str">
        <f t="shared" si="38"/>
        <v>2020 г.</v>
      </c>
      <c r="I59" s="1241" t="str">
        <f t="shared" si="38"/>
        <v>2021 г.</v>
      </c>
      <c r="J59" s="1242" t="str">
        <f t="shared" si="38"/>
        <v>2015 г.</v>
      </c>
      <c r="K59" s="1240" t="str">
        <f t="shared" si="38"/>
        <v>2016 г.</v>
      </c>
      <c r="L59" s="1240" t="str">
        <f t="shared" si="38"/>
        <v>2017 г.</v>
      </c>
      <c r="M59" s="1240" t="str">
        <f t="shared" si="38"/>
        <v>2018 г.</v>
      </c>
      <c r="N59" s="1240" t="str">
        <f t="shared" si="38"/>
        <v>2019 г.</v>
      </c>
      <c r="O59" s="1240" t="str">
        <f t="shared" si="38"/>
        <v>2020 г.</v>
      </c>
      <c r="P59" s="1241" t="str">
        <f t="shared" si="38"/>
        <v>2021 г.</v>
      </c>
    </row>
    <row r="60" spans="1:16" s="2" customFormat="1">
      <c r="A60" s="1295" t="s">
        <v>1296</v>
      </c>
      <c r="B60" s="1212" t="s">
        <v>255</v>
      </c>
      <c r="C60" s="3084"/>
      <c r="D60" s="2942">
        <f t="shared" ref="D60:I60" si="39">C66</f>
        <v>0</v>
      </c>
      <c r="E60" s="2943">
        <f t="shared" si="39"/>
        <v>0</v>
      </c>
      <c r="F60" s="2943">
        <f t="shared" si="39"/>
        <v>0</v>
      </c>
      <c r="G60" s="2943">
        <f t="shared" si="39"/>
        <v>0</v>
      </c>
      <c r="H60" s="2943">
        <f t="shared" si="39"/>
        <v>0</v>
      </c>
      <c r="I60" s="2944">
        <f t="shared" si="39"/>
        <v>0</v>
      </c>
      <c r="J60" s="3084"/>
      <c r="K60" s="2942">
        <f t="shared" ref="K60:P60" si="40">J66</f>
        <v>0</v>
      </c>
      <c r="L60" s="2943">
        <f t="shared" si="40"/>
        <v>0</v>
      </c>
      <c r="M60" s="2943">
        <f t="shared" si="40"/>
        <v>0</v>
      </c>
      <c r="N60" s="2943">
        <f t="shared" si="40"/>
        <v>0</v>
      </c>
      <c r="O60" s="2943">
        <f t="shared" si="40"/>
        <v>0</v>
      </c>
      <c r="P60" s="2944">
        <f t="shared" si="40"/>
        <v>0</v>
      </c>
    </row>
    <row r="61" spans="1:16" s="2" customFormat="1">
      <c r="A61" s="1295" t="s">
        <v>1297</v>
      </c>
      <c r="B61" s="1213" t="s">
        <v>256</v>
      </c>
      <c r="C61" s="3083"/>
      <c r="D61" s="786"/>
      <c r="E61" s="786"/>
      <c r="F61" s="786"/>
      <c r="G61" s="786"/>
      <c r="H61" s="786"/>
      <c r="I61" s="795"/>
      <c r="J61" s="3083"/>
      <c r="K61" s="786"/>
      <c r="L61" s="786"/>
      <c r="M61" s="786"/>
      <c r="N61" s="786"/>
      <c r="O61" s="786"/>
      <c r="P61" s="795"/>
    </row>
    <row r="62" spans="1:16" s="2" customFormat="1">
      <c r="A62" s="1296" t="s">
        <v>1298</v>
      </c>
      <c r="B62" s="1213" t="s">
        <v>257</v>
      </c>
      <c r="C62" s="3083"/>
      <c r="D62" s="786"/>
      <c r="E62" s="786"/>
      <c r="F62" s="786"/>
      <c r="G62" s="786"/>
      <c r="H62" s="786"/>
      <c r="I62" s="795"/>
      <c r="J62" s="3083"/>
      <c r="K62" s="786"/>
      <c r="L62" s="786"/>
      <c r="M62" s="786"/>
      <c r="N62" s="786"/>
      <c r="O62" s="786"/>
      <c r="P62" s="795"/>
    </row>
    <row r="63" spans="1:16" s="2" customFormat="1">
      <c r="A63" s="1296" t="s">
        <v>1299</v>
      </c>
      <c r="B63" s="1213" t="s">
        <v>258</v>
      </c>
      <c r="C63" s="3083"/>
      <c r="D63" s="786"/>
      <c r="E63" s="786"/>
      <c r="F63" s="786"/>
      <c r="G63" s="786"/>
      <c r="H63" s="786"/>
      <c r="I63" s="795"/>
      <c r="J63" s="3083"/>
      <c r="K63" s="786"/>
      <c r="L63" s="786"/>
      <c r="M63" s="786"/>
      <c r="N63" s="786"/>
      <c r="O63" s="786"/>
      <c r="P63" s="795"/>
    </row>
    <row r="64" spans="1:16" s="2" customFormat="1">
      <c r="A64" s="1296" t="s">
        <v>1300</v>
      </c>
      <c r="B64" s="1213" t="s">
        <v>259</v>
      </c>
      <c r="C64" s="3085">
        <f t="shared" ref="C64:P64" si="41">IF(AND(C60=0,C61=0),0,C63/((C60+C61+C66)/2))</f>
        <v>0</v>
      </c>
      <c r="D64" s="3081">
        <f t="shared" si="41"/>
        <v>0</v>
      </c>
      <c r="E64" s="3081">
        <f t="shared" si="41"/>
        <v>0</v>
      </c>
      <c r="F64" s="3081">
        <f t="shared" si="41"/>
        <v>0</v>
      </c>
      <c r="G64" s="3081">
        <f t="shared" si="41"/>
        <v>0</v>
      </c>
      <c r="H64" s="3081">
        <f t="shared" si="41"/>
        <v>0</v>
      </c>
      <c r="I64" s="3082">
        <f t="shared" si="41"/>
        <v>0</v>
      </c>
      <c r="J64" s="3085">
        <f t="shared" si="41"/>
        <v>0</v>
      </c>
      <c r="K64" s="3081">
        <f t="shared" si="41"/>
        <v>0</v>
      </c>
      <c r="L64" s="3081">
        <f t="shared" si="41"/>
        <v>0</v>
      </c>
      <c r="M64" s="3081">
        <f t="shared" si="41"/>
        <v>0</v>
      </c>
      <c r="N64" s="3081">
        <f t="shared" si="41"/>
        <v>0</v>
      </c>
      <c r="O64" s="3081">
        <f t="shared" si="41"/>
        <v>0</v>
      </c>
      <c r="P64" s="3082">
        <f t="shared" si="41"/>
        <v>0</v>
      </c>
    </row>
    <row r="65" spans="1:16" s="2" customFormat="1">
      <c r="A65" s="1296" t="s">
        <v>1301</v>
      </c>
      <c r="B65" s="1213" t="s">
        <v>260</v>
      </c>
      <c r="C65" s="1217">
        <f>C62+C63</f>
        <v>0</v>
      </c>
      <c r="D65" s="1218">
        <f t="shared" ref="D65:I65" si="42">D62+D63</f>
        <v>0</v>
      </c>
      <c r="E65" s="1218">
        <f t="shared" si="42"/>
        <v>0</v>
      </c>
      <c r="F65" s="1218">
        <f t="shared" si="42"/>
        <v>0</v>
      </c>
      <c r="G65" s="1218">
        <f t="shared" si="42"/>
        <v>0</v>
      </c>
      <c r="H65" s="1218">
        <f t="shared" si="42"/>
        <v>0</v>
      </c>
      <c r="I65" s="1219">
        <f t="shared" si="42"/>
        <v>0</v>
      </c>
      <c r="J65" s="1217">
        <f>J62+J63</f>
        <v>0</v>
      </c>
      <c r="K65" s="1218">
        <f t="shared" ref="K65:P65" si="43">K62+K63</f>
        <v>0</v>
      </c>
      <c r="L65" s="1218">
        <f t="shared" si="43"/>
        <v>0</v>
      </c>
      <c r="M65" s="1218">
        <f t="shared" si="43"/>
        <v>0</v>
      </c>
      <c r="N65" s="1218">
        <f t="shared" si="43"/>
        <v>0</v>
      </c>
      <c r="O65" s="1218">
        <f t="shared" si="43"/>
        <v>0</v>
      </c>
      <c r="P65" s="1219">
        <f t="shared" si="43"/>
        <v>0</v>
      </c>
    </row>
    <row r="66" spans="1:16" s="2" customFormat="1" ht="13.5" thickBot="1">
      <c r="A66" s="1297" t="s">
        <v>1302</v>
      </c>
      <c r="B66" s="1223" t="s">
        <v>261</v>
      </c>
      <c r="C66" s="1224">
        <f>C60+C61-C62</f>
        <v>0</v>
      </c>
      <c r="D66" s="1225">
        <f t="shared" ref="D66:I66" si="44">D60+D61-D62</f>
        <v>0</v>
      </c>
      <c r="E66" s="1225">
        <f t="shared" si="44"/>
        <v>0</v>
      </c>
      <c r="F66" s="1225">
        <f t="shared" si="44"/>
        <v>0</v>
      </c>
      <c r="G66" s="1225">
        <f t="shared" si="44"/>
        <v>0</v>
      </c>
      <c r="H66" s="1225">
        <f t="shared" si="44"/>
        <v>0</v>
      </c>
      <c r="I66" s="1226">
        <f t="shared" si="44"/>
        <v>0</v>
      </c>
      <c r="J66" s="1224">
        <f>J60+J61-J62</f>
        <v>0</v>
      </c>
      <c r="K66" s="1225">
        <f t="shared" ref="K66:P66" si="45">K60+K61-K62</f>
        <v>0</v>
      </c>
      <c r="L66" s="1225">
        <f t="shared" si="45"/>
        <v>0</v>
      </c>
      <c r="M66" s="1225">
        <f t="shared" si="45"/>
        <v>0</v>
      </c>
      <c r="N66" s="1225">
        <f t="shared" si="45"/>
        <v>0</v>
      </c>
      <c r="O66" s="1225">
        <f t="shared" si="45"/>
        <v>0</v>
      </c>
      <c r="P66" s="1226">
        <f t="shared" si="45"/>
        <v>0</v>
      </c>
    </row>
    <row r="67" spans="1:16" s="2" customFormat="1" ht="24">
      <c r="A67" s="2388" t="s">
        <v>1303</v>
      </c>
      <c r="B67" s="1366" t="s">
        <v>1307</v>
      </c>
      <c r="C67" s="3083"/>
      <c r="D67" s="3037"/>
      <c r="E67" s="3037"/>
      <c r="F67" s="3037"/>
      <c r="G67" s="3037"/>
      <c r="H67" s="3037"/>
      <c r="I67" s="3038"/>
      <c r="J67" s="3083"/>
      <c r="K67" s="3034"/>
      <c r="L67" s="3034"/>
      <c r="M67" s="3034"/>
      <c r="N67" s="3034"/>
      <c r="O67" s="3034"/>
      <c r="P67" s="3035"/>
    </row>
    <row r="68" spans="1:16" s="2" customFormat="1" ht="24">
      <c r="A68" s="2389" t="s">
        <v>1304</v>
      </c>
      <c r="B68" s="1293" t="s">
        <v>1308</v>
      </c>
      <c r="C68" s="3083"/>
      <c r="D68" s="3037"/>
      <c r="E68" s="3037"/>
      <c r="F68" s="3037"/>
      <c r="G68" s="3037"/>
      <c r="H68" s="3037"/>
      <c r="I68" s="3037"/>
      <c r="J68" s="3083"/>
      <c r="K68" s="3037"/>
      <c r="L68" s="3037"/>
      <c r="M68" s="3037"/>
      <c r="N68" s="3037"/>
      <c r="O68" s="3037"/>
      <c r="P68" s="3038"/>
    </row>
    <row r="69" spans="1:16" s="2" customFormat="1" ht="24.75" thickBot="1">
      <c r="A69" s="2390" t="s">
        <v>1305</v>
      </c>
      <c r="B69" s="1294" t="s">
        <v>1309</v>
      </c>
      <c r="C69" s="3083"/>
      <c r="D69" s="3040"/>
      <c r="E69" s="3040"/>
      <c r="F69" s="3040"/>
      <c r="G69" s="3040"/>
      <c r="H69" s="3040"/>
      <c r="I69" s="3040"/>
      <c r="J69" s="3083"/>
      <c r="K69" s="3040"/>
      <c r="L69" s="3040"/>
      <c r="M69" s="3040"/>
      <c r="N69" s="3040"/>
      <c r="O69" s="3040"/>
      <c r="P69" s="3041"/>
    </row>
    <row r="70" spans="1:16" ht="16.5" customHeight="1">
      <c r="B70" s="1227"/>
      <c r="E70" s="1205"/>
      <c r="F70" s="1205"/>
      <c r="G70" s="1205"/>
      <c r="H70" s="1205"/>
      <c r="I70" s="40"/>
    </row>
    <row r="71" spans="1:16">
      <c r="B71" s="43" t="str">
        <f>'9.Инвестиционна програма'!B101</f>
        <v>Дата: 10.11.2017 г.</v>
      </c>
      <c r="G71" s="13"/>
      <c r="I71" s="37"/>
    </row>
    <row r="72" spans="1:16">
      <c r="B72" s="1"/>
      <c r="E72" s="1"/>
      <c r="F72" s="45" t="str">
        <f>'9.Инвестиционна програма'!AC99</f>
        <v>Главен счетоводител:</v>
      </c>
      <c r="G72" s="13" t="s">
        <v>262</v>
      </c>
      <c r="H72" s="2"/>
      <c r="I72" s="5"/>
    </row>
    <row r="73" spans="1:16">
      <c r="B73" s="1"/>
      <c r="E73" s="1"/>
      <c r="F73" s="14"/>
      <c r="H73" s="15" t="s">
        <v>5</v>
      </c>
      <c r="I73" s="5"/>
    </row>
    <row r="74" spans="1:16">
      <c r="B74" s="1"/>
      <c r="E74" s="1"/>
      <c r="F74" s="14"/>
      <c r="H74" s="15"/>
      <c r="I74" s="5"/>
    </row>
    <row r="75" spans="1:16">
      <c r="B75" s="1"/>
      <c r="E75" s="1"/>
      <c r="F75" s="14"/>
      <c r="H75" s="15"/>
      <c r="I75" s="5"/>
    </row>
    <row r="76" spans="1:16">
      <c r="B76" s="1"/>
      <c r="E76" s="1"/>
      <c r="F76" s="46" t="str">
        <f>'9.Инвестиционна програма'!AC105</f>
        <v>Управител:</v>
      </c>
      <c r="G76" s="13" t="s">
        <v>262</v>
      </c>
      <c r="H76" s="5"/>
      <c r="I76" s="5"/>
    </row>
    <row r="77" spans="1:16">
      <c r="B77" s="1"/>
      <c r="E77" s="1"/>
      <c r="F77" s="16"/>
      <c r="H77" s="15" t="s">
        <v>6</v>
      </c>
    </row>
    <row r="80" spans="1:16" ht="27" customHeight="1">
      <c r="A80" s="3545" t="s">
        <v>247</v>
      </c>
      <c r="B80" s="3545"/>
      <c r="C80" s="3545"/>
      <c r="D80" s="3545"/>
      <c r="E80" s="3086"/>
      <c r="F80" s="3086"/>
      <c r="G80" s="3086"/>
      <c r="H80" s="3087"/>
      <c r="I80" s="3087"/>
      <c r="J80" s="3087"/>
      <c r="K80" s="3087"/>
      <c r="L80" s="3087"/>
      <c r="M80" s="3087"/>
      <c r="N80" s="3087"/>
      <c r="O80" s="3087"/>
      <c r="P80" s="3087"/>
    </row>
    <row r="81" spans="1:16">
      <c r="A81" s="3553" t="s">
        <v>248</v>
      </c>
      <c r="B81" s="3553"/>
      <c r="C81" s="3553"/>
      <c r="D81" s="3553"/>
      <c r="E81" s="3088"/>
      <c r="F81" s="3088"/>
      <c r="G81" s="3088"/>
      <c r="H81" s="3089"/>
      <c r="I81" s="3089"/>
      <c r="J81" s="3089"/>
      <c r="K81" s="3089"/>
      <c r="L81" s="3089"/>
      <c r="M81" s="3089"/>
      <c r="N81" s="3089"/>
      <c r="O81" s="3089"/>
      <c r="P81" s="3089"/>
    </row>
    <row r="82" spans="1:16" ht="29.25" customHeight="1">
      <c r="A82" s="3543" t="s">
        <v>1542</v>
      </c>
      <c r="B82" s="3543"/>
      <c r="C82" s="3543"/>
      <c r="D82" s="3543"/>
      <c r="E82" s="3543"/>
      <c r="F82" s="3543"/>
      <c r="G82" s="3543"/>
      <c r="H82" s="3543"/>
      <c r="I82" s="3543"/>
      <c r="J82" s="3543"/>
      <c r="K82" s="3543"/>
      <c r="L82" s="3543"/>
      <c r="M82" s="3543"/>
      <c r="N82" s="3543"/>
      <c r="O82" s="3543"/>
      <c r="P82" s="3543"/>
    </row>
    <row r="83" spans="1:16" ht="21" customHeight="1">
      <c r="A83" s="3413" t="s">
        <v>1543</v>
      </c>
      <c r="B83" s="3413"/>
      <c r="C83" s="3413"/>
      <c r="D83" s="3413"/>
      <c r="E83" s="3413"/>
      <c r="F83" s="3413"/>
      <c r="G83" s="3413"/>
      <c r="H83" s="3413"/>
      <c r="I83" s="3413"/>
      <c r="J83" s="3413"/>
      <c r="K83" s="3413"/>
      <c r="L83" s="3413"/>
      <c r="M83" s="3413"/>
      <c r="N83" s="3413"/>
      <c r="O83" s="3413"/>
      <c r="P83" s="3413"/>
    </row>
    <row r="84" spans="1:16" ht="32.25" customHeight="1">
      <c r="A84" s="3543" t="s">
        <v>1541</v>
      </c>
      <c r="B84" s="3543"/>
      <c r="C84" s="3543"/>
      <c r="D84" s="3543"/>
      <c r="E84" s="3543"/>
      <c r="F84" s="3543"/>
      <c r="G84" s="3543"/>
      <c r="H84" s="3543"/>
      <c r="I84" s="3543"/>
      <c r="J84" s="3543"/>
      <c r="K84" s="3543"/>
      <c r="L84" s="3543"/>
      <c r="M84" s="3543"/>
      <c r="N84" s="3543"/>
      <c r="O84" s="3543"/>
      <c r="P84" s="3543"/>
    </row>
    <row r="85" spans="1:16" ht="22.5" customHeight="1">
      <c r="A85" s="3543" t="s">
        <v>1544</v>
      </c>
      <c r="B85" s="3543"/>
      <c r="C85" s="3543"/>
      <c r="D85" s="3543"/>
      <c r="E85" s="3543"/>
      <c r="F85" s="3543"/>
      <c r="G85" s="3543"/>
      <c r="H85" s="3543"/>
      <c r="I85" s="3543"/>
      <c r="J85" s="3543"/>
      <c r="K85" s="3543"/>
      <c r="L85" s="3543"/>
      <c r="M85" s="3543"/>
      <c r="N85" s="3543"/>
      <c r="O85" s="3543"/>
      <c r="P85" s="3543"/>
    </row>
    <row r="86" spans="1:16">
      <c r="A86" s="3543" t="s">
        <v>1545</v>
      </c>
      <c r="B86" s="3543"/>
      <c r="C86" s="3543"/>
      <c r="D86" s="3543"/>
      <c r="E86" s="3543"/>
      <c r="F86" s="3543"/>
      <c r="G86" s="3543"/>
      <c r="H86" s="3543"/>
      <c r="I86" s="3543"/>
      <c r="J86" s="3543"/>
      <c r="K86" s="3543"/>
      <c r="L86" s="3543"/>
      <c r="M86" s="3543"/>
      <c r="N86" s="3543"/>
      <c r="O86" s="3543"/>
      <c r="P86" s="3543"/>
    </row>
    <row r="87" spans="1:16" ht="21.75" customHeight="1">
      <c r="A87" s="3543" t="s">
        <v>1546</v>
      </c>
      <c r="B87" s="3543"/>
      <c r="C87" s="3543"/>
      <c r="D87" s="3543"/>
      <c r="E87" s="3543"/>
      <c r="F87" s="3543"/>
      <c r="G87" s="3543"/>
      <c r="H87" s="3543"/>
      <c r="I87" s="3543"/>
      <c r="J87" s="3543"/>
      <c r="K87" s="3543"/>
      <c r="L87" s="3543"/>
      <c r="M87" s="3543"/>
      <c r="N87" s="3543"/>
      <c r="O87" s="3543"/>
      <c r="P87" s="3543"/>
    </row>
    <row r="88" spans="1:16" ht="31.5" customHeight="1">
      <c r="A88" s="33"/>
    </row>
  </sheetData>
  <sheetProtection password="C6DB" sheet="1" objects="1" scenarios="1" formatCells="0" formatColumns="0" formatRows="0"/>
  <mergeCells count="30">
    <mergeCell ref="A82:P82"/>
    <mergeCell ref="A87:P87"/>
    <mergeCell ref="A85:P85"/>
    <mergeCell ref="A46:A47"/>
    <mergeCell ref="A58:A59"/>
    <mergeCell ref="A80:D80"/>
    <mergeCell ref="B58:B59"/>
    <mergeCell ref="A86:P86"/>
    <mergeCell ref="C46:I46"/>
    <mergeCell ref="B46:B47"/>
    <mergeCell ref="A84:P84"/>
    <mergeCell ref="A81:D81"/>
    <mergeCell ref="J46:P46"/>
    <mergeCell ref="A83:P83"/>
    <mergeCell ref="C58:I58"/>
    <mergeCell ref="J58:P58"/>
    <mergeCell ref="A2:W2"/>
    <mergeCell ref="A3:W3"/>
    <mergeCell ref="A4:W4"/>
    <mergeCell ref="A1:W1"/>
    <mergeCell ref="J34:P34"/>
    <mergeCell ref="Q34:W34"/>
    <mergeCell ref="A6:A7"/>
    <mergeCell ref="A34:A35"/>
    <mergeCell ref="B6:B7"/>
    <mergeCell ref="C6:I6"/>
    <mergeCell ref="C34:I34"/>
    <mergeCell ref="B34:B35"/>
    <mergeCell ref="J6:P6"/>
    <mergeCell ref="Q6:W6"/>
  </mergeCells>
  <conditionalFormatting sqref="C28:W28">
    <cfRule type="cellIs" dxfId="4" priority="3" operator="lessThan">
      <formula>0</formula>
    </cfRule>
  </conditionalFormatting>
  <conditionalFormatting sqref="C31:W31">
    <cfRule type="cellIs" dxfId="3" priority="2" operator="greaterThan">
      <formula>1</formula>
    </cfRule>
  </conditionalFormatting>
  <conditionalFormatting sqref="C32:W32">
    <cfRule type="cellIs" dxfId="2" priority="1" operator="greaterThan">
      <formula>0</formula>
    </cfRule>
  </conditionalFormatting>
  <printOptions horizontalCentered="1"/>
  <pageMargins left="0.19685039370078741" right="0.19685039370078741" top="0.59055118110236227" bottom="0.19685039370078741" header="0.39370078740157483" footer="0.39370078740157483"/>
  <pageSetup paperSize="9" scale="59" orientation="landscape" r:id="rId1"/>
  <headerFooter alignWithMargins="0">
    <oddFooter>&amp;A&amp;RPage &amp;P</oddFooter>
  </headerFooter>
  <rowBreaks count="1" manualBreakCount="1">
    <brk id="33" max="22" man="1"/>
  </rowBreaks>
  <ignoredErrors>
    <ignoredError sqref="D48 D60 D36 C32:W32" unlockedFormula="1"/>
    <ignoredError sqref="C53:I54" evalError="1"/>
  </ignoredError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CF6C6"/>
  </sheetPr>
  <dimension ref="A1:AE299"/>
  <sheetViews>
    <sheetView view="pageBreakPreview" zoomScaleNormal="85" zoomScaleSheetLayoutView="100" workbookViewId="0">
      <pane xSplit="4" ySplit="7" topLeftCell="E8" activePane="bottomRight" state="frozen"/>
      <selection pane="topRight" activeCell="E1" sqref="E1"/>
      <selection pane="bottomLeft" activeCell="A8" sqref="A8"/>
      <selection pane="bottomRight" activeCell="S257" activeCellId="2" sqref="E257 L257 S257"/>
    </sheetView>
  </sheetViews>
  <sheetFormatPr defaultColWidth="9.140625" defaultRowHeight="12.75"/>
  <cols>
    <col min="1" max="1" width="3.28515625" style="1638" customWidth="1"/>
    <col min="2" max="2" width="8.42578125" style="1639" customWidth="1"/>
    <col min="3" max="3" width="6.28515625" style="1639" customWidth="1"/>
    <col min="4" max="4" width="33.7109375" style="1639" customWidth="1"/>
    <col min="5" max="5" width="8.28515625" style="1638" bestFit="1" customWidth="1"/>
    <col min="6" max="6" width="8.28515625" style="1639" bestFit="1" customWidth="1"/>
    <col min="7" max="11" width="8.42578125" style="1639" customWidth="1"/>
    <col min="12" max="12" width="7.7109375" style="1638" customWidth="1"/>
    <col min="13" max="18" width="7.7109375" style="1639" customWidth="1"/>
    <col min="19" max="19" width="7.7109375" style="1638" customWidth="1"/>
    <col min="20" max="20" width="7.7109375" style="1639" customWidth="1"/>
    <col min="21" max="25" width="8.5703125" style="1639" customWidth="1"/>
    <col min="26" max="26" width="1.42578125" style="1641" customWidth="1"/>
    <col min="27" max="27" width="8.28515625" style="1639" customWidth="1"/>
    <col min="28" max="28" width="9.140625" style="1639"/>
    <col min="29" max="16384" width="9.140625" style="1641"/>
  </cols>
  <sheetData>
    <row r="1" spans="1:31" ht="18" customHeight="1">
      <c r="F1" s="1640"/>
      <c r="Y1" s="3023" t="s">
        <v>249</v>
      </c>
      <c r="AA1" s="1642"/>
      <c r="AB1" s="1642"/>
    </row>
    <row r="2" spans="1:31" ht="16.5" customHeight="1">
      <c r="A2" s="3565" t="s">
        <v>878</v>
      </c>
      <c r="B2" s="3565"/>
      <c r="C2" s="3565"/>
      <c r="D2" s="3565"/>
      <c r="E2" s="3565"/>
      <c r="F2" s="3565"/>
      <c r="G2" s="3565"/>
      <c r="H2" s="3565"/>
      <c r="I2" s="3565"/>
      <c r="J2" s="3565"/>
      <c r="K2" s="3565"/>
      <c r="L2" s="3565"/>
      <c r="M2" s="3565"/>
      <c r="N2" s="3565"/>
      <c r="O2" s="3565"/>
      <c r="P2" s="3565"/>
      <c r="Q2" s="3565"/>
      <c r="R2" s="3565"/>
      <c r="S2" s="3565"/>
      <c r="T2" s="3565"/>
      <c r="U2" s="3565"/>
      <c r="V2" s="3565"/>
      <c r="W2" s="3565"/>
      <c r="X2" s="3565"/>
      <c r="Y2" s="3565"/>
      <c r="Z2" s="1643"/>
      <c r="AA2" s="1642"/>
      <c r="AB2" s="1642"/>
    </row>
    <row r="3" spans="1:31" ht="15.75">
      <c r="A3" s="3564" t="str">
        <f>'1. Анкетна карта'!A3:J3</f>
        <v>на "ВОДОСНАБДЯВАНЕ И КАНАЛИЗАЦИЯ ДОБРИЧ" АД, гр. Добрич</v>
      </c>
      <c r="B3" s="3564"/>
      <c r="C3" s="3564"/>
      <c r="D3" s="3564"/>
      <c r="E3" s="3564"/>
      <c r="F3" s="3564"/>
      <c r="G3" s="3564"/>
      <c r="H3" s="3564"/>
      <c r="I3" s="3564"/>
      <c r="J3" s="3564"/>
      <c r="K3" s="3564"/>
      <c r="L3" s="3564"/>
      <c r="M3" s="3564"/>
      <c r="N3" s="3564"/>
      <c r="O3" s="3564"/>
      <c r="P3" s="3564"/>
      <c r="Q3" s="3564"/>
      <c r="R3" s="3564"/>
      <c r="S3" s="3564"/>
      <c r="T3" s="3564"/>
      <c r="U3" s="3564"/>
      <c r="V3" s="3564"/>
      <c r="W3" s="3564"/>
      <c r="X3" s="3564"/>
      <c r="Y3" s="3564"/>
      <c r="Z3" s="1644"/>
      <c r="AA3" s="1645"/>
      <c r="AB3" s="1644"/>
      <c r="AC3" s="1644"/>
      <c r="AD3" s="1644"/>
      <c r="AE3" s="1644"/>
    </row>
    <row r="4" spans="1:31" ht="15.75">
      <c r="A4" s="3564" t="str">
        <f>'1. Анкетна карта'!A4:J4</f>
        <v>ЕИК по БУЛСТАТ: 204219357</v>
      </c>
      <c r="B4" s="3564"/>
      <c r="C4" s="3564"/>
      <c r="D4" s="3564"/>
      <c r="E4" s="3564"/>
      <c r="F4" s="3564"/>
      <c r="G4" s="3564"/>
      <c r="H4" s="3564"/>
      <c r="I4" s="3564"/>
      <c r="J4" s="3564"/>
      <c r="K4" s="3564"/>
      <c r="L4" s="3564"/>
      <c r="M4" s="3564"/>
      <c r="N4" s="3564"/>
      <c r="O4" s="3564"/>
      <c r="P4" s="3564"/>
      <c r="Q4" s="3564"/>
      <c r="R4" s="3564"/>
      <c r="S4" s="3564"/>
      <c r="T4" s="3564"/>
      <c r="U4" s="3564"/>
      <c r="V4" s="3564"/>
      <c r="W4" s="3564"/>
      <c r="X4" s="3564"/>
      <c r="Y4" s="3564"/>
      <c r="Z4" s="1644"/>
      <c r="AA4" s="1645"/>
      <c r="AB4" s="1644"/>
      <c r="AC4" s="1644"/>
      <c r="AD4" s="1644"/>
      <c r="AE4" s="1644"/>
    </row>
    <row r="5" spans="1:31" ht="16.5" thickBot="1">
      <c r="A5" s="1646"/>
      <c r="B5" s="1646"/>
      <c r="C5" s="1646"/>
      <c r="D5" s="1646"/>
      <c r="E5" s="1646"/>
      <c r="F5" s="1646"/>
      <c r="G5" s="1646"/>
      <c r="H5" s="1646"/>
      <c r="I5" s="1646"/>
      <c r="J5" s="1646"/>
      <c r="K5" s="1646"/>
      <c r="L5" s="1646"/>
      <c r="M5" s="1646"/>
      <c r="N5" s="1646"/>
      <c r="O5" s="1646"/>
      <c r="P5" s="1646"/>
      <c r="Q5" s="1646"/>
      <c r="R5" s="1646"/>
      <c r="S5" s="1646"/>
      <c r="T5" s="1646"/>
      <c r="U5" s="1646"/>
      <c r="V5" s="1646"/>
      <c r="W5" s="1646"/>
      <c r="X5" s="1646"/>
      <c r="Y5" s="1646"/>
      <c r="Z5" s="1644"/>
      <c r="AA5" s="1645"/>
      <c r="AB5" s="1644"/>
      <c r="AC5" s="1644"/>
      <c r="AD5" s="1644"/>
      <c r="AE5" s="1644"/>
    </row>
    <row r="6" spans="1:31" ht="13.5" customHeight="1" thickBot="1">
      <c r="A6" s="3566" t="s">
        <v>1</v>
      </c>
      <c r="B6" s="3570" t="s">
        <v>1489</v>
      </c>
      <c r="C6" s="3570" t="s">
        <v>1488</v>
      </c>
      <c r="D6" s="3566" t="s">
        <v>95</v>
      </c>
      <c r="E6" s="3566" t="s">
        <v>273</v>
      </c>
      <c r="F6" s="3568"/>
      <c r="G6" s="3568"/>
      <c r="H6" s="3568"/>
      <c r="I6" s="3568"/>
      <c r="J6" s="3568"/>
      <c r="K6" s="3569"/>
      <c r="L6" s="3566" t="s">
        <v>230</v>
      </c>
      <c r="M6" s="3568"/>
      <c r="N6" s="3568"/>
      <c r="O6" s="3568"/>
      <c r="P6" s="3568"/>
      <c r="Q6" s="3568"/>
      <c r="R6" s="3569"/>
      <c r="S6" s="3566" t="s">
        <v>241</v>
      </c>
      <c r="T6" s="3568"/>
      <c r="U6" s="3568"/>
      <c r="V6" s="3568"/>
      <c r="W6" s="3568"/>
      <c r="X6" s="3568"/>
      <c r="Y6" s="3569"/>
      <c r="Z6" s="1647"/>
      <c r="AA6" s="3561" t="s">
        <v>912</v>
      </c>
      <c r="AB6" s="1641"/>
    </row>
    <row r="7" spans="1:31" ht="21" customHeight="1" thickBot="1">
      <c r="A7" s="3567"/>
      <c r="B7" s="3571"/>
      <c r="C7" s="3571"/>
      <c r="D7" s="3567"/>
      <c r="E7" s="1170" t="str">
        <f>'Приложение '!G12</f>
        <v>2015 г.</v>
      </c>
      <c r="F7" s="1648" t="str">
        <f>'Приложение '!G13</f>
        <v>2016 г.</v>
      </c>
      <c r="G7" s="1649" t="str">
        <f>'Приложение '!G14</f>
        <v>2017 г.</v>
      </c>
      <c r="H7" s="1649" t="str">
        <f>'Приложение '!G15</f>
        <v>2018 г.</v>
      </c>
      <c r="I7" s="1649" t="str">
        <f>'Приложение '!G16</f>
        <v>2019 г.</v>
      </c>
      <c r="J7" s="1649" t="str">
        <f>'Приложение '!G17</f>
        <v>2020 г.</v>
      </c>
      <c r="K7" s="1650" t="str">
        <f>'Приложение '!G18</f>
        <v>2021 г.</v>
      </c>
      <c r="L7" s="1170" t="str">
        <f>E7</f>
        <v>2015 г.</v>
      </c>
      <c r="M7" s="1648" t="str">
        <f>F7</f>
        <v>2016 г.</v>
      </c>
      <c r="N7" s="1649" t="str">
        <f>G7</f>
        <v>2017 г.</v>
      </c>
      <c r="O7" s="1649" t="str">
        <f>H7</f>
        <v>2018 г.</v>
      </c>
      <c r="P7" s="1651" t="str">
        <f>I7</f>
        <v>2019 г.</v>
      </c>
      <c r="Q7" s="1649" t="str">
        <f t="shared" ref="Q7:Y7" si="0">J7</f>
        <v>2020 г.</v>
      </c>
      <c r="R7" s="1650" t="str">
        <f t="shared" si="0"/>
        <v>2021 г.</v>
      </c>
      <c r="S7" s="1175" t="str">
        <f t="shared" si="0"/>
        <v>2015 г.</v>
      </c>
      <c r="T7" s="1651" t="str">
        <f t="shared" si="0"/>
        <v>2016 г.</v>
      </c>
      <c r="U7" s="1649" t="str">
        <f t="shared" si="0"/>
        <v>2017 г.</v>
      </c>
      <c r="V7" s="1649" t="str">
        <f t="shared" si="0"/>
        <v>2018 г.</v>
      </c>
      <c r="W7" s="1651" t="str">
        <f t="shared" si="0"/>
        <v>2019 г.</v>
      </c>
      <c r="X7" s="1649" t="str">
        <f t="shared" si="0"/>
        <v>2020 г.</v>
      </c>
      <c r="Y7" s="1650" t="str">
        <f t="shared" si="0"/>
        <v>2021 г.</v>
      </c>
      <c r="Z7" s="1647"/>
      <c r="AA7" s="3562"/>
      <c r="AB7" s="1641"/>
    </row>
    <row r="8" spans="1:31" ht="15" thickBot="1">
      <c r="A8" s="1652" t="s">
        <v>574</v>
      </c>
      <c r="B8" s="1652"/>
      <c r="C8" s="1652"/>
      <c r="D8" s="1653" t="s">
        <v>575</v>
      </c>
      <c r="E8" s="1654"/>
      <c r="F8" s="1655"/>
      <c r="G8" s="1656"/>
      <c r="H8" s="1657"/>
      <c r="I8" s="1656"/>
      <c r="J8" s="1656"/>
      <c r="K8" s="1658"/>
      <c r="L8" s="1659"/>
      <c r="M8" s="1660"/>
      <c r="N8" s="1656"/>
      <c r="O8" s="1656"/>
      <c r="P8" s="1656"/>
      <c r="Q8" s="1656"/>
      <c r="R8" s="1658"/>
      <c r="S8" s="1654"/>
      <c r="T8" s="1655"/>
      <c r="U8" s="1656"/>
      <c r="V8" s="1656"/>
      <c r="W8" s="1656"/>
      <c r="X8" s="1656"/>
      <c r="Y8" s="1658"/>
      <c r="Z8" s="1661"/>
      <c r="AA8" s="1662"/>
      <c r="AB8" s="1663"/>
    </row>
    <row r="9" spans="1:31" ht="13.5" thickBot="1">
      <c r="A9" s="1664" t="s">
        <v>268</v>
      </c>
      <c r="B9" s="1665"/>
      <c r="C9" s="1665"/>
      <c r="D9" s="1665" t="s">
        <v>483</v>
      </c>
      <c r="E9" s="2393">
        <f t="shared" ref="E9:Y9" si="1">SUM(E10:E33)-E12-E18</f>
        <v>6409.4415014932511</v>
      </c>
      <c r="F9" s="242">
        <f t="shared" si="1"/>
        <v>6409.4415014932511</v>
      </c>
      <c r="G9" s="243">
        <f t="shared" si="1"/>
        <v>6445.8736969104375</v>
      </c>
      <c r="H9" s="243">
        <f t="shared" si="1"/>
        <v>6544.1989127616671</v>
      </c>
      <c r="I9" s="243">
        <f t="shared" si="1"/>
        <v>6617.6432262560684</v>
      </c>
      <c r="J9" s="243">
        <f t="shared" si="1"/>
        <v>6691.5379021819936</v>
      </c>
      <c r="K9" s="244">
        <f t="shared" si="1"/>
        <v>6736.4671474650131</v>
      </c>
      <c r="L9" s="650">
        <f t="shared" si="1"/>
        <v>909.84632112869656</v>
      </c>
      <c r="M9" s="242">
        <f t="shared" si="1"/>
        <v>914.84632112869656</v>
      </c>
      <c r="N9" s="243">
        <f t="shared" si="1"/>
        <v>939.51009872549901</v>
      </c>
      <c r="O9" s="243">
        <f t="shared" si="1"/>
        <v>950.98408588511836</v>
      </c>
      <c r="P9" s="243">
        <f t="shared" si="1"/>
        <v>962.17913597350923</v>
      </c>
      <c r="Q9" s="243">
        <f t="shared" si="1"/>
        <v>973.11779338091662</v>
      </c>
      <c r="R9" s="244">
        <f t="shared" si="1"/>
        <v>983.677017699575</v>
      </c>
      <c r="S9" s="650">
        <f t="shared" si="1"/>
        <v>146.83129182447342</v>
      </c>
      <c r="T9" s="242">
        <f t="shared" si="1"/>
        <v>146.83129182447342</v>
      </c>
      <c r="U9" s="243">
        <f t="shared" si="1"/>
        <v>204.73531881048436</v>
      </c>
      <c r="V9" s="243">
        <f t="shared" si="1"/>
        <v>271.93611579963647</v>
      </c>
      <c r="W9" s="243">
        <f t="shared" si="1"/>
        <v>382.29675221684323</v>
      </c>
      <c r="X9" s="243">
        <f t="shared" si="1"/>
        <v>484.46341888351014</v>
      </c>
      <c r="Y9" s="244">
        <f t="shared" si="1"/>
        <v>565.97494928183289</v>
      </c>
      <c r="Z9" s="1666"/>
      <c r="AA9" s="3024">
        <f>((K9-E9)+(R9-L9)+(Y9-S9)+(K110-E110)+(R110-L110)+(Y110-S110))-('9.Инвестиционна програма'!L86+'9.Инвестиционна програма'!F86)*'11.1.Амортиз.нови активи'!E5</f>
        <v>0</v>
      </c>
      <c r="AB9" s="1641"/>
    </row>
    <row r="10" spans="1:31">
      <c r="A10" s="1668">
        <v>1</v>
      </c>
      <c r="B10" s="1669">
        <v>20101</v>
      </c>
      <c r="C10" s="1670">
        <v>0</v>
      </c>
      <c r="D10" s="2391" t="s">
        <v>758</v>
      </c>
      <c r="E10" s="2249">
        <f>238.143144221033+13</f>
        <v>251.143144221033</v>
      </c>
      <c r="F10" s="2059">
        <f>E10+SUMIF('11.1.Амортиз.нови активи'!$B$11:$B$58,$B10,'11.1.Амортиз.нови активи'!F$11:F$58)+('9.Инвестиционна програма'!F$77*SUMIF('11.1.Амортиз.нови активи'!$B$11:$B$58,$B10,'11.1.Амортиз.нови активи'!AA$11:AA$58))</f>
        <v>251.143144221033</v>
      </c>
      <c r="G10" s="883">
        <f>F10+SUMIF('11.1.Амортиз.нови активи'!$B$11:$B$58,$B10,'11.1.Амортиз.нови активи'!G$11:G$58)+('9.Инвестиционна програма'!G$77*SUMIF('11.1.Амортиз.нови активи'!$B$11:$B$58,$B10,'11.1.Амортиз.нови активи'!AB$11:AB$58))</f>
        <v>251.143144221033</v>
      </c>
      <c r="H10" s="883">
        <f>G10+SUMIF('11.1.Амортиз.нови активи'!$B$11:$B$58,$B10,'11.1.Амортиз.нови активи'!H$11:H$58)+('9.Инвестиционна програма'!H$77*SUMIF('11.1.Амортиз.нови активи'!$B$11:$B$58,$B10,'11.1.Амортиз.нови активи'!AC$11:AC$58))</f>
        <v>251.143144221033</v>
      </c>
      <c r="I10" s="883">
        <f>H10+SUMIF('11.1.Амортиз.нови активи'!$B$11:$B$58,$B10,'11.1.Амортиз.нови активи'!I$11:I$58)+('9.Инвестиционна програма'!I$77*SUMIF('11.1.Амортиз.нови активи'!$B$11:$B$58,$B10,'11.1.Амортиз.нови активи'!AD$11:AD$58))</f>
        <v>251.143144221033</v>
      </c>
      <c r="J10" s="883">
        <f>I10+SUMIF('11.1.Амортиз.нови активи'!$B$11:$B$58,$B10,'11.1.Амортиз.нови активи'!J$11:J$58)+('9.Инвестиционна програма'!J$77*SUMIF('11.1.Амортиз.нови активи'!$B$11:$B$58,$B10,'11.1.Амортиз.нови активи'!AE$11:AE$58))</f>
        <v>251.143144221033</v>
      </c>
      <c r="K10" s="884">
        <f>J10+SUMIF('11.1.Амортиз.нови активи'!$B$11:$B$58,$B10,'11.1.Амортиз.нови активи'!K$11:K$58)+('9.Инвестиционна програма'!K$77*SUMIF('11.1.Амортиз.нови активи'!$B$11:$B$58,$B10,'11.1.Амортиз.нови активи'!AF$11:AF$58))</f>
        <v>251.143144221033</v>
      </c>
      <c r="L10" s="2249">
        <v>19.13214320555284</v>
      </c>
      <c r="M10" s="882">
        <f>L10+SUMIF('11.1.Амортиз.нови активи'!$B$11:$B$58,$B10,'11.1.Амортиз.нови активи'!M$11:M$58)+('9.Инвестиционна програма'!F$78*SUMIF('11.1.Амортиз.нови активи'!$B$11:$B$58,$B10,'11.1.Амортиз.нови активи'!AA$11:AA$58))</f>
        <v>19.13214320555284</v>
      </c>
      <c r="N10" s="883">
        <f>M10+SUMIF('11.1.Амортиз.нови активи'!$B$11:$B$58,$B10,'11.1.Амортиз.нови активи'!N$11:N$58)+('9.Инвестиционна програма'!G$78*SUMIF('11.1.Амортиз.нови активи'!$B$11:$B$58,$B10,'11.1.Амортиз.нови активи'!AB$11:AB$58))</f>
        <v>19.13214320555284</v>
      </c>
      <c r="O10" s="883">
        <f>N10+SUMIF('11.1.Амортиз.нови активи'!$B$11:$B$58,$B10,'11.1.Амортиз.нови активи'!O$11:O$58)+('9.Инвестиционна програма'!H$78*SUMIF('11.1.Амортиз.нови активи'!$B$11:$B$58,$B10,'11.1.Амортиз.нови активи'!AC$11:AC$58))</f>
        <v>19.13214320555284</v>
      </c>
      <c r="P10" s="883">
        <f>O10+SUMIF('11.1.Амортиз.нови активи'!$B$11:$B$58,$B10,'11.1.Амортиз.нови активи'!P$11:P$58)+('9.Инвестиционна програма'!I$78*SUMIF('11.1.Амортиз.нови активи'!$B$11:$B$58,$B10,'11.1.Амортиз.нови активи'!AD$11:AD$58))</f>
        <v>19.13214320555284</v>
      </c>
      <c r="Q10" s="883">
        <f>P10+SUMIF('11.1.Амортиз.нови активи'!$B$11:$B$58,$B10,'11.1.Амортиз.нови активи'!Q$11:Q$58)+('9.Инвестиционна програма'!J$78*SUMIF('11.1.Амортиз.нови активи'!$B$11:$B$58,$B10,'11.1.Амортиз.нови активи'!AE$11:AE$58))</f>
        <v>19.13214320555284</v>
      </c>
      <c r="R10" s="884">
        <f>Q10+SUMIF('11.1.Амортиз.нови активи'!$B$11:$B$58,$B10,'11.1.Амортиз.нови активи'!R$11:R$58)+('9.Инвестиционна програма'!K$78*SUMIF('11.1.Амортиз.нови активи'!$B$11:$B$58,$B10,'11.1.Амортиз.нови активи'!AF$11:AF$58))</f>
        <v>19.13214320555284</v>
      </c>
      <c r="S10" s="2249">
        <v>4.8347481480955059</v>
      </c>
      <c r="T10" s="882">
        <f>S10+SUMIF('11.1.Амортиз.нови активи'!$B$11:$B$58,$B10,'11.1.Амортиз.нови активи'!T$11:T$58)+('9.Инвестиционна програма'!F$79*SUMIF('11.1.Амортиз.нови активи'!$B$11:$B$58,$B10,'11.1.Амортиз.нови активи'!AA$11:AA$58))</f>
        <v>4.8347481480955059</v>
      </c>
      <c r="U10" s="883">
        <f>T10+SUMIF('11.1.Амортиз.нови активи'!$B$11:$B$58,$B10,'11.1.Амортиз.нови активи'!U$11:U$58)+('9.Инвестиционна програма'!G$79*SUMIF('11.1.Амортиз.нови активи'!$B$11:$B$58,$B10,'11.1.Амортиз.нови активи'!AB$11:AB$58))</f>
        <v>4.8347481480955059</v>
      </c>
      <c r="V10" s="883">
        <f>U10+SUMIF('11.1.Амортиз.нови активи'!$B$11:$B$58,$B10,'11.1.Амортиз.нови активи'!V$11:V$58)+('9.Инвестиционна програма'!H$79*SUMIF('11.1.Амортиз.нови активи'!$B$11:$B$58,$B10,'11.1.Амортиз.нови активи'!AC$11:AC$58))</f>
        <v>4.8347481480955059</v>
      </c>
      <c r="W10" s="883">
        <f>V10+SUMIF('11.1.Амортиз.нови активи'!$B$11:$B$58,$B10,'11.1.Амортиз.нови активи'!W$11:W$58)+('9.Инвестиционна програма'!I$79*SUMIF('11.1.Амортиз.нови активи'!$B$11:$B$58,$B10,'11.1.Амортиз.нови активи'!AD$11:AD$58))</f>
        <v>4.8347481480955059</v>
      </c>
      <c r="X10" s="883">
        <f>W10+SUMIF('11.1.Амортиз.нови активи'!$B$11:$B$58,$B10,'11.1.Амортиз.нови активи'!X$11:X$58)+('9.Инвестиционна програма'!J$79*SUMIF('11.1.Амортиз.нови активи'!$B$11:$B$58,$B10,'11.1.Амортиз.нови активи'!AE$11:AE$58))</f>
        <v>4.8347481480955059</v>
      </c>
      <c r="Y10" s="884">
        <f>X10+SUMIF('11.1.Амортиз.нови активи'!$B$11:$B$58,$B10,'11.1.Амортиз.нови активи'!Y$11:Y$58)+('9.Инвестиционна програма'!K$79*SUMIF('11.1.Амортиз.нови активи'!$B$11:$B$58,$B10,'11.1.Амортиз.нови активи'!AF$11:AF$58))</f>
        <v>4.8347481480955059</v>
      </c>
      <c r="Z10" s="1671"/>
      <c r="AA10" s="1672"/>
      <c r="AB10" s="1641"/>
    </row>
    <row r="11" spans="1:31">
      <c r="A11" s="1673">
        <v>2</v>
      </c>
      <c r="B11" s="1674">
        <v>20201</v>
      </c>
      <c r="C11" s="1675">
        <v>0.03</v>
      </c>
      <c r="D11" s="2392" t="s">
        <v>597</v>
      </c>
      <c r="E11" s="2250">
        <f>455.759655262278+14-5</f>
        <v>464.75965526227799</v>
      </c>
      <c r="F11" s="932">
        <f>E11+SUMIF('11.1.Амортиз.нови активи'!$B$11:$B$58,$B11,'11.1.Амортиз.нови активи'!F$11:F$58)+('9.Инвестиционна програма'!F$77*SUMIF('11.1.Амортиз.нови активи'!$B$11:$B$58,$B11,'11.1.Амортиз.нови активи'!AA$11:AA$58))</f>
        <v>464.75965526227799</v>
      </c>
      <c r="G11" s="886">
        <f>F11+SUMIF('11.1.Амортиз.нови активи'!$B$11:$B$58,$B11,'11.1.Амортиз.нови активи'!G$11:G$58)+('9.Инвестиционна програма'!G$77*SUMIF('11.1.Амортиз.нови активи'!$B$11:$B$58,$B11,'11.1.Амортиз.нови активи'!AB$11:AB$58))</f>
        <v>472.38111887373566</v>
      </c>
      <c r="H11" s="886">
        <f>G11+SUMIF('11.1.Амортиз.нови активи'!$B$11:$B$58,$B11,'11.1.Амортиз.нови активи'!H$11:H$58)+('9.Инвестиционна програма'!H$77*SUMIF('11.1.Амортиз.нови активи'!$B$11:$B$58,$B11,'11.1.Амортиз.нови активи'!AC$11:AC$58))</f>
        <v>479.71120521422711</v>
      </c>
      <c r="I11" s="886">
        <f>H11+SUMIF('11.1.Амортиз.нови активи'!$B$11:$B$58,$B11,'11.1.Амортиз.нови активи'!I$11:I$58)+('9.Инвестиционна програма'!I$77*SUMIF('11.1.Амортиз.нови активи'!$B$11:$B$58,$B11,'11.1.Амортиз.нови активи'!AD$11:AD$58))</f>
        <v>487.08893061198785</v>
      </c>
      <c r="J11" s="886">
        <f>I11+SUMIF('11.1.Амортиз.нови активи'!$B$11:$B$58,$B11,'11.1.Амортиз.нови активи'!J$11:J$58)+('9.Инвестиционна програма'!J$77*SUMIF('11.1.Амортиз.нови активи'!$B$11:$B$58,$B11,'11.1.Амортиз.нови активи'!AE$11:AE$58))</f>
        <v>494.64680098235823</v>
      </c>
      <c r="K11" s="887">
        <f>J11+SUMIF('11.1.Амортиз.нови активи'!$B$11:$B$58,$B11,'11.1.Амортиз.нови активи'!K$11:K$58)+('9.Инвестиционна програма'!K$77*SUMIF('11.1.Амортиз.нови активи'!$B$11:$B$58,$B11,'11.1.Амортиз.нови активи'!AF$11:AF$58))</f>
        <v>502.61849909556577</v>
      </c>
      <c r="L11" s="2250">
        <f>22.517203773394+5</f>
        <v>27.517203773394002</v>
      </c>
      <c r="M11" s="885">
        <f>L11+SUMIF('11.1.Амортиз.нови активи'!$B$11:$B$58,$B11,'11.1.Амортиз.нови активи'!M$11:M$58)+('9.Инвестиционна програма'!F$78*SUMIF('11.1.Амортиз.нови активи'!$B$11:$B$58,$B11,'11.1.Амортиз.нови активи'!AA$11:AA$58))</f>
        <v>27.517203773394002</v>
      </c>
      <c r="N11" s="886">
        <f>M11+SUMIF('11.1.Амортиз.нови активи'!$B$11:$B$58,$B11,'11.1.Амортиз.нови активи'!N$11:N$58)+('9.Инвестиционна програма'!G$78*SUMIF('11.1.Амортиз.нови активи'!$B$11:$B$58,$B11,'11.1.Амортиз.нови активи'!AB$11:AB$58))</f>
        <v>27.959722171262339</v>
      </c>
      <c r="O11" s="886">
        <f>N11+SUMIF('11.1.Амортиз.нови активи'!$B$11:$B$58,$B11,'11.1.Амортиз.нови активи'!O$11:O$58)+('9.Инвестиционна програма'!H$78*SUMIF('11.1.Амортиз.нови активи'!$B$11:$B$58,$B11,'11.1.Амортиз.нови активи'!AC$11:AC$58))</f>
        <v>28.949317035110024</v>
      </c>
      <c r="P11" s="886">
        <f>O11+SUMIF('11.1.Амортиз.нови активи'!$B$11:$B$58,$B11,'11.1.Амортиз.нови активи'!P$11:P$58)+('9.Инвестиционна програма'!I$78*SUMIF('11.1.Амортиз.нови активи'!$B$11:$B$58,$B11,'11.1.Амортиз.нови активи'!AD$11:AD$58))</f>
        <v>29.827337070466534</v>
      </c>
      <c r="Q11" s="886">
        <f>P11+SUMIF('11.1.Амортиз.нови активи'!$B$11:$B$58,$B11,'11.1.Амортиз.нови активи'!Q$11:Q$58)+('9.Инвестиционна програма'!J$78*SUMIF('11.1.Амортиз.нови активи'!$B$11:$B$58,$B11,'11.1.Амортиз.нови активи'!AE$11:AE$58))</f>
        <v>30.602800033429496</v>
      </c>
      <c r="R11" s="887">
        <f>Q11+SUMIF('11.1.Амортиз.нови активи'!$B$11:$B$58,$B11,'11.1.Амортиз.нови активи'!R$11:R$58)+('9.Инвестиционна програма'!K$78*SUMIF('11.1.Амортиз.нови активи'!$B$11:$B$58,$B11,'11.1.Амортиз.нови активи'!AF$11:AF$58))</f>
        <v>31.226489760892807</v>
      </c>
      <c r="S11" s="2250">
        <f>5.69016278385942+2</f>
        <v>7.69016278385942</v>
      </c>
      <c r="T11" s="885">
        <f>S11+SUMIF('11.1.Амортиз.нови активи'!$B$11:$B$58,$B11,'11.1.Амортиз.нови активи'!T$11:T$58)+('9.Инвестиционна програма'!F$79*SUMIF('11.1.Амортиз.нови активи'!$B$11:$B$58,$B11,'11.1.Амортиз.нови активи'!AA$11:AA$58))</f>
        <v>7.69016278385942</v>
      </c>
      <c r="U11" s="886">
        <f>T11+SUMIF('11.1.Амортиз.нови активи'!$B$11:$B$58,$B11,'11.1.Амортиз.нови активи'!U$11:U$58)+('9.Инвестиционна програма'!G$79*SUMIF('11.1.Амортиз.нови активи'!$B$11:$B$58,$B11,'11.1.Амортиз.нови активи'!AB$11:AB$58))</f>
        <v>9.6261807745333883</v>
      </c>
      <c r="V11" s="886">
        <f>U11+SUMIF('11.1.Амортиз.нови активи'!$B$11:$B$58,$B11,'11.1.Амортиз.нови активи'!V$11:V$58)+('9.Инвестиционна програма'!H$79*SUMIF('11.1.Амортиз.нови активи'!$B$11:$B$58,$B11,'11.1.Амортиз.нови активи'!AC$11:AC$58))</f>
        <v>11.306499570194225</v>
      </c>
      <c r="W11" s="886">
        <f>V11+SUMIF('11.1.Амортиз.нови активи'!$B$11:$B$58,$B11,'11.1.Амортиз.нови активи'!W$11:W$58)+('9.Инвестиционна програма'!I$79*SUMIF('11.1.Амортиз.нови активи'!$B$11:$B$58,$B11,'11.1.Амортиз.нови активи'!AD$11:AD$58))</f>
        <v>13.050754137076959</v>
      </c>
      <c r="X11" s="886">
        <f>W11+SUMIF('11.1.Амортиз.нови активи'!$B$11:$B$58,$B11,'11.1.Амортиз.нови активи'!X$11:X$58)+('9.Инвестиционна програма'!J$79*SUMIF('11.1.Амортиз.нови активи'!$B$11:$B$58,$B11,'11.1.Амортиз.нови активи'!AE$11:AE$58))</f>
        <v>14.717420803743625</v>
      </c>
      <c r="Y11" s="887">
        <f>X11+SUMIF('11.1.Амортиз.нови активи'!$B$11:$B$58,$B11,'11.1.Амортиз.нови активи'!Y$11:Y$58)+('9.Инвестиционна програма'!K$79*SUMIF('11.1.Амортиз.нови активи'!$B$11:$B$58,$B11,'11.1.Амортиз.нови активи'!AF$11:AF$58))</f>
        <v>16.122032963072765</v>
      </c>
      <c r="Z11" s="1671"/>
      <c r="AA11" s="1676"/>
      <c r="AB11" s="1641"/>
    </row>
    <row r="12" spans="1:31" ht="25.5" customHeight="1">
      <c r="A12" s="1673">
        <v>3</v>
      </c>
      <c r="B12" s="1674">
        <v>203</v>
      </c>
      <c r="C12" s="1675"/>
      <c r="D12" s="2394" t="s">
        <v>577</v>
      </c>
      <c r="E12" s="2062">
        <f>SUM(E13:E16)</f>
        <v>1573.0927841016849</v>
      </c>
      <c r="F12" s="962">
        <f>SUM(F13:F16)</f>
        <v>1573.0927841016849</v>
      </c>
      <c r="G12" s="958">
        <f t="shared" ref="G12:Y12" si="2">SUM(G13:G16)</f>
        <v>1588.0927841016849</v>
      </c>
      <c r="H12" s="958">
        <f t="shared" si="2"/>
        <v>1658.0927841016849</v>
      </c>
      <c r="I12" s="958">
        <f t="shared" si="2"/>
        <v>1703.0927841016849</v>
      </c>
      <c r="J12" s="958">
        <f t="shared" si="2"/>
        <v>1718.0927841016849</v>
      </c>
      <c r="K12" s="961">
        <f t="shared" si="2"/>
        <v>1733.0927841016849</v>
      </c>
      <c r="L12" s="2062">
        <f>SUM(L13:L16)</f>
        <v>167.71745626149558</v>
      </c>
      <c r="M12" s="962">
        <f t="shared" si="2"/>
        <v>172.71745626149558</v>
      </c>
      <c r="N12" s="958">
        <f t="shared" si="2"/>
        <v>186.71745626149558</v>
      </c>
      <c r="O12" s="958">
        <f t="shared" si="2"/>
        <v>195.71745626149561</v>
      </c>
      <c r="P12" s="958">
        <f t="shared" si="2"/>
        <v>204.71745626149561</v>
      </c>
      <c r="Q12" s="958">
        <f t="shared" si="2"/>
        <v>213.71745626149561</v>
      </c>
      <c r="R12" s="958">
        <f t="shared" si="2"/>
        <v>222.71745626149561</v>
      </c>
      <c r="S12" s="2062">
        <f>SUM(S13:S16)</f>
        <v>73.748686689027906</v>
      </c>
      <c r="T12" s="962">
        <f t="shared" si="2"/>
        <v>73.748686689027906</v>
      </c>
      <c r="U12" s="958">
        <f t="shared" si="2"/>
        <v>128.74868668902792</v>
      </c>
      <c r="V12" s="958">
        <f t="shared" si="2"/>
        <v>191.74868668902792</v>
      </c>
      <c r="W12" s="958">
        <f t="shared" si="2"/>
        <v>297.74868668902792</v>
      </c>
      <c r="X12" s="958">
        <f t="shared" si="2"/>
        <v>395.74868668902792</v>
      </c>
      <c r="Y12" s="961">
        <f t="shared" si="2"/>
        <v>473.74868668902792</v>
      </c>
      <c r="Z12" s="1671"/>
      <c r="AA12" s="1678"/>
      <c r="AB12" s="1641"/>
    </row>
    <row r="13" spans="1:31" s="1681" customFormat="1">
      <c r="A13" s="1673"/>
      <c r="B13" s="1674">
        <v>20301</v>
      </c>
      <c r="C13" s="1679">
        <v>0.1</v>
      </c>
      <c r="D13" s="2395" t="s">
        <v>599</v>
      </c>
      <c r="E13" s="2250">
        <f>638.916268684856-319-274</f>
        <v>45.91626868485605</v>
      </c>
      <c r="F13" s="932">
        <f>E13+SUMIF('11.1.Амортиз.нови активи'!$B$11:$B$58,$B13,'11.1.Амортиз.нови активи'!F$11:F$58)+('9.Инвестиционна програма'!F$77*SUMIF('11.1.Амортиз.нови активи'!$B$11:$B$58,$B13,'11.1.Амортиз.нови активи'!AA$11:AA$58))</f>
        <v>45.91626868485605</v>
      </c>
      <c r="G13" s="886">
        <f>F13+SUMIF('11.1.Амортиз.нови активи'!$B$11:$B$58,$B13,'11.1.Амортиз.нови активи'!G$11:G$58)+('9.Инвестиционна програма'!G$77*SUMIF('11.1.Амортиз.нови активи'!$B$11:$B$58,$B13,'11.1.Амортиз.нови активи'!AB$11:AB$58))</f>
        <v>45.91626868485605</v>
      </c>
      <c r="H13" s="886">
        <f>G13+SUMIF('11.1.Амортиз.нови активи'!$B$11:$B$58,$B13,'11.1.Амортиз.нови активи'!H$11:H$58)+('9.Инвестиционна програма'!H$77*SUMIF('11.1.Амортиз.нови активи'!$B$11:$B$58,$B13,'11.1.Амортиз.нови активи'!AC$11:AC$58))</f>
        <v>45.91626868485605</v>
      </c>
      <c r="I13" s="886">
        <f>H13+SUMIF('11.1.Амортиз.нови активи'!$B$11:$B$58,$B13,'11.1.Амортиз.нови активи'!I$11:I$58)+('9.Инвестиционна програма'!I$77*SUMIF('11.1.Амортиз.нови активи'!$B$11:$B$58,$B13,'11.1.Амортиз.нови активи'!AD$11:AD$58))</f>
        <v>45.91626868485605</v>
      </c>
      <c r="J13" s="886">
        <f>I13+SUMIF('11.1.Амортиз.нови активи'!$B$11:$B$58,$B13,'11.1.Амортиз.нови активи'!J$11:J$58)+('9.Инвестиционна програма'!J$77*SUMIF('11.1.Амортиз.нови активи'!$B$11:$B$58,$B13,'11.1.Амортиз.нови активи'!AE$11:AE$58))</f>
        <v>45.91626868485605</v>
      </c>
      <c r="K13" s="887">
        <f>J13+SUMIF('11.1.Амортиз.нови активи'!$B$11:$B$58,$B13,'11.1.Амортиз.нови активи'!K$11:K$58)+('9.Инвестиционна програма'!K$77*SUMIF('11.1.Амортиз.нови активи'!$B$11:$B$58,$B13,'11.1.Амортиз.нови активи'!AF$11:AF$58))</f>
        <v>45.91626868485605</v>
      </c>
      <c r="L13" s="2250">
        <v>64.056600689842611</v>
      </c>
      <c r="M13" s="885">
        <f>L13+SUMIF('11.1.Амортиз.нови активи'!$B$11:$B$58,$B13,'11.1.Амортиз.нови активи'!M$11:M$58)+('9.Инвестиционна програма'!F$78*SUMIF('11.1.Амортиз.нови активи'!$B$11:$B$58,$B13,'11.1.Амортиз.нови активи'!AA$11:AA$58))</f>
        <v>64.056600689842611</v>
      </c>
      <c r="N13" s="886">
        <f>M13+SUMIF('11.1.Амортиз.нови активи'!$B$11:$B$58,$B13,'11.1.Амортиз.нови активи'!N$11:N$58)+('9.Инвестиционна програма'!G$78*SUMIF('11.1.Амортиз.нови активи'!$B$11:$B$58,$B13,'11.1.Амортиз.нови активи'!AB$11:AB$58))</f>
        <v>64.056600689842611</v>
      </c>
      <c r="O13" s="886">
        <f>N13+SUMIF('11.1.Амортиз.нови активи'!$B$11:$B$58,$B13,'11.1.Амортиз.нови активи'!O$11:O$58)+('9.Инвестиционна програма'!H$78*SUMIF('11.1.Амортиз.нови активи'!$B$11:$B$58,$B13,'11.1.Амортиз.нови активи'!AC$11:AC$58))</f>
        <v>64.056600689842611</v>
      </c>
      <c r="P13" s="886">
        <f>O13+SUMIF('11.1.Амортиз.нови активи'!$B$11:$B$58,$B13,'11.1.Амортиз.нови активи'!P$11:P$58)+('9.Инвестиционна програма'!I$78*SUMIF('11.1.Амортиз.нови активи'!$B$11:$B$58,$B13,'11.1.Амортиз.нови активи'!AD$11:AD$58))</f>
        <v>64.056600689842611</v>
      </c>
      <c r="Q13" s="886">
        <f>P13+SUMIF('11.1.Амортиз.нови активи'!$B$11:$B$58,$B13,'11.1.Амортиз.нови активи'!Q$11:Q$58)+('9.Инвестиционна програма'!J$78*SUMIF('11.1.Амортиз.нови активи'!$B$11:$B$58,$B13,'11.1.Амортиз.нови активи'!AE$11:AE$58))</f>
        <v>64.056600689842611</v>
      </c>
      <c r="R13" s="887">
        <f>Q13+SUMIF('11.1.Амортиз.нови активи'!$B$11:$B$58,$B13,'11.1.Амортиз.нови активи'!R$11:R$58)+('9.Инвестиционна програма'!K$78*SUMIF('11.1.Амортиз.нови активи'!$B$11:$B$58,$B13,'11.1.Амортиз.нови активи'!AF$11:AF$58))</f>
        <v>64.056600689842611</v>
      </c>
      <c r="S13" s="2250">
        <v>17.748199956940397</v>
      </c>
      <c r="T13" s="885">
        <f>S13+SUMIF('11.1.Амортиз.нови активи'!$B$11:$B$58,$B13,'11.1.Амортиз.нови активи'!T$11:T$58)+('9.Инвестиционна програма'!F$79*SUMIF('11.1.Амортиз.нови активи'!$B$11:$B$58,$B13,'11.1.Амортиз.нови активи'!AA$11:AA$58))</f>
        <v>17.748199956940397</v>
      </c>
      <c r="U13" s="886">
        <f>T13+SUMIF('11.1.Амортиз.нови активи'!$B$11:$B$58,$B13,'11.1.Амортиз.нови активи'!U$11:U$58)+('9.Инвестиционна програма'!G$79*SUMIF('11.1.Амортиз.нови активи'!$B$11:$B$58,$B13,'11.1.Амортиз.нови активи'!AB$11:AB$58))</f>
        <v>17.748199956940397</v>
      </c>
      <c r="V13" s="886">
        <f>U13+SUMIF('11.1.Амортиз.нови активи'!$B$11:$B$58,$B13,'11.1.Амортиз.нови активи'!V$11:V$58)+('9.Инвестиционна програма'!H$79*SUMIF('11.1.Амортиз.нови активи'!$B$11:$B$58,$B13,'11.1.Амортиз.нови активи'!AC$11:AC$58))</f>
        <v>17.748199956940397</v>
      </c>
      <c r="W13" s="886">
        <f>V13+SUMIF('11.1.Амортиз.нови активи'!$B$11:$B$58,$B13,'11.1.Амортиз.нови активи'!W$11:W$58)+('9.Инвестиционна програма'!I$79*SUMIF('11.1.Амортиз.нови активи'!$B$11:$B$58,$B13,'11.1.Амортиз.нови активи'!AD$11:AD$58))</f>
        <v>17.748199956940397</v>
      </c>
      <c r="X13" s="886">
        <f>W13+SUMIF('11.1.Амортиз.нови активи'!$B$11:$B$58,$B13,'11.1.Амортиз.нови активи'!X$11:X$58)+('9.Инвестиционна програма'!J$79*SUMIF('11.1.Амортиз.нови активи'!$B$11:$B$58,$B13,'11.1.Амортиз.нови активи'!AE$11:AE$58))</f>
        <v>17.748199956940397</v>
      </c>
      <c r="Y13" s="887">
        <f>X13+SUMIF('11.1.Амортиз.нови активи'!$B$11:$B$58,$B13,'11.1.Амортиз.нови активи'!Y$11:Y$58)+('9.Инвестиционна програма'!K$79*SUMIF('11.1.Амортиз.нови активи'!$B$11:$B$58,$B13,'11.1.Амортиз.нови активи'!AF$11:AF$58))</f>
        <v>17.748199956940397</v>
      </c>
      <c r="Z13" s="1680"/>
      <c r="AA13" s="1678"/>
    </row>
    <row r="14" spans="1:31" s="1681" customFormat="1">
      <c r="A14" s="1673"/>
      <c r="B14" s="1674">
        <v>20302</v>
      </c>
      <c r="C14" s="1679">
        <v>0.1</v>
      </c>
      <c r="D14" s="2395" t="s">
        <v>600</v>
      </c>
      <c r="E14" s="2250"/>
      <c r="F14" s="932">
        <f>E14+SUMIF('11.1.Амортиз.нови активи'!$B$11:$B$58,$B14,'11.1.Амортиз.нови активи'!F$11:F$58)+('9.Инвестиционна програма'!F$77*SUMIF('11.1.Амортиз.нови активи'!$B$11:$B$58,$B14,'11.1.Амортиз.нови активи'!AA$11:AA$58))</f>
        <v>0</v>
      </c>
      <c r="G14" s="886">
        <f>F14+SUMIF('11.1.Амортиз.нови активи'!$B$11:$B$58,$B14,'11.1.Амортиз.нови активи'!G$11:G$58)+('9.Инвестиционна програма'!G$77*SUMIF('11.1.Амортиз.нови активи'!$B$11:$B$58,$B14,'11.1.Амортиз.нови активи'!AB$11:AB$58))</f>
        <v>5</v>
      </c>
      <c r="H14" s="886">
        <f>G14+SUMIF('11.1.Амортиз.нови активи'!$B$11:$B$58,$B14,'11.1.Амортиз.нови активи'!H$11:H$58)+('9.Инвестиционна програма'!H$77*SUMIF('11.1.Амортиз.нови активи'!$B$11:$B$58,$B14,'11.1.Амортиз.нови активи'!AC$11:AC$58))</f>
        <v>10</v>
      </c>
      <c r="I14" s="886">
        <f>H14+SUMIF('11.1.Амортиз.нови активи'!$B$11:$B$58,$B14,'11.1.Амортиз.нови активи'!I$11:I$58)+('9.Инвестиционна програма'!I$77*SUMIF('11.1.Амортиз.нови активи'!$B$11:$B$58,$B14,'11.1.Амортиз.нови активи'!AD$11:AD$58))</f>
        <v>15</v>
      </c>
      <c r="J14" s="886">
        <f>I14+SUMIF('11.1.Амортиз.нови активи'!$B$11:$B$58,$B14,'11.1.Амортиз.нови активи'!J$11:J$58)+('9.Инвестиционна програма'!J$77*SUMIF('11.1.Амортиз.нови активи'!$B$11:$B$58,$B14,'11.1.Амортиз.нови активи'!AE$11:AE$58))</f>
        <v>20</v>
      </c>
      <c r="K14" s="887">
        <f>J14+SUMIF('11.1.Амортиз.нови активи'!$B$11:$B$58,$B14,'11.1.Амортиз.нови активи'!K$11:K$58)+('9.Инвестиционна програма'!K$77*SUMIF('11.1.Амортиз.нови активи'!$B$11:$B$58,$B14,'11.1.Амортиз.нови активи'!AF$11:AF$58))</f>
        <v>25</v>
      </c>
      <c r="L14" s="2250">
        <v>48.242290074136356</v>
      </c>
      <c r="M14" s="885">
        <f>L14+SUMIF('11.1.Амортиз.нови активи'!$B$11:$B$58,$B14,'11.1.Амортиз.нови активи'!M$11:M$58)+('9.Инвестиционна програма'!F$78*SUMIF('11.1.Амортиз.нови активи'!$B$11:$B$58,$B14,'11.1.Амортиз.нови активи'!AA$11:AA$58))</f>
        <v>48.242290074136356</v>
      </c>
      <c r="N14" s="886">
        <f>M14+SUMIF('11.1.Амортиз.нови активи'!$B$11:$B$58,$B14,'11.1.Амортиз.нови активи'!N$11:N$58)+('9.Инвестиционна програма'!G$78*SUMIF('11.1.Амортиз.нови активи'!$B$11:$B$58,$B14,'11.1.Амортиз.нови активи'!AB$11:AB$58))</f>
        <v>48.242290074136356</v>
      </c>
      <c r="O14" s="886">
        <f>N14+SUMIF('11.1.Амортиз.нови активи'!$B$11:$B$58,$B14,'11.1.Амортиз.нови активи'!O$11:O$58)+('9.Инвестиционна програма'!H$78*SUMIF('11.1.Амортиз.нови активи'!$B$11:$B$58,$B14,'11.1.Амортиз.нови активи'!AC$11:AC$58))</f>
        <v>48.242290074136356</v>
      </c>
      <c r="P14" s="886">
        <f>O14+SUMIF('11.1.Амортиз.нови активи'!$B$11:$B$58,$B14,'11.1.Амортиз.нови активи'!P$11:P$58)+('9.Инвестиционна програма'!I$78*SUMIF('11.1.Амортиз.нови активи'!$B$11:$B$58,$B14,'11.1.Амортиз.нови активи'!AD$11:AD$58))</f>
        <v>48.242290074136356</v>
      </c>
      <c r="Q14" s="886">
        <f>P14+SUMIF('11.1.Амортиз.нови активи'!$B$11:$B$58,$B14,'11.1.Амортиз.нови активи'!Q$11:Q$58)+('9.Инвестиционна програма'!J$78*SUMIF('11.1.Амортиз.нови активи'!$B$11:$B$58,$B14,'11.1.Амортиз.нови активи'!AE$11:AE$58))</f>
        <v>48.242290074136356</v>
      </c>
      <c r="R14" s="887">
        <f>Q14+SUMIF('11.1.Амортиз.нови активи'!$B$11:$B$58,$B14,'11.1.Амортиз.нови активи'!R$11:R$58)+('9.Инвестиционна програма'!K$78*SUMIF('11.1.Амортиз.нови активи'!$B$11:$B$58,$B14,'11.1.Амортиз.нови активи'!AF$11:AF$58))</f>
        <v>48.242290074136356</v>
      </c>
      <c r="S14" s="2250">
        <v>12.190966798122362</v>
      </c>
      <c r="T14" s="885">
        <f>S14+SUMIF('11.1.Амортиз.нови активи'!$B$11:$B$58,$B14,'11.1.Амортиз.нови активи'!T$11:T$58)+('9.Инвестиционна програма'!F$79*SUMIF('11.1.Амортиз.нови активи'!$B$11:$B$58,$B14,'11.1.Амортиз.нови активи'!AA$11:AA$58))</f>
        <v>12.190966798122362</v>
      </c>
      <c r="U14" s="886">
        <f>T14+SUMIF('11.1.Амортиз.нови активи'!$B$11:$B$58,$B14,'11.1.Амортиз.нови активи'!U$11:U$58)+('9.Инвестиционна програма'!G$79*SUMIF('11.1.Амортиз.нови активи'!$B$11:$B$58,$B14,'11.1.Амортиз.нови активи'!AB$11:AB$58))</f>
        <v>61.190966798122361</v>
      </c>
      <c r="V14" s="886">
        <f>U14+SUMIF('11.1.Амортиз.нови активи'!$B$11:$B$58,$B14,'11.1.Амортиз.нови активи'!V$11:V$58)+('9.Инвестиционна програма'!H$79*SUMIF('11.1.Амортиз.нови активи'!$B$11:$B$58,$B14,'11.1.Амортиз.нови активи'!AC$11:AC$58))</f>
        <v>114.19096679812236</v>
      </c>
      <c r="W14" s="886">
        <f>V14+SUMIF('11.1.Амортиз.нови активи'!$B$11:$B$58,$B14,'11.1.Амортиз.нови активи'!W$11:W$58)+('9.Инвестиционна програма'!I$79*SUMIF('11.1.Амортиз.нови активи'!$B$11:$B$58,$B14,'11.1.Амортиз.нови активи'!AD$11:AD$58))</f>
        <v>205.19096679812236</v>
      </c>
      <c r="X14" s="886">
        <f>W14+SUMIF('11.1.Амортиз.нови активи'!$B$11:$B$58,$B14,'11.1.Амортиз.нови активи'!X$11:X$58)+('9.Инвестиционна програма'!J$79*SUMIF('11.1.Амортиз.нови активи'!$B$11:$B$58,$B14,'11.1.Амортиз.нови активи'!AE$11:AE$58))</f>
        <v>283.19096679812236</v>
      </c>
      <c r="Y14" s="887">
        <f>X14+SUMIF('11.1.Амортиз.нови активи'!$B$11:$B$58,$B14,'11.1.Амортиз.нови активи'!Y$11:Y$58)+('9.Инвестиционна програма'!K$79*SUMIF('11.1.Амортиз.нови активи'!$B$11:$B$58,$B14,'11.1.Амортиз.нови активи'!AF$11:AF$58))</f>
        <v>331.19096679812236</v>
      </c>
      <c r="Z14" s="1680"/>
      <c r="AA14" s="1678"/>
    </row>
    <row r="15" spans="1:31" s="1681" customFormat="1">
      <c r="A15" s="1673"/>
      <c r="B15" s="1674">
        <v>20303</v>
      </c>
      <c r="C15" s="1675">
        <v>0.1</v>
      </c>
      <c r="D15" s="2395" t="s">
        <v>578</v>
      </c>
      <c r="E15" s="2250">
        <v>1146.9244867633038</v>
      </c>
      <c r="F15" s="932">
        <f>E15+SUMIF('11.1.Амортиз.нови активи'!$B$11:$B$58,$B15,'11.1.Амортиз.нови активи'!F$11:F$58)+('9.Инвестиционна програма'!F$77*SUMIF('11.1.Амортиз.нови активи'!$B$11:$B$58,$B15,'11.1.Амортиз.нови активи'!AA$11:AA$58))</f>
        <v>1146.9244867633038</v>
      </c>
      <c r="G15" s="886">
        <f>F15+SUMIF('11.1.Амортиз.нови активи'!$B$11:$B$58,$B15,'11.1.Амортиз.нови активи'!G$11:G$58)+('9.Инвестиционна програма'!G$77*SUMIF('11.1.Амортиз.нови активи'!$B$11:$B$58,$B15,'11.1.Амортиз.нови активи'!AB$11:AB$58))</f>
        <v>1146.9244867633038</v>
      </c>
      <c r="H15" s="886">
        <f>G15+SUMIF('11.1.Амортиз.нови активи'!$B$11:$B$58,$B15,'11.1.Амортиз.нови активи'!H$11:H$58)+('9.Инвестиционна програма'!H$77*SUMIF('11.1.Амортиз.нови активи'!$B$11:$B$58,$B15,'11.1.Амортиз.нови активи'!AC$11:AC$58))</f>
        <v>1201.9244867633038</v>
      </c>
      <c r="I15" s="886">
        <f>H15+SUMIF('11.1.Амортиз.нови активи'!$B$11:$B$58,$B15,'11.1.Амортиз.нови активи'!I$11:I$58)+('9.Инвестиционна програма'!I$77*SUMIF('11.1.Амортиз.нови активи'!$B$11:$B$58,$B15,'11.1.Амортиз.нови активи'!AD$11:AD$58))</f>
        <v>1231.9244867633038</v>
      </c>
      <c r="J15" s="886">
        <f>I15+SUMIF('11.1.Амортиз.нови активи'!$B$11:$B$58,$B15,'11.1.Амортиз.нови активи'!J$11:J$58)+('9.Инвестиционна програма'!J$77*SUMIF('11.1.Амортиз.нови активи'!$B$11:$B$58,$B15,'11.1.Амортиз.нови активи'!AE$11:AE$58))</f>
        <v>1231.9244867633038</v>
      </c>
      <c r="K15" s="887">
        <f>J15+SUMIF('11.1.Амортиз.нови активи'!$B$11:$B$58,$B15,'11.1.Амортиз.нови активи'!K$11:K$58)+('9.Инвестиционна програма'!K$77*SUMIF('11.1.Амортиз.нови активи'!$B$11:$B$58,$B15,'11.1.Амортиз.нови активи'!AF$11:AF$58))</f>
        <v>1231.9244867633038</v>
      </c>
      <c r="L15" s="2250">
        <v>22.981698088785901</v>
      </c>
      <c r="M15" s="885">
        <f>L15+SUMIF('11.1.Амортиз.нови активи'!$B$11:$B$58,$B15,'11.1.Амортиз.нови активи'!M$11:M$58)+('9.Инвестиционна програма'!F$78*SUMIF('11.1.Амортиз.нови активи'!$B$11:$B$58,$B15,'11.1.Амортиз.нови активи'!AA$11:AA$58))</f>
        <v>22.981698088785901</v>
      </c>
      <c r="N15" s="886">
        <f>M15+SUMIF('11.1.Амортиз.нови активи'!$B$11:$B$58,$B15,'11.1.Амортиз.нови активи'!N$11:N$58)+('9.Инвестиционна програма'!G$78*SUMIF('11.1.Амортиз.нови активи'!$B$11:$B$58,$B15,'11.1.Амортиз.нови активи'!AB$11:AB$58))</f>
        <v>31.981698088785901</v>
      </c>
      <c r="O15" s="886">
        <f>N15+SUMIF('11.1.Амортиз.нови активи'!$B$11:$B$58,$B15,'11.1.Амортиз.нови активи'!O$11:O$58)+('9.Инвестиционна програма'!H$78*SUMIF('11.1.Амортиз.нови активи'!$B$11:$B$58,$B15,'11.1.Амортиз.нови активи'!AC$11:AC$58))</f>
        <v>40.981698088785905</v>
      </c>
      <c r="P15" s="886">
        <f>O15+SUMIF('11.1.Амортиз.нови активи'!$B$11:$B$58,$B15,'11.1.Амортиз.нови активи'!P$11:P$58)+('9.Инвестиционна програма'!I$78*SUMIF('11.1.Амортиз.нови активи'!$B$11:$B$58,$B15,'11.1.Амортиз.нови активи'!AD$11:AD$58))</f>
        <v>49.981698088785905</v>
      </c>
      <c r="Q15" s="886">
        <f>P15+SUMIF('11.1.Амортиз.нови активи'!$B$11:$B$58,$B15,'11.1.Амортиз.нови активи'!Q$11:Q$58)+('9.Инвестиционна програма'!J$78*SUMIF('11.1.Амортиз.нови активи'!$B$11:$B$58,$B15,'11.1.Амортиз.нови активи'!AE$11:AE$58))</f>
        <v>58.981698088785905</v>
      </c>
      <c r="R15" s="887">
        <f>Q15+SUMIF('11.1.Амортиз.нови активи'!$B$11:$B$58,$B15,'11.1.Амортиз.нови активи'!R$11:R$58)+('9.Инвестиционна програма'!K$78*SUMIF('11.1.Амортиз.нови активи'!$B$11:$B$58,$B15,'11.1.Амортиз.нови активи'!AF$11:AF$58))</f>
        <v>67.981698088785905</v>
      </c>
      <c r="S15" s="2250">
        <v>30.067303765935524</v>
      </c>
      <c r="T15" s="885">
        <f>S15+SUMIF('11.1.Амортиз.нови активи'!$B$11:$B$58,$B15,'11.1.Амортиз.нови активи'!T$11:T$58)+('9.Инвестиционна програма'!F$79*SUMIF('11.1.Амортиз.нови активи'!$B$11:$B$58,$B15,'11.1.Амортиз.нови активи'!AA$11:AA$58))</f>
        <v>30.067303765935524</v>
      </c>
      <c r="U15" s="886">
        <f>T15+SUMIF('11.1.Амортиз.нови активи'!$B$11:$B$58,$B15,'11.1.Амортиз.нови активи'!U$11:U$58)+('9.Инвестиционна програма'!G$79*SUMIF('11.1.Амортиз.нови активи'!$B$11:$B$58,$B15,'11.1.Амортиз.нови активи'!AB$11:AB$58))</f>
        <v>30.067303765935524</v>
      </c>
      <c r="V15" s="886">
        <f>U15+SUMIF('11.1.Амортиз.нови активи'!$B$11:$B$58,$B15,'11.1.Амортиз.нови активи'!V$11:V$58)+('9.Инвестиционна програма'!H$79*SUMIF('11.1.Амортиз.нови активи'!$B$11:$B$58,$B15,'11.1.Амортиз.нови активи'!AC$11:AC$58))</f>
        <v>30.067303765935524</v>
      </c>
      <c r="W15" s="886">
        <f>V15+SUMIF('11.1.Амортиз.нови активи'!$B$11:$B$58,$B15,'11.1.Амортиз.нови активи'!W$11:W$58)+('9.Инвестиционна програма'!I$79*SUMIF('11.1.Амортиз.нови активи'!$B$11:$B$58,$B15,'11.1.Амортиз.нови активи'!AD$11:AD$58))</f>
        <v>35.06730376593552</v>
      </c>
      <c r="X15" s="886">
        <f>W15+SUMIF('11.1.Амортиз.нови активи'!$B$11:$B$58,$B15,'11.1.Амортиз.нови активи'!X$11:X$58)+('9.Инвестиционна програма'!J$79*SUMIF('11.1.Амортиз.нови активи'!$B$11:$B$58,$B15,'11.1.Амортиз.нови активи'!AE$11:AE$58))</f>
        <v>45.06730376593552</v>
      </c>
      <c r="Y15" s="887">
        <f>X15+SUMIF('11.1.Амортиз.нови активи'!$B$11:$B$58,$B15,'11.1.Амортиз.нови активи'!Y$11:Y$58)+('9.Инвестиционна програма'!K$79*SUMIF('11.1.Амортиз.нови активи'!$B$11:$B$58,$B15,'11.1.Амортиз.нови активи'!AF$11:AF$58))</f>
        <v>65.06730376593552</v>
      </c>
      <c r="Z15" s="1680"/>
      <c r="AA15" s="1678"/>
    </row>
    <row r="16" spans="1:31" s="1681" customFormat="1">
      <c r="A16" s="1673"/>
      <c r="B16" s="1674">
        <v>20306</v>
      </c>
      <c r="C16" s="1675">
        <v>0.1</v>
      </c>
      <c r="D16" s="2395" t="s">
        <v>581</v>
      </c>
      <c r="E16" s="2250">
        <v>380.25202865352509</v>
      </c>
      <c r="F16" s="932">
        <f>E16+SUMIF('11.1.Амортиз.нови активи'!$B$11:$B$58,$B16,'11.1.Амортиз.нови активи'!F$11:F$58)+('9.Инвестиционна програма'!F$77*SUMIF('11.1.Амортиз.нови активи'!$B$11:$B$58,$B16,'11.1.Амортиз.нови активи'!AA$11:AA$58))</f>
        <v>380.25202865352509</v>
      </c>
      <c r="G16" s="886">
        <f>F16+SUMIF('11.1.Амортиз.нови активи'!$B$11:$B$58,$B16,'11.1.Амортиз.нови активи'!G$11:G$58)+('9.Инвестиционна програма'!G$77*SUMIF('11.1.Амортиз.нови активи'!$B$11:$B$58,$B16,'11.1.Амортиз.нови активи'!AB$11:AB$58))</f>
        <v>390.25202865352509</v>
      </c>
      <c r="H16" s="886">
        <f>G16+SUMIF('11.1.Амортиз.нови активи'!$B$11:$B$58,$B16,'11.1.Амортиз.нови активи'!H$11:H$58)+('9.Инвестиционна програма'!H$77*SUMIF('11.1.Амортиз.нови активи'!$B$11:$B$58,$B16,'11.1.Амортиз.нови активи'!AC$11:AC$58))</f>
        <v>400.25202865352509</v>
      </c>
      <c r="I16" s="886">
        <f>H16+SUMIF('11.1.Амортиз.нови активи'!$B$11:$B$58,$B16,'11.1.Амортиз.нови активи'!I$11:I$58)+('9.Инвестиционна програма'!I$77*SUMIF('11.1.Амортиз.нови активи'!$B$11:$B$58,$B16,'11.1.Амортиз.нови активи'!AD$11:AD$58))</f>
        <v>410.25202865352509</v>
      </c>
      <c r="J16" s="886">
        <f>I16+SUMIF('11.1.Амортиз.нови активи'!$B$11:$B$58,$B16,'11.1.Амортиз.нови активи'!J$11:J$58)+('9.Инвестиционна програма'!J$77*SUMIF('11.1.Амортиз.нови активи'!$B$11:$B$58,$B16,'11.1.Амортиз.нови активи'!AE$11:AE$58))</f>
        <v>420.25202865352509</v>
      </c>
      <c r="K16" s="887">
        <f>J16+SUMIF('11.1.Амортиз.нови активи'!$B$11:$B$58,$B16,'11.1.Амортиз.нови активи'!K$11:K$58)+('9.Инвестиционна програма'!K$77*SUMIF('11.1.Амортиз.нови активи'!$B$11:$B$58,$B16,'11.1.Амортиз.нови активи'!AF$11:AF$58))</f>
        <v>430.25202865352509</v>
      </c>
      <c r="L16" s="2250">
        <v>32.436867408730727</v>
      </c>
      <c r="M16" s="885">
        <f>L16+SUMIF('11.1.Амортиз.нови активи'!$B$11:$B$58,$B16,'11.1.Амортиз.нови активи'!M$11:M$58)+('9.Инвестиционна програма'!F$78*SUMIF('11.1.Амортиз.нови активи'!$B$11:$B$58,$B16,'11.1.Амортиз.нови активи'!AA$11:AA$58))</f>
        <v>37.436867408730727</v>
      </c>
      <c r="N16" s="886">
        <f>M16+SUMIF('11.1.Амортиз.нови активи'!$B$11:$B$58,$B16,'11.1.Амортиз.нови активи'!N$11:N$58)+('9.Инвестиционна програма'!G$78*SUMIF('11.1.Амортиз.нови активи'!$B$11:$B$58,$B16,'11.1.Амортиз.нови активи'!AB$11:AB$58))</f>
        <v>42.436867408730727</v>
      </c>
      <c r="O16" s="886">
        <f>N16+SUMIF('11.1.Амортиз.нови активи'!$B$11:$B$58,$B16,'11.1.Амортиз.нови активи'!O$11:O$58)+('9.Инвестиционна програма'!H$78*SUMIF('11.1.Амортиз.нови активи'!$B$11:$B$58,$B16,'11.1.Амортиз.нови активи'!AC$11:AC$58))</f>
        <v>42.436867408730727</v>
      </c>
      <c r="P16" s="886">
        <f>O16+SUMIF('11.1.Амортиз.нови активи'!$B$11:$B$58,$B16,'11.1.Амортиз.нови активи'!P$11:P$58)+('9.Инвестиционна програма'!I$78*SUMIF('11.1.Амортиз.нови активи'!$B$11:$B$58,$B16,'11.1.Амортиз.нови активи'!AD$11:AD$58))</f>
        <v>42.436867408730727</v>
      </c>
      <c r="Q16" s="886">
        <f>P16+SUMIF('11.1.Амортиз.нови активи'!$B$11:$B$58,$B16,'11.1.Амортиз.нови активи'!Q$11:Q$58)+('9.Инвестиционна програма'!J$78*SUMIF('11.1.Амортиз.нови активи'!$B$11:$B$58,$B16,'11.1.Амортиз.нови активи'!AE$11:AE$58))</f>
        <v>42.436867408730727</v>
      </c>
      <c r="R16" s="887">
        <f>Q16+SUMIF('11.1.Амортиз.нови активи'!$B$11:$B$58,$B16,'11.1.Амортиз.нови активи'!R$11:R$58)+('9.Инвестиционна програма'!K$78*SUMIF('11.1.Амортиз.нови активи'!$B$11:$B$58,$B16,'11.1.Амортиз.нови активи'!AF$11:AF$58))</f>
        <v>42.436867408730727</v>
      </c>
      <c r="S16" s="2250">
        <v>13.742216168029628</v>
      </c>
      <c r="T16" s="885">
        <f>S16+SUMIF('11.1.Амортиз.нови активи'!$B$11:$B$58,$B16,'11.1.Амортиз.нови активи'!T$11:T$58)+('9.Инвестиционна програма'!F$79*SUMIF('11.1.Амортиз.нови активи'!$B$11:$B$58,$B16,'11.1.Амортиз.нови активи'!AA$11:AA$58))</f>
        <v>13.742216168029628</v>
      </c>
      <c r="U16" s="886">
        <f>T16+SUMIF('11.1.Амортиз.нови активи'!$B$11:$B$58,$B16,'11.1.Амортиз.нови активи'!U$11:U$58)+('9.Инвестиционна програма'!G$79*SUMIF('11.1.Амортиз.нови активи'!$B$11:$B$58,$B16,'11.1.Амортиз.нови активи'!AB$11:AB$58))</f>
        <v>19.742216168029628</v>
      </c>
      <c r="V16" s="886">
        <f>U16+SUMIF('11.1.Амортиз.нови активи'!$B$11:$B$58,$B16,'11.1.Амортиз.нови активи'!V$11:V$58)+('9.Инвестиционна програма'!H$79*SUMIF('11.1.Амортиз.нови активи'!$B$11:$B$58,$B16,'11.1.Амортиз.нови активи'!AC$11:AC$58))</f>
        <v>29.742216168029628</v>
      </c>
      <c r="W16" s="886">
        <f>V16+SUMIF('11.1.Амортиз.нови активи'!$B$11:$B$58,$B16,'11.1.Амортиз.нови активи'!W$11:W$58)+('9.Инвестиционна програма'!I$79*SUMIF('11.1.Амортиз.нови активи'!$B$11:$B$58,$B16,'11.1.Амортиз.нови активи'!AD$11:AD$58))</f>
        <v>39.742216168029628</v>
      </c>
      <c r="X16" s="886">
        <f>W16+SUMIF('11.1.Амортиз.нови активи'!$B$11:$B$58,$B16,'11.1.Амортиз.нови активи'!X$11:X$58)+('9.Инвестиционна програма'!J$79*SUMIF('11.1.Амортиз.нови активи'!$B$11:$B$58,$B16,'11.1.Амортиз.нови активи'!AE$11:AE$58))</f>
        <v>49.742216168029628</v>
      </c>
      <c r="Y16" s="887">
        <f>X16+SUMIF('11.1.Амортиз.нови активи'!$B$11:$B$58,$B16,'11.1.Амортиз.нови активи'!Y$11:Y$58)+('9.Инвестиционна програма'!K$79*SUMIF('11.1.Амортиз.нови активи'!$B$11:$B$58,$B16,'11.1.Амортиз.нови активи'!AF$11:AF$58))</f>
        <v>59.742216168029628</v>
      </c>
      <c r="Z16" s="1680"/>
      <c r="AA16" s="1678"/>
    </row>
    <row r="17" spans="1:28" s="1681" customFormat="1">
      <c r="A17" s="1673">
        <v>4</v>
      </c>
      <c r="B17" s="1674">
        <v>20403</v>
      </c>
      <c r="C17" s="1679">
        <v>0.04</v>
      </c>
      <c r="D17" s="3026" t="s">
        <v>606</v>
      </c>
      <c r="E17" s="2250">
        <f>24.2405467774424+23</f>
        <v>47.240546777442404</v>
      </c>
      <c r="F17" s="932">
        <f>E17+SUMIF('11.1.Амортиз.нови активи'!$B$11:$B$58,$B17,'11.1.Амортиз.нови активи'!F$11:F$58)+('9.Инвестиционна програма'!F$77*SUMIF('11.1.Амортиз.нови активи'!$B$11:$B$58,$B17,'11.1.Амортиз.нови активи'!AA$11:AA$58))</f>
        <v>47.240546777442404</v>
      </c>
      <c r="G17" s="886">
        <f>F17+SUMIF('11.1.Амортиз.нови активи'!$B$11:$B$58,$B17,'11.1.Амортиз.нови активи'!G$11:G$58)+('9.Инвестиционна програма'!G$77*SUMIF('11.1.Амортиз.нови активи'!$B$11:$B$58,$B17,'11.1.Амортиз.нови активи'!AB$11:AB$58))</f>
        <v>47.240546777442404</v>
      </c>
      <c r="H17" s="886">
        <f>G17+SUMIF('11.1.Амортиз.нови активи'!$B$11:$B$58,$B17,'11.1.Амортиз.нови активи'!H$11:H$58)+('9.Инвестиционна програма'!H$77*SUMIF('11.1.Амортиз.нови активи'!$B$11:$B$58,$B17,'11.1.Амортиз.нови активи'!AC$11:AC$58))</f>
        <v>47.240546777442404</v>
      </c>
      <c r="I17" s="886">
        <f>H17+SUMIF('11.1.Амортиз.нови активи'!$B$11:$B$58,$B17,'11.1.Амортиз.нови активи'!I$11:I$58)+('9.Инвестиционна програма'!I$77*SUMIF('11.1.Амортиз.нови активи'!$B$11:$B$58,$B17,'11.1.Амортиз.нови активи'!AD$11:AD$58))</f>
        <v>47.240546777442404</v>
      </c>
      <c r="J17" s="886">
        <f>I17+SUMIF('11.1.Амортиз.нови активи'!$B$11:$B$58,$B17,'11.1.Амортиз.нови активи'!J$11:J$58)+('9.Инвестиционна програма'!J$77*SUMIF('11.1.Амортиз.нови активи'!$B$11:$B$58,$B17,'11.1.Амортиз.нови активи'!AE$11:AE$58))</f>
        <v>47.240546777442404</v>
      </c>
      <c r="K17" s="887">
        <f>J17+SUMIF('11.1.Амортиз.нови активи'!$B$11:$B$58,$B17,'11.1.Амортиз.нови активи'!K$11:K$58)+('9.Инвестиционна програма'!K$77*SUMIF('11.1.Амортиз.нови активи'!$B$11:$B$58,$B17,'11.1.Амортиз.нови активи'!AF$11:AF$58))</f>
        <v>47.240546777442404</v>
      </c>
      <c r="L17" s="2250">
        <f>2.72989965265822+10</f>
        <v>12.72989965265822</v>
      </c>
      <c r="M17" s="885">
        <f>L17+SUMIF('11.1.Амортиз.нови активи'!$B$11:$B$58,$B17,'11.1.Амортиз.нови активи'!M$11:M$58)+('9.Инвестиционна програма'!F$78*SUMIF('11.1.Амортиз.нови активи'!$B$11:$B$58,$B17,'11.1.Амортиз.нови активи'!AA$11:AA$58))</f>
        <v>12.72989965265822</v>
      </c>
      <c r="N17" s="886">
        <f>M17+SUMIF('11.1.Амортиз.нови активи'!$B$11:$B$58,$B17,'11.1.Амортиз.нови активи'!N$11:N$58)+('9.Инвестиционна програма'!G$78*SUMIF('11.1.Амортиз.нови активи'!$B$11:$B$58,$B17,'11.1.Амортиз.нови активи'!AB$11:AB$58))</f>
        <v>12.72989965265822</v>
      </c>
      <c r="O17" s="886">
        <f>N17+SUMIF('11.1.Амортиз.нови активи'!$B$11:$B$58,$B17,'11.1.Амортиз.нови активи'!O$11:O$58)+('9.Инвестиционна програма'!H$78*SUMIF('11.1.Амортиз.нови активи'!$B$11:$B$58,$B17,'11.1.Амортиз.нови активи'!AC$11:AC$58))</f>
        <v>12.72989965265822</v>
      </c>
      <c r="P17" s="886">
        <f>O17+SUMIF('11.1.Амортиз.нови активи'!$B$11:$B$58,$B17,'11.1.Амортиз.нови активи'!P$11:P$58)+('9.Инвестиционна програма'!I$78*SUMIF('11.1.Амортиз.нови активи'!$B$11:$B$58,$B17,'11.1.Амортиз.нови активи'!AD$11:AD$58))</f>
        <v>12.72989965265822</v>
      </c>
      <c r="Q17" s="886">
        <f>P17+SUMIF('11.1.Амортиз.нови активи'!$B$11:$B$58,$B17,'11.1.Амортиз.нови активи'!Q$11:Q$58)+('9.Инвестиционна програма'!J$78*SUMIF('11.1.Амортиз.нови активи'!$B$11:$B$58,$B17,'11.1.Амортиз.нови активи'!AE$11:AE$58))</f>
        <v>12.72989965265822</v>
      </c>
      <c r="R17" s="887">
        <f>Q17+SUMIF('11.1.Амортиз.нови активи'!$B$11:$B$58,$B17,'11.1.Амортиз.нови активи'!R$11:R$58)+('9.Инвестиционна програма'!K$78*SUMIF('11.1.Амортиз.нови активи'!$B$11:$B$58,$B17,'11.1.Амортиз.нови активи'!AF$11:AF$58))</f>
        <v>12.72989965265822</v>
      </c>
      <c r="S17" s="2250">
        <f>2.22985356989933+10</f>
        <v>12.22985356989933</v>
      </c>
      <c r="T17" s="885">
        <f>S17+SUMIF('11.1.Амортиз.нови активи'!$B$11:$B$58,$B17,'11.1.Амортиз.нови активи'!T$11:T$58)+('9.Инвестиционна програма'!F$79*SUMIF('11.1.Амортиз.нови активи'!$B$11:$B$58,$B17,'11.1.Амортиз.нови активи'!AA$11:AA$58))</f>
        <v>12.22985356989933</v>
      </c>
      <c r="U17" s="886">
        <f>T17+SUMIF('11.1.Амортиз.нови активи'!$B$11:$B$58,$B17,'11.1.Амортиз.нови активи'!U$11:U$58)+('9.Инвестиционна програма'!G$79*SUMIF('11.1.Амортиз.нови активи'!$B$11:$B$58,$B17,'11.1.Амортиз.нови активи'!AB$11:AB$58))</f>
        <v>12.22985356989933</v>
      </c>
      <c r="V17" s="886">
        <f>U17+SUMIF('11.1.Амортиз.нови активи'!$B$11:$B$58,$B17,'11.1.Амортиз.нови активи'!V$11:V$58)+('9.Инвестиционна програма'!H$79*SUMIF('11.1.Амортиз.нови активи'!$B$11:$B$58,$B17,'11.1.Амортиз.нови активи'!AC$11:AC$58))</f>
        <v>12.22985356989933</v>
      </c>
      <c r="W17" s="886">
        <f>V17+SUMIF('11.1.Амортиз.нови активи'!$B$11:$B$58,$B17,'11.1.Амортиз.нови активи'!W$11:W$58)+('9.Инвестиционна програма'!I$79*SUMIF('11.1.Амортиз.нови активи'!$B$11:$B$58,$B17,'11.1.Амортиз.нови активи'!AD$11:AD$58))</f>
        <v>12.22985356989933</v>
      </c>
      <c r="X17" s="886">
        <f>W17+SUMIF('11.1.Амортиз.нови активи'!$B$11:$B$58,$B17,'11.1.Амортиз.нови активи'!X$11:X$58)+('9.Инвестиционна програма'!J$79*SUMIF('11.1.Амортиз.нови активи'!$B$11:$B$58,$B17,'11.1.Амортиз.нови активи'!AE$11:AE$58))</f>
        <v>12.22985356989933</v>
      </c>
      <c r="Y17" s="887">
        <f>X17+SUMIF('11.1.Амортиз.нови активи'!$B$11:$B$58,$B17,'11.1.Амортиз.нови активи'!Y$11:Y$58)+('9.Инвестиционна програма'!K$79*SUMIF('11.1.Амортиз.нови активи'!$B$11:$B$58,$B17,'11.1.Амортиз.нови активи'!AF$11:AF$58))</f>
        <v>12.22985356989933</v>
      </c>
      <c r="Z17" s="1680"/>
      <c r="AA17" s="1678"/>
    </row>
    <row r="18" spans="1:28">
      <c r="A18" s="1673">
        <v>5</v>
      </c>
      <c r="B18" s="1674">
        <v>205</v>
      </c>
      <c r="C18" s="1674"/>
      <c r="D18" s="2394" t="s">
        <v>275</v>
      </c>
      <c r="E18" s="1682">
        <f t="shared" ref="E18:Y18" si="3">SUM(E19:E22)</f>
        <v>1222.6784347230869</v>
      </c>
      <c r="F18" s="1683">
        <f t="shared" si="3"/>
        <v>1222.6784347230869</v>
      </c>
      <c r="G18" s="1684">
        <f t="shared" si="3"/>
        <v>1232.6784347230869</v>
      </c>
      <c r="H18" s="1684">
        <f t="shared" si="3"/>
        <v>1242.6784347230869</v>
      </c>
      <c r="I18" s="1684">
        <f t="shared" si="3"/>
        <v>1252.6784347230869</v>
      </c>
      <c r="J18" s="1684">
        <f t="shared" si="3"/>
        <v>1292.6784347230869</v>
      </c>
      <c r="K18" s="1684">
        <f t="shared" si="3"/>
        <v>1302.6784347230869</v>
      </c>
      <c r="L18" s="1682">
        <f t="shared" si="3"/>
        <v>367.64207718633236</v>
      </c>
      <c r="M18" s="1683">
        <f t="shared" si="3"/>
        <v>367.64207718633236</v>
      </c>
      <c r="N18" s="1684">
        <f t="shared" si="3"/>
        <v>377.64207718633236</v>
      </c>
      <c r="O18" s="1684">
        <f t="shared" si="3"/>
        <v>377.64207718633236</v>
      </c>
      <c r="P18" s="1684">
        <f t="shared" si="3"/>
        <v>377.64207718633236</v>
      </c>
      <c r="Q18" s="1684">
        <f t="shared" si="3"/>
        <v>377.64207718633236</v>
      </c>
      <c r="R18" s="1684">
        <f t="shared" si="3"/>
        <v>377.64207718633236</v>
      </c>
      <c r="S18" s="1682">
        <f t="shared" si="3"/>
        <v>28.646748090580918</v>
      </c>
      <c r="T18" s="1683">
        <f t="shared" si="3"/>
        <v>28.646748090580918</v>
      </c>
      <c r="U18" s="1684">
        <f t="shared" si="3"/>
        <v>28.646748090580918</v>
      </c>
      <c r="V18" s="1684">
        <f t="shared" si="3"/>
        <v>28.646748090580918</v>
      </c>
      <c r="W18" s="1684">
        <f t="shared" si="3"/>
        <v>28.646748090580918</v>
      </c>
      <c r="X18" s="1684">
        <f t="shared" si="3"/>
        <v>28.646748090580918</v>
      </c>
      <c r="Y18" s="1685">
        <f t="shared" si="3"/>
        <v>28.646748090580918</v>
      </c>
      <c r="Z18" s="1671"/>
      <c r="AA18" s="1678"/>
      <c r="AB18" s="1641"/>
    </row>
    <row r="19" spans="1:28">
      <c r="A19" s="1686"/>
      <c r="B19" s="1687">
        <v>20501</v>
      </c>
      <c r="C19" s="1679">
        <v>0.08</v>
      </c>
      <c r="D19" s="2397" t="s">
        <v>582</v>
      </c>
      <c r="E19" s="2250">
        <v>106.75067827130044</v>
      </c>
      <c r="F19" s="932">
        <f>E19+SUMIF('11.1.Амортиз.нови активи'!$B$11:$B$58,$B19,'11.1.Амортиз.нови активи'!F$11:F$58)+('9.Инвестиционна програма'!F$77*SUMIF('11.1.Амортиз.нови активи'!$B$11:$B$58,$B19,'11.1.Амортиз.нови активи'!AA$11:AA$58))</f>
        <v>106.75067827130044</v>
      </c>
      <c r="G19" s="886">
        <f>F19+SUMIF('11.1.Амортиз.нови активи'!$B$11:$B$58,$B19,'11.1.Амортиз.нови активи'!G$11:G$58)+('9.Инвестиционна програма'!G$77*SUMIF('11.1.Амортиз.нови активи'!$B$11:$B$58,$B19,'11.1.Амортиз.нови активи'!AB$11:AB$58))</f>
        <v>106.75067827130044</v>
      </c>
      <c r="H19" s="886">
        <f>G19+SUMIF('11.1.Амортиз.нови активи'!$B$11:$B$58,$B19,'11.1.Амортиз.нови активи'!H$11:H$58)+('9.Инвестиционна програма'!H$77*SUMIF('11.1.Амортиз.нови активи'!$B$11:$B$58,$B19,'11.1.Амортиз.нови активи'!AC$11:AC$58))</f>
        <v>106.75067827130044</v>
      </c>
      <c r="I19" s="886">
        <f>H19+SUMIF('11.1.Амортиз.нови активи'!$B$11:$B$58,$B19,'11.1.Амортиз.нови активи'!I$11:I$58)+('9.Инвестиционна програма'!I$77*SUMIF('11.1.Амортиз.нови активи'!$B$11:$B$58,$B19,'11.1.Амортиз.нови активи'!AD$11:AD$58))</f>
        <v>106.75067827130044</v>
      </c>
      <c r="J19" s="886">
        <f>I19+SUMIF('11.1.Амортиз.нови активи'!$B$11:$B$58,$B19,'11.1.Амортиз.нови активи'!J$11:J$58)+('9.Инвестиционна програма'!J$77*SUMIF('11.1.Амортиз.нови активи'!$B$11:$B$58,$B19,'11.1.Амортиз.нови активи'!AE$11:AE$58))</f>
        <v>136.75067827130044</v>
      </c>
      <c r="K19" s="887">
        <f>J19+SUMIF('11.1.Амортиз.нови активи'!$B$11:$B$58,$B19,'11.1.Амортиз.нови активи'!K$11:K$58)+('9.Инвестиционна програма'!K$77*SUMIF('11.1.Амортиз.нови активи'!$B$11:$B$58,$B19,'11.1.Амортиз.нови активи'!AF$11:AF$58))</f>
        <v>136.75067827130044</v>
      </c>
      <c r="L19" s="2250">
        <v>335.81592477589567</v>
      </c>
      <c r="M19" s="885">
        <f>L19+SUMIF('11.1.Амортиз.нови активи'!$B$11:$B$58,$B19,'11.1.Амортиз.нови активи'!M$11:M$58)+('9.Инвестиционна програма'!F$78*SUMIF('11.1.Амортиз.нови активи'!$B$11:$B$58,$B19,'11.1.Амортиз.нови активи'!AA$11:AA$58))</f>
        <v>335.81592477589567</v>
      </c>
      <c r="N19" s="886">
        <f>M19+SUMIF('11.1.Амортиз.нови активи'!$B$11:$B$58,$B19,'11.1.Амортиз.нови активи'!N$11:N$58)+('9.Инвестиционна програма'!G$78*SUMIF('11.1.Амортиз.нови активи'!$B$11:$B$58,$B19,'11.1.Амортиз.нови активи'!AB$11:AB$58))</f>
        <v>335.81592477589567</v>
      </c>
      <c r="O19" s="886">
        <f>N19+SUMIF('11.1.Амортиз.нови активи'!$B$11:$B$58,$B19,'11.1.Амортиз.нови активи'!O$11:O$58)+('9.Инвестиционна програма'!H$78*SUMIF('11.1.Амортиз.нови активи'!$B$11:$B$58,$B19,'11.1.Амортиз.нови активи'!AC$11:AC$58))</f>
        <v>335.81592477589567</v>
      </c>
      <c r="P19" s="886">
        <f>O19+SUMIF('11.1.Амортиз.нови активи'!$B$11:$B$58,$B19,'11.1.Амортиз.нови активи'!P$11:P$58)+('9.Инвестиционна програма'!I$78*SUMIF('11.1.Амортиз.нови активи'!$B$11:$B$58,$B19,'11.1.Амортиз.нови активи'!AD$11:AD$58))</f>
        <v>335.81592477589567</v>
      </c>
      <c r="Q19" s="886">
        <f>P19+SUMIF('11.1.Амортиз.нови активи'!$B$11:$B$58,$B19,'11.1.Амортиз.нови активи'!Q$11:Q$58)+('9.Инвестиционна програма'!J$78*SUMIF('11.1.Амортиз.нови активи'!$B$11:$B$58,$B19,'11.1.Амортиз.нови активи'!AE$11:AE$58))</f>
        <v>335.81592477589567</v>
      </c>
      <c r="R19" s="887">
        <f>Q19+SUMIF('11.1.Амортиз.нови активи'!$B$11:$B$58,$B19,'11.1.Амортиз.нови активи'!R$11:R$58)+('9.Инвестиционна програма'!K$78*SUMIF('11.1.Амортиз.нови активи'!$B$11:$B$58,$B19,'11.1.Амортиз.нови активи'!AF$11:AF$58))</f>
        <v>335.81592477589567</v>
      </c>
      <c r="S19" s="2250">
        <v>1.0041869528038887</v>
      </c>
      <c r="T19" s="885">
        <f>S19+SUMIF('11.1.Амортиз.нови активи'!$B$11:$B$58,$B19,'11.1.Амортиз.нови активи'!T$11:T$58)+('9.Инвестиционна програма'!F$79*SUMIF('11.1.Амортиз.нови активи'!$B$11:$B$58,$B19,'11.1.Амортиз.нови активи'!AA$11:AA$58))</f>
        <v>1.0041869528038887</v>
      </c>
      <c r="U19" s="886">
        <f>T19+SUMIF('11.1.Амортиз.нови активи'!$B$11:$B$58,$B19,'11.1.Амортиз.нови активи'!U$11:U$58)+('9.Инвестиционна програма'!G$79*SUMIF('11.1.Амортиз.нови активи'!$B$11:$B$58,$B19,'11.1.Амортиз.нови активи'!AB$11:AB$58))</f>
        <v>1.0041869528038887</v>
      </c>
      <c r="V19" s="886">
        <f>U19+SUMIF('11.1.Амортиз.нови активи'!$B$11:$B$58,$B19,'11.1.Амортиз.нови активи'!V$11:V$58)+('9.Инвестиционна програма'!H$79*SUMIF('11.1.Амортиз.нови активи'!$B$11:$B$58,$B19,'11.1.Амортиз.нови активи'!AC$11:AC$58))</f>
        <v>1.0041869528038887</v>
      </c>
      <c r="W19" s="886">
        <f>V19+SUMIF('11.1.Амортиз.нови активи'!$B$11:$B$58,$B19,'11.1.Амортиз.нови активи'!W$11:W$58)+('9.Инвестиционна програма'!I$79*SUMIF('11.1.Амортиз.нови активи'!$B$11:$B$58,$B19,'11.1.Амортиз.нови активи'!AD$11:AD$58))</f>
        <v>1.0041869528038887</v>
      </c>
      <c r="X19" s="886">
        <f>W19+SUMIF('11.1.Амортиз.нови активи'!$B$11:$B$58,$B19,'11.1.Амортиз.нови активи'!X$11:X$58)+('9.Инвестиционна програма'!J$79*SUMIF('11.1.Амортиз.нови активи'!$B$11:$B$58,$B19,'11.1.Амортиз.нови активи'!AE$11:AE$58))</f>
        <v>1.0041869528038887</v>
      </c>
      <c r="Y19" s="887">
        <f>X19+SUMIF('11.1.Амортиз.нови активи'!$B$11:$B$58,$B19,'11.1.Амортиз.нови активи'!Y$11:Y$58)+('9.Инвестиционна програма'!K$79*SUMIF('11.1.Амортиз.нови активи'!$B$11:$B$58,$B19,'11.1.Амортиз.нови активи'!AF$11:AF$58))</f>
        <v>1.0041869528038887</v>
      </c>
      <c r="Z19" s="1671"/>
      <c r="AA19" s="1678"/>
      <c r="AB19" s="1641"/>
    </row>
    <row r="20" spans="1:28">
      <c r="A20" s="1686"/>
      <c r="B20" s="1687">
        <v>20502</v>
      </c>
      <c r="C20" s="1679">
        <v>0.1</v>
      </c>
      <c r="D20" s="2397" t="s">
        <v>583</v>
      </c>
      <c r="E20" s="2250">
        <v>356.64636146023622</v>
      </c>
      <c r="F20" s="932">
        <f>E20+SUMIF('11.1.Амортиз.нови активи'!$B$11:$B$58,$B20,'11.1.Амортиз.нови активи'!F$11:F$58)+('9.Инвестиционна програма'!F$77*SUMIF('11.1.Амортиз.нови активи'!$B$11:$B$58,$B20,'11.1.Амортиз.нови активи'!AA$11:AA$58))</f>
        <v>356.64636146023622</v>
      </c>
      <c r="G20" s="886">
        <f>F20+SUMIF('11.1.Амортиз.нови активи'!$B$11:$B$58,$B20,'11.1.Амортиз.нови активи'!G$11:G$58)+('9.Инвестиционна програма'!G$77*SUMIF('11.1.Амортиз.нови активи'!$B$11:$B$58,$B20,'11.1.Амортиз.нови активи'!AB$11:AB$58))</f>
        <v>366.64636146023622</v>
      </c>
      <c r="H20" s="886">
        <f>G20+SUMIF('11.1.Амортиз.нови активи'!$B$11:$B$58,$B20,'11.1.Амортиз.нови активи'!H$11:H$58)+('9.Инвестиционна програма'!H$77*SUMIF('11.1.Амортиз.нови активи'!$B$11:$B$58,$B20,'11.1.Амортиз.нови активи'!AC$11:AC$58))</f>
        <v>376.64636146023622</v>
      </c>
      <c r="I20" s="886">
        <f>H20+SUMIF('11.1.Амортиз.нови активи'!$B$11:$B$58,$B20,'11.1.Амортиз.нови активи'!I$11:I$58)+('9.Инвестиционна програма'!I$77*SUMIF('11.1.Амортиз.нови активи'!$B$11:$B$58,$B20,'11.1.Амортиз.нови активи'!AD$11:AD$58))</f>
        <v>386.64636146023622</v>
      </c>
      <c r="J20" s="886">
        <f>I20+SUMIF('11.1.Амортиз.нови активи'!$B$11:$B$58,$B20,'11.1.Амортиз.нови активи'!J$11:J$58)+('9.Инвестиционна програма'!J$77*SUMIF('11.1.Амортиз.нови активи'!$B$11:$B$58,$B20,'11.1.Амортиз.нови активи'!AE$11:AE$58))</f>
        <v>396.64636146023622</v>
      </c>
      <c r="K20" s="887">
        <f>J20+SUMIF('11.1.Амортиз.нови активи'!$B$11:$B$58,$B20,'11.1.Амортиз.нови активи'!K$11:K$58)+('9.Инвестиционна програма'!K$77*SUMIF('11.1.Амортиз.нови активи'!$B$11:$B$58,$B20,'11.1.Амортиз.нови активи'!AF$11:AF$58))</f>
        <v>406.64636146023622</v>
      </c>
      <c r="L20" s="2250">
        <v>20.745228941713489</v>
      </c>
      <c r="M20" s="885">
        <f>L20+SUMIF('11.1.Амортиз.нови активи'!$B$11:$B$58,$B20,'11.1.Амортиз.нови активи'!M$11:M$58)+('9.Инвестиционна програма'!F$78*SUMIF('11.1.Амортиз.нови активи'!$B$11:$B$58,$B20,'11.1.Амортиз.нови активи'!AA$11:AA$58))</f>
        <v>20.745228941713489</v>
      </c>
      <c r="N20" s="886">
        <f>M20+SUMIF('11.1.Амортиз.нови активи'!$B$11:$B$58,$B20,'11.1.Амортиз.нови активи'!N$11:N$58)+('9.Инвестиционна програма'!G$78*SUMIF('11.1.Амортиз.нови активи'!$B$11:$B$58,$B20,'11.1.Амортиз.нови активи'!AB$11:AB$58))</f>
        <v>30.745228941713489</v>
      </c>
      <c r="O20" s="886">
        <f>N20+SUMIF('11.1.Амортиз.нови активи'!$B$11:$B$58,$B20,'11.1.Амортиз.нови активи'!O$11:O$58)+('9.Инвестиционна програма'!H$78*SUMIF('11.1.Амортиз.нови активи'!$B$11:$B$58,$B20,'11.1.Амортиз.нови активи'!AC$11:AC$58))</f>
        <v>30.745228941713489</v>
      </c>
      <c r="P20" s="886">
        <f>O20+SUMIF('11.1.Амортиз.нови активи'!$B$11:$B$58,$B20,'11.1.Амортиз.нови активи'!P$11:P$58)+('9.Инвестиционна програма'!I$78*SUMIF('11.1.Амортиз.нови активи'!$B$11:$B$58,$B20,'11.1.Амортиз.нови активи'!AD$11:AD$58))</f>
        <v>30.745228941713489</v>
      </c>
      <c r="Q20" s="886">
        <f>P20+SUMIF('11.1.Амортиз.нови активи'!$B$11:$B$58,$B20,'11.1.Амортиз.нови активи'!Q$11:Q$58)+('9.Инвестиционна програма'!J$78*SUMIF('11.1.Амортиз.нови активи'!$B$11:$B$58,$B20,'11.1.Амортиз.нови активи'!AE$11:AE$58))</f>
        <v>30.745228941713489</v>
      </c>
      <c r="R20" s="887">
        <f>Q20+SUMIF('11.1.Амортиз.нови активи'!$B$11:$B$58,$B20,'11.1.Амортиз.нови активи'!R$11:R$58)+('9.Инвестиционна програма'!K$78*SUMIF('11.1.Амортиз.нови активи'!$B$11:$B$58,$B20,'11.1.Амортиз.нови активи'!AF$11:AF$58))</f>
        <v>30.745228941713489</v>
      </c>
      <c r="S20" s="2250">
        <v>24.842379598050286</v>
      </c>
      <c r="T20" s="885">
        <f>S20+SUMIF('11.1.Амортиз.нови активи'!$B$11:$B$58,$B20,'11.1.Амортиз.нови активи'!T$11:T$58)+('9.Инвестиционна програма'!F$79*SUMIF('11.1.Амортиз.нови активи'!$B$11:$B$58,$B20,'11.1.Амортиз.нови активи'!AA$11:AA$58))</f>
        <v>24.842379598050286</v>
      </c>
      <c r="U20" s="886">
        <f>T20+SUMIF('11.1.Амортиз.нови активи'!$B$11:$B$58,$B20,'11.1.Амортиз.нови активи'!U$11:U$58)+('9.Инвестиционна програма'!G$79*SUMIF('11.1.Амортиз.нови активи'!$B$11:$B$58,$B20,'11.1.Амортиз.нови активи'!AB$11:AB$58))</f>
        <v>24.842379598050286</v>
      </c>
      <c r="V20" s="886">
        <f>U20+SUMIF('11.1.Амортиз.нови активи'!$B$11:$B$58,$B20,'11.1.Амортиз.нови активи'!V$11:V$58)+('9.Инвестиционна програма'!H$79*SUMIF('11.1.Амортиз.нови активи'!$B$11:$B$58,$B20,'11.1.Амортиз.нови активи'!AC$11:AC$58))</f>
        <v>24.842379598050286</v>
      </c>
      <c r="W20" s="886">
        <f>V20+SUMIF('11.1.Амортиз.нови активи'!$B$11:$B$58,$B20,'11.1.Амортиз.нови активи'!W$11:W$58)+('9.Инвестиционна програма'!I$79*SUMIF('11.1.Амортиз.нови активи'!$B$11:$B$58,$B20,'11.1.Амортиз.нови активи'!AD$11:AD$58))</f>
        <v>24.842379598050286</v>
      </c>
      <c r="X20" s="886">
        <f>W20+SUMIF('11.1.Амортиз.нови активи'!$B$11:$B$58,$B20,'11.1.Амортиз.нови активи'!X$11:X$58)+('9.Инвестиционна програма'!J$79*SUMIF('11.1.Амортиз.нови активи'!$B$11:$B$58,$B20,'11.1.Амортиз.нови активи'!AE$11:AE$58))</f>
        <v>24.842379598050286</v>
      </c>
      <c r="Y20" s="887">
        <f>X20+SUMIF('11.1.Амортиз.нови активи'!$B$11:$B$58,$B20,'11.1.Амортиз.нови активи'!Y$11:Y$58)+('9.Инвестиционна програма'!K$79*SUMIF('11.1.Амортиз.нови активи'!$B$11:$B$58,$B20,'11.1.Амортиз.нови активи'!AF$11:AF$58))</f>
        <v>24.842379598050286</v>
      </c>
      <c r="Z20" s="1671"/>
      <c r="AA20" s="1678"/>
      <c r="AB20" s="1641"/>
    </row>
    <row r="21" spans="1:28">
      <c r="A21" s="1686"/>
      <c r="B21" s="1687">
        <v>20503</v>
      </c>
      <c r="C21" s="1679">
        <v>0.1</v>
      </c>
      <c r="D21" s="2395" t="s">
        <v>584</v>
      </c>
      <c r="E21" s="2250">
        <v>753.06274559492772</v>
      </c>
      <c r="F21" s="932">
        <f>E21+SUMIF('11.1.Амортиз.нови активи'!$B$11:$B$58,$B21,'11.1.Амортиз.нови активи'!F$11:F$58)+('9.Инвестиционна програма'!F$77*SUMIF('11.1.Амортиз.нови активи'!$B$11:$B$58,$B21,'11.1.Амортиз.нови активи'!AA$11:AA$58))</f>
        <v>753.06274559492772</v>
      </c>
      <c r="G21" s="886">
        <f>F21+SUMIF('11.1.Амортиз.нови активи'!$B$11:$B$58,$B21,'11.1.Амортиз.нови активи'!G$11:G$58)+('9.Инвестиционна програма'!G$77*SUMIF('11.1.Амортиз.нови активи'!$B$11:$B$58,$B21,'11.1.Амортиз.нови активи'!AB$11:AB$58))</f>
        <v>753.06274559492772</v>
      </c>
      <c r="H21" s="886">
        <f>G21+SUMIF('11.1.Амортиз.нови активи'!$B$11:$B$58,$B21,'11.1.Амортиз.нови активи'!H$11:H$58)+('9.Инвестиционна програма'!H$77*SUMIF('11.1.Амортиз.нови активи'!$B$11:$B$58,$B21,'11.1.Амортиз.нови активи'!AC$11:AC$58))</f>
        <v>753.06274559492772</v>
      </c>
      <c r="I21" s="886">
        <f>H21+SUMIF('11.1.Амортиз.нови активи'!$B$11:$B$58,$B21,'11.1.Амортиз.нови активи'!I$11:I$58)+('9.Инвестиционна програма'!I$77*SUMIF('11.1.Амортиз.нови активи'!$B$11:$B$58,$B21,'11.1.Амортиз.нови активи'!AD$11:AD$58))</f>
        <v>753.06274559492772</v>
      </c>
      <c r="J21" s="886">
        <f>I21+SUMIF('11.1.Амортиз.нови активи'!$B$11:$B$58,$B21,'11.1.Амортиз.нови активи'!J$11:J$58)+('9.Инвестиционна програма'!J$77*SUMIF('11.1.Амортиз.нови активи'!$B$11:$B$58,$B21,'11.1.Амортиз.нови активи'!AE$11:AE$58))</f>
        <v>753.06274559492772</v>
      </c>
      <c r="K21" s="887">
        <f>J21+SUMIF('11.1.Амортиз.нови активи'!$B$11:$B$58,$B21,'11.1.Амортиз.нови активи'!K$11:K$58)+('9.Инвестиционна програма'!K$77*SUMIF('11.1.Амортиз.нови активи'!$B$11:$B$58,$B21,'11.1.Амортиз.нови активи'!AF$11:AF$58))</f>
        <v>753.06274559492772</v>
      </c>
      <c r="L21" s="2250">
        <v>10.380597317514418</v>
      </c>
      <c r="M21" s="885">
        <f>L21+SUMIF('11.1.Амортиз.нови активи'!$B$11:$B$58,$B21,'11.1.Амортиз.нови активи'!M$11:M$58)+('9.Инвестиционна програма'!F$78*SUMIF('11.1.Амортиз.нови активи'!$B$11:$B$58,$B21,'11.1.Амортиз.нови активи'!AA$11:AA$58))</f>
        <v>10.380597317514418</v>
      </c>
      <c r="N21" s="886">
        <f>M21+SUMIF('11.1.Амортиз.нови активи'!$B$11:$B$58,$B21,'11.1.Амортиз.нови активи'!N$11:N$58)+('9.Инвестиционна програма'!G$78*SUMIF('11.1.Амортиз.нови активи'!$B$11:$B$58,$B21,'11.1.Амортиз.нови активи'!AB$11:AB$58))</f>
        <v>10.380597317514418</v>
      </c>
      <c r="O21" s="886">
        <f>N21+SUMIF('11.1.Амортиз.нови активи'!$B$11:$B$58,$B21,'11.1.Амортиз.нови активи'!O$11:O$58)+('9.Инвестиционна програма'!H$78*SUMIF('11.1.Амортиз.нови активи'!$B$11:$B$58,$B21,'11.1.Амортиз.нови активи'!AC$11:AC$58))</f>
        <v>10.380597317514418</v>
      </c>
      <c r="P21" s="886">
        <f>O21+SUMIF('11.1.Амортиз.нови активи'!$B$11:$B$58,$B21,'11.1.Амортиз.нови активи'!P$11:P$58)+('9.Инвестиционна програма'!I$78*SUMIF('11.1.Амортиз.нови активи'!$B$11:$B$58,$B21,'11.1.Амортиз.нови активи'!AD$11:AD$58))</f>
        <v>10.380597317514418</v>
      </c>
      <c r="Q21" s="886">
        <f>P21+SUMIF('11.1.Амортиз.нови активи'!$B$11:$B$58,$B21,'11.1.Амортиз.нови активи'!Q$11:Q$58)+('9.Инвестиционна програма'!J$78*SUMIF('11.1.Амортиз.нови активи'!$B$11:$B$58,$B21,'11.1.Амортиз.нови активи'!AE$11:AE$58))</f>
        <v>10.380597317514418</v>
      </c>
      <c r="R21" s="887">
        <f>Q21+SUMIF('11.1.Амортиз.нови активи'!$B$11:$B$58,$B21,'11.1.Амортиз.нови активи'!R$11:R$58)+('9.Инвестиционна програма'!K$78*SUMIF('11.1.Амортиз.нови активи'!$B$11:$B$58,$B21,'11.1.Амортиз.нови активи'!AF$11:AF$58))</f>
        <v>10.380597317514418</v>
      </c>
      <c r="S21" s="2250">
        <v>2.6232070875578524</v>
      </c>
      <c r="T21" s="885">
        <f>S21+SUMIF('11.1.Амортиз.нови активи'!$B$11:$B$58,$B21,'11.1.Амортиз.нови активи'!T$11:T$58)+('9.Инвестиционна програма'!F$79*SUMIF('11.1.Амортиз.нови активи'!$B$11:$B$58,$B21,'11.1.Амортиз.нови активи'!AA$11:AA$58))</f>
        <v>2.6232070875578524</v>
      </c>
      <c r="U21" s="886">
        <f>T21+SUMIF('11.1.Амортиз.нови активи'!$B$11:$B$58,$B21,'11.1.Амортиз.нови активи'!U$11:U$58)+('9.Инвестиционна програма'!G$79*SUMIF('11.1.Амортиз.нови активи'!$B$11:$B$58,$B21,'11.1.Амортиз.нови активи'!AB$11:AB$58))</f>
        <v>2.6232070875578524</v>
      </c>
      <c r="V21" s="886">
        <f>U21+SUMIF('11.1.Амортиз.нови активи'!$B$11:$B$58,$B21,'11.1.Амортиз.нови активи'!V$11:V$58)+('9.Инвестиционна програма'!H$79*SUMIF('11.1.Амортиз.нови активи'!$B$11:$B$58,$B21,'11.1.Амортиз.нови активи'!AC$11:AC$58))</f>
        <v>2.6232070875578524</v>
      </c>
      <c r="W21" s="886">
        <f>V21+SUMIF('11.1.Амортиз.нови активи'!$B$11:$B$58,$B21,'11.1.Амортиз.нови активи'!W$11:W$58)+('9.Инвестиционна програма'!I$79*SUMIF('11.1.Амортиз.нови активи'!$B$11:$B$58,$B21,'11.1.Амортиз.нови активи'!AD$11:AD$58))</f>
        <v>2.6232070875578524</v>
      </c>
      <c r="X21" s="886">
        <f>W21+SUMIF('11.1.Амортиз.нови активи'!$B$11:$B$58,$B21,'11.1.Амортиз.нови активи'!X$11:X$58)+('9.Инвестиционна програма'!J$79*SUMIF('11.1.Амортиз.нови активи'!$B$11:$B$58,$B21,'11.1.Амортиз.нови активи'!AE$11:AE$58))</f>
        <v>2.6232070875578524</v>
      </c>
      <c r="Y21" s="887">
        <f>X21+SUMIF('11.1.Амортиз.нови активи'!$B$11:$B$58,$B21,'11.1.Амортиз.нови активи'!Y$11:Y$58)+('9.Инвестиционна програма'!K$79*SUMIF('11.1.Амортиз.нови активи'!$B$11:$B$58,$B21,'11.1.Амортиз.нови активи'!AF$11:AF$58))</f>
        <v>2.6232070875578524</v>
      </c>
      <c r="Z21" s="1671"/>
      <c r="AA21" s="1678"/>
      <c r="AB21" s="1641"/>
    </row>
    <row r="22" spans="1:28">
      <c r="A22" s="1686"/>
      <c r="B22" s="1687">
        <v>20504</v>
      </c>
      <c r="C22" s="1679">
        <v>0.1</v>
      </c>
      <c r="D22" s="2395" t="s">
        <v>759</v>
      </c>
      <c r="E22" s="2250">
        <v>6.2186493966223324</v>
      </c>
      <c r="F22" s="932">
        <f>E22+SUMIF('11.1.Амортиз.нови активи'!$B$11:$B$58,$B22,'11.1.Амортиз.нови активи'!F$11:F$58)+('9.Инвестиционна програма'!F$77*SUMIF('11.1.Амортиз.нови активи'!$B$11:$B$58,$B22,'11.1.Амортиз.нови активи'!AA$11:AA$58))</f>
        <v>6.2186493966223324</v>
      </c>
      <c r="G22" s="886">
        <f>F22+SUMIF('11.1.Амортиз.нови активи'!$B$11:$B$58,$B22,'11.1.Амортиз.нови активи'!G$11:G$58)+('9.Инвестиционна програма'!G$77*SUMIF('11.1.Амортиз.нови активи'!$B$11:$B$58,$B22,'11.1.Амортиз.нови активи'!AB$11:AB$58))</f>
        <v>6.2186493966223324</v>
      </c>
      <c r="H22" s="886">
        <f>G22+SUMIF('11.1.Амортиз.нови активи'!$B$11:$B$58,$B22,'11.1.Амортиз.нови активи'!H$11:H$58)+('9.Инвестиционна програма'!H$77*SUMIF('11.1.Амортиз.нови активи'!$B$11:$B$58,$B22,'11.1.Амортиз.нови активи'!AC$11:AC$58))</f>
        <v>6.2186493966223324</v>
      </c>
      <c r="I22" s="886">
        <f>H22+SUMIF('11.1.Амортиз.нови активи'!$B$11:$B$58,$B22,'11.1.Амортиз.нови активи'!I$11:I$58)+('9.Инвестиционна програма'!I$77*SUMIF('11.1.Амортиз.нови активи'!$B$11:$B$58,$B22,'11.1.Амортиз.нови активи'!AD$11:AD$58))</f>
        <v>6.2186493966223324</v>
      </c>
      <c r="J22" s="886">
        <f>I22+SUMIF('11.1.Амортиз.нови активи'!$B$11:$B$58,$B22,'11.1.Амортиз.нови активи'!J$11:J$58)+('9.Инвестиционна програма'!J$77*SUMIF('11.1.Амортиз.нови активи'!$B$11:$B$58,$B22,'11.1.Амортиз.нови активи'!AE$11:AE$58))</f>
        <v>6.2186493966223324</v>
      </c>
      <c r="K22" s="887">
        <f>J22+SUMIF('11.1.Амортиз.нови активи'!$B$11:$B$58,$B22,'11.1.Амортиз.нови активи'!K$11:K$58)+('9.Инвестиционна програма'!K$77*SUMIF('11.1.Амортиз.нови активи'!$B$11:$B$58,$B22,'11.1.Амортиз.нови активи'!AF$11:AF$58))</f>
        <v>6.2186493966223324</v>
      </c>
      <c r="L22" s="2250">
        <v>0.70032615120877661</v>
      </c>
      <c r="M22" s="885">
        <f>L22+SUMIF('11.1.Амортиз.нови активи'!$B$11:$B$58,$B22,'11.1.Амортиз.нови активи'!M$11:M$58)+('9.Инвестиционна програма'!F$78*SUMIF('11.1.Амортиз.нови активи'!$B$11:$B$58,$B22,'11.1.Амортиз.нови активи'!AA$11:AA$58))</f>
        <v>0.70032615120877661</v>
      </c>
      <c r="N22" s="886">
        <f>M22+SUMIF('11.1.Амортиз.нови активи'!$B$11:$B$58,$B22,'11.1.Амортиз.нови активи'!N$11:N$58)+('9.Инвестиционна програма'!G$78*SUMIF('11.1.Амортиз.нови активи'!$B$11:$B$58,$B22,'11.1.Амортиз.нови активи'!AB$11:AB$58))</f>
        <v>0.70032615120877661</v>
      </c>
      <c r="O22" s="886">
        <f>N22+SUMIF('11.1.Амортиз.нови активи'!$B$11:$B$58,$B22,'11.1.Амортиз.нови активи'!O$11:O$58)+('9.Инвестиционна програма'!H$78*SUMIF('11.1.Амортиз.нови активи'!$B$11:$B$58,$B22,'11.1.Амортиз.нови активи'!AC$11:AC$58))</f>
        <v>0.70032615120877661</v>
      </c>
      <c r="P22" s="886">
        <f>O22+SUMIF('11.1.Амортиз.нови активи'!$B$11:$B$58,$B22,'11.1.Амортиз.нови активи'!P$11:P$58)+('9.Инвестиционна програма'!I$78*SUMIF('11.1.Амортиз.нови активи'!$B$11:$B$58,$B22,'11.1.Амортиз.нови активи'!AD$11:AD$58))</f>
        <v>0.70032615120877661</v>
      </c>
      <c r="Q22" s="886">
        <f>P22+SUMIF('11.1.Амортиз.нови активи'!$B$11:$B$58,$B22,'11.1.Амортиз.нови активи'!Q$11:Q$58)+('9.Инвестиционна програма'!J$78*SUMIF('11.1.Амортиз.нови активи'!$B$11:$B$58,$B22,'11.1.Амортиз.нови активи'!AE$11:AE$58))</f>
        <v>0.70032615120877661</v>
      </c>
      <c r="R22" s="887">
        <f>Q22+SUMIF('11.1.Амортиз.нови активи'!$B$11:$B$58,$B22,'11.1.Амортиз.нови активи'!R$11:R$58)+('9.Инвестиционна програма'!K$78*SUMIF('11.1.Амортиз.нови активи'!$B$11:$B$58,$B22,'11.1.Амортиз.нови активи'!AF$11:AF$58))</f>
        <v>0.70032615120877661</v>
      </c>
      <c r="S22" s="2250">
        <v>0.17697445216889113</v>
      </c>
      <c r="T22" s="885">
        <f>S22+SUMIF('11.1.Амортиз.нови активи'!$B$11:$B$58,$B22,'11.1.Амортиз.нови активи'!T$11:T$58)+('9.Инвестиционна програма'!F$79*SUMIF('11.1.Амортиз.нови активи'!$B$11:$B$58,$B22,'11.1.Амортиз.нови активи'!AA$11:AA$58))</f>
        <v>0.17697445216889113</v>
      </c>
      <c r="U22" s="886">
        <f>T22+SUMIF('11.1.Амортиз.нови активи'!$B$11:$B$58,$B22,'11.1.Амортиз.нови активи'!U$11:U$58)+('9.Инвестиционна програма'!G$79*SUMIF('11.1.Амортиз.нови активи'!$B$11:$B$58,$B22,'11.1.Амортиз.нови активи'!AB$11:AB$58))</f>
        <v>0.17697445216889113</v>
      </c>
      <c r="V22" s="886">
        <f>U22+SUMIF('11.1.Амортиз.нови активи'!$B$11:$B$58,$B22,'11.1.Амортиз.нови активи'!V$11:V$58)+('9.Инвестиционна програма'!H$79*SUMIF('11.1.Амортиз.нови активи'!$B$11:$B$58,$B22,'11.1.Амортиз.нови активи'!AC$11:AC$58))</f>
        <v>0.17697445216889113</v>
      </c>
      <c r="W22" s="886">
        <f>V22+SUMIF('11.1.Амортиз.нови активи'!$B$11:$B$58,$B22,'11.1.Амортиз.нови активи'!W$11:W$58)+('9.Инвестиционна програма'!I$79*SUMIF('11.1.Амортиз.нови активи'!$B$11:$B$58,$B22,'11.1.Амортиз.нови активи'!AD$11:AD$58))</f>
        <v>0.17697445216889113</v>
      </c>
      <c r="X22" s="886">
        <f>W22+SUMIF('11.1.Амортиз.нови активи'!$B$11:$B$58,$B22,'11.1.Амортиз.нови активи'!X$11:X$58)+('9.Инвестиционна програма'!J$79*SUMIF('11.1.Амортиз.нови активи'!$B$11:$B$58,$B22,'11.1.Амортиз.нови активи'!AE$11:AE$58))</f>
        <v>0.17697445216889113</v>
      </c>
      <c r="Y22" s="887">
        <f>X22+SUMIF('11.1.Амортиз.нови активи'!$B$11:$B$58,$B22,'11.1.Амортиз.нови активи'!Y$11:Y$58)+('9.Инвестиционна програма'!K$79*SUMIF('11.1.Амортиз.нови активи'!$B$11:$B$58,$B22,'11.1.Амортиз.нови активи'!AF$11:AF$58))</f>
        <v>0.17697445216889113</v>
      </c>
      <c r="Z22" s="1671"/>
      <c r="AA22" s="1678"/>
      <c r="AB22" s="1641"/>
    </row>
    <row r="23" spans="1:28">
      <c r="A23" s="1686">
        <v>6</v>
      </c>
      <c r="B23" s="1687">
        <v>208</v>
      </c>
      <c r="C23" s="1679">
        <v>0.2</v>
      </c>
      <c r="D23" s="2396" t="s">
        <v>585</v>
      </c>
      <c r="E23" s="2250">
        <v>170.81672066134195</v>
      </c>
      <c r="F23" s="932">
        <f>E23+SUMIF('11.1.Амортиз.нови активи'!$B$11:$B$58,$B23,'11.1.Амортиз.нови активи'!F$11:F$58)+('9.Инвестиционна програма'!F$77*SUMIF('11.1.Амортиз.нови активи'!$B$11:$B$58,$B23,'11.1.Амортиз.нови активи'!AA$11:AA$58))</f>
        <v>170.81672066134195</v>
      </c>
      <c r="G23" s="886">
        <f>F23+SUMIF('11.1.Амортиз.нови активи'!$B$11:$B$58,$B23,'11.1.Амортиз.нови активи'!G$11:G$58)+('9.Инвестиционна програма'!G$77*SUMIF('11.1.Амортиз.нови активи'!$B$11:$B$58,$B23,'11.1.Амортиз.нови активи'!AB$11:AB$58))</f>
        <v>174.62745246707078</v>
      </c>
      <c r="H23" s="886">
        <f>G23+SUMIF('11.1.Амортиз.нови активи'!$B$11:$B$58,$B23,'11.1.Амортиз.нови активи'!H$11:H$58)+('9.Инвестиционна програма'!H$77*SUMIF('11.1.Амортиз.нови активи'!$B$11:$B$58,$B23,'11.1.Амортиз.нови активи'!AC$11:AC$58))</f>
        <v>178.29249563731651</v>
      </c>
      <c r="I23" s="886">
        <f>H23+SUMIF('11.1.Амортиз.нови активи'!$B$11:$B$58,$B23,'11.1.Амортиз.нови активи'!I$11:I$58)+('9.Инвестиционна програма'!I$77*SUMIF('11.1.Амортиз.нови активи'!$B$11:$B$58,$B23,'11.1.Амортиз.нови активи'!AD$11:AD$58))</f>
        <v>181.98135833619688</v>
      </c>
      <c r="J23" s="886">
        <f>I23+SUMIF('11.1.Амортиз.нови активи'!$B$11:$B$58,$B23,'11.1.Амортиз.нови активи'!J$11:J$58)+('9.Инвестиционна програма'!J$77*SUMIF('11.1.Амортиз.нови активи'!$B$11:$B$58,$B23,'11.1.Амортиз.нови активи'!AE$11:AE$58))</f>
        <v>185.76029352138207</v>
      </c>
      <c r="K23" s="887">
        <f>J23+SUMIF('11.1.Амортиз.нови активи'!$B$11:$B$58,$B23,'11.1.Амортиз.нови активи'!K$11:K$58)+('9.Инвестиционна програма'!K$77*SUMIF('11.1.Амортиз.нови активи'!$B$11:$B$58,$B23,'11.1.Амортиз.нови активи'!AF$11:AF$58))</f>
        <v>189.74614257798584</v>
      </c>
      <c r="L23" s="2250">
        <v>17.420514687636764</v>
      </c>
      <c r="M23" s="885">
        <f>L23+SUMIF('11.1.Амортиз.нови активи'!$B$11:$B$58,$B23,'11.1.Амортиз.нови активи'!M$11:M$58)+('9.Инвестиционна програма'!F$78*SUMIF('11.1.Амортиз.нови активи'!$B$11:$B$58,$B23,'11.1.Амортиз.нови активи'!AA$11:AA$58))</f>
        <v>17.420514687636764</v>
      </c>
      <c r="N23" s="886">
        <f>M23+SUMIF('11.1.Амортиз.нови активи'!$B$11:$B$58,$B23,'11.1.Амортиз.нови активи'!N$11:N$58)+('9.Инвестиционна програма'!G$78*SUMIF('11.1.Амортиз.нови активи'!$B$11:$B$58,$B23,'11.1.Амортиз.нови активи'!AB$11:AB$58))</f>
        <v>17.641773886570931</v>
      </c>
      <c r="O23" s="886">
        <f>N23+SUMIF('11.1.Амортиз.нови активи'!$B$11:$B$58,$B23,'11.1.Амортиз.нови активи'!O$11:O$58)+('9.Инвестиционна програма'!H$78*SUMIF('11.1.Амортиз.нови активи'!$B$11:$B$58,$B23,'11.1.Амортиз.нови активи'!AC$11:AC$58))</f>
        <v>18.136571318494774</v>
      </c>
      <c r="P23" s="886">
        <f>O23+SUMIF('11.1.Амортиз.нови активи'!$B$11:$B$58,$B23,'11.1.Амортиз.нови активи'!P$11:P$58)+('9.Инвестиционна програма'!I$78*SUMIF('11.1.Амортиз.нови активи'!$B$11:$B$58,$B23,'11.1.Амортиз.нови активи'!AD$11:AD$58))</f>
        <v>18.57558133617303</v>
      </c>
      <c r="Q23" s="886">
        <f>P23+SUMIF('11.1.Амортиз.нови активи'!$B$11:$B$58,$B23,'11.1.Амортиз.нови активи'!Q$11:Q$58)+('9.Инвестиционна програма'!J$78*SUMIF('11.1.Амортиз.нови активи'!$B$11:$B$58,$B23,'11.1.Амортиз.нови активи'!AE$11:AE$58))</f>
        <v>18.963312817654511</v>
      </c>
      <c r="R23" s="887">
        <f>Q23+SUMIF('11.1.Амортиз.нови активи'!$B$11:$B$58,$B23,'11.1.Амортиз.нови активи'!R$11:R$58)+('9.Инвестиционна програма'!K$78*SUMIF('11.1.Амортиз.нови активи'!$B$11:$B$58,$B23,'11.1.Амортиз.нови активи'!AF$11:AF$58))</f>
        <v>19.275157681386169</v>
      </c>
      <c r="S23" s="2250">
        <v>5.0897146510213052</v>
      </c>
      <c r="T23" s="885">
        <f>S23+SUMIF('11.1.Амортиз.нови активи'!$B$11:$B$58,$B23,'11.1.Амортиз.нови активи'!T$11:T$58)+('9.Инвестиционна програма'!F$79*SUMIF('11.1.Амортиз.нови активи'!$B$11:$B$58,$B23,'11.1.Амортиз.нови активи'!AA$11:AA$58))</f>
        <v>5.0897146510213052</v>
      </c>
      <c r="U23" s="886">
        <f>T23+SUMIF('11.1.Амортиз.нови активи'!$B$11:$B$58,$B23,'11.1.Амортиз.нови активи'!U$11:U$58)+('9.Инвестиционна програма'!G$79*SUMIF('11.1.Амортиз.нови активи'!$B$11:$B$58,$B23,'11.1.Амортиз.нови активи'!AB$11:AB$58))</f>
        <v>6.0577236463582897</v>
      </c>
      <c r="V23" s="886">
        <f>U23+SUMIF('11.1.Амортиз.нови активи'!$B$11:$B$58,$B23,'11.1.Амортиз.нови активи'!V$11:V$58)+('9.Инвестиционна програма'!H$79*SUMIF('11.1.Амортиз.нови активи'!$B$11:$B$58,$B23,'11.1.Амортиз.нови активи'!AC$11:AC$58))</f>
        <v>6.897883044188708</v>
      </c>
      <c r="W23" s="886">
        <f>V23+SUMIF('11.1.Амортиз.нови активи'!$B$11:$B$58,$B23,'11.1.Амортиз.нови активи'!W$11:W$58)+('9.Инвестиционна програма'!I$79*SUMIF('11.1.Амортиз.нови активи'!$B$11:$B$58,$B23,'11.1.Амортиз.нови активи'!AD$11:AD$58))</f>
        <v>7.7700103276300752</v>
      </c>
      <c r="X23" s="886">
        <f>W23+SUMIF('11.1.Амортиз.нови активи'!$B$11:$B$58,$B23,'11.1.Амортиз.нови активи'!X$11:X$58)+('9.Инвестиционна програма'!J$79*SUMIF('11.1.Амортиз.нови активи'!$B$11:$B$58,$B23,'11.1.Амортиз.нови активи'!AE$11:AE$58))</f>
        <v>8.6033436609634091</v>
      </c>
      <c r="Y23" s="887">
        <f>X23+SUMIF('11.1.Амортиз.нови активи'!$B$11:$B$58,$B23,'11.1.Амортиз.нови активи'!Y$11:Y$58)+('9.Инвестиционна програма'!K$79*SUMIF('11.1.Амортиз.нови активи'!$B$11:$B$58,$B23,'11.1.Амортиз.нови активи'!AF$11:AF$58))</f>
        <v>9.3056497406279792</v>
      </c>
      <c r="Z23" s="1671"/>
      <c r="AA23" s="1678"/>
      <c r="AB23" s="1641"/>
    </row>
    <row r="24" spans="1:28">
      <c r="A24" s="1686">
        <v>7</v>
      </c>
      <c r="B24" s="1688">
        <v>20601</v>
      </c>
      <c r="C24" s="1679">
        <v>0.1</v>
      </c>
      <c r="D24" s="2396" t="s">
        <v>766</v>
      </c>
      <c r="E24" s="2250">
        <v>39.34158815549533</v>
      </c>
      <c r="F24" s="932">
        <f>E24+SUMIF('11.1.Амортиз.нови активи'!$B$11:$B$58,$B24,'11.1.Амортиз.нови активи'!F$11:F$58)+('9.Инвестиционна програма'!F$77*SUMIF('11.1.Амортиз.нови активи'!$B$11:$B$58,$B24,'11.1.Амортиз.нови активи'!AA$11:AA$58))</f>
        <v>39.34158815549533</v>
      </c>
      <c r="G24" s="886">
        <f>F24+SUMIF('11.1.Амортиз.нови активи'!$B$11:$B$58,$B24,'11.1.Амортиз.нови активи'!G$11:G$58)+('9.Инвестиционна програма'!G$77*SUMIF('11.1.Амортиз.нови активи'!$B$11:$B$58,$B24,'11.1.Амортиз.нови активи'!AB$11:AB$58))</f>
        <v>39.34158815549533</v>
      </c>
      <c r="H24" s="886">
        <f>G24+SUMIF('11.1.Амортиз.нови активи'!$B$11:$B$58,$B24,'11.1.Амортиз.нови активи'!H$11:H$58)+('9.Инвестиционна програма'!H$77*SUMIF('11.1.Амортиз.нови активи'!$B$11:$B$58,$B24,'11.1.Амортиз.нови активи'!AC$11:AC$58))</f>
        <v>46.671674495986807</v>
      </c>
      <c r="I24" s="886">
        <f>H24+SUMIF('11.1.Амортиз.нови активи'!$B$11:$B$58,$B24,'11.1.Амортиз.нови активи'!I$11:I$58)+('9.Инвестиционна програма'!I$77*SUMIF('11.1.Амортиз.нови активи'!$B$11:$B$58,$B24,'11.1.Амортиз.нови активи'!AD$11:AD$58))</f>
        <v>54.049399893747562</v>
      </c>
      <c r="J24" s="886">
        <f>I24+SUMIF('11.1.Амортиз.нови активи'!$B$11:$B$58,$B24,'11.1.Амортиз.нови активи'!J$11:J$58)+('9.Инвестиционна програма'!J$77*SUMIF('11.1.Амортиз.нови активи'!$B$11:$B$58,$B24,'11.1.Амортиз.нови активи'!AE$11:AE$58))</f>
        <v>61.607270264117936</v>
      </c>
      <c r="K24" s="887">
        <f>J24+SUMIF('11.1.Амортиз.нови активи'!$B$11:$B$58,$B24,'11.1.Амортиз.нови активи'!K$11:K$58)+('9.Инвестиционна програма'!K$77*SUMIF('11.1.Амортиз.нови активи'!$B$11:$B$58,$B24,'11.1.Амортиз.нови активи'!AF$11:AF$58))</f>
        <v>69.578968377325481</v>
      </c>
      <c r="L24" s="2250">
        <v>4.2973640300346689</v>
      </c>
      <c r="M24" s="885">
        <f>L24+SUMIF('11.1.Амортиз.нови активи'!$B$11:$B$58,$B24,'11.1.Амортиз.нови активи'!M$11:M$58)+('9.Инвестиционна програма'!F$78*SUMIF('11.1.Амортиз.нови активи'!$B$11:$B$58,$B24,'11.1.Амортиз.нови активи'!AA$11:AA$58))</f>
        <v>4.2973640300346689</v>
      </c>
      <c r="N24" s="886">
        <f>M24+SUMIF('11.1.Амортиз.нови активи'!$B$11:$B$58,$B24,'11.1.Амортиз.нови активи'!N$11:N$58)+('9.Инвестиционна програма'!G$78*SUMIF('11.1.Амортиз.нови активи'!$B$11:$B$58,$B24,'11.1.Амортиз.нови активи'!AB$11:AB$58))</f>
        <v>4.2973640300346689</v>
      </c>
      <c r="O24" s="886">
        <f>N24+SUMIF('11.1.Амортиз.нови активи'!$B$11:$B$58,$B24,'11.1.Амортиз.нови активи'!O$11:O$58)+('9.Инвестиционна програма'!H$78*SUMIF('11.1.Амортиз.нови активи'!$B$11:$B$58,$B24,'11.1.Амортиз.нови активи'!AC$11:AC$58))</f>
        <v>5.2869588938823551</v>
      </c>
      <c r="P24" s="886">
        <f>O24+SUMIF('11.1.Амортиз.нови активи'!$B$11:$B$58,$B24,'11.1.Амортиз.нови активи'!P$11:P$58)+('9.Инвестиционна програма'!I$78*SUMIF('11.1.Амортиз.нови активи'!$B$11:$B$58,$B24,'11.1.Амортиз.нови активи'!AD$11:AD$58))</f>
        <v>6.1649789292388668</v>
      </c>
      <c r="Q24" s="886">
        <f>P24+SUMIF('11.1.Амортиз.нови активи'!$B$11:$B$58,$B24,'11.1.Амортиз.нови активи'!Q$11:Q$58)+('9.Инвестиционна програма'!J$78*SUMIF('11.1.Амортиз.нови активи'!$B$11:$B$58,$B24,'11.1.Амортиз.нови активи'!AE$11:AE$58))</f>
        <v>6.9404418922018296</v>
      </c>
      <c r="R24" s="887">
        <f>Q24+SUMIF('11.1.Амортиз.нови активи'!$B$11:$B$58,$B24,'11.1.Амортиз.нови активи'!R$11:R$58)+('9.Инвестиционна програма'!K$78*SUMIF('11.1.Амортиз.нови активи'!$B$11:$B$58,$B24,'11.1.Амортиз.нови активи'!AF$11:AF$58))</f>
        <v>7.564131619665142</v>
      </c>
      <c r="S24" s="2250">
        <v>9.3758778144699964</v>
      </c>
      <c r="T24" s="885">
        <f>S24+SUMIF('11.1.Амортиз.нови активи'!$B$11:$B$58,$B24,'11.1.Амортиз.нови активи'!T$11:T$58)+('9.Инвестиционна програма'!F$79*SUMIF('11.1.Амортиз.нови активи'!$B$11:$B$58,$B24,'11.1.Амортиз.нови активи'!AA$11:AA$58))</f>
        <v>9.3758778144699964</v>
      </c>
      <c r="U24" s="886">
        <f>T24+SUMIF('11.1.Амортиз.нови активи'!$B$11:$B$58,$B24,'11.1.Амортиз.нови активи'!U$11:U$58)+('9.Инвестиционна програма'!G$79*SUMIF('11.1.Амортиз.нови активи'!$B$11:$B$58,$B24,'11.1.Амортиз.нови активи'!AB$11:AB$58))</f>
        <v>9.3758778144699964</v>
      </c>
      <c r="V24" s="886">
        <f>U24+SUMIF('11.1.Амортиз.нови активи'!$B$11:$B$58,$B24,'11.1.Амортиз.нови активи'!V$11:V$58)+('9.Инвестиционна програма'!H$79*SUMIF('11.1.Амортиз.нови активи'!$B$11:$B$58,$B24,'11.1.Амортиз.нови активи'!AC$11:AC$58))</f>
        <v>11.056196610130833</v>
      </c>
      <c r="W24" s="886">
        <f>V24+SUMIF('11.1.Амортиз.нови активи'!$B$11:$B$58,$B24,'11.1.Амортиз.нови активи'!W$11:W$58)+('9.Инвестиционна програма'!I$79*SUMIF('11.1.Амортиз.нови активи'!$B$11:$B$58,$B24,'11.1.Амортиз.нови активи'!AD$11:AD$58))</f>
        <v>12.800451177013567</v>
      </c>
      <c r="X24" s="886">
        <f>W24+SUMIF('11.1.Амортиз.нови активи'!$B$11:$B$58,$B24,'11.1.Амортиз.нови активи'!X$11:X$58)+('9.Инвестиционна програма'!J$79*SUMIF('11.1.Амортиз.нови активи'!$B$11:$B$58,$B24,'11.1.Амортиз.нови активи'!AE$11:AE$58))</f>
        <v>14.467117843680233</v>
      </c>
      <c r="Y24" s="887">
        <f>X24+SUMIF('11.1.Амортиз.нови активи'!$B$11:$B$58,$B24,'11.1.Амортиз.нови активи'!Y$11:Y$58)+('9.Инвестиционна програма'!K$79*SUMIF('11.1.Амортиз.нови активи'!$B$11:$B$58,$B24,'11.1.Амортиз.нови активи'!AF$11:AF$58))</f>
        <v>15.871730003009374</v>
      </c>
      <c r="Z24" s="1671"/>
      <c r="AA24" s="1678"/>
      <c r="AB24" s="1641"/>
    </row>
    <row r="25" spans="1:28">
      <c r="A25" s="1689">
        <v>8</v>
      </c>
      <c r="B25" s="1688">
        <v>20602</v>
      </c>
      <c r="C25" s="1679">
        <v>0.1</v>
      </c>
      <c r="D25" s="2396" t="s">
        <v>607</v>
      </c>
      <c r="E25" s="2250">
        <v>13.660968654574543</v>
      </c>
      <c r="F25" s="932">
        <f>E25+SUMIF('11.1.Амортиз.нови активи'!$B$11:$B$58,$B25,'11.1.Амортиз.нови активи'!F$11:F$58)+('9.Инвестиционна програма'!F$77*SUMIF('11.1.Амортиз.нови активи'!$B$11:$B$58,$B25,'11.1.Амортиз.нови активи'!AA$11:AA$58))</f>
        <v>13.660968654574543</v>
      </c>
      <c r="G25" s="886">
        <f>F25+SUMIF('11.1.Амортиз.нови активи'!$B$11:$B$58,$B25,'11.1.Амортиз.нови активи'!G$11:G$58)+('9.Инвестиционна програма'!G$77*SUMIF('11.1.Амортиз.нови активи'!$B$11:$B$58,$B25,'11.1.Амортиз.нови активи'!AB$11:AB$58))</f>
        <v>13.660968654574543</v>
      </c>
      <c r="H25" s="886">
        <f>G25+SUMIF('11.1.Амортиз.нови активи'!$B$11:$B$58,$B25,'11.1.Амортиз.нови активи'!H$11:H$58)+('9.Инвестиционна програма'!H$77*SUMIF('11.1.Амортиз.нови активи'!$B$11:$B$58,$B25,'11.1.Амортиз.нови активи'!AC$11:AC$58))</f>
        <v>13.660968654574543</v>
      </c>
      <c r="I25" s="886">
        <f>H25+SUMIF('11.1.Амортиз.нови активи'!$B$11:$B$58,$B25,'11.1.Амортиз.нови активи'!I$11:I$58)+('9.Инвестиционна програма'!I$77*SUMIF('11.1.Амортиз.нови активи'!$B$11:$B$58,$B25,'11.1.Амортиз.нови активи'!AD$11:AD$58))</f>
        <v>13.660968654574543</v>
      </c>
      <c r="J25" s="886">
        <f>I25+SUMIF('11.1.Амортиз.нови активи'!$B$11:$B$58,$B25,'11.1.Амортиз.нови активи'!J$11:J$58)+('9.Инвестиционна програма'!J$77*SUMIF('11.1.Амортиз.нови активи'!$B$11:$B$58,$B25,'11.1.Амортиз.нови активи'!AE$11:AE$58))</f>
        <v>13.660968654574543</v>
      </c>
      <c r="K25" s="887">
        <f>J25+SUMIF('11.1.Амортиз.нови активи'!$B$11:$B$58,$B25,'11.1.Амортиз.нови активи'!K$11:K$58)+('9.Инвестиционна програма'!K$77*SUMIF('11.1.Амортиз.нови активи'!$B$11:$B$58,$B25,'11.1.Амортиз.нови активи'!AF$11:AF$58))</f>
        <v>13.660968654574543</v>
      </c>
      <c r="L25" s="2250">
        <v>1.5384584319608579</v>
      </c>
      <c r="M25" s="885">
        <f>L25+SUMIF('11.1.Амортиз.нови активи'!$B$11:$B$58,$B25,'11.1.Амортиз.нови активи'!M$11:M$58)+('9.Инвестиционна програма'!F$78*SUMIF('11.1.Амортиз.нови активи'!$B$11:$B$58,$B25,'11.1.Амортиз.нови активи'!AA$11:AA$58))</f>
        <v>1.5384584319608579</v>
      </c>
      <c r="N25" s="886">
        <f>M25+SUMIF('11.1.Амортиз.нови активи'!$B$11:$B$58,$B25,'11.1.Амортиз.нови активи'!N$11:N$58)+('9.Инвестиционна програма'!G$78*SUMIF('11.1.Амортиз.нови активи'!$B$11:$B$58,$B25,'11.1.Амортиз.нови активи'!AB$11:AB$58))</f>
        <v>1.5384584319608579</v>
      </c>
      <c r="O25" s="886">
        <f>N25+SUMIF('11.1.Амортиз.нови активи'!$B$11:$B$58,$B25,'11.1.Амортиз.нови активи'!O$11:O$58)+('9.Инвестиционна програма'!H$78*SUMIF('11.1.Амортиз.нови активи'!$B$11:$B$58,$B25,'11.1.Амортиз.нови активи'!AC$11:AC$58))</f>
        <v>1.5384584319608579</v>
      </c>
      <c r="P25" s="886">
        <f>O25+SUMIF('11.1.Амортиз.нови активи'!$B$11:$B$58,$B25,'11.1.Амортиз.нови активи'!P$11:P$58)+('9.Инвестиционна програма'!I$78*SUMIF('11.1.Амортиз.нови активи'!$B$11:$B$58,$B25,'11.1.Амортиз.нови активи'!AD$11:AD$58))</f>
        <v>1.5384584319608579</v>
      </c>
      <c r="Q25" s="886">
        <f>P25+SUMIF('11.1.Амортиз.нови активи'!$B$11:$B$58,$B25,'11.1.Амортиз.нови активи'!Q$11:Q$58)+('9.Инвестиционна програма'!J$78*SUMIF('11.1.Амортиз.нови активи'!$B$11:$B$58,$B25,'11.1.Амортиз.нови активи'!AE$11:AE$58))</f>
        <v>1.5384584319608579</v>
      </c>
      <c r="R25" s="887">
        <f>Q25+SUMIF('11.1.Амортиз.нови активи'!$B$11:$B$58,$B25,'11.1.Амортиз.нови активи'!R$11:R$58)+('9.Инвестиционна програма'!K$78*SUMIF('11.1.Амортиз.нови активи'!$B$11:$B$58,$B25,'11.1.Амортиз.нови активи'!AF$11:AF$58))</f>
        <v>1.5384584319608579</v>
      </c>
      <c r="S25" s="2250">
        <v>1.1737729134646</v>
      </c>
      <c r="T25" s="885">
        <f>S25+SUMIF('11.1.Амортиз.нови активи'!$B$11:$B$58,$B25,'11.1.Амортиз.нови активи'!T$11:T$58)+('9.Инвестиционна програма'!F$79*SUMIF('11.1.Амортиз.нови активи'!$B$11:$B$58,$B25,'11.1.Амортиз.нови активи'!AA$11:AA$58))</f>
        <v>1.1737729134646</v>
      </c>
      <c r="U25" s="886">
        <f>T25+SUMIF('11.1.Амортиз.нови активи'!$B$11:$B$58,$B25,'11.1.Амортиз.нови активи'!U$11:U$58)+('9.Инвестиционна програма'!G$79*SUMIF('11.1.Амортиз.нови активи'!$B$11:$B$58,$B25,'11.1.Амортиз.нови активи'!AB$11:AB$58))</f>
        <v>1.1737729134646</v>
      </c>
      <c r="V25" s="886">
        <f>U25+SUMIF('11.1.Амортиз.нови активи'!$B$11:$B$58,$B25,'11.1.Амортиз.нови активи'!V$11:V$58)+('9.Инвестиционна програма'!H$79*SUMIF('11.1.Амортиз.нови активи'!$B$11:$B$58,$B25,'11.1.Амортиз.нови активи'!AC$11:AC$58))</f>
        <v>1.1737729134646</v>
      </c>
      <c r="W25" s="886">
        <f>V25+SUMIF('11.1.Амортиз.нови активи'!$B$11:$B$58,$B25,'11.1.Амортиз.нови активи'!W$11:W$58)+('9.Инвестиционна програма'!I$79*SUMIF('11.1.Амортиз.нови активи'!$B$11:$B$58,$B25,'11.1.Амортиз.нови активи'!AD$11:AD$58))</f>
        <v>1.1737729134646</v>
      </c>
      <c r="X25" s="886">
        <f>W25+SUMIF('11.1.Амортиз.нови активи'!$B$11:$B$58,$B25,'11.1.Амортиз.нови активи'!X$11:X$58)+('9.Инвестиционна програма'!J$79*SUMIF('11.1.Амортиз.нови активи'!$B$11:$B$58,$B25,'11.1.Амортиз.нови активи'!AE$11:AE$58))</f>
        <v>1.1737729134646</v>
      </c>
      <c r="Y25" s="887">
        <f>X25+SUMIF('11.1.Амортиз.нови активи'!$B$11:$B$58,$B25,'11.1.Амортиз.нови активи'!Y$11:Y$58)+('9.Инвестиционна програма'!K$79*SUMIF('11.1.Амортиз.нови активи'!$B$11:$B$58,$B25,'11.1.Амортиз.нови активи'!AF$11:AF$58))</f>
        <v>1.1737729134646</v>
      </c>
      <c r="Z25" s="1671"/>
      <c r="AA25" s="1678"/>
      <c r="AB25" s="1641"/>
    </row>
    <row r="26" spans="1:28">
      <c r="A26" s="1689">
        <v>9</v>
      </c>
      <c r="B26" s="1687">
        <v>20603</v>
      </c>
      <c r="C26" s="1679">
        <v>0.5</v>
      </c>
      <c r="D26" s="2396" t="s">
        <v>1441</v>
      </c>
      <c r="E26" s="2250">
        <v>0</v>
      </c>
      <c r="F26" s="932">
        <f>E26+SUMIF('11.1.Амортиз.нови активи'!$B$11:$B$58,$B26,'11.1.Амортиз.нови активи'!F$11:F$58)+('9.Инвестиционна програма'!F$77*SUMIF('11.1.Амортиз.нови активи'!$B$11:$B$58,$B26,'11.1.Амортиз.нови активи'!AA$11:AA$58))</f>
        <v>0</v>
      </c>
      <c r="G26" s="886">
        <f>F26+SUMIF('11.1.Амортиз.нови активи'!$B$11:$B$58,$B26,'11.1.Амортиз.нови активи'!G$11:G$58)+('9.Инвестиционна програма'!G$77*SUMIF('11.1.Амортиз.нови активи'!$B$11:$B$58,$B26,'11.1.Амортиз.нови активи'!AB$11:AB$58))</f>
        <v>0</v>
      </c>
      <c r="H26" s="886">
        <f>G26+SUMIF('11.1.Амортиз.нови активи'!$B$11:$B$58,$B26,'11.1.Амортиз.нови активи'!H$11:H$58)+('9.Инвестиционна програма'!H$77*SUMIF('11.1.Амортиз.нови активи'!$B$11:$B$58,$B26,'11.1.Амортиз.нови активи'!AC$11:AC$58))</f>
        <v>0</v>
      </c>
      <c r="I26" s="886">
        <f>H26+SUMIF('11.1.Амортиз.нови активи'!$B$11:$B$58,$B26,'11.1.Амортиз.нови активи'!I$11:I$58)+('9.Инвестиционна програма'!I$77*SUMIF('11.1.Амортиз.нови активи'!$B$11:$B$58,$B26,'11.1.Амортиз.нови активи'!AD$11:AD$58))</f>
        <v>0</v>
      </c>
      <c r="J26" s="886">
        <f>I26+SUMIF('11.1.Амортиз.нови активи'!$B$11:$B$58,$B26,'11.1.Амортиз.нови активи'!J$11:J$58)+('9.Инвестиционна програма'!J$77*SUMIF('11.1.Амортиз.нови активи'!$B$11:$B$58,$B26,'11.1.Амортиз.нови активи'!AE$11:AE$58))</f>
        <v>0</v>
      </c>
      <c r="K26" s="887">
        <f>J26+SUMIF('11.1.Амортиз.нови активи'!$B$11:$B$58,$B26,'11.1.Амортиз.нови активи'!K$11:K$58)+('9.Инвестиционна програма'!K$77*SUMIF('11.1.Амортиз.нови активи'!$B$11:$B$58,$B26,'11.1.Амортиз.нови активи'!AF$11:AF$58))</f>
        <v>0</v>
      </c>
      <c r="L26" s="2250">
        <v>0</v>
      </c>
      <c r="M26" s="885">
        <f>L26+SUMIF('11.1.Амортиз.нови активи'!$B$11:$B$58,$B26,'11.1.Амортиз.нови активи'!M$11:M$58)+('9.Инвестиционна програма'!F$78*SUMIF('11.1.Амортиз.нови активи'!$B$11:$B$58,$B26,'11.1.Амортиз.нови активи'!AA$11:AA$58))</f>
        <v>0</v>
      </c>
      <c r="N26" s="886">
        <f>M26+SUMIF('11.1.Амортиз.нови активи'!$B$11:$B$58,$B26,'11.1.Амортиз.нови активи'!N$11:N$58)+('9.Инвестиционна програма'!G$78*SUMIF('11.1.Амортиз.нови активи'!$B$11:$B$58,$B26,'11.1.Амортиз.нови активи'!AB$11:AB$58))</f>
        <v>0</v>
      </c>
      <c r="O26" s="886">
        <f>N26+SUMIF('11.1.Амортиз.нови активи'!$B$11:$B$58,$B26,'11.1.Амортиз.нови активи'!O$11:O$58)+('9.Инвестиционна програма'!H$78*SUMIF('11.1.Амортиз.нови активи'!$B$11:$B$58,$B26,'11.1.Амортиз.нови активи'!AC$11:AC$58))</f>
        <v>0</v>
      </c>
      <c r="P26" s="886">
        <f>O26+SUMIF('11.1.Амортиз.нови активи'!$B$11:$B$58,$B26,'11.1.Амортиз.нови активи'!P$11:P$58)+('9.Инвестиционна програма'!I$78*SUMIF('11.1.Амортиз.нови активи'!$B$11:$B$58,$B26,'11.1.Амортиз.нови активи'!AD$11:AD$58))</f>
        <v>0</v>
      </c>
      <c r="Q26" s="886">
        <f>P26+SUMIF('11.1.Амортиз.нови активи'!$B$11:$B$58,$B26,'11.1.Амортиз.нови активи'!Q$11:Q$58)+('9.Инвестиционна програма'!J$78*SUMIF('11.1.Амортиз.нови активи'!$B$11:$B$58,$B26,'11.1.Амортиз.нови активи'!AE$11:AE$58))</f>
        <v>0</v>
      </c>
      <c r="R26" s="887">
        <f>Q26+SUMIF('11.1.Амортиз.нови активи'!$B$11:$B$58,$B26,'11.1.Амортиз.нови активи'!R$11:R$58)+('9.Инвестиционна програма'!K$78*SUMIF('11.1.Амортиз.нови активи'!$B$11:$B$58,$B26,'11.1.Амортиз.нови активи'!AF$11:AF$58))</f>
        <v>0</v>
      </c>
      <c r="S26" s="2250">
        <v>0</v>
      </c>
      <c r="T26" s="885">
        <f>S26+SUMIF('11.1.Амортиз.нови активи'!$B$11:$B$58,$B26,'11.1.Амортиз.нови активи'!T$11:T$58)+('9.Инвестиционна програма'!F$79*SUMIF('11.1.Амортиз.нови активи'!$B$11:$B$58,$B26,'11.1.Амортиз.нови активи'!AA$11:AA$58))</f>
        <v>0</v>
      </c>
      <c r="U26" s="886">
        <f>T26+SUMIF('11.1.Амортиз.нови активи'!$B$11:$B$58,$B26,'11.1.Амортиз.нови активи'!U$11:U$58)+('9.Инвестиционна програма'!G$79*SUMIF('11.1.Амортиз.нови активи'!$B$11:$B$58,$B26,'11.1.Амортиз.нови активи'!AB$11:AB$58))</f>
        <v>0</v>
      </c>
      <c r="V26" s="886">
        <f>U26+SUMIF('11.1.Амортиз.нови активи'!$B$11:$B$58,$B26,'11.1.Амортиз.нови активи'!V$11:V$58)+('9.Инвестиционна програма'!H$79*SUMIF('11.1.Амортиз.нови активи'!$B$11:$B$58,$B26,'11.1.Амортиз.нови активи'!AC$11:AC$58))</f>
        <v>0</v>
      </c>
      <c r="W26" s="886">
        <f>V26+SUMIF('11.1.Амортиз.нови активи'!$B$11:$B$58,$B26,'11.1.Амортиз.нови активи'!W$11:W$58)+('9.Инвестиционна програма'!I$79*SUMIF('11.1.Амортиз.нови активи'!$B$11:$B$58,$B26,'11.1.Амортиз.нови активи'!AD$11:AD$58))</f>
        <v>0</v>
      </c>
      <c r="X26" s="886">
        <f>W26+SUMIF('11.1.Амортиз.нови активи'!$B$11:$B$58,$B26,'11.1.Амортиз.нови активи'!X$11:X$58)+('9.Инвестиционна програма'!J$79*SUMIF('11.1.Амортиз.нови активи'!$B$11:$B$58,$B26,'11.1.Амортиз.нови активи'!AE$11:AE$58))</f>
        <v>0</v>
      </c>
      <c r="Y26" s="887">
        <f>X26+SUMIF('11.1.Амортиз.нови активи'!$B$11:$B$58,$B26,'11.1.Амортиз.нови активи'!Y$11:Y$58)+('9.Инвестиционна програма'!K$79*SUMIF('11.1.Амортиз.нови активи'!$B$11:$B$58,$B26,'11.1.Амортиз.нови активи'!AF$11:AF$58))</f>
        <v>0</v>
      </c>
      <c r="Z26" s="1671"/>
      <c r="AA26" s="1678"/>
      <c r="AB26" s="1641"/>
    </row>
    <row r="27" spans="1:28">
      <c r="A27" s="1689">
        <v>10</v>
      </c>
      <c r="B27" s="1687">
        <v>209</v>
      </c>
      <c r="C27" s="1679">
        <v>0.1</v>
      </c>
      <c r="D27" s="2396" t="s">
        <v>276</v>
      </c>
      <c r="E27" s="2250">
        <v>0</v>
      </c>
      <c r="F27" s="932">
        <f>E27+SUMIF('11.1.Амортиз.нови активи'!$B$11:$B$58,$B27,'11.1.Амортиз.нови активи'!F$11:F$58)+('9.Инвестиционна програма'!F$77*SUMIF('11.1.Амортиз.нови активи'!$B$11:$B$58,$B27,'11.1.Амортиз.нови активи'!AA$11:AA$58))</f>
        <v>0</v>
      </c>
      <c r="G27" s="886">
        <f>F27+SUMIF('11.1.Амортиз.нови активи'!$B$11:$B$58,$B27,'11.1.Амортиз.нови активи'!G$11:G$58)+('9.Инвестиционна програма'!G$77*SUMIF('11.1.Амортиз.нови активи'!$B$11:$B$58,$B27,'11.1.Амортиз.нови активи'!AB$11:AB$58))</f>
        <v>0</v>
      </c>
      <c r="H27" s="886">
        <f>G27+SUMIF('11.1.Амортиз.нови активи'!$B$11:$B$58,$B27,'11.1.Амортиз.нови активи'!H$11:H$58)+('9.Инвестиционна програма'!H$77*SUMIF('11.1.Амортиз.нови активи'!$B$11:$B$58,$B27,'11.1.Амортиз.нови активи'!AC$11:AC$58))</f>
        <v>0</v>
      </c>
      <c r="I27" s="886">
        <f>H27+SUMIF('11.1.Амортиз.нови активи'!$B$11:$B$58,$B27,'11.1.Амортиз.нови активи'!I$11:I$58)+('9.Инвестиционна програма'!I$77*SUMIF('11.1.Амортиз.нови активи'!$B$11:$B$58,$B27,'11.1.Амортиз.нови активи'!AD$11:AD$58))</f>
        <v>0</v>
      </c>
      <c r="J27" s="886">
        <f>I27+SUMIF('11.1.Амортиз.нови активи'!$B$11:$B$58,$B27,'11.1.Амортиз.нови активи'!J$11:J$58)+('9.Инвестиционна програма'!J$77*SUMIF('11.1.Амортиз.нови активи'!$B$11:$B$58,$B27,'11.1.Амортиз.нови активи'!AE$11:AE$58))</f>
        <v>0</v>
      </c>
      <c r="K27" s="887">
        <f>J27+SUMIF('11.1.Амортиз.нови активи'!$B$11:$B$58,$B27,'11.1.Амортиз.нови активи'!K$11:K$58)+('9.Инвестиционна програма'!K$77*SUMIF('11.1.Амортиз.нови активи'!$B$11:$B$58,$B27,'11.1.Амортиз.нови активи'!AF$11:AF$58))</f>
        <v>0</v>
      </c>
      <c r="L27" s="2250">
        <v>0</v>
      </c>
      <c r="M27" s="885">
        <f>L27+SUMIF('11.1.Амортиз.нови активи'!$B$11:$B$58,$B27,'11.1.Амортиз.нови активи'!M$11:M$58)+('9.Инвестиционна програма'!F$78*SUMIF('11.1.Амортиз.нови активи'!$B$11:$B$58,$B27,'11.1.Амортиз.нови активи'!AA$11:AA$58))</f>
        <v>0</v>
      </c>
      <c r="N27" s="886">
        <f>M27+SUMIF('11.1.Амортиз.нови активи'!$B$11:$B$58,$B27,'11.1.Амортиз.нови активи'!N$11:N$58)+('9.Инвестиционна програма'!G$78*SUMIF('11.1.Амортиз.нови активи'!$B$11:$B$58,$B27,'11.1.Амортиз.нови активи'!AB$11:AB$58))</f>
        <v>0</v>
      </c>
      <c r="O27" s="886">
        <f>N27+SUMIF('11.1.Амортиз.нови активи'!$B$11:$B$58,$B27,'11.1.Амортиз.нови активи'!O$11:O$58)+('9.Инвестиционна програма'!H$78*SUMIF('11.1.Амортиз.нови активи'!$B$11:$B$58,$B27,'11.1.Амортиз.нови активи'!AC$11:AC$58))</f>
        <v>0</v>
      </c>
      <c r="P27" s="886">
        <f>O27+SUMIF('11.1.Амортиз.нови активи'!$B$11:$B$58,$B27,'11.1.Амортиз.нови активи'!P$11:P$58)+('9.Инвестиционна програма'!I$78*SUMIF('11.1.Амортиз.нови активи'!$B$11:$B$58,$B27,'11.1.Амортиз.нови активи'!AD$11:AD$58))</f>
        <v>0</v>
      </c>
      <c r="Q27" s="886">
        <f>P27+SUMIF('11.1.Амортиз.нови активи'!$B$11:$B$58,$B27,'11.1.Амортиз.нови активи'!Q$11:Q$58)+('9.Инвестиционна програма'!J$78*SUMIF('11.1.Амортиз.нови активи'!$B$11:$B$58,$B27,'11.1.Амортиз.нови активи'!AE$11:AE$58))</f>
        <v>0</v>
      </c>
      <c r="R27" s="887">
        <f>Q27+SUMIF('11.1.Амортиз.нови активи'!$B$11:$B$58,$B27,'11.1.Амортиз.нови активи'!R$11:R$58)+('9.Инвестиционна програма'!K$78*SUMIF('11.1.Амортиз.нови активи'!$B$11:$B$58,$B27,'11.1.Амортиз.нови активи'!AF$11:AF$58))</f>
        <v>0</v>
      </c>
      <c r="S27" s="2250">
        <v>0</v>
      </c>
      <c r="T27" s="885">
        <f>S27+SUMIF('11.1.Амортиз.нови активи'!$B$11:$B$58,$B27,'11.1.Амортиз.нови активи'!T$11:T$58)+('9.Инвестиционна програма'!F$79*SUMIF('11.1.Амортиз.нови активи'!$B$11:$B$58,$B27,'11.1.Амортиз.нови активи'!AA$11:AA$58))</f>
        <v>0</v>
      </c>
      <c r="U27" s="886">
        <f>T27+SUMIF('11.1.Амортиз.нови активи'!$B$11:$B$58,$B27,'11.1.Амортиз.нови активи'!U$11:U$58)+('9.Инвестиционна програма'!G$79*SUMIF('11.1.Амортиз.нови активи'!$B$11:$B$58,$B27,'11.1.Амортиз.нови активи'!AB$11:AB$58))</f>
        <v>0</v>
      </c>
      <c r="V27" s="886">
        <f>U27+SUMIF('11.1.Амортиз.нови активи'!$B$11:$B$58,$B27,'11.1.Амортиз.нови активи'!V$11:V$58)+('9.Инвестиционна програма'!H$79*SUMIF('11.1.Амортиз.нови активи'!$B$11:$B$58,$B27,'11.1.Амортиз.нови активи'!AC$11:AC$58))</f>
        <v>0</v>
      </c>
      <c r="W27" s="886">
        <f>V27+SUMIF('11.1.Амортиз.нови активи'!$B$11:$B$58,$B27,'11.1.Амортиз.нови активи'!W$11:W$58)+('9.Инвестиционна програма'!I$79*SUMIF('11.1.Амортиз.нови активи'!$B$11:$B$58,$B27,'11.1.Амортиз.нови активи'!AD$11:AD$58))</f>
        <v>0</v>
      </c>
      <c r="X27" s="886">
        <f>W27+SUMIF('11.1.Амортиз.нови активи'!$B$11:$B$58,$B27,'11.1.Амортиз.нови активи'!X$11:X$58)+('9.Инвестиционна програма'!J$79*SUMIF('11.1.Амортиз.нови активи'!$B$11:$B$58,$B27,'11.1.Амортиз.нови активи'!AE$11:AE$58))</f>
        <v>0</v>
      </c>
      <c r="Y27" s="887">
        <f>X27+SUMIF('11.1.Амортиз.нови активи'!$B$11:$B$58,$B27,'11.1.Амортиз.нови активи'!Y$11:Y$58)+('9.Инвестиционна програма'!K$79*SUMIF('11.1.Амортиз.нови активи'!$B$11:$B$58,$B27,'11.1.Амортиз.нови активи'!AF$11:AF$58))</f>
        <v>0</v>
      </c>
      <c r="Z27" s="1671"/>
      <c r="AA27" s="1678"/>
      <c r="AB27" s="1641"/>
    </row>
    <row r="28" spans="1:28" ht="24">
      <c r="A28" s="1689">
        <v>11</v>
      </c>
      <c r="B28" s="1687">
        <v>207</v>
      </c>
      <c r="C28" s="1687" t="s">
        <v>380</v>
      </c>
      <c r="D28" s="2398" t="s">
        <v>586</v>
      </c>
      <c r="E28" s="2250">
        <f>2729*0.9</f>
        <v>2456.1</v>
      </c>
      <c r="F28" s="932">
        <f>E28+SUMIF('11.1.Амортиз.нови активи'!$B$11:$B$58,$B28,'11.1.Амортиз.нови активи'!F$11:F$58)+('9.Инвестиционна програма'!F$77*SUMIF('11.1.Амортиз.нови активи'!$B$11:$B$58,$B28,'11.1.Амортиз.нови активи'!AA$11:AA$58))</f>
        <v>2456.1</v>
      </c>
      <c r="G28" s="886">
        <f>F28+SUMIF('11.1.Амортиз.нови активи'!$B$11:$B$58,$B28,'11.1.Амортиз.нови активи'!G$11:G$58)+('9.Инвестиционна програма'!G$77*SUMIF('11.1.Амортиз.нови активи'!$B$11:$B$58,$B28,'11.1.Амортиз.нови активи'!AB$11:AB$58))</f>
        <v>2456.1</v>
      </c>
      <c r="H28" s="886">
        <f>G28+SUMIF('11.1.Амортиз.нови активи'!$B$11:$B$58,$B28,'11.1.Амортиз.нови активи'!H$11:H$58)+('9.Инвестиционна програма'!H$77*SUMIF('11.1.Амортиз.нови активи'!$B$11:$B$58,$B28,'11.1.Амортиз.нови активи'!AC$11:AC$58))</f>
        <v>2456.1</v>
      </c>
      <c r="I28" s="886">
        <f>H28+SUMIF('11.1.Амортиз.нови активи'!$B$11:$B$58,$B28,'11.1.Амортиз.нови активи'!I$11:I$58)+('9.Инвестиционна програма'!I$77*SUMIF('11.1.Амортиз.нови активи'!$B$11:$B$58,$B28,'11.1.Амортиз.нови активи'!AD$11:AD$58))</f>
        <v>2456.1</v>
      </c>
      <c r="J28" s="886">
        <f>I28+SUMIF('11.1.Амортиз.нови активи'!$B$11:$B$58,$B28,'11.1.Амортиз.нови активи'!J$11:J$58)+('9.Инвестиционна програма'!J$77*SUMIF('11.1.Амортиз.нови активи'!$B$11:$B$58,$B28,'11.1.Амортиз.нови активи'!AE$11:AE$58))</f>
        <v>2456.1</v>
      </c>
      <c r="K28" s="887">
        <f>J28+SUMIF('11.1.Амортиз.нови активи'!$B$11:$B$58,$B28,'11.1.Амортиз.нови активи'!K$11:K$58)+('9.Инвестиционна програма'!K$77*SUMIF('11.1.Амортиз.нови активи'!$B$11:$B$58,$B28,'11.1.Амортиз.нови активи'!AF$11:AF$58))</f>
        <v>2456.1</v>
      </c>
      <c r="L28" s="2250">
        <f>2729*0.1</f>
        <v>272.90000000000003</v>
      </c>
      <c r="M28" s="885">
        <f>L28+SUMIF('11.1.Амортиз.нови активи'!$B$11:$B$58,$B28,'11.1.Амортиз.нови активи'!M$11:M$58)+('9.Инвестиционна програма'!F$78*SUMIF('11.1.Амортиз.нови активи'!$B$11:$B$58,$B28,'11.1.Амортиз.нови активи'!AA$11:AA$58))</f>
        <v>272.90000000000003</v>
      </c>
      <c r="N28" s="886">
        <f>M28+SUMIF('11.1.Амортиз.нови активи'!$B$11:$B$58,$B28,'11.1.Амортиз.нови активи'!N$11:N$58)+('9.Инвестиционна програма'!G$78*SUMIF('11.1.Амортиз.нови активи'!$B$11:$B$58,$B28,'11.1.Амортиз.нови активи'!AB$11:AB$58))</f>
        <v>272.90000000000003</v>
      </c>
      <c r="O28" s="886">
        <f>N28+SUMIF('11.1.Амортиз.нови активи'!$B$11:$B$58,$B28,'11.1.Амортиз.нови активи'!O$11:O$58)+('9.Инвестиционна програма'!H$78*SUMIF('11.1.Амортиз.нови активи'!$B$11:$B$58,$B28,'11.1.Амортиз.нови активи'!AC$11:AC$58))</f>
        <v>272.90000000000003</v>
      </c>
      <c r="P28" s="886">
        <f>O28+SUMIF('11.1.Амортиз.нови активи'!$B$11:$B$58,$B28,'11.1.Амортиз.нови активи'!P$11:P$58)+('9.Инвестиционна програма'!I$78*SUMIF('11.1.Амортиз.нови активи'!$B$11:$B$58,$B28,'11.1.Амортиз.нови активи'!AD$11:AD$58))</f>
        <v>272.90000000000003</v>
      </c>
      <c r="Q28" s="886">
        <f>P28+SUMIF('11.1.Амортиз.нови активи'!$B$11:$B$58,$B28,'11.1.Амортиз.нови активи'!Q$11:Q$58)+('9.Инвестиционна програма'!J$78*SUMIF('11.1.Амортиз.нови активи'!$B$11:$B$58,$B28,'11.1.Амортиз.нови активи'!AE$11:AE$58))</f>
        <v>272.90000000000003</v>
      </c>
      <c r="R28" s="887">
        <f>Q28+SUMIF('11.1.Амортиз.нови активи'!$B$11:$B$58,$B28,'11.1.Амортиз.нови активи'!R$11:R$58)+('9.Инвестиционна програма'!K$78*SUMIF('11.1.Амортиз.нови активи'!$B$11:$B$58,$B28,'11.1.Амортиз.нови активи'!AF$11:AF$58))</f>
        <v>272.90000000000003</v>
      </c>
      <c r="S28" s="2250">
        <v>0</v>
      </c>
      <c r="T28" s="885">
        <f>S28+SUMIF('11.1.Амортиз.нови активи'!$B$11:$B$58,$B28,'11.1.Амортиз.нови активи'!T$11:T$58)+('9.Инвестиционна програма'!F$79*SUMIF('11.1.Амортиз.нови активи'!$B$11:$B$58,$B28,'11.1.Амортиз.нови активи'!AA$11:AA$58))</f>
        <v>0</v>
      </c>
      <c r="U28" s="886">
        <f>T28+SUMIF('11.1.Амортиз.нови активи'!$B$11:$B$58,$B28,'11.1.Амортиз.нови активи'!U$11:U$58)+('9.Инвестиционна програма'!G$79*SUMIF('11.1.Амортиз.нови активи'!$B$11:$B$58,$B28,'11.1.Амортиз.нови активи'!AB$11:AB$58))</f>
        <v>0</v>
      </c>
      <c r="V28" s="886">
        <f>U28+SUMIF('11.1.Амортиз.нови активи'!$B$11:$B$58,$B28,'11.1.Амортиз.нови активи'!V$11:V$58)+('9.Инвестиционна програма'!H$79*SUMIF('11.1.Амортиз.нови активи'!$B$11:$B$58,$B28,'11.1.Амортиз.нови активи'!AC$11:AC$58))</f>
        <v>0</v>
      </c>
      <c r="W28" s="886">
        <f>V28+SUMIF('11.1.Амортиз.нови активи'!$B$11:$B$58,$B28,'11.1.Амортиз.нови активи'!W$11:W$58)+('9.Инвестиционна програма'!I$79*SUMIF('11.1.Амортиз.нови активи'!$B$11:$B$58,$B28,'11.1.Амортиз.нови активи'!AD$11:AD$58))</f>
        <v>0</v>
      </c>
      <c r="X28" s="886">
        <f>W28+SUMIF('11.1.Амортиз.нови активи'!$B$11:$B$58,$B28,'11.1.Амортиз.нови активи'!X$11:X$58)+('9.Инвестиционна програма'!J$79*SUMIF('11.1.Амортиз.нови активи'!$B$11:$B$58,$B28,'11.1.Амортиз.нови активи'!AE$11:AE$58))</f>
        <v>0</v>
      </c>
      <c r="Y28" s="887">
        <f>X28+SUMIF('11.1.Амортиз.нови активи'!$B$11:$B$58,$B28,'11.1.Амортиз.нови активи'!Y$11:Y$58)+('9.Инвестиционна програма'!K$79*SUMIF('11.1.Амортиз.нови активи'!$B$11:$B$58,$B28,'11.1.Амортиз.нови активи'!AF$11:AF$58))</f>
        <v>0</v>
      </c>
      <c r="Z28" s="1671"/>
      <c r="AA28" s="1678"/>
      <c r="AB28" s="1641"/>
    </row>
    <row r="29" spans="1:28">
      <c r="A29" s="1689">
        <v>12</v>
      </c>
      <c r="B29" s="1687">
        <v>212</v>
      </c>
      <c r="C29" s="1679">
        <v>0.2</v>
      </c>
      <c r="D29" s="2399" t="s">
        <v>277</v>
      </c>
      <c r="E29" s="2250">
        <f>179.607658936315-1-8</f>
        <v>170.607658936315</v>
      </c>
      <c r="F29" s="932">
        <f>E29+SUMIF('11.1.Амортиз.нови активи'!$B$11:$B$58,$B29,'11.1.Амортиз.нови активи'!F$11:F$58)+('9.Инвестиционна програма'!F$77*SUMIF('11.1.Амортиз.нови активи'!$B$11:$B$58,$B29,'11.1.Амортиз.нови активи'!AA$11:AA$58))</f>
        <v>170.607658936315</v>
      </c>
      <c r="G29" s="886">
        <f>F29+SUMIF('11.1.Амортиз.нови активи'!$B$11:$B$58,$B29,'11.1.Амортиз.нови активи'!G$11:G$58)+('9.Инвестиционна програма'!G$77*SUMIF('11.1.Амортиз.нови активи'!$B$11:$B$58,$B29,'11.1.Амортиз.нови активи'!AB$11:AB$58))</f>
        <v>170.607658936315</v>
      </c>
      <c r="H29" s="886">
        <f>G29+SUMIF('11.1.Амортиз.нови активи'!$B$11:$B$58,$B29,'11.1.Амортиз.нови активи'!H$11:H$58)+('9.Инвестиционна програма'!H$77*SUMIF('11.1.Амортиз.нови активи'!$B$11:$B$58,$B29,'11.1.Амортиз.нови активи'!AC$11:AC$58))</f>
        <v>170.607658936315</v>
      </c>
      <c r="I29" s="886">
        <f>H29+SUMIF('11.1.Амортиз.нови активи'!$B$11:$B$58,$B29,'11.1.Амортиз.нови активи'!I$11:I$58)+('9.Инвестиционна програма'!I$77*SUMIF('11.1.Амортиз.нови активи'!$B$11:$B$58,$B29,'11.1.Амортиз.нови активи'!AD$11:AD$58))</f>
        <v>170.607658936315</v>
      </c>
      <c r="J29" s="886">
        <f>I29+SUMIF('11.1.Амортиз.нови активи'!$B$11:$B$58,$B29,'11.1.Амортиз.нови активи'!J$11:J$58)+('9.Инвестиционна програма'!J$77*SUMIF('11.1.Амортиз.нови активи'!$B$11:$B$58,$B29,'11.1.Амортиз.нови активи'!AE$11:AE$58))</f>
        <v>170.607658936315</v>
      </c>
      <c r="K29" s="887">
        <f>J29+SUMIF('11.1.Амортиз.нови активи'!$B$11:$B$58,$B29,'11.1.Амортиз.нови активи'!K$11:K$58)+('9.Инвестиционна програма'!K$77*SUMIF('11.1.Амортиз.нови активи'!$B$11:$B$58,$B29,'11.1.Амортиз.нови активи'!AF$11:AF$58))</f>
        <v>170.607658936315</v>
      </c>
      <c r="L29" s="2250">
        <f>19.9512038996309-1</f>
        <v>18.951203899630901</v>
      </c>
      <c r="M29" s="885">
        <f>L29+SUMIF('11.1.Амортиз.нови активи'!$B$11:$B$58,$B29,'11.1.Амортиз.нови активи'!M$11:M$58)+('9.Инвестиционна програма'!F$78*SUMIF('11.1.Амортиз.нови активи'!$B$11:$B$58,$B29,'11.1.Амортиз.нови активи'!AA$11:AA$58))</f>
        <v>18.951203899630901</v>
      </c>
      <c r="N29" s="886">
        <f>M29+SUMIF('11.1.Амортиз.нови активи'!$B$11:$B$58,$B29,'11.1.Амортиз.нови активи'!N$11:N$58)+('9.Инвестиционна програма'!G$78*SUMIF('11.1.Амортиз.нови активи'!$B$11:$B$58,$B29,'11.1.Амортиз.нови активи'!AB$11:AB$58))</f>
        <v>18.951203899630901</v>
      </c>
      <c r="O29" s="886">
        <f>N29+SUMIF('11.1.Амортиз.нови активи'!$B$11:$B$58,$B29,'11.1.Амортиз.нови активи'!O$11:O$58)+('9.Инвестиционна програма'!H$78*SUMIF('11.1.Амортиз.нови активи'!$B$11:$B$58,$B29,'11.1.Амортиз.нови активи'!AC$11:AC$58))</f>
        <v>18.951203899630901</v>
      </c>
      <c r="P29" s="886">
        <f>O29+SUMIF('11.1.Амортиз.нови активи'!$B$11:$B$58,$B29,'11.1.Амортиз.нови активи'!P$11:P$58)+('9.Инвестиционна програма'!I$78*SUMIF('11.1.Амортиз.нови активи'!$B$11:$B$58,$B29,'11.1.Амортиз.нови активи'!AD$11:AD$58))</f>
        <v>18.951203899630901</v>
      </c>
      <c r="Q29" s="886">
        <f>P29+SUMIF('11.1.Амортиз.нови активи'!$B$11:$B$58,$B29,'11.1.Амортиз.нови активи'!Q$11:Q$58)+('9.Инвестиционна програма'!J$78*SUMIF('11.1.Амортиз.нови активи'!$B$11:$B$58,$B29,'11.1.Амортиз.нови активи'!AE$11:AE$58))</f>
        <v>18.951203899630901</v>
      </c>
      <c r="R29" s="887">
        <f>Q29+SUMIF('11.1.Амортиз.нови активи'!$B$11:$B$58,$B29,'11.1.Амортиз.нови активи'!R$11:R$58)+('9.Инвестиционна програма'!K$78*SUMIF('11.1.Амортиз.нови активи'!$B$11:$B$58,$B29,'11.1.Амортиз.нови активи'!AF$11:AF$58))</f>
        <v>18.951203899630901</v>
      </c>
      <c r="S29" s="2250">
        <f>5.04172716405449-1</f>
        <v>4.0417271640544898</v>
      </c>
      <c r="T29" s="885">
        <f>S29+SUMIF('11.1.Амортиз.нови активи'!$B$11:$B$58,$B29,'11.1.Амортиз.нови активи'!T$11:T$58)+('9.Инвестиционна програма'!F$79*SUMIF('11.1.Амортиз.нови активи'!$B$11:$B$58,$B29,'11.1.Амортиз.нови активи'!AA$11:AA$58))</f>
        <v>4.0417271640544898</v>
      </c>
      <c r="U29" s="886">
        <f>T29+SUMIF('11.1.Амортиз.нови активи'!$B$11:$B$58,$B29,'11.1.Амортиз.нови активи'!U$11:U$58)+('9.Инвестиционна програма'!G$79*SUMIF('11.1.Амортиз.нови активи'!$B$11:$B$58,$B29,'11.1.Амортиз.нови активи'!AB$11:AB$58))</f>
        <v>4.0417271640544898</v>
      </c>
      <c r="V29" s="886">
        <f>U29+SUMIF('11.1.Амортиз.нови активи'!$B$11:$B$58,$B29,'11.1.Амортиз.нови активи'!V$11:V$58)+('9.Инвестиционна програма'!H$79*SUMIF('11.1.Амортиз.нови активи'!$B$11:$B$58,$B29,'11.1.Амортиз.нови активи'!AC$11:AC$58))</f>
        <v>4.0417271640544898</v>
      </c>
      <c r="W29" s="886">
        <f>V29+SUMIF('11.1.Амортиз.нови активи'!$B$11:$B$58,$B29,'11.1.Амортиз.нови активи'!W$11:W$58)+('9.Инвестиционна програма'!I$79*SUMIF('11.1.Амортиз.нови активи'!$B$11:$B$58,$B29,'11.1.Амортиз.нови активи'!AD$11:AD$58))</f>
        <v>4.0417271640544898</v>
      </c>
      <c r="X29" s="886">
        <f>W29+SUMIF('11.1.Амортиз.нови активи'!$B$11:$B$58,$B29,'11.1.Амортиз.нови активи'!X$11:X$58)+('9.Инвестиционна програма'!J$79*SUMIF('11.1.Амортиз.нови активи'!$B$11:$B$58,$B29,'11.1.Амортиз.нови активи'!AE$11:AE$58))</f>
        <v>4.0417271640544898</v>
      </c>
      <c r="Y29" s="887">
        <f>X29+SUMIF('11.1.Амортиз.нови активи'!$B$11:$B$58,$B29,'11.1.Амортиз.нови активи'!Y$11:Y$58)+('9.Инвестиционна програма'!K$79*SUMIF('11.1.Амортиз.нови активи'!$B$11:$B$58,$B29,'11.1.Амортиз.нови активи'!AF$11:AF$58))</f>
        <v>4.0417271640544898</v>
      </c>
      <c r="Z29" s="1671"/>
      <c r="AA29" s="1678"/>
      <c r="AB29" s="1641"/>
    </row>
    <row r="30" spans="1:28">
      <c r="A30" s="1689">
        <v>13</v>
      </c>
      <c r="B30" s="1686">
        <v>213</v>
      </c>
      <c r="C30" s="1690">
        <v>0.2</v>
      </c>
      <c r="D30" s="2394" t="s">
        <v>278</v>
      </c>
      <c r="E30" s="2250">
        <v>0</v>
      </c>
      <c r="F30" s="932">
        <f>E30+SUMIF('11.1.Амортиз.нови активи'!$B$11:$B$58,$B30,'11.1.Амортиз.нови активи'!F$11:F$58)+('9.Инвестиционна програма'!F$77*SUMIF('11.1.Амортиз.нови активи'!$B$11:$B$58,$B30,'11.1.Амортиз.нови активи'!AA$11:AA$58))</f>
        <v>0</v>
      </c>
      <c r="G30" s="886">
        <f>F30+SUMIF('11.1.Амортиз.нови активи'!$B$11:$B$58,$B30,'11.1.Амортиз.нови активи'!G$11:G$58)+('9.Инвестиционна програма'!G$77*SUMIF('11.1.Амортиз.нови активи'!$B$11:$B$58,$B30,'11.1.Амортиз.нови активи'!AB$11:AB$58))</f>
        <v>0</v>
      </c>
      <c r="H30" s="886">
        <f>G30+SUMIF('11.1.Амортиз.нови активи'!$B$11:$B$58,$B30,'11.1.Амортиз.нови активи'!H$11:H$58)+('9.Инвестиционна програма'!H$77*SUMIF('11.1.Амортиз.нови активи'!$B$11:$B$58,$B30,'11.1.Амортиз.нови активи'!AC$11:AC$58))</f>
        <v>0</v>
      </c>
      <c r="I30" s="886">
        <f>H30+SUMIF('11.1.Амортиз.нови активи'!$B$11:$B$58,$B30,'11.1.Амортиз.нови активи'!I$11:I$58)+('9.Инвестиционна програма'!I$77*SUMIF('11.1.Амортиз.нови активи'!$B$11:$B$58,$B30,'11.1.Амортиз.нови активи'!AD$11:AD$58))</f>
        <v>0</v>
      </c>
      <c r="J30" s="886">
        <f>I30+SUMIF('11.1.Амортиз.нови активи'!$B$11:$B$58,$B30,'11.1.Амортиз.нови активи'!J$11:J$58)+('9.Инвестиционна програма'!J$77*SUMIF('11.1.Амортиз.нови активи'!$B$11:$B$58,$B30,'11.1.Амортиз.нови активи'!AE$11:AE$58))</f>
        <v>0</v>
      </c>
      <c r="K30" s="887">
        <f>J30+SUMIF('11.1.Амортиз.нови активи'!$B$11:$B$58,$B30,'11.1.Амортиз.нови активи'!K$11:K$58)+('9.Инвестиционна програма'!K$77*SUMIF('11.1.Амортиз.нови активи'!$B$11:$B$58,$B30,'11.1.Амортиз.нови активи'!AF$11:AF$58))</f>
        <v>0</v>
      </c>
      <c r="L30" s="2250">
        <v>0</v>
      </c>
      <c r="M30" s="885">
        <f>L30+SUMIF('11.1.Амортиз.нови активи'!$B$11:$B$58,$B30,'11.1.Амортиз.нови активи'!M$11:M$58)+('9.Инвестиционна програма'!F$78*SUMIF('11.1.Амортиз.нови активи'!$B$11:$B$58,$B30,'11.1.Амортиз.нови активи'!AA$11:AA$58))</f>
        <v>0</v>
      </c>
      <c r="N30" s="886">
        <f>M30+SUMIF('11.1.Амортиз.нови активи'!$B$11:$B$58,$B30,'11.1.Амортиз.нови активи'!N$11:N$58)+('9.Инвестиционна програма'!G$78*SUMIF('11.1.Амортиз.нови активи'!$B$11:$B$58,$B30,'11.1.Амортиз.нови активи'!AB$11:AB$58))</f>
        <v>0</v>
      </c>
      <c r="O30" s="886">
        <f>N30+SUMIF('11.1.Амортиз.нови активи'!$B$11:$B$58,$B30,'11.1.Амортиз.нови активи'!O$11:O$58)+('9.Инвестиционна програма'!H$78*SUMIF('11.1.Амортиз.нови активи'!$B$11:$B$58,$B30,'11.1.Амортиз.нови активи'!AC$11:AC$58))</f>
        <v>0</v>
      </c>
      <c r="P30" s="886">
        <f>O30+SUMIF('11.1.Амортиз.нови активи'!$B$11:$B$58,$B30,'11.1.Амортиз.нови активи'!P$11:P$58)+('9.Инвестиционна програма'!I$78*SUMIF('11.1.Амортиз.нови активи'!$B$11:$B$58,$B30,'11.1.Амортиз.нови активи'!AD$11:AD$58))</f>
        <v>0</v>
      </c>
      <c r="Q30" s="886">
        <f>P30+SUMIF('11.1.Амортиз.нови активи'!$B$11:$B$58,$B30,'11.1.Амортиз.нови активи'!Q$11:Q$58)+('9.Инвестиционна програма'!J$78*SUMIF('11.1.Амортиз.нови активи'!$B$11:$B$58,$B30,'11.1.Амортиз.нови активи'!AE$11:AE$58))</f>
        <v>0</v>
      </c>
      <c r="R30" s="887">
        <f>Q30+SUMIF('11.1.Амортиз.нови активи'!$B$11:$B$58,$B30,'11.1.Амортиз.нови активи'!R$11:R$58)+('9.Инвестиционна програма'!K$78*SUMIF('11.1.Амортиз.нови активи'!$B$11:$B$58,$B30,'11.1.Амортиз.нови активи'!AF$11:AF$58))</f>
        <v>0</v>
      </c>
      <c r="S30" s="2250">
        <v>0</v>
      </c>
      <c r="T30" s="885">
        <f>S30+SUMIF('11.1.Амортиз.нови активи'!$B$11:$B$58,$B30,'11.1.Амортиз.нови активи'!T$11:T$58)+('9.Инвестиционна програма'!F$79*SUMIF('11.1.Амортиз.нови активи'!$B$11:$B$58,$B30,'11.1.Амортиз.нови активи'!AA$11:AA$58))</f>
        <v>0</v>
      </c>
      <c r="U30" s="886">
        <f>T30+SUMIF('11.1.Амортиз.нови активи'!$B$11:$B$58,$B30,'11.1.Амортиз.нови активи'!U$11:U$58)+('9.Инвестиционна програма'!G$79*SUMIF('11.1.Амортиз.нови активи'!$B$11:$B$58,$B30,'11.1.Амортиз.нови активи'!AB$11:AB$58))</f>
        <v>0</v>
      </c>
      <c r="V30" s="886">
        <f>U30+SUMIF('11.1.Амортиз.нови активи'!$B$11:$B$58,$B30,'11.1.Амортиз.нови активи'!V$11:V$58)+('9.Инвестиционна програма'!H$79*SUMIF('11.1.Амортиз.нови активи'!$B$11:$B$58,$B30,'11.1.Амортиз.нови активи'!AC$11:AC$58))</f>
        <v>0</v>
      </c>
      <c r="W30" s="886">
        <f>V30+SUMIF('11.1.Амортиз.нови активи'!$B$11:$B$58,$B30,'11.1.Амортиз.нови активи'!W$11:W$58)+('9.Инвестиционна програма'!I$79*SUMIF('11.1.Амортиз.нови активи'!$B$11:$B$58,$B30,'11.1.Амортиз.нови активи'!AD$11:AD$58))</f>
        <v>0</v>
      </c>
      <c r="X30" s="886">
        <f>W30+SUMIF('11.1.Амортиз.нови активи'!$B$11:$B$58,$B30,'11.1.Амортиз.нови активи'!X$11:X$58)+('9.Инвестиционна програма'!J$79*SUMIF('11.1.Амортиз.нови активи'!$B$11:$B$58,$B30,'11.1.Амортиз.нови активи'!AE$11:AE$58))</f>
        <v>0</v>
      </c>
      <c r="Y30" s="887">
        <f>X30+SUMIF('11.1.Амортиз.нови активи'!$B$11:$B$58,$B30,'11.1.Амортиз.нови активи'!Y$11:Y$58)+('9.Инвестиционна програма'!K$79*SUMIF('11.1.Амортиз.нови активи'!$B$11:$B$58,$B30,'11.1.Амортиз.нови активи'!AF$11:AF$58))</f>
        <v>0</v>
      </c>
      <c r="Z30" s="1671"/>
      <c r="AA30" s="1678"/>
      <c r="AB30" s="1641"/>
    </row>
    <row r="31" spans="1:28">
      <c r="A31" s="1689">
        <v>14</v>
      </c>
      <c r="B31" s="1691"/>
      <c r="C31" s="1691"/>
      <c r="D31" s="2400" t="s">
        <v>844</v>
      </c>
      <c r="E31" s="2250">
        <v>0</v>
      </c>
      <c r="F31" s="932">
        <f>E31+SUMIF('11.1.Амортиз.нови активи'!$B$11:$B$58,$B31,'11.1.Амортиз.нови активи'!F$11:F$58)+('9.Инвестиционна програма'!F$77*SUMIF('11.1.Амортиз.нови активи'!$B$11:$B$58,$B31,'11.1.Амортиз.нови активи'!AA$11:AA$58))</f>
        <v>0</v>
      </c>
      <c r="G31" s="886">
        <f>F31+SUMIF('11.1.Амортиз.нови активи'!$B$11:$B$58,$B31,'11.1.Амортиз.нови активи'!G$11:G$58)+('9.Инвестиционна програма'!G$77*SUMIF('11.1.Амортиз.нови активи'!$B$11:$B$58,$B31,'11.1.Амортиз.нови активи'!AB$11:AB$58))</f>
        <v>0</v>
      </c>
      <c r="H31" s="886">
        <f>G31+SUMIF('11.1.Амортиз.нови активи'!$B$11:$B$58,$B31,'11.1.Амортиз.нови активи'!H$11:H$58)+('9.Инвестиционна програма'!H$77*SUMIF('11.1.Амортиз.нови активи'!$B$11:$B$58,$B31,'11.1.Амортиз.нови активи'!AC$11:AC$58))</f>
        <v>0</v>
      </c>
      <c r="I31" s="886">
        <f>H31+SUMIF('11.1.Амортиз.нови активи'!$B$11:$B$58,$B31,'11.1.Амортиз.нови активи'!I$11:I$58)+('9.Инвестиционна програма'!I$77*SUMIF('11.1.Амортиз.нови активи'!$B$11:$B$58,$B31,'11.1.Амортиз.нови активи'!AD$11:AD$58))</f>
        <v>0</v>
      </c>
      <c r="J31" s="886">
        <f>I31+SUMIF('11.1.Амортиз.нови активи'!$B$11:$B$58,$B31,'11.1.Амортиз.нови активи'!J$11:J$58)+('9.Инвестиционна програма'!J$77*SUMIF('11.1.Амортиз.нови активи'!$B$11:$B$58,$B31,'11.1.Амортиз.нови активи'!AE$11:AE$58))</f>
        <v>0</v>
      </c>
      <c r="K31" s="887">
        <f>J31+SUMIF('11.1.Амортиз.нови активи'!$B$11:$B$58,$B31,'11.1.Амортиз.нови активи'!K$11:K$58)+('9.Инвестиционна програма'!K$77*SUMIF('11.1.Амортиз.нови активи'!$B$11:$B$58,$B31,'11.1.Амортиз.нови активи'!AF$11:AF$58))</f>
        <v>0</v>
      </c>
      <c r="L31" s="2250">
        <v>0</v>
      </c>
      <c r="M31" s="885">
        <f>L31+SUMIF('11.1.Амортиз.нови активи'!$B$11:$B$58,$B31,'11.1.Амортиз.нови активи'!M$11:M$58)+('9.Инвестиционна програма'!F$78*SUMIF('11.1.Амортиз.нови активи'!$B$11:$B$58,$B31,'11.1.Амортиз.нови активи'!AA$11:AA$58))</f>
        <v>0</v>
      </c>
      <c r="N31" s="886">
        <f>M31+SUMIF('11.1.Амортиз.нови активи'!$B$11:$B$58,$B31,'11.1.Амортиз.нови активи'!N$11:N$58)+('9.Инвестиционна програма'!G$78*SUMIF('11.1.Амортиз.нови активи'!$B$11:$B$58,$B31,'11.1.Амортиз.нови активи'!AB$11:AB$58))</f>
        <v>0</v>
      </c>
      <c r="O31" s="886">
        <f>N31+SUMIF('11.1.Амортиз.нови активи'!$B$11:$B$58,$B31,'11.1.Амортиз.нови активи'!O$11:O$58)+('9.Инвестиционна програма'!H$78*SUMIF('11.1.Амортиз.нови активи'!$B$11:$B$58,$B31,'11.1.Амортиз.нови активи'!AC$11:AC$58))</f>
        <v>0</v>
      </c>
      <c r="P31" s="886">
        <f>O31+SUMIF('11.1.Амортиз.нови активи'!$B$11:$B$58,$B31,'11.1.Амортиз.нови активи'!P$11:P$58)+('9.Инвестиционна програма'!I$78*SUMIF('11.1.Амортиз.нови активи'!$B$11:$B$58,$B31,'11.1.Амортиз.нови активи'!AD$11:AD$58))</f>
        <v>0</v>
      </c>
      <c r="Q31" s="886">
        <f>P31+SUMIF('11.1.Амортиз.нови активи'!$B$11:$B$58,$B31,'11.1.Амортиз.нови активи'!Q$11:Q$58)+('9.Инвестиционна програма'!J$78*SUMIF('11.1.Амортиз.нови активи'!$B$11:$B$58,$B31,'11.1.Амортиз.нови активи'!AE$11:AE$58))</f>
        <v>0</v>
      </c>
      <c r="R31" s="887">
        <f>Q31+SUMIF('11.1.Амортиз.нови активи'!$B$11:$B$58,$B31,'11.1.Амортиз.нови активи'!R$11:R$58)+('9.Инвестиционна програма'!K$78*SUMIF('11.1.Амортиз.нови активи'!$B$11:$B$58,$B31,'11.1.Амортиз.нови активи'!AF$11:AF$58))</f>
        <v>0</v>
      </c>
      <c r="S31" s="2250">
        <v>0</v>
      </c>
      <c r="T31" s="885">
        <f>S31+SUMIF('11.1.Амортиз.нови активи'!$B$11:$B$58,$B31,'11.1.Амортиз.нови активи'!T$11:T$58)+('9.Инвестиционна програма'!F$79*SUMIF('11.1.Амортиз.нови активи'!$B$11:$B$58,$B31,'11.1.Амортиз.нови активи'!AA$11:AA$58))</f>
        <v>0</v>
      </c>
      <c r="U31" s="886">
        <f>T31+SUMIF('11.1.Амортиз.нови активи'!$B$11:$B$58,$B31,'11.1.Амортиз.нови активи'!U$11:U$58)+('9.Инвестиционна програма'!G$79*SUMIF('11.1.Амортиз.нови активи'!$B$11:$B$58,$B31,'11.1.Амортиз.нови активи'!AB$11:AB$58))</f>
        <v>0</v>
      </c>
      <c r="V31" s="886">
        <f>U31+SUMIF('11.1.Амортиз.нови активи'!$B$11:$B$58,$B31,'11.1.Амортиз.нови активи'!V$11:V$58)+('9.Инвестиционна програма'!H$79*SUMIF('11.1.Амортиз.нови активи'!$B$11:$B$58,$B31,'11.1.Амортиз.нови активи'!AC$11:AC$58))</f>
        <v>0</v>
      </c>
      <c r="W31" s="886">
        <f>V31+SUMIF('11.1.Амортиз.нови активи'!$B$11:$B$58,$B31,'11.1.Амортиз.нови активи'!W$11:W$58)+('9.Инвестиционна програма'!I$79*SUMIF('11.1.Амортиз.нови активи'!$B$11:$B$58,$B31,'11.1.Амортиз.нови активи'!AD$11:AD$58))</f>
        <v>0</v>
      </c>
      <c r="X31" s="886">
        <f>W31+SUMIF('11.1.Амортиз.нови активи'!$B$11:$B$58,$B31,'11.1.Амортиз.нови активи'!X$11:X$58)+('9.Инвестиционна програма'!J$79*SUMIF('11.1.Амортиз.нови активи'!$B$11:$B$58,$B31,'11.1.Амортиз.нови активи'!AE$11:AE$58))</f>
        <v>0</v>
      </c>
      <c r="Y31" s="887">
        <f>X31+SUMIF('11.1.Амортиз.нови активи'!$B$11:$B$58,$B31,'11.1.Амортиз.нови активи'!Y$11:Y$58)+('9.Инвестиционна програма'!K$79*SUMIF('11.1.Амортиз.нови активи'!$B$11:$B$58,$B31,'11.1.Амортиз.нови активи'!AF$11:AF$58))</f>
        <v>0</v>
      </c>
      <c r="Z31" s="1671"/>
      <c r="AA31" s="1678"/>
      <c r="AB31" s="1641"/>
    </row>
    <row r="32" spans="1:28" ht="24">
      <c r="A32" s="1689">
        <v>15</v>
      </c>
      <c r="B32" s="1686">
        <v>207</v>
      </c>
      <c r="C32" s="1686" t="s">
        <v>380</v>
      </c>
      <c r="D32" s="2401" t="s">
        <v>587</v>
      </c>
      <c r="E32" s="2250">
        <v>0</v>
      </c>
      <c r="F32" s="932">
        <f>E32+SUMIF('11.1.Амортиз.нови активи'!$B$11:$B$58,$B32,'11.1.Амортиз.нови активи'!F$11:F$58)+('9.Инвестиционна програма'!F$77*SUMIF('11.1.Амортиз.нови активи'!$B$11:$B$58,$B32,'11.1.Амортиз.нови активи'!AA$11:AA$58))</f>
        <v>0</v>
      </c>
      <c r="G32" s="886">
        <f>F32+SUMIF('11.1.Амортиз.нови активи'!$B$11:$B$58,$B32,'11.1.Амортиз.нови активи'!G$11:G$58)+('9.Инвестиционна програма'!G$77*SUMIF('11.1.Амортиз.нови активи'!$B$11:$B$58,$B32,'11.1.Амортиз.нови активи'!AB$11:AB$58))</f>
        <v>0</v>
      </c>
      <c r="H32" s="886">
        <f>G32+SUMIF('11.1.Амортиз.нови активи'!$B$11:$B$58,$B32,'11.1.Амортиз.нови активи'!H$11:H$58)+('9.Инвестиционна програма'!H$77*SUMIF('11.1.Амортиз.нови активи'!$B$11:$B$58,$B32,'11.1.Амортиз.нови активи'!AC$11:AC$58))</f>
        <v>0</v>
      </c>
      <c r="I32" s="886">
        <f>H32+SUMIF('11.1.Амортиз.нови активи'!$B$11:$B$58,$B32,'11.1.Амортиз.нови активи'!I$11:I$58)+('9.Инвестиционна програма'!I$77*SUMIF('11.1.Амортиз.нови активи'!$B$11:$B$58,$B32,'11.1.Амортиз.нови активи'!AD$11:AD$58))</f>
        <v>0</v>
      </c>
      <c r="J32" s="886">
        <f>I32+SUMIF('11.1.Амортиз.нови активи'!$B$11:$B$58,$B32,'11.1.Амортиз.нови активи'!J$11:J$58)+('9.Инвестиционна програма'!J$77*SUMIF('11.1.Амортиз.нови активи'!$B$11:$B$58,$B32,'11.1.Амортиз.нови активи'!AE$11:AE$58))</f>
        <v>0</v>
      </c>
      <c r="K32" s="887">
        <f>J32+SUMIF('11.1.Амортиз.нови активи'!$B$11:$B$58,$B32,'11.1.Амортиз.нови активи'!K$11:K$58)+('9.Инвестиционна програма'!K$77*SUMIF('11.1.Амортиз.нови активи'!$B$11:$B$58,$B32,'11.1.Амортиз.нови активи'!AF$11:AF$58))</f>
        <v>0</v>
      </c>
      <c r="L32" s="2250">
        <v>0</v>
      </c>
      <c r="M32" s="885">
        <f>L32+SUMIF('11.1.Амортиз.нови активи'!$B$11:$B$58,$B32,'11.1.Амортиз.нови активи'!M$11:M$58)+('9.Инвестиционна програма'!F$78*SUMIF('11.1.Амортиз.нови активи'!$B$11:$B$58,$B32,'11.1.Амортиз.нови активи'!AA$11:AA$58))</f>
        <v>0</v>
      </c>
      <c r="N32" s="886">
        <f>M32+SUMIF('11.1.Амортиз.нови активи'!$B$11:$B$58,$B32,'11.1.Амортиз.нови активи'!N$11:N$58)+('9.Инвестиционна програма'!G$78*SUMIF('11.1.Амортиз.нови активи'!$B$11:$B$58,$B32,'11.1.Амортиз.нови активи'!AB$11:AB$58))</f>
        <v>0</v>
      </c>
      <c r="O32" s="886">
        <f>N32+SUMIF('11.1.Амортиз.нови активи'!$B$11:$B$58,$B32,'11.1.Амортиз.нови активи'!O$11:O$58)+('9.Инвестиционна програма'!H$78*SUMIF('11.1.Амортиз.нови активи'!$B$11:$B$58,$B32,'11.1.Амортиз.нови активи'!AC$11:AC$58))</f>
        <v>0</v>
      </c>
      <c r="P32" s="886">
        <f>O32+SUMIF('11.1.Амортиз.нови активи'!$B$11:$B$58,$B32,'11.1.Амортиз.нови активи'!P$11:P$58)+('9.Инвестиционна програма'!I$78*SUMIF('11.1.Амортиз.нови активи'!$B$11:$B$58,$B32,'11.1.Амортиз.нови активи'!AD$11:AD$58))</f>
        <v>0</v>
      </c>
      <c r="Q32" s="886">
        <f>P32+SUMIF('11.1.Амортиз.нови активи'!$B$11:$B$58,$B32,'11.1.Амортиз.нови активи'!Q$11:Q$58)+('9.Инвестиционна програма'!J$78*SUMIF('11.1.Амортиз.нови активи'!$B$11:$B$58,$B32,'11.1.Амортиз.нови активи'!AE$11:AE$58))</f>
        <v>0</v>
      </c>
      <c r="R32" s="887">
        <f>Q32+SUMIF('11.1.Амортиз.нови активи'!$B$11:$B$58,$B32,'11.1.Амортиз.нови активи'!R$11:R$58)+('9.Инвестиционна програма'!K$78*SUMIF('11.1.Амортиз.нови активи'!$B$11:$B$58,$B32,'11.1.Амортиз.нови активи'!AF$11:AF$58))</f>
        <v>0</v>
      </c>
      <c r="S32" s="2250">
        <v>0</v>
      </c>
      <c r="T32" s="885">
        <f>S32+SUMIF('11.1.Амортиз.нови активи'!$B$11:$B$58,$B32,'11.1.Амортиз.нови активи'!T$11:T$58)+('9.Инвестиционна програма'!F$79*SUMIF('11.1.Амортиз.нови активи'!$B$11:$B$58,$B32,'11.1.Амортиз.нови активи'!AA$11:AA$58))</f>
        <v>0</v>
      </c>
      <c r="U32" s="886">
        <f>T32+SUMIF('11.1.Амортиз.нови активи'!$B$11:$B$58,$B32,'11.1.Амортиз.нови активи'!U$11:U$58)+('9.Инвестиционна програма'!G$79*SUMIF('11.1.Амортиз.нови активи'!$B$11:$B$58,$B32,'11.1.Амортиз.нови активи'!AB$11:AB$58))</f>
        <v>0</v>
      </c>
      <c r="V32" s="886">
        <f>U32+SUMIF('11.1.Амортиз.нови активи'!$B$11:$B$58,$B32,'11.1.Амортиз.нови активи'!V$11:V$58)+('9.Инвестиционна програма'!H$79*SUMIF('11.1.Амортиз.нови активи'!$B$11:$B$58,$B32,'11.1.Амортиз.нови активи'!AC$11:AC$58))</f>
        <v>0</v>
      </c>
      <c r="W32" s="886">
        <f>V32+SUMIF('11.1.Амортиз.нови активи'!$B$11:$B$58,$B32,'11.1.Амортиз.нови активи'!W$11:W$58)+('9.Инвестиционна програма'!I$79*SUMIF('11.1.Амортиз.нови активи'!$B$11:$B$58,$B32,'11.1.Амортиз.нови активи'!AD$11:AD$58))</f>
        <v>0</v>
      </c>
      <c r="X32" s="886">
        <f>W32+SUMIF('11.1.Амортиз.нови активи'!$B$11:$B$58,$B32,'11.1.Амортиз.нови активи'!X$11:X$58)+('9.Инвестиционна програма'!J$79*SUMIF('11.1.Амортиз.нови активи'!$B$11:$B$58,$B32,'11.1.Амортиз.нови активи'!AE$11:AE$58))</f>
        <v>0</v>
      </c>
      <c r="Y32" s="887">
        <f>X32+SUMIF('11.1.Амортиз.нови активи'!$B$11:$B$58,$B32,'11.1.Амортиз.нови активи'!Y$11:Y$58)+('9.Инвестиционна програма'!K$79*SUMIF('11.1.Амортиз.нови активи'!$B$11:$B$58,$B32,'11.1.Амортиз.нови активи'!AF$11:AF$58))</f>
        <v>0</v>
      </c>
      <c r="Z32" s="1671"/>
      <c r="AA32" s="1678"/>
      <c r="AB32" s="1641"/>
    </row>
    <row r="33" spans="1:28" ht="13.5" thickBot="1">
      <c r="A33" s="1689">
        <v>16</v>
      </c>
      <c r="B33" s="1692">
        <v>219</v>
      </c>
      <c r="C33" s="1693">
        <v>0.1</v>
      </c>
      <c r="D33" s="2402" t="s">
        <v>279</v>
      </c>
      <c r="E33" s="2251">
        <v>0</v>
      </c>
      <c r="F33" s="932">
        <f>E33+SUMIF('11.1.Амортиз.нови активи'!$B$11:$B$58,$B33,'11.1.Амортиз.нови активи'!F$11:F$58)+('9.Инвестиционна програма'!F$77*SUMIF('11.1.Амортиз.нови активи'!$B$11:$B$58,$B33,'11.1.Амортиз.нови активи'!AA$11:AA$58))</f>
        <v>0</v>
      </c>
      <c r="G33" s="886">
        <f>F33+SUMIF('11.1.Амортиз.нови активи'!$B$11:$B$58,$B33,'11.1.Амортиз.нови активи'!G$11:G$58)+('9.Инвестиционна програма'!G$77*SUMIF('11.1.Амортиз.нови активи'!$B$11:$B$58,$B33,'11.1.Амортиз.нови активи'!AB$11:AB$58))</f>
        <v>0</v>
      </c>
      <c r="H33" s="886">
        <f>G33+SUMIF('11.1.Амортиз.нови активи'!$B$11:$B$58,$B33,'11.1.Амортиз.нови активи'!H$11:H$58)+('9.Инвестиционна програма'!H$77*SUMIF('11.1.Амортиз.нови активи'!$B$11:$B$58,$B33,'11.1.Амортиз.нови активи'!AC$11:AC$58))</f>
        <v>0</v>
      </c>
      <c r="I33" s="886">
        <f>H33+SUMIF('11.1.Амортиз.нови активи'!$B$11:$B$58,$B33,'11.1.Амортиз.нови активи'!I$11:I$58)+('9.Инвестиционна програма'!I$77*SUMIF('11.1.Амортиз.нови активи'!$B$11:$B$58,$B33,'11.1.Амортиз.нови активи'!AD$11:AD$58))</f>
        <v>0</v>
      </c>
      <c r="J33" s="886">
        <f>I33+SUMIF('11.1.Амортиз.нови активи'!$B$11:$B$58,$B33,'11.1.Амортиз.нови активи'!J$11:J$58)+('9.Инвестиционна програма'!J$77*SUMIF('11.1.Амортиз.нови активи'!$B$11:$B$58,$B33,'11.1.Амортиз.нови активи'!AE$11:AE$58))</f>
        <v>0</v>
      </c>
      <c r="K33" s="887">
        <f>J33+SUMIF('11.1.Амортиз.нови активи'!$B$11:$B$58,$B33,'11.1.Амортиз.нови активи'!K$11:K$58)+('9.Инвестиционна програма'!K$77*SUMIF('11.1.Амортиз.нови активи'!$B$11:$B$58,$B33,'11.1.Амортиз.нови активи'!AF$11:AF$58))</f>
        <v>0</v>
      </c>
      <c r="L33" s="2251">
        <v>0</v>
      </c>
      <c r="M33" s="885">
        <f>L33+SUMIF('11.1.Амортиз.нови активи'!$B$11:$B$58,$B33,'11.1.Амортиз.нови активи'!M$11:M$58)+('9.Инвестиционна програма'!F$78*SUMIF('11.1.Амортиз.нови активи'!$B$11:$B$58,$B33,'11.1.Амортиз.нови активи'!AA$11:AA$58))</f>
        <v>0</v>
      </c>
      <c r="N33" s="886">
        <f>M33+SUMIF('11.1.Амортиз.нови активи'!$B$11:$B$58,$B33,'11.1.Амортиз.нови активи'!N$11:N$58)+('9.Инвестиционна програма'!G$78*SUMIF('11.1.Амортиз.нови активи'!$B$11:$B$58,$B33,'11.1.Амортиз.нови активи'!AB$11:AB$58))</f>
        <v>0</v>
      </c>
      <c r="O33" s="886">
        <f>N33+SUMIF('11.1.Амортиз.нови активи'!$B$11:$B$58,$B33,'11.1.Амортиз.нови активи'!O$11:O$58)+('9.Инвестиционна програма'!H$78*SUMIF('11.1.Амортиз.нови активи'!$B$11:$B$58,$B33,'11.1.Амортиз.нови активи'!AC$11:AC$58))</f>
        <v>0</v>
      </c>
      <c r="P33" s="886">
        <f>O33+SUMIF('11.1.Амортиз.нови активи'!$B$11:$B$58,$B33,'11.1.Амортиз.нови активи'!P$11:P$58)+('9.Инвестиционна програма'!I$78*SUMIF('11.1.Амортиз.нови активи'!$B$11:$B$58,$B33,'11.1.Амортиз.нови активи'!AD$11:AD$58))</f>
        <v>0</v>
      </c>
      <c r="Q33" s="886">
        <f>P33+SUMIF('11.1.Амортиз.нови активи'!$B$11:$B$58,$B33,'11.1.Амортиз.нови активи'!Q$11:Q$58)+('9.Инвестиционна програма'!J$78*SUMIF('11.1.Амортиз.нови активи'!$B$11:$B$58,$B33,'11.1.Амортиз.нови активи'!AE$11:AE$58))</f>
        <v>0</v>
      </c>
      <c r="R33" s="887">
        <f>Q33+SUMIF('11.1.Амортиз.нови активи'!$B$11:$B$58,$B33,'11.1.Амортиз.нови активи'!R$11:R$58)+('9.Инвестиционна програма'!K$78*SUMIF('11.1.Амортиз.нови активи'!$B$11:$B$58,$B33,'11.1.Амортиз.нови активи'!AF$11:AF$58))</f>
        <v>0</v>
      </c>
      <c r="S33" s="2251">
        <v>0</v>
      </c>
      <c r="T33" s="885">
        <f>S33+SUMIF('11.1.Амортиз.нови активи'!$B$11:$B$58,$B33,'11.1.Амортиз.нови активи'!T$11:T$58)+('9.Инвестиционна програма'!F$79*SUMIF('11.1.Амортиз.нови активи'!$B$11:$B$58,$B33,'11.1.Амортиз.нови активи'!AA$11:AA$58))</f>
        <v>0</v>
      </c>
      <c r="U33" s="886">
        <f>T33+SUMIF('11.1.Амортиз.нови активи'!$B$11:$B$58,$B33,'11.1.Амортиз.нови активи'!U$11:U$58)+('9.Инвестиционна програма'!G$79*SUMIF('11.1.Амортиз.нови активи'!$B$11:$B$58,$B33,'11.1.Амортиз.нови активи'!AB$11:AB$58))</f>
        <v>0</v>
      </c>
      <c r="V33" s="886">
        <f>U33+SUMIF('11.1.Амортиз.нови активи'!$B$11:$B$58,$B33,'11.1.Амортиз.нови активи'!V$11:V$58)+('9.Инвестиционна програма'!H$79*SUMIF('11.1.Амортиз.нови активи'!$B$11:$B$58,$B33,'11.1.Амортиз.нови активи'!AC$11:AC$58))</f>
        <v>0</v>
      </c>
      <c r="W33" s="886">
        <f>V33+SUMIF('11.1.Амортиз.нови активи'!$B$11:$B$58,$B33,'11.1.Амортиз.нови активи'!W$11:W$58)+('9.Инвестиционна програма'!I$79*SUMIF('11.1.Амортиз.нови активи'!$B$11:$B$58,$B33,'11.1.Амортиз.нови активи'!AD$11:AD$58))</f>
        <v>0</v>
      </c>
      <c r="X33" s="886">
        <f>W33+SUMIF('11.1.Амортиз.нови активи'!$B$11:$B$58,$B33,'11.1.Амортиз.нови активи'!X$11:X$58)+('9.Инвестиционна програма'!J$79*SUMIF('11.1.Амортиз.нови активи'!$B$11:$B$58,$B33,'11.1.Амортиз.нови активи'!AE$11:AE$58))</f>
        <v>0</v>
      </c>
      <c r="Y33" s="887">
        <f>X33+SUMIF('11.1.Амортиз.нови активи'!$B$11:$B$58,$B33,'11.1.Амортиз.нови активи'!Y$11:Y$58)+('9.Инвестиционна програма'!K$79*SUMIF('11.1.Амортиз.нови активи'!$B$11:$B$58,$B33,'11.1.Амортиз.нови активи'!AF$11:AF$58))</f>
        <v>0</v>
      </c>
      <c r="Z33" s="1671"/>
      <c r="AA33" s="1678"/>
      <c r="AB33" s="1641"/>
    </row>
    <row r="34" spans="1:28" ht="13.5" thickBot="1">
      <c r="A34" s="1694" t="s">
        <v>269</v>
      </c>
      <c r="B34" s="1695"/>
      <c r="C34" s="1695"/>
      <c r="D34" s="1665" t="s">
        <v>281</v>
      </c>
      <c r="E34" s="650">
        <f t="shared" ref="E34:Y34" si="4">SUM(E35:E58)-E37-E43</f>
        <v>340.35848186148394</v>
      </c>
      <c r="F34" s="242">
        <f t="shared" si="4"/>
        <v>263.39514852815057</v>
      </c>
      <c r="G34" s="243">
        <f t="shared" si="4"/>
        <v>125.43905001871542</v>
      </c>
      <c r="H34" s="243">
        <f t="shared" si="4"/>
        <v>129.19333656460552</v>
      </c>
      <c r="I34" s="243">
        <f t="shared" si="4"/>
        <v>101.67449744246385</v>
      </c>
      <c r="J34" s="243">
        <f t="shared" si="4"/>
        <v>103.4894491018236</v>
      </c>
      <c r="K34" s="244">
        <f t="shared" si="4"/>
        <v>70.992053972212418</v>
      </c>
      <c r="L34" s="650">
        <f t="shared" si="4"/>
        <v>53.553076926119786</v>
      </c>
      <c r="M34" s="242">
        <f t="shared" si="4"/>
        <v>40.953076926119785</v>
      </c>
      <c r="N34" s="243">
        <f t="shared" si="4"/>
        <v>25.215001667458218</v>
      </c>
      <c r="O34" s="243">
        <f t="shared" si="4"/>
        <v>10.44088919222064</v>
      </c>
      <c r="P34" s="243">
        <f t="shared" si="4"/>
        <v>10.403414967308318</v>
      </c>
      <c r="Q34" s="243">
        <f t="shared" si="4"/>
        <v>10.489748843279452</v>
      </c>
      <c r="R34" s="244">
        <f t="shared" si="4"/>
        <v>10.578233601058727</v>
      </c>
      <c r="S34" s="650">
        <f t="shared" si="4"/>
        <v>13.53301805822921</v>
      </c>
      <c r="T34" s="242">
        <f t="shared" si="4"/>
        <v>10.733018058229213</v>
      </c>
      <c r="U34" s="243">
        <f t="shared" si="4"/>
        <v>9.2371918263259598</v>
      </c>
      <c r="V34" s="243">
        <f t="shared" si="4"/>
        <v>13.557017755673447</v>
      </c>
      <c r="W34" s="243">
        <f t="shared" si="4"/>
        <v>21.613331102727436</v>
      </c>
      <c r="X34" s="243">
        <f t="shared" si="4"/>
        <v>30.812045567396567</v>
      </c>
      <c r="Y34" s="244">
        <f t="shared" si="4"/>
        <v>39.820955939228512</v>
      </c>
      <c r="Z34" s="1666"/>
      <c r="AA34" s="1667">
        <f>(SUM(F$34:Y$34)-L$34-S$34)+(SUM(F$130:Y$130)-L$130-S$130)+(SUM(F$213:Y$213)-L$213-S$213)-((K$59-E$59)+(R$59-L$59)+(Y$59-S$59)+(K$150-E$150)+(R$150-L$150)+(Y$150-S$150)+(K$235-E$235)+(R$235-L$235)+(Y$235-S$235))</f>
        <v>0</v>
      </c>
      <c r="AB34" s="1641"/>
    </row>
    <row r="35" spans="1:28">
      <c r="A35" s="1668">
        <v>1</v>
      </c>
      <c r="B35" s="1696">
        <v>20101</v>
      </c>
      <c r="C35" s="1670">
        <v>0</v>
      </c>
      <c r="D35" s="1621" t="s">
        <v>758</v>
      </c>
      <c r="E35" s="2250">
        <v>0</v>
      </c>
      <c r="F35" s="900">
        <f>$E35-SUMIF('11.2. Нови активи отч.год.'!$B$61:$B$108,$B35,'11.2. Нови активи отч.год.'!$E$61:$E$108)+SUMIF('11.2. Нови активи отч.год.'!$B$61:$B$108,$B35,'11.2. Нови активи отч.год.'!F$61:F$108)+SUMIF('11.1.Амортиз.нови активи'!$B$60:$B$107,$B35,'11.1.Амортиз.нови активи'!F$60:F$107)+('11.1.Амортиз.нови активи'!F$109*SUMIF('11.1.Амортиз.нови активи'!$B$60:$B$107,$B35,'11.1.Амортиз.нови активи'!AA$60:AA$107))</f>
        <v>0</v>
      </c>
      <c r="G35" s="901">
        <f>$E35-SUMIF('11.2. Нови активи отч.год.'!$B$61:$B$108,$B35,'11.2. Нови активи отч.год.'!$E$61:$E$108)+SUMIF('11.2. Нови активи отч.год.'!$B$61:$B$108,$B35,'11.2. Нови активи отч.год.'!G$61:G$108)+SUMIF('11.1.Амортиз.нови активи'!$B$60:$B$107,$B35,'11.1.Амортиз.нови активи'!G$60:G$107)+('11.1.Амортиз.нови активи'!G$109*SUMIF('11.1.Амортиз.нови активи'!$B$60:$B$107,$B35,'11.1.Амортиз.нови активи'!AB$60:AB$107))</f>
        <v>0</v>
      </c>
      <c r="H35" s="901">
        <f>$E35-SUMIF('11.2. Нови активи отч.год.'!$B$61:$B$108,$B35,'11.2. Нови активи отч.год.'!$E$61:$E$108)+SUMIF('11.2. Нови активи отч.год.'!$B$61:$B$108,$B35,'11.2. Нови активи отч.год.'!H$61:H$108)+SUMIF('11.1.Амортиз.нови активи'!$B$60:$B$107,$B35,'11.1.Амортиз.нови активи'!H$60:H$107)+('11.1.Амортиз.нови активи'!H$109*SUMIF('11.1.Амортиз.нови активи'!$B$60:$B$107,$B35,'11.1.Амортиз.нови активи'!AC$60:AC$107))</f>
        <v>0</v>
      </c>
      <c r="I35" s="901">
        <f>$E35-SUMIF('11.2. Нови активи отч.год.'!$B$61:$B$108,$B35,'11.2. Нови активи отч.год.'!$E$61:$E$108)+SUMIF('11.2. Нови активи отч.год.'!$B$61:$B$108,$B35,'11.2. Нови активи отч.год.'!I$61:I$108)+SUMIF('11.1.Амортиз.нови активи'!$B$60:$B$107,$B35,'11.1.Амортиз.нови активи'!I$60:I$107)+('11.1.Амортиз.нови активи'!I$109*SUMIF('11.1.Амортиз.нови активи'!$B$60:$B$107,$B35,'11.1.Амортиз.нови активи'!AD$60:AD$107))</f>
        <v>0</v>
      </c>
      <c r="J35" s="901">
        <f>$E35-SUMIF('11.2. Нови активи отч.год.'!$B$61:$B$108,$B35,'11.2. Нови активи отч.год.'!$E$61:$E$108)+SUMIF('11.2. Нови активи отч.год.'!$B$61:$B$108,$B35,'11.2. Нови активи отч.год.'!J$61:J$108)+SUMIF('11.1.Амортиз.нови активи'!$B$60:$B$107,$B35,'11.1.Амортиз.нови активи'!J$60:J$107)+('11.1.Амортиз.нови активи'!J$109*SUMIF('11.1.Амортиз.нови активи'!$B$60:$B$107,$B35,'11.1.Амортиз.нови активи'!AE$60:AE$107))</f>
        <v>0</v>
      </c>
      <c r="K35" s="902">
        <f>$E35-SUMIF('11.2. Нови активи отч.год.'!$B$61:$B$108,$B35,'11.2. Нови активи отч.год.'!$E$61:$E$108)+SUMIF('11.2. Нови активи отч.год.'!$B$61:$B$108,$B35,'11.2. Нови активи отч.год.'!K$61:K$108)+SUMIF('11.1.Амортиз.нови активи'!$B$60:$B$107,$B35,'11.1.Амортиз.нови активи'!K$60:K$107)+('11.1.Амортиз.нови активи'!K$109*SUMIF('11.1.Амортиз.нови активи'!$B$60:$B$107,$B35,'11.1.Амортиз.нови активи'!AF$60:AF$107))</f>
        <v>0</v>
      </c>
      <c r="L35" s="2250">
        <v>0</v>
      </c>
      <c r="M35" s="900">
        <f>$L35-SUMIF('11.2. Нови активи отч.год.'!$B$61:$B$108,$B35,'11.2. Нови активи отч.год.'!$L$61:$L$108)+SUMIF('11.2. Нови активи отч.год.'!$B$61:$B$108,$B35,'11.2. Нови активи отч.год.'!M$61:M$108)+SUMIF('11.1.Амортиз.нови активи'!$B$60:$B$107,$B35,'11.1.Амортиз.нови активи'!M$60:M$107)+('11.1.Амортиз.нови активи'!F$110*SUMIF('11.1.Амортиз.нови активи'!$B$60:$B$107,$B35,'11.1.Амортиз.нови активи'!AA$60:AA$107))</f>
        <v>0</v>
      </c>
      <c r="N35" s="901">
        <f>$L35-SUMIF('11.2. Нови активи отч.год.'!$B$61:$B$108,$B35,'11.2. Нови активи отч.год.'!$L$61:$L$108)+SUMIF('11.2. Нови активи отч.год.'!$B$61:$B$108,$B35,'11.2. Нови активи отч.год.'!N$61:N$108)+SUMIF('11.1.Амортиз.нови активи'!$B$60:$B$107,$B35,'11.1.Амортиз.нови активи'!N$60:N$107)+('11.1.Амортиз.нови активи'!G$110*SUMIF('11.1.Амортиз.нови активи'!$B$60:$B$107,$B35,'11.1.Амортиз.нови активи'!AB$60:AB$107))</f>
        <v>0</v>
      </c>
      <c r="O35" s="901">
        <f>$L35-SUMIF('11.2. Нови активи отч.год.'!$B$61:$B$108,$B35,'11.2. Нови активи отч.год.'!$L$61:$L$108)+SUMIF('11.2. Нови активи отч.год.'!$B$61:$B$108,$B35,'11.2. Нови активи отч.год.'!O$61:O$108)+SUMIF('11.1.Амортиз.нови активи'!$B$60:$B$107,$B35,'11.1.Амортиз.нови активи'!O$60:O$107)+('11.1.Амортиз.нови активи'!H$110*SUMIF('11.1.Амортиз.нови активи'!$B$60:$B$107,$B35,'11.1.Амортиз.нови активи'!AC$60:AC$107))</f>
        <v>0</v>
      </c>
      <c r="P35" s="901">
        <f>$L35-SUMIF('11.2. Нови активи отч.год.'!$B$61:$B$108,$B35,'11.2. Нови активи отч.год.'!$L$61:$L$108)+SUMIF('11.2. Нови активи отч.год.'!$B$61:$B$108,$B35,'11.2. Нови активи отч.год.'!P$61:P$108)+SUMIF('11.1.Амортиз.нови активи'!$B$60:$B$107,$B35,'11.1.Амортиз.нови активи'!P$60:P$107)+('11.1.Амортиз.нови активи'!I$110*SUMIF('11.1.Амортиз.нови активи'!$B$60:$B$107,$B35,'11.1.Амортиз.нови активи'!AD$60:AD$107))</f>
        <v>0</v>
      </c>
      <c r="Q35" s="901">
        <f>$L35-SUMIF('11.2. Нови активи отч.год.'!$B$61:$B$108,$B35,'11.2. Нови активи отч.год.'!$L$61:$L$108)+SUMIF('11.2. Нови активи отч.год.'!$B$61:$B$108,$B35,'11.2. Нови активи отч.год.'!Q$61:Q$108)+SUMIF('11.1.Амортиз.нови активи'!$B$60:$B$107,$B35,'11.1.Амортиз.нови активи'!Q$60:Q$107)+('11.1.Амортиз.нови активи'!J$110*SUMIF('11.1.Амортиз.нови активи'!$B$60:$B$107,$B35,'11.1.Амортиз.нови активи'!AE$60:AE$107))</f>
        <v>0</v>
      </c>
      <c r="R35" s="902">
        <f>$L35-SUMIF('11.2. Нови активи отч.год.'!$B$61:$B$108,$B35,'11.2. Нови активи отч.год.'!$L$61:$L$108)+SUMIF('11.2. Нови активи отч.год.'!$B$61:$B$108,$B35,'11.2. Нови активи отч.год.'!R$61:R$108)+SUMIF('11.1.Амортиз.нови активи'!$B$60:$B$107,$B35,'11.1.Амортиз.нови активи'!R$60:R$107)+('11.1.Амортиз.нови активи'!K$110*SUMIF('11.1.Амортиз.нови активи'!$B$60:$B$107,$B35,'11.1.Амортиз.нови активи'!AF$60:AF$107))</f>
        <v>0</v>
      </c>
      <c r="S35" s="2250">
        <v>0</v>
      </c>
      <c r="T35" s="900">
        <f>$S35-SUMIF('11.2. Нови активи отч.год.'!$B$61:$B$108,$B35,'11.2. Нови активи отч.год.'!$S$61:$S$108)+SUMIF('11.2. Нови активи отч.год.'!$B$61:$B$108,$B35,'11.2. Нови активи отч.год.'!T$61:T$108)+SUMIF('11.1.Амортиз.нови активи'!$B$60:$B$107,$B35,'11.1.Амортиз.нови активи'!T$60:T$107)+('11.1.Амортиз.нови активи'!F$111*SUMIF('11.1.Амортиз.нови активи'!$B$60:$B$107,$B35,'11.1.Амортиз.нови активи'!AA$60:AA$107))</f>
        <v>0</v>
      </c>
      <c r="U35" s="901">
        <f>$S35-SUMIF('11.2. Нови активи отч.год.'!$B$61:$B$108,$B35,'11.2. Нови активи отч.год.'!$S$61:$S$108)+SUMIF('11.2. Нови активи отч.год.'!$B$61:$B$108,$B35,'11.2. Нови активи отч.год.'!U$61:U$108)+SUMIF('11.1.Амортиз.нови активи'!$B$60:$B$107,$B35,'11.1.Амортиз.нови активи'!U$60:U$107)+('11.1.Амортиз.нови активи'!G$111*SUMIF('11.1.Амортиз.нови активи'!$B$60:$B$107,$B35,'11.1.Амортиз.нови активи'!AB$60:AB$107))</f>
        <v>0</v>
      </c>
      <c r="V35" s="901">
        <f>$S35-SUMIF('11.2. Нови активи отч.год.'!$B$61:$B$108,$B35,'11.2. Нови активи отч.год.'!$S$61:$S$108)+SUMIF('11.2. Нови активи отч.год.'!$B$61:$B$108,$B35,'11.2. Нови активи отч.год.'!V$61:V$108)+SUMIF('11.1.Амортиз.нови активи'!$B$60:$B$107,$B35,'11.1.Амортиз.нови активи'!V$60:V$107)+('11.1.Амортиз.нови активи'!H$111*SUMIF('11.1.Амортиз.нови активи'!$B$60:$B$107,$B35,'11.1.Амортиз.нови активи'!AC$60:AC$107))</f>
        <v>0</v>
      </c>
      <c r="W35" s="901">
        <f>$S35-SUMIF('11.2. Нови активи отч.год.'!$B$61:$B$108,$B35,'11.2. Нови активи отч.год.'!$S$61:$S$108)+SUMIF('11.2. Нови активи отч.год.'!$B$61:$B$108,$B35,'11.2. Нови активи отч.год.'!W$61:W$108)+SUMIF('11.1.Амортиз.нови активи'!$B$60:$B$107,$B35,'11.1.Амортиз.нови активи'!W$60:W$107)+('11.1.Амортиз.нови активи'!I$111*SUMIF('11.1.Амортиз.нови активи'!$B$60:$B$107,$B35,'11.1.Амортиз.нови активи'!AD$60:AD$107))</f>
        <v>0</v>
      </c>
      <c r="X35" s="901">
        <f>$S35-SUMIF('11.2. Нови активи отч.год.'!$B$61:$B$108,$B35,'11.2. Нови активи отч.год.'!$S$61:$S$108)+SUMIF('11.2. Нови активи отч.год.'!$B$61:$B$108,$B35,'11.2. Нови активи отч.год.'!X$61:X$108)+SUMIF('11.1.Амортиз.нови активи'!$B$60:$B$107,$B35,'11.1.Амортиз.нови активи'!X$60:X$107)+('11.1.Амортиз.нови активи'!J$111*SUMIF('11.1.Амортиз.нови активи'!$B$60:$B$107,$B35,'11.1.Амортиз.нови активи'!AE$60:AE$107))</f>
        <v>0</v>
      </c>
      <c r="Y35" s="902">
        <f>$S35-SUMIF('11.2. Нови активи отч.год.'!$B$61:$B$108,$B35,'11.2. Нови активи отч.год.'!$S$61:$S$108)+SUMIF('11.2. Нови активи отч.год.'!$B$61:$B$108,$B35,'11.2. Нови активи отч.год.'!Y$61:Y$108)+SUMIF('11.1.Амортиз.нови активи'!$B$60:$B$107,$B35,'11.1.Амортиз.нови активи'!Y$60:Y$107)+('11.1.Амортиз.нови активи'!K$111*SUMIF('11.1.Амортиз.нови активи'!$B$60:$B$107,$B35,'11.1.Амортиз.нови активи'!AF$60:AF$107))</f>
        <v>0</v>
      </c>
      <c r="Z35" s="1697"/>
      <c r="AA35" s="1698"/>
      <c r="AB35" s="1641"/>
    </row>
    <row r="36" spans="1:28">
      <c r="A36" s="1673">
        <v>2</v>
      </c>
      <c r="B36" s="1699">
        <v>20201</v>
      </c>
      <c r="C36" s="1675">
        <v>0.03</v>
      </c>
      <c r="D36" s="1622" t="s">
        <v>597</v>
      </c>
      <c r="E36" s="2750">
        <v>13.672789657868343</v>
      </c>
      <c r="F36" s="897">
        <f>$E36-SUMIF('11.2. Нови активи отч.год.'!$B$61:$B$108,$B36,'11.2. Нови активи отч.год.'!$E$61:$E$108)+SUMIF('11.2. Нови активи отч.год.'!$B$61:$B$108,$B36,'11.2. Нови активи отч.год.'!F$61:F$108)+SUMIF('11.1.Амортиз.нови активи'!$B$60:$B$107,$B36,'11.1.Амортиз.нови активи'!F$60:F$107)+('11.1.Амортиз.нови активи'!F$109*SUMIF('11.1.Амортиз.нови активи'!$B$60:$B$107,$B36,'11.1.Амортиз.нови активи'!AA$60:AA$107))</f>
        <v>13.672789657868343</v>
      </c>
      <c r="G36" s="898">
        <f>$E36-SUMIF('11.2. Нови активи отч.год.'!$B$61:$B$108,$B36,'11.2. Нови активи отч.год.'!$E$61:$E$108)+SUMIF('11.2. Нови активи отч.год.'!$B$61:$B$108,$B36,'11.2. Нови активи отч.год.'!G$61:G$108)+SUMIF('11.1.Амортиз.нови активи'!$B$60:$B$107,$B36,'11.1.Амортиз.нови активи'!G$60:G$107)+('11.1.Амортиз.нови активи'!G$109*SUMIF('11.1.Амортиз.нови активи'!$B$60:$B$107,$B36,'11.1.Амортиз.нови активи'!AB$60:AB$107))</f>
        <v>13.809843847998684</v>
      </c>
      <c r="H36" s="898">
        <f>$E36-SUMIF('11.2. Нови активи отч.год.'!$B$61:$B$108,$B36,'11.2. Нови активи отч.год.'!$E$61:$E$108)+SUMIF('11.2. Нови активи отч.год.'!$B$61:$B$108,$B36,'11.2. Нови активи отч.год.'!H$61:H$108)+SUMIF('11.1.Амортиз.нови активи'!$B$60:$B$107,$B36,'11.1.Амортиз.нови активи'!H$60:H$107)+('11.1.Амортиз.нови активи'!H$109*SUMIF('11.1.Амортиз.нови активи'!$B$60:$B$107,$B36,'11.1.Амортиз.нови активи'!AC$60:AC$107))</f>
        <v>14.058171133951896</v>
      </c>
      <c r="I36" s="898">
        <f>$E36-SUMIF('11.2. Нови активи отч.год.'!$B$61:$B$108,$B36,'11.2. Нови активи отч.год.'!$E$61:$E$108)+SUMIF('11.2. Нови активи отч.год.'!$B$61:$B$108,$B36,'11.2. Нови активи отч.год.'!I$61:I$108)+SUMIF('11.1.Амортиз.нови активи'!$B$60:$B$107,$B36,'11.1.Амортиз.нови активи'!I$60:I$107)+('11.1.Амортиз.нови активи'!I$109*SUMIF('11.1.Амортиз.нови активи'!$B$60:$B$107,$B36,'11.1.Амортиз.нови активи'!AD$60:AD$107))</f>
        <v>14.27742369697043</v>
      </c>
      <c r="J36" s="898">
        <f>$E36-SUMIF('11.2. Нови активи отч.год.'!$B$61:$B$108,$B36,'11.2. Нови активи отч.год.'!$E$61:$E$108)+SUMIF('11.2. Нови активи отч.год.'!$B$61:$B$108,$B36,'11.2. Нови активи отч.год.'!J$61:J$108)+SUMIF('11.1.Амортиз.нови активи'!$B$60:$B$107,$B36,'11.1.Амортиз.нови активи'!J$60:J$107)+('11.1.Амортиз.нови активи'!J$109*SUMIF('11.1.Амортиз.нови активи'!$B$60:$B$107,$B36,'11.1.Амортиз.нови активи'!AE$60:AE$107))</f>
        <v>14.483642934798359</v>
      </c>
      <c r="K36" s="899">
        <f>$E36-SUMIF('11.2. Нови активи отч.год.'!$B$61:$B$108,$B36,'11.2. Нови активи отч.год.'!$E$61:$E$108)+SUMIF('11.2. Нови активи отч.год.'!$B$61:$B$108,$B36,'11.2. Нови активи отч.год.'!K$61:K$108)+SUMIF('11.1.Амортиз.нови активи'!$B$60:$B$107,$B36,'11.1.Амортиз.нови активи'!K$60:K$107)+('11.1.Амортиз.нови активи'!K$109*SUMIF('11.1.Амортиз.нови активи'!$B$60:$B$107,$B36,'11.1.Амортиз.нови активи'!AF$60:AF$107))</f>
        <v>14.69025728882913</v>
      </c>
      <c r="L36" s="2750">
        <v>0.67551611320181948</v>
      </c>
      <c r="M36" s="897">
        <f>$L36-SUMIF('11.2. Нови активи отч.год.'!$B$61:$B$108,$B36,'11.2. Нови активи отч.год.'!$L$61:$L$108)+SUMIF('11.2. Нови активи отч.год.'!$B$61:$B$108,$B36,'11.2. Нови активи отч.год.'!M$61:M$108)+SUMIF('11.1.Амортиз.нови активи'!$B$60:$B$107,$B36,'11.1.Амортиз.нови активи'!M$60:M$107)+('11.1.Амортиз.нови активи'!F$110*SUMIF('11.1.Амортиз.нови активи'!$B$60:$B$107,$B36,'11.1.Амортиз.нови активи'!AA$60:AA$107))</f>
        <v>0.67551611320181948</v>
      </c>
      <c r="N36" s="898">
        <f>$L36-SUMIF('11.2. Нови активи отч.год.'!$B$61:$B$108,$B36,'11.2. Нови активи отч.год.'!$L$61:$L$108)+SUMIF('11.2. Нови активи отч.год.'!$B$61:$B$108,$B36,'11.2. Нови активи отч.год.'!N$61:N$108)+SUMIF('11.1.Амортиз.нови активи'!$B$60:$B$107,$B36,'11.1.Амортиз.нови активи'!N$60:N$107)+('11.1.Амортиз.нови активи'!G$110*SUMIF('11.1.Амортиз.нови активи'!$B$60:$B$107,$B36,'11.1.Амортиз.нови активи'!AB$60:AB$107))</f>
        <v>0.67826797658761184</v>
      </c>
      <c r="O36" s="898">
        <f>$L36-SUMIF('11.2. Нови активи отч.год.'!$B$61:$B$108,$B36,'11.2. Нови активи отч.год.'!$L$61:$L$108)+SUMIF('11.2. Нови активи отч.год.'!$B$61:$B$108,$B36,'11.2. Нови активи отч.год.'!O$61:O$108)+SUMIF('11.1.Амортиз.нови активи'!$B$60:$B$107,$B36,'11.1.Амортиз.нови активи'!O$60:O$107)+('11.1.Амортиз.нови активи'!H$110*SUMIF('11.1.Амортиз.нови активи'!$B$60:$B$107,$B36,'11.1.Амортиз.нови активи'!AC$60:AC$107))</f>
        <v>0.69164489677136431</v>
      </c>
      <c r="P36" s="898">
        <f>$L36-SUMIF('11.2. Нови активи отч.год.'!$B$61:$B$108,$B36,'11.2. Нови активи отч.год.'!$L$61:$L$108)+SUMIF('11.2. Нови активи отч.год.'!$B$61:$B$108,$B36,'11.2. Нови активи отч.год.'!P$61:P$108)+SUMIF('11.1.Амортиз.нови активи'!$B$60:$B$107,$B36,'11.1.Амортиз.нови активи'!P$60:P$107)+('11.1.Амортиз.нови активи'!I$110*SUMIF('11.1.Амортиз.нови активи'!$B$60:$B$107,$B36,'11.1.Амортиз.нови активи'!AD$60:AD$107))</f>
        <v>0.715043172336851</v>
      </c>
      <c r="Q36" s="898">
        <f>$L36-SUMIF('11.2. Нови активи отч.год.'!$B$61:$B$108,$B36,'11.2. Нови активи отч.год.'!$L$61:$L$108)+SUMIF('11.2. Нови активи отч.год.'!$B$61:$B$108,$B36,'11.2. Нови активи отч.год.'!Q$61:Q$108)+SUMIF('11.1.Амортиз.нови активи'!$B$60:$B$107,$B36,'11.1.Амортиз.нови активи'!Q$60:Q$107)+('11.1.Амортиз.нови активи'!J$110*SUMIF('11.1.Амортиз.нови активи'!$B$60:$B$107,$B36,'11.1.Амортиз.нови активи'!AE$60:AE$107))</f>
        <v>0.74055235618304649</v>
      </c>
      <c r="R36" s="899">
        <f>$L36-SUMIF('11.2. Нови активи отч.год.'!$B$61:$B$108,$B36,'11.2. Нови активи отч.год.'!$L$61:$L$108)+SUMIF('11.2. Нови активи отч.год.'!$B$61:$B$108,$B36,'11.2. Нови активи отч.год.'!R$61:R$108)+SUMIF('11.1.Амортиз.нови активи'!$B$60:$B$107,$B36,'11.1.Амортиз.нови активи'!R$60:R$107)+('11.1.Амортиз.нови активи'!K$110*SUMIF('11.1.Амортиз.нови активи'!$B$60:$B$107,$B36,'11.1.Амортиз.нови активи'!AF$60:AF$107))</f>
        <v>0.76577937642829741</v>
      </c>
      <c r="S36" s="2750">
        <v>0.17070488351578272</v>
      </c>
      <c r="T36" s="897">
        <f>$S36-SUMIF('11.2. Нови активи отч.год.'!$B$61:$B$108,$B36,'11.2. Нови активи отч.год.'!$S$61:$S$108)+SUMIF('11.2. Нови активи отч.год.'!$B$61:$B$108,$B36,'11.2. Нови активи отч.год.'!T$61:T$108)+SUMIF('11.1.Амортиз.нови активи'!$B$60:$B$107,$B36,'11.1.Амортиз.нови активи'!T$60:T$107)+('11.1.Амортиз.нови активи'!F$111*SUMIF('11.1.Амортиз.нови активи'!$B$60:$B$107,$B36,'11.1.Амортиз.нови активи'!AA$60:AA$107))</f>
        <v>0.17070488351578272</v>
      </c>
      <c r="U36" s="898">
        <f>$S36-SUMIF('11.2. Нови активи отч.год.'!$B$61:$B$108,$B36,'11.2. Нови активи отч.год.'!$S$61:$S$108)+SUMIF('11.2. Нови активи отч.год.'!$B$61:$B$108,$B36,'11.2. Нови активи отч.год.'!U$61:U$108)+SUMIF('11.1.Амортиз.нови активи'!$B$60:$B$107,$B36,'11.1.Амортиз.нови активи'!U$60:U$107)+('11.1.Амортиз.нови активи'!G$111*SUMIF('11.1.Амортиз.нови активи'!$B$60:$B$107,$B36,'11.1.Амортиз.нови активи'!AB$60:AB$107))</f>
        <v>0.18089882999964868</v>
      </c>
      <c r="V36" s="898">
        <f>$S36-SUMIF('11.2. Нови активи отч.год.'!$B$61:$B$108,$B36,'11.2. Нови активи отч.год.'!$S$61:$S$108)+SUMIF('11.2. Нови активи отч.год.'!$B$61:$B$108,$B36,'11.2. Нови активи отч.год.'!V$61:V$108)+SUMIF('11.1.Амортиз.нови активи'!$B$60:$B$107,$B36,'11.1.Амортиз.нови активи'!V$60:V$107)+('11.1.Амортиз.нови активи'!H$111*SUMIF('11.1.Амортиз.нови активи'!$B$60:$B$107,$B36,'11.1.Амортиз.нови активи'!AC$60:AC$107))</f>
        <v>0.21919462386268371</v>
      </c>
      <c r="W36" s="898">
        <f>$S36-SUMIF('11.2. Нови активи отч.год.'!$B$61:$B$108,$B36,'11.2. Нови активи отч.год.'!$S$61:$S$108)+SUMIF('11.2. Нови активи отч.год.'!$B$61:$B$108,$B36,'11.2. Нови активи отч.год.'!W$61:W$108)+SUMIF('11.1.Амортиз.нови активи'!$B$60:$B$107,$B36,'11.1.Амортиз.нови активи'!W$60:W$107)+('11.1.Амортиз.нови активи'!I$111*SUMIF('11.1.Амортиз.нови активи'!$B$60:$B$107,$B36,'11.1.Амортиз.нови активи'!AD$60:AD$107))</f>
        <v>0.27654378527866302</v>
      </c>
      <c r="X36" s="898">
        <f>$S36-SUMIF('11.2. Нови активи отч.год.'!$B$61:$B$108,$B36,'11.2. Нови активи отч.год.'!$S$61:$S$108)+SUMIF('11.2. Нови активи отч.год.'!$B$61:$B$108,$B36,'11.2. Нови активи отч.год.'!X$61:X$108)+SUMIF('11.1.Амортиз.нови активи'!$B$60:$B$107,$B36,'11.1.Амортиз.нови активи'!X$60:X$107)+('11.1.Амортиз.нови активи'!J$111*SUMIF('11.1.Амортиз.нови активи'!$B$60:$B$107,$B36,'11.1.Амортиз.нови активи'!AE$60:AE$107))</f>
        <v>0.34481536360453835</v>
      </c>
      <c r="Y36" s="899">
        <f>$S36-SUMIF('11.2. Нови активи отч.год.'!$B$61:$B$108,$B36,'11.2. Нови активи отч.год.'!$S$61:$S$108)+SUMIF('11.2. Нови активи отч.год.'!$B$61:$B$108,$B36,'11.2. Нови активи отч.год.'!Y$61:Y$108)+SUMIF('11.1.Амортиз.нови активи'!$B$60:$B$107,$B36,'11.1.Амортиз.нови активи'!Y$60:Y$107)+('11.1.Амортиз.нови активи'!K$111*SUMIF('11.1.Амортиз.нови активи'!$B$60:$B$107,$B36,'11.1.Амортиз.нови активи'!AF$60:AF$107))</f>
        <v>0.41297398932851692</v>
      </c>
      <c r="Z36" s="1697"/>
      <c r="AA36" s="1676"/>
      <c r="AB36" s="1641"/>
    </row>
    <row r="37" spans="1:28" ht="26.25" customHeight="1">
      <c r="A37" s="1673">
        <v>3</v>
      </c>
      <c r="B37" s="1699">
        <v>203</v>
      </c>
      <c r="C37" s="1670"/>
      <c r="D37" s="1623" t="s">
        <v>577</v>
      </c>
      <c r="E37" s="1677">
        <f>SUM(E38:E41)</f>
        <v>157.30927841016847</v>
      </c>
      <c r="F37" s="962">
        <f t="shared" ref="F37:Y37" si="5">SUM(F38:F41)</f>
        <v>144.00927841016849</v>
      </c>
      <c r="G37" s="958">
        <f t="shared" si="5"/>
        <v>48.759278410168491</v>
      </c>
      <c r="H37" s="958">
        <f t="shared" si="5"/>
        <v>53.009278410168491</v>
      </c>
      <c r="I37" s="958">
        <f t="shared" si="5"/>
        <v>58.759278410168491</v>
      </c>
      <c r="J37" s="958">
        <f t="shared" si="5"/>
        <v>60.759278410168491</v>
      </c>
      <c r="K37" s="958">
        <f t="shared" si="5"/>
        <v>37.259278410168491</v>
      </c>
      <c r="L37" s="1677">
        <f>SUM(L38:L41)</f>
        <v>14.771745626149563</v>
      </c>
      <c r="M37" s="962">
        <f t="shared" si="5"/>
        <v>15.021745626149563</v>
      </c>
      <c r="N37" s="958">
        <f t="shared" si="5"/>
        <v>15.971745626149563</v>
      </c>
      <c r="O37" s="958">
        <f t="shared" si="5"/>
        <v>6.1217456261495631</v>
      </c>
      <c r="P37" s="958">
        <f t="shared" si="5"/>
        <v>6.5217456261495634</v>
      </c>
      <c r="Q37" s="958">
        <f t="shared" si="5"/>
        <v>7.4217456261495638</v>
      </c>
      <c r="R37" s="958">
        <f t="shared" si="5"/>
        <v>8.3217456261495641</v>
      </c>
      <c r="S37" s="1677">
        <f>SUM(S38:S41)</f>
        <v>7.374868668902792</v>
      </c>
      <c r="T37" s="957">
        <f t="shared" si="5"/>
        <v>4.5748686689027922</v>
      </c>
      <c r="U37" s="958">
        <f t="shared" si="5"/>
        <v>7.3248686689027922</v>
      </c>
      <c r="V37" s="958">
        <f t="shared" si="5"/>
        <v>12.424868668902793</v>
      </c>
      <c r="W37" s="958">
        <f t="shared" si="5"/>
        <v>20.074868668902791</v>
      </c>
      <c r="X37" s="958">
        <f t="shared" si="5"/>
        <v>29.774868668902794</v>
      </c>
      <c r="Y37" s="961">
        <f t="shared" si="5"/>
        <v>38.574868668902788</v>
      </c>
      <c r="Z37" s="1700"/>
      <c r="AA37" s="1701"/>
      <c r="AB37" s="1641"/>
    </row>
    <row r="38" spans="1:28">
      <c r="A38" s="1673"/>
      <c r="B38" s="1674">
        <v>20301</v>
      </c>
      <c r="C38" s="1679">
        <v>0.1</v>
      </c>
      <c r="D38" s="1624" t="s">
        <v>599</v>
      </c>
      <c r="E38" s="2750">
        <v>4.591626868485605</v>
      </c>
      <c r="F38" s="897">
        <f>$E38-SUMIF('11.2. Нови активи отч.год.'!$B$61:$B$108,$B38,'11.2. Нови активи отч.год.'!$E$61:$E$108)+SUMIF('11.2. Нови активи отч.год.'!$B$61:$B$108,$B38,'11.2. Нови активи отч.год.'!F$61:F$108)+SUMIF('11.1.Амортиз.нови активи'!$B$60:$B$107,$B38,'11.1.Амортиз.нови активи'!F$60:F$107)+('11.1.Амортиз.нови активи'!F$109*SUMIF('11.1.Амортиз.нови активи'!$B$60:$B$107,$B38,'11.1.Амортиз.нови активи'!AA$60:AA$107))</f>
        <v>4.591626868485605</v>
      </c>
      <c r="G38" s="898">
        <f>$E38-SUMIF('11.2. Нови активи отч.год.'!$B$61:$B$108,$B38,'11.2. Нови активи отч.год.'!$E$61:$E$108)+SUMIF('11.2. Нови активи отч.год.'!$B$61:$B$108,$B38,'11.2. Нови активи отч.год.'!G$61:G$108)+SUMIF('11.1.Амортиз.нови активи'!$B$60:$B$107,$B38,'11.1.Амортиз.нови активи'!G$60:G$107)+('11.1.Амортиз.нови активи'!G$109*SUMIF('11.1.Амортиз.нови активи'!$B$60:$B$107,$B38,'11.1.Амортиз.нови активи'!AB$60:AB$107))</f>
        <v>4.591626868485605</v>
      </c>
      <c r="H38" s="898">
        <f>$E38-SUMIF('11.2. Нови активи отч.год.'!$B$61:$B$108,$B38,'11.2. Нови активи отч.год.'!$E$61:$E$108)+SUMIF('11.2. Нови активи отч.год.'!$B$61:$B$108,$B38,'11.2. Нови активи отч.год.'!H$61:H$108)+SUMIF('11.1.Амортиз.нови активи'!$B$60:$B$107,$B38,'11.1.Амортиз.нови активи'!H$60:H$107)+('11.1.Амортиз.нови активи'!H$109*SUMIF('11.1.Амортиз.нови активи'!$B$60:$B$107,$B38,'11.1.Амортиз.нови активи'!AC$60:AC$107))</f>
        <v>4.591626868485605</v>
      </c>
      <c r="I38" s="898">
        <f>$E38-SUMIF('11.2. Нови активи отч.год.'!$B$61:$B$108,$B38,'11.2. Нови активи отч.год.'!$E$61:$E$108)+SUMIF('11.2. Нови активи отч.год.'!$B$61:$B$108,$B38,'11.2. Нови активи отч.год.'!I$61:I$108)+SUMIF('11.1.Амортиз.нови активи'!$B$60:$B$107,$B38,'11.1.Амортиз.нови активи'!I$60:I$107)+('11.1.Амортиз.нови активи'!I$109*SUMIF('11.1.Амортиз.нови активи'!$B$60:$B$107,$B38,'11.1.Амортиз.нови активи'!AD$60:AD$107))</f>
        <v>4.591626868485605</v>
      </c>
      <c r="J38" s="898">
        <f>$E38-SUMIF('11.2. Нови активи отч.год.'!$B$61:$B$108,$B38,'11.2. Нови активи отч.год.'!$E$61:$E$108)+SUMIF('11.2. Нови активи отч.год.'!$B$61:$B$108,$B38,'11.2. Нови активи отч.год.'!J$61:J$108)+SUMIF('11.1.Амортиз.нови активи'!$B$60:$B$107,$B38,'11.1.Амортиз.нови активи'!J$60:J$107)+('11.1.Амортиз.нови активи'!J$109*SUMIF('11.1.Амортиз.нови активи'!$B$60:$B$107,$B38,'11.1.Амортиз.нови активи'!AE$60:AE$107))</f>
        <v>4.591626868485605</v>
      </c>
      <c r="K38" s="899">
        <f>$E38-SUMIF('11.2. Нови активи отч.год.'!$B$61:$B$108,$B38,'11.2. Нови активи отч.год.'!$E$61:$E$108)+SUMIF('11.2. Нови активи отч.год.'!$B$61:$B$108,$B38,'11.2. Нови активи отч.год.'!K$61:K$108)+SUMIF('11.1.Амортиз.нови активи'!$B$60:$B$107,$B38,'11.1.Амортиз.нови активи'!K$60:K$107)+('11.1.Амортиз.нови активи'!K$109*SUMIF('11.1.Амортиз.нови активи'!$B$60:$B$107,$B38,'11.1.Амортиз.нови активи'!AF$60:AF$107))</f>
        <v>4.591626868485605</v>
      </c>
      <c r="L38" s="2750">
        <v>6.4056600689842611</v>
      </c>
      <c r="M38" s="897">
        <f>$L38-SUMIF('11.2. Нови активи отч.год.'!$B$61:$B$108,$B38,'11.2. Нови активи отч.год.'!$L$61:$L$108)+SUMIF('11.2. Нови активи отч.год.'!$B$61:$B$108,$B38,'11.2. Нови активи отч.год.'!M$61:M$108)+SUMIF('11.1.Амортиз.нови активи'!$B$60:$B$107,$B38,'11.1.Амортиз.нови активи'!M$60:M$107)+('11.1.Амортиз.нови активи'!F$110*SUMIF('11.1.Амортиз.нови активи'!$B$60:$B$107,$B38,'11.1.Амортиз.нови активи'!AA$60:AA$107))</f>
        <v>6.4056600689842611</v>
      </c>
      <c r="N38" s="898">
        <f>$L38-SUMIF('11.2. Нови активи отч.год.'!$B$61:$B$108,$B38,'11.2. Нови активи отч.год.'!$L$61:$L$108)+SUMIF('11.2. Нови активи отч.год.'!$B$61:$B$108,$B38,'11.2. Нови активи отч.год.'!N$61:N$108)+SUMIF('11.1.Амортиз.нови активи'!$B$60:$B$107,$B38,'11.1.Амортиз.нови активи'!N$60:N$107)+('11.1.Амортиз.нови активи'!G$110*SUMIF('11.1.Амортиз.нови активи'!$B$60:$B$107,$B38,'11.1.Амортиз.нови активи'!AB$60:AB$107))</f>
        <v>6.4056600689842611</v>
      </c>
      <c r="O38" s="898">
        <f>$L38-SUMIF('11.2. Нови активи отч.год.'!$B$61:$B$108,$B38,'11.2. Нови активи отч.год.'!$L$61:$L$108)+SUMIF('11.2. Нови активи отч.год.'!$B$61:$B$108,$B38,'11.2. Нови активи отч.год.'!O$61:O$108)+SUMIF('11.1.Амортиз.нови активи'!$B$60:$B$107,$B38,'11.1.Амортиз.нови активи'!O$60:O$107)+('11.1.Амортиз.нови активи'!H$110*SUMIF('11.1.Амортиз.нови активи'!$B$60:$B$107,$B38,'11.1.Амортиз.нови активи'!AC$60:AC$107))</f>
        <v>0.4056600689842611</v>
      </c>
      <c r="P38" s="898">
        <f>$L38-SUMIF('11.2. Нови активи отч.год.'!$B$61:$B$108,$B38,'11.2. Нови активи отч.год.'!$L$61:$L$108)+SUMIF('11.2. Нови активи отч.год.'!$B$61:$B$108,$B38,'11.2. Нови активи отч.год.'!P$61:P$108)+SUMIF('11.1.Амортиз.нови активи'!$B$60:$B$107,$B38,'11.1.Амортиз.нови активи'!P$60:P$107)+('11.1.Амортиз.нови активи'!I$110*SUMIF('11.1.Амортиз.нови активи'!$B$60:$B$107,$B38,'11.1.Амортиз.нови активи'!AD$60:AD$107))</f>
        <v>-9.4339931015738898E-2</v>
      </c>
      <c r="Q38" s="898">
        <f>$L38-SUMIF('11.2. Нови активи отч.год.'!$B$61:$B$108,$B38,'11.2. Нови активи отч.год.'!$L$61:$L$108)+SUMIF('11.2. Нови активи отч.год.'!$B$61:$B$108,$B38,'11.2. Нови активи отч.год.'!Q$61:Q$108)+SUMIF('11.1.Амортиз.нови активи'!$B$60:$B$107,$B38,'11.1.Амортиз.нови активи'!Q$60:Q$107)+('11.1.Амортиз.нови активи'!J$110*SUMIF('11.1.Амортиз.нови активи'!$B$60:$B$107,$B38,'11.1.Амортиз.нови активи'!AE$60:AE$107))</f>
        <v>-9.4339931015738898E-2</v>
      </c>
      <c r="R38" s="899">
        <f>$L38-SUMIF('11.2. Нови активи отч.год.'!$B$61:$B$108,$B38,'11.2. Нови активи отч.год.'!$L$61:$L$108)+SUMIF('11.2. Нови активи отч.год.'!$B$61:$B$108,$B38,'11.2. Нови активи отч.год.'!R$61:R$108)+SUMIF('11.1.Амортиз.нови активи'!$B$60:$B$107,$B38,'11.1.Амортиз.нови активи'!R$60:R$107)+('11.1.Амортиз.нови активи'!K$110*SUMIF('11.1.Амортиз.нови активи'!$B$60:$B$107,$B38,'11.1.Амортиз.нови активи'!AF$60:AF$107))</f>
        <v>-9.4339931015738898E-2</v>
      </c>
      <c r="S38" s="2750">
        <v>1.7748199956940398</v>
      </c>
      <c r="T38" s="897">
        <f>$S38-SUMIF('11.2. Нови активи отч.год.'!$B$61:$B$108,$B38,'11.2. Нови активи отч.год.'!$S$61:$S$108)+SUMIF('11.2. Нови активи отч.год.'!$B$61:$B$108,$B38,'11.2. Нови активи отч.год.'!T$61:T$108)+SUMIF('11.1.Амортиз.нови активи'!$B$60:$B$107,$B38,'11.1.Амортиз.нови активи'!T$60:T$107)+('11.1.Амортиз.нови активи'!F$111*SUMIF('11.1.Амортиз.нови активи'!$B$60:$B$107,$B38,'11.1.Амортиз.нови активи'!AA$60:AA$107))</f>
        <v>1.7748199956940398</v>
      </c>
      <c r="U38" s="898">
        <f>$S38-SUMIF('11.2. Нови активи отч.год.'!$B$61:$B$108,$B38,'11.2. Нови активи отч.год.'!$S$61:$S$108)+SUMIF('11.2. Нови активи отч.год.'!$B$61:$B$108,$B38,'11.2. Нови активи отч.год.'!U$61:U$108)+SUMIF('11.1.Амортиз.нови активи'!$B$60:$B$107,$B38,'11.1.Амортиз.нови активи'!U$60:U$107)+('11.1.Амортиз.нови активи'!G$111*SUMIF('11.1.Амортиз.нови активи'!$B$60:$B$107,$B38,'11.1.Амортиз.нови активи'!AB$60:AB$107))</f>
        <v>1.7748199956940398</v>
      </c>
      <c r="V38" s="898">
        <f>$S38-SUMIF('11.2. Нови активи отч.год.'!$B$61:$B$108,$B38,'11.2. Нови активи отч.год.'!$S$61:$S$108)+SUMIF('11.2. Нови активи отч.год.'!$B$61:$B$108,$B38,'11.2. Нови активи отч.год.'!V$61:V$108)+SUMIF('11.1.Амортиз.нови активи'!$B$60:$B$107,$B38,'11.1.Амортиз.нови активи'!V$60:V$107)+('11.1.Амортиз.нови активи'!H$111*SUMIF('11.1.Амортиз.нови активи'!$B$60:$B$107,$B38,'11.1.Амортиз.нови активи'!AC$60:AC$107))</f>
        <v>0.97481999569403976</v>
      </c>
      <c r="W38" s="898">
        <f>$S38-SUMIF('11.2. Нови активи отч.год.'!$B$61:$B$108,$B38,'11.2. Нови активи отч.год.'!$S$61:$S$108)+SUMIF('11.2. Нови активи отч.год.'!$B$61:$B$108,$B38,'11.2. Нови активи отч.год.'!W$61:W$108)+SUMIF('11.1.Амортиз.нови активи'!$B$60:$B$107,$B38,'11.1.Амортиз.нови активи'!W$60:W$107)+('11.1.Амортиз.нови активи'!I$111*SUMIF('11.1.Амортиз.нови активи'!$B$60:$B$107,$B38,'11.1.Амортиз.нови активи'!AD$60:AD$107))</f>
        <v>0.17481999569403972</v>
      </c>
      <c r="X38" s="898">
        <f>$S38-SUMIF('11.2. Нови активи отч.год.'!$B$61:$B$108,$B38,'11.2. Нови активи отч.год.'!$S$61:$S$108)+SUMIF('11.2. Нови активи отч.год.'!$B$61:$B$108,$B38,'11.2. Нови активи отч.год.'!X$61:X$108)+SUMIF('11.1.Амортиз.нови активи'!$B$60:$B$107,$B38,'11.1.Амортиз.нови активи'!X$60:X$107)+('11.1.Амортиз.нови активи'!J$111*SUMIF('11.1.Амортиз.нови активи'!$B$60:$B$107,$B38,'11.1.Амортиз.нови активи'!AE$60:AE$107))</f>
        <v>-0.32518000430596028</v>
      </c>
      <c r="Y38" s="899">
        <f>$S38-SUMIF('11.2. Нови активи отч.год.'!$B$61:$B$108,$B38,'11.2. Нови активи отч.год.'!$S$61:$S$108)+SUMIF('11.2. Нови активи отч.год.'!$B$61:$B$108,$B38,'11.2. Нови активи отч.год.'!Y$61:Y$108)+SUMIF('11.1.Амортиз.нови активи'!$B$60:$B$107,$B38,'11.1.Амортиз.нови активи'!Y$60:Y$107)+('11.1.Амортиз.нови активи'!K$111*SUMIF('11.1.Амортиз.нови активи'!$B$60:$B$107,$B38,'11.1.Амортиз.нови активи'!AF$60:AF$107))</f>
        <v>-0.32518000430596028</v>
      </c>
      <c r="Z38" s="1671"/>
      <c r="AA38" s="1701"/>
      <c r="AB38" s="1641"/>
    </row>
    <row r="39" spans="1:28">
      <c r="A39" s="1673"/>
      <c r="B39" s="1674">
        <v>20302</v>
      </c>
      <c r="C39" s="1679">
        <v>0.1</v>
      </c>
      <c r="D39" s="1624" t="s">
        <v>600</v>
      </c>
      <c r="E39" s="2750"/>
      <c r="F39" s="897">
        <f>$E39-SUMIF('11.2. Нови активи отч.год.'!$B$61:$B$108,$B39,'11.2. Нови активи отч.год.'!$E$61:$E$108)+SUMIF('11.2. Нови активи отч.год.'!$B$61:$B$108,$B39,'11.2. Нови активи отч.год.'!F$61:F$108)+SUMIF('11.1.Амортиз.нови активи'!$B$60:$B$107,$B39,'11.1.Амортиз.нови активи'!F$60:F$107)+('11.1.Амортиз.нови активи'!F$109*SUMIF('11.1.Амортиз.нови активи'!$B$60:$B$107,$B39,'11.1.Амортиз.нови активи'!AA$60:AA$107))</f>
        <v>0</v>
      </c>
      <c r="G39" s="898">
        <f>$E39-SUMIF('11.2. Нови активи отч.год.'!$B$61:$B$108,$B39,'11.2. Нови активи отч.год.'!$E$61:$E$108)+SUMIF('11.2. Нови активи отч.год.'!$B$61:$B$108,$B39,'11.2. Нови активи отч.год.'!G$61:G$108)+SUMIF('11.1.Амортиз.нови активи'!$B$60:$B$107,$B39,'11.1.Амортиз.нови активи'!G$60:G$107)+('11.1.Амортиз.нови активи'!G$109*SUMIF('11.1.Амортиз.нови активи'!$B$60:$B$107,$B39,'11.1.Амортиз.нови активи'!AB$60:AB$107))</f>
        <v>0.25</v>
      </c>
      <c r="H39" s="898">
        <f>$E39-SUMIF('11.2. Нови активи отч.год.'!$B$61:$B$108,$B39,'11.2. Нови активи отч.год.'!$E$61:$E$108)+SUMIF('11.2. Нови активи отч.год.'!$B$61:$B$108,$B39,'11.2. Нови активи отч.год.'!H$61:H$108)+SUMIF('11.1.Амортиз.нови активи'!$B$60:$B$107,$B39,'11.1.Амортиз.нови активи'!H$60:H$107)+('11.1.Амортиз.нови активи'!H$109*SUMIF('11.1.Амортиз.нови активи'!$B$60:$B$107,$B39,'11.1.Амортиз.нови активи'!AC$60:AC$107))</f>
        <v>0.75</v>
      </c>
      <c r="I39" s="898">
        <f>$E39-SUMIF('11.2. Нови активи отч.год.'!$B$61:$B$108,$B39,'11.2. Нови активи отч.год.'!$E$61:$E$108)+SUMIF('11.2. Нови активи отч.год.'!$B$61:$B$108,$B39,'11.2. Нови активи отч.год.'!I$61:I$108)+SUMIF('11.1.Амортиз.нови активи'!$B$60:$B$107,$B39,'11.1.Амортиз.нови активи'!I$60:I$107)+('11.1.Амортиз.нови активи'!I$109*SUMIF('11.1.Амортиз.нови активи'!$B$60:$B$107,$B39,'11.1.Амортиз.нови активи'!AD$60:AD$107))</f>
        <v>1.25</v>
      </c>
      <c r="J39" s="898">
        <f>$E39-SUMIF('11.2. Нови активи отч.год.'!$B$61:$B$108,$B39,'11.2. Нови активи отч.год.'!$E$61:$E$108)+SUMIF('11.2. Нови активи отч.год.'!$B$61:$B$108,$B39,'11.2. Нови активи отч.год.'!J$61:J$108)+SUMIF('11.1.Амортиз.нови активи'!$B$60:$B$107,$B39,'11.1.Амортиз.нови активи'!J$60:J$107)+('11.1.Амортиз.нови активи'!J$109*SUMIF('11.1.Амортиз.нови активи'!$B$60:$B$107,$B39,'11.1.Амортиз.нови активи'!AE$60:AE$107))</f>
        <v>1.75</v>
      </c>
      <c r="K39" s="899">
        <f>$E39-SUMIF('11.2. Нови активи отч.год.'!$B$61:$B$108,$B39,'11.2. Нови активи отч.год.'!$E$61:$E$108)+SUMIF('11.2. Нови активи отч.год.'!$B$61:$B$108,$B39,'11.2. Нови активи отч.год.'!K$61:K$108)+SUMIF('11.1.Амортиз.нови активи'!$B$60:$B$107,$B39,'11.1.Амортиз.нови активи'!K$60:K$107)+('11.1.Амортиз.нови активи'!K$109*SUMIF('11.1.Амортиз.нови активи'!$B$60:$B$107,$B39,'11.1.Амортиз.нови активи'!AF$60:AF$107))</f>
        <v>2.25</v>
      </c>
      <c r="L39" s="2750">
        <v>4.8242290074136358</v>
      </c>
      <c r="M39" s="897">
        <f>$L39-SUMIF('11.2. Нови активи отч.год.'!$B$61:$B$108,$B39,'11.2. Нови активи отч.год.'!$L$61:$L$108)+SUMIF('11.2. Нови активи отч.год.'!$B$61:$B$108,$B39,'11.2. Нови активи отч.год.'!M$61:M$108)+SUMIF('11.1.Амортиз.нови активи'!$B$60:$B$107,$B39,'11.1.Амортиз.нови активи'!M$60:M$107)+('11.1.Амортиз.нови активи'!F$110*SUMIF('11.1.Амортиз.нови активи'!$B$60:$B$107,$B39,'11.1.Амортиз.нови активи'!AA$60:AA$107))</f>
        <v>4.8242290074136358</v>
      </c>
      <c r="N39" s="898">
        <f>$L39-SUMIF('11.2. Нови активи отч.год.'!$B$61:$B$108,$B39,'11.2. Нови активи отч.год.'!$L$61:$L$108)+SUMIF('11.2. Нови активи отч.год.'!$B$61:$B$108,$B39,'11.2. Нови активи отч.год.'!N$61:N$108)+SUMIF('11.1.Амортиз.нови активи'!$B$60:$B$107,$B39,'11.1.Амортиз.нови активи'!N$60:N$107)+('11.1.Амортиз.нови активи'!G$110*SUMIF('11.1.Амортиз.нови активи'!$B$60:$B$107,$B39,'11.1.Амортиз.нови активи'!AB$60:AB$107))</f>
        <v>4.8242290074136358</v>
      </c>
      <c r="O39" s="898">
        <f>$L39-SUMIF('11.2. Нови активи отч.год.'!$B$61:$B$108,$B39,'11.2. Нови активи отч.год.'!$L$61:$L$108)+SUMIF('11.2. Нови активи отч.год.'!$B$61:$B$108,$B39,'11.2. Нови активи отч.год.'!O$61:O$108)+SUMIF('11.1.Амортиз.нови активи'!$B$60:$B$107,$B39,'11.1.Амортиз.нови активи'!O$60:O$107)+('11.1.Амортиз.нови активи'!H$110*SUMIF('11.1.Амортиз.нови активи'!$B$60:$B$107,$B39,'11.1.Амортиз.нови активи'!AC$60:AC$107))</f>
        <v>-0.17577099258636419</v>
      </c>
      <c r="P39" s="898">
        <f>$L39-SUMIF('11.2. Нови активи отч.год.'!$B$61:$B$108,$B39,'11.2. Нови активи отч.год.'!$L$61:$L$108)+SUMIF('11.2. Нови активи отч.год.'!$B$61:$B$108,$B39,'11.2. Нови активи отч.год.'!P$61:P$108)+SUMIF('11.1.Амортиз.нови активи'!$B$60:$B$107,$B39,'11.1.Амортиз.нови активи'!P$60:P$107)+('11.1.Амортиз.нови активи'!I$110*SUMIF('11.1.Амортиз.нови активи'!$B$60:$B$107,$B39,'11.1.Амортиз.нови активи'!AD$60:AD$107))</f>
        <v>-0.17577099258636419</v>
      </c>
      <c r="Q39" s="898">
        <f>$L39-SUMIF('11.2. Нови активи отч.год.'!$B$61:$B$108,$B39,'11.2. Нови активи отч.год.'!$L$61:$L$108)+SUMIF('11.2. Нови активи отч.год.'!$B$61:$B$108,$B39,'11.2. Нови активи отч.год.'!Q$61:Q$108)+SUMIF('11.1.Амортиз.нови активи'!$B$60:$B$107,$B39,'11.1.Амортиз.нови активи'!Q$60:Q$107)+('11.1.Амортиз.нови активи'!J$110*SUMIF('11.1.Амортиз.нови активи'!$B$60:$B$107,$B39,'11.1.Амортиз.нови активи'!AE$60:AE$107))</f>
        <v>-0.17577099258636419</v>
      </c>
      <c r="R39" s="899">
        <f>$L39-SUMIF('11.2. Нови активи отч.год.'!$B$61:$B$108,$B39,'11.2. Нови активи отч.год.'!$L$61:$L$108)+SUMIF('11.2. Нови активи отч.год.'!$B$61:$B$108,$B39,'11.2. Нови активи отч.год.'!R$61:R$108)+SUMIF('11.1.Амортиз.нови активи'!$B$60:$B$107,$B39,'11.1.Амортиз.нови активи'!R$60:R$107)+('11.1.Амортиз.нови активи'!K$110*SUMIF('11.1.Амортиз.нови активи'!$B$60:$B$107,$B39,'11.1.Амортиз.нови активи'!AF$60:AF$107))</f>
        <v>-0.17577099258636419</v>
      </c>
      <c r="S39" s="2750">
        <v>1.2190966798122362</v>
      </c>
      <c r="T39" s="897">
        <f>$S39-SUMIF('11.2. Нови активи отч.год.'!$B$61:$B$108,$B39,'11.2. Нови активи отч.год.'!$S$61:$S$108)+SUMIF('11.2. Нови активи отч.год.'!$B$61:$B$108,$B39,'11.2. Нови активи отч.год.'!T$61:T$108)+SUMIF('11.1.Амортиз.нови активи'!$B$60:$B$107,$B39,'11.1.Амортиз.нови активи'!T$60:T$107)+('11.1.Амортиз.нови активи'!F$111*SUMIF('11.1.Амортиз.нови активи'!$B$60:$B$107,$B39,'11.1.Амортиз.нови активи'!AA$60:AA$107))</f>
        <v>1.2190966798122362</v>
      </c>
      <c r="U39" s="898">
        <f>$S39-SUMIF('11.2. Нови активи отч.год.'!$B$61:$B$108,$B39,'11.2. Нови активи отч.год.'!$S$61:$S$108)+SUMIF('11.2. Нови активи отч.год.'!$B$61:$B$108,$B39,'11.2. Нови активи отч.год.'!U$61:U$108)+SUMIF('11.1.Амортиз.нови активи'!$B$60:$B$107,$B39,'11.1.Амортиз.нови активи'!U$60:U$107)+('11.1.Амортиз.нови активи'!G$111*SUMIF('11.1.Амортиз.нови активи'!$B$60:$B$107,$B39,'11.1.Амортиз.нови активи'!AB$60:AB$107))</f>
        <v>3.6690966798122364</v>
      </c>
      <c r="V39" s="898">
        <f>$S39-SUMIF('11.2. Нови активи отч.год.'!$B$61:$B$108,$B39,'11.2. Нови активи отч.год.'!$S$61:$S$108)+SUMIF('11.2. Нови активи отч.год.'!$B$61:$B$108,$B39,'11.2. Нови активи отч.год.'!V$61:V$108)+SUMIF('11.1.Амортиз.нови активи'!$B$60:$B$107,$B39,'11.1.Амортиз.нови активи'!V$60:V$107)+('11.1.Амортиз.нови активи'!H$111*SUMIF('11.1.Амортиз.нови активи'!$B$60:$B$107,$B39,'11.1.Амортиз.нови активи'!AC$60:AC$107))</f>
        <v>8.7690966798122361</v>
      </c>
      <c r="W39" s="898">
        <f>$S39-SUMIF('11.2. Нови активи отч.год.'!$B$61:$B$108,$B39,'11.2. Нови активи отч.год.'!$S$61:$S$108)+SUMIF('11.2. Нови активи отч.год.'!$B$61:$B$108,$B39,'11.2. Нови активи отч.год.'!W$61:W$108)+SUMIF('11.1.Амортиз.нови активи'!$B$60:$B$107,$B39,'11.1.Амортиз.нови активи'!W$60:W$107)+('11.1.Амортиз.нови активи'!I$111*SUMIF('11.1.Амортиз.нови активи'!$B$60:$B$107,$B39,'11.1.Амортиз.нови активи'!AD$60:AD$107))</f>
        <v>15.969096679812235</v>
      </c>
      <c r="X39" s="898">
        <f>$S39-SUMIF('11.2. Нови активи отч.год.'!$B$61:$B$108,$B39,'11.2. Нови активи отч.год.'!$S$61:$S$108)+SUMIF('11.2. Нови активи отч.год.'!$B$61:$B$108,$B39,'11.2. Нови активи отч.год.'!X$61:X$108)+SUMIF('11.1.Амортиз.нови активи'!$B$60:$B$107,$B39,'11.1.Амортиз.нови активи'!X$60:X$107)+('11.1.Амортиз.нови активи'!J$111*SUMIF('11.1.Амортиз.нови активи'!$B$60:$B$107,$B39,'11.1.Амортиз.нови активи'!AE$60:AE$107))</f>
        <v>24.419096679812238</v>
      </c>
      <c r="Y39" s="899">
        <f>$S39-SUMIF('11.2. Нови активи отч.год.'!$B$61:$B$108,$B39,'11.2. Нови активи отч.год.'!$S$61:$S$108)+SUMIF('11.2. Нови активи отч.год.'!$B$61:$B$108,$B39,'11.2. Нови активи отч.год.'!Y$61:Y$108)+SUMIF('11.1.Амортиз.нови активи'!$B$60:$B$107,$B39,'11.1.Амортиз.нови активи'!Y$60:Y$107)+('11.1.Амортиз.нови активи'!K$111*SUMIF('11.1.Амортиз.нови активи'!$B$60:$B$107,$B39,'11.1.Амортиз.нови активи'!AF$60:AF$107))</f>
        <v>30.719096679812235</v>
      </c>
      <c r="Z39" s="1671"/>
      <c r="AA39" s="1701"/>
      <c r="AB39" s="1641"/>
    </row>
    <row r="40" spans="1:28">
      <c r="A40" s="1673"/>
      <c r="B40" s="1699">
        <v>20303</v>
      </c>
      <c r="C40" s="1670">
        <v>0.1</v>
      </c>
      <c r="D40" s="1624" t="s">
        <v>578</v>
      </c>
      <c r="E40" s="2750">
        <v>114.69244867633037</v>
      </c>
      <c r="F40" s="897">
        <f>$E40-SUMIF('11.2. Нови активи отч.год.'!$B$61:$B$108,$B40,'11.2. Нови активи отч.год.'!$E$61:$E$108)+SUMIF('11.2. Нови активи отч.год.'!$B$61:$B$108,$B40,'11.2. Нови активи отч.год.'!F$61:F$108)+SUMIF('11.1.Амортиз.нови активи'!$B$60:$B$107,$B40,'11.1.Амортиз.нови активи'!F$60:F$107)+('11.1.Амортиз.нови активи'!F$109*SUMIF('11.1.Амортиз.нови активи'!$B$60:$B$107,$B40,'11.1.Амортиз.нови активи'!AA$60:AA$107))</f>
        <v>95.692448676330372</v>
      </c>
      <c r="G40" s="898">
        <f>$E40-SUMIF('11.2. Нови активи отч.год.'!$B$61:$B$108,$B40,'11.2. Нови активи отч.год.'!$E$61:$E$108)+SUMIF('11.2. Нови активи отч.год.'!$B$61:$B$108,$B40,'11.2. Нови активи отч.год.'!G$61:G$108)+SUMIF('11.1.Амортиз.нови активи'!$B$60:$B$107,$B40,'11.1.Амортиз.нови активи'!G$60:G$107)+('11.1.Амортиз.нови активи'!G$109*SUMIF('11.1.Амортиз.нови активи'!$B$60:$B$107,$B40,'11.1.Амортиз.нови активи'!AB$60:AB$107))</f>
        <v>-0.30755132366962812</v>
      </c>
      <c r="H40" s="898">
        <f>$E40-SUMIF('11.2. Нови активи отч.год.'!$B$61:$B$108,$B40,'11.2. Нови активи отч.год.'!$E$61:$E$108)+SUMIF('11.2. Нови активи отч.год.'!$B$61:$B$108,$B40,'11.2. Нови активи отч.год.'!H$61:H$108)+SUMIF('11.1.Амортиз.нови активи'!$B$60:$B$107,$B40,'11.1.Амортиз.нови активи'!H$60:H$107)+('11.1.Амортиз.нови активи'!H$109*SUMIF('11.1.Амортиз.нови активи'!$B$60:$B$107,$B40,'11.1.Амортиз.нови активи'!AC$60:AC$107))</f>
        <v>2.4424486763303719</v>
      </c>
      <c r="I40" s="898">
        <f>$E40-SUMIF('11.2. Нови активи отч.год.'!$B$61:$B$108,$B40,'11.2. Нови активи отч.год.'!$E$61:$E$108)+SUMIF('11.2. Нови активи отч.год.'!$B$61:$B$108,$B40,'11.2. Нови активи отч.год.'!I$61:I$108)+SUMIF('11.1.Амортиз.нови активи'!$B$60:$B$107,$B40,'11.1.Амортиз.нови активи'!I$60:I$107)+('11.1.Амортиз.нови активи'!I$109*SUMIF('11.1.Амортиз.нови активи'!$B$60:$B$107,$B40,'11.1.Амортиз.нови активи'!AD$60:AD$107))</f>
        <v>6.6924486763303719</v>
      </c>
      <c r="J40" s="898">
        <f>$E40-SUMIF('11.2. Нови активи отч.год.'!$B$61:$B$108,$B40,'11.2. Нови активи отч.год.'!$E$61:$E$108)+SUMIF('11.2. Нови активи отч.год.'!$B$61:$B$108,$B40,'11.2. Нови активи отч.год.'!J$61:J$108)+SUMIF('11.1.Амортиз.нови активи'!$B$60:$B$107,$B40,'11.1.Амортиз.нови активи'!J$60:J$107)+('11.1.Амортиз.нови активи'!J$109*SUMIF('11.1.Амортиз.нови активи'!$B$60:$B$107,$B40,'11.1.Амортиз.нови активи'!AE$60:AE$107))</f>
        <v>7.1924486763303719</v>
      </c>
      <c r="K40" s="899">
        <f>$E40-SUMIF('11.2. Нови активи отч.год.'!$B$61:$B$108,$B40,'11.2. Нови активи отч.год.'!$E$61:$E$108)+SUMIF('11.2. Нови активи отч.год.'!$B$61:$B$108,$B40,'11.2. Нови активи отч.год.'!K$61:K$108)+SUMIF('11.1.Амортиз.нови активи'!$B$60:$B$107,$B40,'11.1.Амортиз.нови активи'!K$60:K$107)+('11.1.Амортиз.нови активи'!K$109*SUMIF('11.1.Амортиз.нови активи'!$B$60:$B$107,$B40,'11.1.Амортиз.нови активи'!AF$60:AF$107))</f>
        <v>6.1924486763303719</v>
      </c>
      <c r="L40" s="2750">
        <v>0.29816980887859396</v>
      </c>
      <c r="M40" s="897">
        <f>$L40-SUMIF('11.2. Нови активи отч.год.'!$B$61:$B$108,$B40,'11.2. Нови активи отч.год.'!$L$61:$L$108)+SUMIF('11.2. Нови активи отч.год.'!$B$61:$B$108,$B40,'11.2. Нови активи отч.год.'!M$61:M$108)+SUMIF('11.1.Амортиз.нови активи'!$B$60:$B$107,$B40,'11.1.Амортиз.нови активи'!M$60:M$107)+('11.1.Амортиз.нови активи'!F$110*SUMIF('11.1.Амортиз.нови активи'!$B$60:$B$107,$B40,'11.1.Амортиз.нови активи'!AA$60:AA$107))</f>
        <v>0.29816980887859396</v>
      </c>
      <c r="N40" s="898">
        <f>$L40-SUMIF('11.2. Нови активи отч.год.'!$B$61:$B$108,$B40,'11.2. Нови активи отч.год.'!$L$61:$L$108)+SUMIF('11.2. Нови активи отч.год.'!$B$61:$B$108,$B40,'11.2. Нови активи отч.год.'!N$61:N$108)+SUMIF('11.1.Амортиз.нови активи'!$B$60:$B$107,$B40,'11.1.Амортиз.нови активи'!N$60:N$107)+('11.1.Амортиз.нови активи'!G$110*SUMIF('11.1.Амортиз.нови активи'!$B$60:$B$107,$B40,'11.1.Амортиз.нови активи'!AB$60:AB$107))</f>
        <v>0.74816980887859397</v>
      </c>
      <c r="O40" s="898">
        <f>$L40-SUMIF('11.2. Нови активи отч.год.'!$B$61:$B$108,$B40,'11.2. Нови активи отч.год.'!$L$61:$L$108)+SUMIF('11.2. Нови активи отч.год.'!$B$61:$B$108,$B40,'11.2. Нови активи отч.год.'!O$61:O$108)+SUMIF('11.1.Амортиз.нови активи'!$B$60:$B$107,$B40,'11.1.Амортиз.нови активи'!O$60:O$107)+('11.1.Амортиз.нови активи'!H$110*SUMIF('11.1.Амортиз.нови активи'!$B$60:$B$107,$B40,'11.1.Амортиз.нови активи'!AC$60:AC$107))</f>
        <v>1.6481698088785941</v>
      </c>
      <c r="P40" s="898">
        <f>$L40-SUMIF('11.2. Нови активи отч.год.'!$B$61:$B$108,$B40,'11.2. Нови активи отч.год.'!$L$61:$L$108)+SUMIF('11.2. Нови активи отч.год.'!$B$61:$B$108,$B40,'11.2. Нови активи отч.год.'!P$61:P$108)+SUMIF('11.1.Амортиз.нови активи'!$B$60:$B$107,$B40,'11.1.Амортиз.нови активи'!P$60:P$107)+('11.1.Амортиз.нови активи'!I$110*SUMIF('11.1.Амортиз.нови активи'!$B$60:$B$107,$B40,'11.1.Амортиз.нови активи'!AD$60:AD$107))</f>
        <v>2.548169808878594</v>
      </c>
      <c r="Q40" s="898">
        <f>$L40-SUMIF('11.2. Нови активи отч.год.'!$B$61:$B$108,$B40,'11.2. Нови активи отч.год.'!$L$61:$L$108)+SUMIF('11.2. Нови активи отч.год.'!$B$61:$B$108,$B40,'11.2. Нови активи отч.год.'!Q$61:Q$108)+SUMIF('11.1.Амортиз.нови активи'!$B$60:$B$107,$B40,'11.1.Амортиз.нови активи'!Q$60:Q$107)+('11.1.Амортиз.нови активи'!J$110*SUMIF('11.1.Амортиз.нови активи'!$B$60:$B$107,$B40,'11.1.Амортиз.нови активи'!AE$60:AE$107))</f>
        <v>3.4481698088785944</v>
      </c>
      <c r="R40" s="899">
        <f>$L40-SUMIF('11.2. Нови активи отч.год.'!$B$61:$B$108,$B40,'11.2. Нови активи отч.год.'!$L$61:$L$108)+SUMIF('11.2. Нови активи отч.год.'!$B$61:$B$108,$B40,'11.2. Нови активи отч.год.'!R$61:R$108)+SUMIF('11.1.Амортиз.нови активи'!$B$60:$B$107,$B40,'11.1.Амортиз.нови активи'!R$60:R$107)+('11.1.Амортиз.нови активи'!K$110*SUMIF('11.1.Амортиз.нови активи'!$B$60:$B$107,$B40,'11.1.Амортиз.нови активи'!AF$60:AF$107))</f>
        <v>4.3481698088785938</v>
      </c>
      <c r="S40" s="2750">
        <v>3.0067303765935529</v>
      </c>
      <c r="T40" s="897">
        <f>$S40-SUMIF('11.2. Нови активи отч.год.'!$B$61:$B$108,$B40,'11.2. Нови активи отч.год.'!$S$61:$S$108)+SUMIF('11.2. Нови активи отч.год.'!$B$61:$B$108,$B40,'11.2. Нови активи отч.год.'!T$61:T$108)+SUMIF('11.1.Амортиз.нови активи'!$B$60:$B$107,$B40,'11.1.Амортиз.нови активи'!T$60:T$107)+('11.1.Амортиз.нови активи'!F$111*SUMIF('11.1.Амортиз.нови активи'!$B$60:$B$107,$B40,'11.1.Амортиз.нови активи'!AA$60:AA$107))</f>
        <v>6.7303765935529114E-3</v>
      </c>
      <c r="U40" s="898">
        <f>$S40-SUMIF('11.2. Нови активи отч.год.'!$B$61:$B$108,$B40,'11.2. Нови активи отч.год.'!$S$61:$S$108)+SUMIF('11.2. Нови активи отч.год.'!$B$61:$B$108,$B40,'11.2. Нови активи отч.год.'!U$61:U$108)+SUMIF('11.1.Амортиз.нови активи'!$B$60:$B$107,$B40,'11.1.Амортиз.нови активи'!U$60:U$107)+('11.1.Амортиз.нови активи'!G$111*SUMIF('11.1.Амортиз.нови активи'!$B$60:$B$107,$B40,'11.1.Амортиз.нови активи'!AB$60:AB$107))</f>
        <v>6.7303765935529114E-3</v>
      </c>
      <c r="V40" s="898">
        <f>$S40-SUMIF('11.2. Нови активи отч.год.'!$B$61:$B$108,$B40,'11.2. Нови активи отч.год.'!$S$61:$S$108)+SUMIF('11.2. Нови активи отч.год.'!$B$61:$B$108,$B40,'11.2. Нови активи отч.год.'!V$61:V$108)+SUMIF('11.1.Амортиз.нови активи'!$B$60:$B$107,$B40,'11.1.Амортиз.нови активи'!V$60:V$107)+('11.1.Амортиз.нови активи'!H$111*SUMIF('11.1.Амортиз.нови активи'!$B$60:$B$107,$B40,'11.1.Амортиз.нови активи'!AC$60:AC$107))</f>
        <v>6.7303765935529114E-3</v>
      </c>
      <c r="W40" s="898">
        <f>$S40-SUMIF('11.2. Нови активи отч.год.'!$B$61:$B$108,$B40,'11.2. Нови активи отч.год.'!$S$61:$S$108)+SUMIF('11.2. Нови активи отч.год.'!$B$61:$B$108,$B40,'11.2. Нови активи отч.год.'!W$61:W$108)+SUMIF('11.1.Амортиз.нови активи'!$B$60:$B$107,$B40,'11.1.Амортиз.нови активи'!W$60:W$107)+('11.1.Амортиз.нови активи'!I$111*SUMIF('11.1.Амортиз.нови активи'!$B$60:$B$107,$B40,'11.1.Амортиз.нови активи'!AD$60:AD$107))</f>
        <v>0.25673037659355291</v>
      </c>
      <c r="X40" s="898">
        <f>$S40-SUMIF('11.2. Нови активи отч.год.'!$B$61:$B$108,$B40,'11.2. Нови активи отч.год.'!$S$61:$S$108)+SUMIF('11.2. Нови активи отч.год.'!$B$61:$B$108,$B40,'11.2. Нови активи отч.год.'!X$61:X$108)+SUMIF('11.1.Амортиз.нови активи'!$B$60:$B$107,$B40,'11.1.Амортиз.нови активи'!X$60:X$107)+('11.1.Амортиз.нови активи'!J$111*SUMIF('11.1.Амортиз.нови активи'!$B$60:$B$107,$B40,'11.1.Амортиз.нови активи'!AE$60:AE$107))</f>
        <v>1.0067303765935529</v>
      </c>
      <c r="Y40" s="899">
        <f>$S40-SUMIF('11.2. Нови активи отч.год.'!$B$61:$B$108,$B40,'11.2. Нови активи отч.год.'!$S$61:$S$108)+SUMIF('11.2. Нови активи отч.год.'!$B$61:$B$108,$B40,'11.2. Нови активи отч.год.'!Y$61:Y$108)+SUMIF('11.1.Амортиз.нови активи'!$B$60:$B$107,$B40,'11.1.Амортиз.нови активи'!Y$60:Y$107)+('11.1.Амортиз.нови активи'!K$111*SUMIF('11.1.Амортиз.нови активи'!$B$60:$B$107,$B40,'11.1.Амортиз.нови активи'!AF$60:AF$107))</f>
        <v>2.5067303765935529</v>
      </c>
      <c r="Z40" s="1671"/>
      <c r="AA40" s="1701"/>
      <c r="AB40" s="1641"/>
    </row>
    <row r="41" spans="1:28">
      <c r="A41" s="1673"/>
      <c r="B41" s="1699">
        <v>20306</v>
      </c>
      <c r="C41" s="1670">
        <v>0.1</v>
      </c>
      <c r="D41" s="1624" t="s">
        <v>581</v>
      </c>
      <c r="E41" s="2750">
        <v>38.025202865352512</v>
      </c>
      <c r="F41" s="897">
        <f>$E41-SUMIF('11.2. Нови активи отч.год.'!$B$61:$B$108,$B41,'11.2. Нови активи отч.год.'!$E$61:$E$108)+SUMIF('11.2. Нови активи отч.год.'!$B$61:$B$108,$B41,'11.2. Нови активи отч.год.'!F$61:F$108)+SUMIF('11.1.Амортиз.нови активи'!$B$60:$B$107,$B41,'11.1.Амортиз.нови активи'!F$60:F$107)+('11.1.Амортиз.нови активи'!F$109*SUMIF('11.1.Амортиз.нови активи'!$B$60:$B$107,$B41,'11.1.Амортиз.нови активи'!AA$60:AA$107))</f>
        <v>43.725202865352514</v>
      </c>
      <c r="G41" s="898">
        <f>$E41-SUMIF('11.2. Нови активи отч.год.'!$B$61:$B$108,$B41,'11.2. Нови активи отч.год.'!$E$61:$E$108)+SUMIF('11.2. Нови активи отч.год.'!$B$61:$B$108,$B41,'11.2. Нови активи отч.год.'!G$61:G$108)+SUMIF('11.1.Амортиз.нови активи'!$B$60:$B$107,$B41,'11.1.Амортиз.нови активи'!G$60:G$107)+('11.1.Амортиз.нови активи'!G$109*SUMIF('11.1.Амортиз.нови активи'!$B$60:$B$107,$B41,'11.1.Амортиз.нови активи'!AB$60:AB$107))</f>
        <v>44.225202865352514</v>
      </c>
      <c r="H41" s="898">
        <f>$E41-SUMIF('11.2. Нови активи отч.год.'!$B$61:$B$108,$B41,'11.2. Нови активи отч.год.'!$E$61:$E$108)+SUMIF('11.2. Нови активи отч.год.'!$B$61:$B$108,$B41,'11.2. Нови активи отч.год.'!H$61:H$108)+SUMIF('11.1.Амортиз.нови активи'!$B$60:$B$107,$B41,'11.1.Амортиз.нови активи'!H$60:H$107)+('11.1.Амортиз.нови активи'!H$109*SUMIF('11.1.Амортиз.нови активи'!$B$60:$B$107,$B41,'11.1.Амортиз.нови активи'!AC$60:AC$107))</f>
        <v>45.225202865352514</v>
      </c>
      <c r="I41" s="898">
        <f>$E41-SUMIF('11.2. Нови активи отч.год.'!$B$61:$B$108,$B41,'11.2. Нови активи отч.год.'!$E$61:$E$108)+SUMIF('11.2. Нови активи отч.год.'!$B$61:$B$108,$B41,'11.2. Нови активи отч.год.'!I$61:I$108)+SUMIF('11.1.Амортиз.нови активи'!$B$60:$B$107,$B41,'11.1.Амортиз.нови активи'!I$60:I$107)+('11.1.Амортиз.нови активи'!I$109*SUMIF('11.1.Амортиз.нови активи'!$B$60:$B$107,$B41,'11.1.Амортиз.нови активи'!AD$60:AD$107))</f>
        <v>46.225202865352514</v>
      </c>
      <c r="J41" s="898">
        <f>$E41-SUMIF('11.2. Нови активи отч.год.'!$B$61:$B$108,$B41,'11.2. Нови активи отч.год.'!$E$61:$E$108)+SUMIF('11.2. Нови активи отч.год.'!$B$61:$B$108,$B41,'11.2. Нови активи отч.год.'!J$61:J$108)+SUMIF('11.1.Амортиз.нови активи'!$B$60:$B$107,$B41,'11.1.Амортиз.нови активи'!J$60:J$107)+('11.1.Амортиз.нови активи'!J$109*SUMIF('11.1.Амортиз.нови активи'!$B$60:$B$107,$B41,'11.1.Амортиз.нови активи'!AE$60:AE$107))</f>
        <v>47.225202865352514</v>
      </c>
      <c r="K41" s="899">
        <f>$E41-SUMIF('11.2. Нови активи отч.год.'!$B$61:$B$108,$B41,'11.2. Нови активи отч.год.'!$E$61:$E$108)+SUMIF('11.2. Нови активи отч.год.'!$B$61:$B$108,$B41,'11.2. Нови активи отч.год.'!K$61:K$108)+SUMIF('11.1.Амортиз.нови активи'!$B$60:$B$107,$B41,'11.1.Амортиз.нови активи'!K$60:K$107)+('11.1.Амортиз.нови активи'!K$109*SUMIF('11.1.Амортиз.нови активи'!$B$60:$B$107,$B41,'11.1.Амортиз.нови активи'!AF$60:AF$107))</f>
        <v>24.225202865352511</v>
      </c>
      <c r="L41" s="2750">
        <v>3.2436867408730725</v>
      </c>
      <c r="M41" s="897">
        <f>$L41-SUMIF('11.2. Нови активи отч.год.'!$B$61:$B$108,$B41,'11.2. Нови активи отч.год.'!$L$61:$L$108)+SUMIF('11.2. Нови активи отч.год.'!$B$61:$B$108,$B41,'11.2. Нови активи отч.год.'!M$61:M$108)+SUMIF('11.1.Амортиз.нови активи'!$B$60:$B$107,$B41,'11.1.Амортиз.нови активи'!M$60:M$107)+('11.1.Амортиз.нови активи'!F$110*SUMIF('11.1.Амортиз.нови активи'!$B$60:$B$107,$B41,'11.1.Амортиз.нови активи'!AA$60:AA$107))</f>
        <v>3.4936867408730725</v>
      </c>
      <c r="N41" s="898">
        <f>$L41-SUMIF('11.2. Нови активи отч.год.'!$B$61:$B$108,$B41,'11.2. Нови активи отч.год.'!$L$61:$L$108)+SUMIF('11.2. Нови активи отч.год.'!$B$61:$B$108,$B41,'11.2. Нови активи отч.год.'!N$61:N$108)+SUMIF('11.1.Амортиз.нови активи'!$B$60:$B$107,$B41,'11.1.Амортиз.нови активи'!N$60:N$107)+('11.1.Амортиз.нови активи'!G$110*SUMIF('11.1.Амортиз.нови активи'!$B$60:$B$107,$B41,'11.1.Амортиз.нови активи'!AB$60:AB$107))</f>
        <v>3.9936867408730725</v>
      </c>
      <c r="O41" s="898">
        <f>$L41-SUMIF('11.2. Нови активи отч.год.'!$B$61:$B$108,$B41,'11.2. Нови активи отч.год.'!$L$61:$L$108)+SUMIF('11.2. Нови активи отч.год.'!$B$61:$B$108,$B41,'11.2. Нови активи отч.год.'!O$61:O$108)+SUMIF('11.1.Амортиз.нови активи'!$B$60:$B$107,$B41,'11.1.Амортиз.нови активи'!O$60:O$107)+('11.1.Амортиз.нови активи'!H$110*SUMIF('11.1.Амортиз.нови активи'!$B$60:$B$107,$B41,'11.1.Амортиз.нови активи'!AC$60:AC$107))</f>
        <v>4.2436867408730725</v>
      </c>
      <c r="P41" s="898">
        <f>$L41-SUMIF('11.2. Нови активи отч.год.'!$B$61:$B$108,$B41,'11.2. Нови активи отч.год.'!$L$61:$L$108)+SUMIF('11.2. Нови активи отч.год.'!$B$61:$B$108,$B41,'11.2. Нови активи отч.год.'!P$61:P$108)+SUMIF('11.1.Амортиз.нови активи'!$B$60:$B$107,$B41,'11.1.Амортиз.нови активи'!P$60:P$107)+('11.1.Амортиз.нови активи'!I$110*SUMIF('11.1.Амортиз.нови активи'!$B$60:$B$107,$B41,'11.1.Амортиз.нови активи'!AD$60:AD$107))</f>
        <v>4.2436867408730725</v>
      </c>
      <c r="Q41" s="898">
        <f>$L41-SUMIF('11.2. Нови активи отч.год.'!$B$61:$B$108,$B41,'11.2. Нови активи отч.год.'!$L$61:$L$108)+SUMIF('11.2. Нови активи отч.год.'!$B$61:$B$108,$B41,'11.2. Нови активи отч.год.'!Q$61:Q$108)+SUMIF('11.1.Амортиз.нови активи'!$B$60:$B$107,$B41,'11.1.Амортиз.нови активи'!Q$60:Q$107)+('11.1.Амортиз.нови активи'!J$110*SUMIF('11.1.Амортиз.нови активи'!$B$60:$B$107,$B41,'11.1.Амортиз.нови активи'!AE$60:AE$107))</f>
        <v>4.2436867408730725</v>
      </c>
      <c r="R41" s="899">
        <f>$L41-SUMIF('11.2. Нови активи отч.год.'!$B$61:$B$108,$B41,'11.2. Нови активи отч.год.'!$L$61:$L$108)+SUMIF('11.2. Нови активи отч.год.'!$B$61:$B$108,$B41,'11.2. Нови активи отч.год.'!R$61:R$108)+SUMIF('11.1.Амортиз.нови активи'!$B$60:$B$107,$B41,'11.1.Амортиз.нови активи'!R$60:R$107)+('11.1.Амортиз.нови активи'!K$110*SUMIF('11.1.Амортиз.нови активи'!$B$60:$B$107,$B41,'11.1.Амортиз.нови активи'!AF$60:AF$107))</f>
        <v>4.2436867408730725</v>
      </c>
      <c r="S41" s="2750">
        <v>1.3742216168029631</v>
      </c>
      <c r="T41" s="897">
        <f>$S41-SUMIF('11.2. Нови активи отч.год.'!$B$61:$B$108,$B41,'11.2. Нови активи отч.год.'!$S$61:$S$108)+SUMIF('11.2. Нови активи отч.год.'!$B$61:$B$108,$B41,'11.2. Нови активи отч.год.'!T$61:T$108)+SUMIF('11.1.Амортиз.нови активи'!$B$60:$B$107,$B41,'11.1.Амортиз.нови активи'!T$60:T$107)+('11.1.Амортиз.нови активи'!F$111*SUMIF('11.1.Амортиз.нови активи'!$B$60:$B$107,$B41,'11.1.Амортиз.нови активи'!AA$60:AA$107))</f>
        <v>1.574221616802963</v>
      </c>
      <c r="U41" s="898">
        <f>$S41-SUMIF('11.2. Нови активи отч.год.'!$B$61:$B$108,$B41,'11.2. Нови активи отч.год.'!$S$61:$S$108)+SUMIF('11.2. Нови активи отч.год.'!$B$61:$B$108,$B41,'11.2. Нови активи отч.год.'!U$61:U$108)+SUMIF('11.1.Амортиз.нови активи'!$B$60:$B$107,$B41,'11.1.Амортиз.нови активи'!U$60:U$107)+('11.1.Амортиз.нови активи'!G$111*SUMIF('11.1.Амортиз.нови активи'!$B$60:$B$107,$B41,'11.1.Амортиз.нови активи'!AB$60:AB$107))</f>
        <v>1.8742216168029631</v>
      </c>
      <c r="V41" s="898">
        <f>$S41-SUMIF('11.2. Нови активи отч.год.'!$B$61:$B$108,$B41,'11.2. Нови активи отч.год.'!$S$61:$S$108)+SUMIF('11.2. Нови активи отч.год.'!$B$61:$B$108,$B41,'11.2. Нови активи отч.год.'!V$61:V$108)+SUMIF('11.1.Амортиз.нови активи'!$B$60:$B$107,$B41,'11.1.Амортиз.нови активи'!V$60:V$107)+('11.1.Амортиз.нови активи'!H$111*SUMIF('11.1.Амортиз.нови активи'!$B$60:$B$107,$B41,'11.1.Амортиз.нови активи'!AC$60:AC$107))</f>
        <v>2.6742216168029631</v>
      </c>
      <c r="W41" s="898">
        <f>$S41-SUMIF('11.2. Нови активи отч.год.'!$B$61:$B$108,$B41,'11.2. Нови активи отч.год.'!$S$61:$S$108)+SUMIF('11.2. Нови активи отч.год.'!$B$61:$B$108,$B41,'11.2. Нови активи отч.год.'!W$61:W$108)+SUMIF('11.1.Амортиз.нови активи'!$B$60:$B$107,$B41,'11.1.Амортиз.нови активи'!W$60:W$107)+('11.1.Амортиз.нови активи'!I$111*SUMIF('11.1.Амортиз.нови активи'!$B$60:$B$107,$B41,'11.1.Амортиз.нови активи'!AD$60:AD$107))</f>
        <v>3.6742216168029631</v>
      </c>
      <c r="X41" s="898">
        <f>$S41-SUMIF('11.2. Нови активи отч.год.'!$B$61:$B$108,$B41,'11.2. Нови активи отч.год.'!$S$61:$S$108)+SUMIF('11.2. Нови активи отч.год.'!$B$61:$B$108,$B41,'11.2. Нови активи отч.год.'!X$61:X$108)+SUMIF('11.1.Амортиз.нови активи'!$B$60:$B$107,$B41,'11.1.Амортиз.нови активи'!X$60:X$107)+('11.1.Амортиз.нови активи'!J$111*SUMIF('11.1.Амортиз.нови активи'!$B$60:$B$107,$B41,'11.1.Амортиз.нови активи'!AE$60:AE$107))</f>
        <v>4.6742216168029636</v>
      </c>
      <c r="Y41" s="899">
        <f>$S41-SUMIF('11.2. Нови активи отч.год.'!$B$61:$B$108,$B41,'11.2. Нови активи отч.год.'!$S$61:$S$108)+SUMIF('11.2. Нови активи отч.год.'!$B$61:$B$108,$B41,'11.2. Нови активи отч.год.'!Y$61:Y$108)+SUMIF('11.1.Амортиз.нови активи'!$B$60:$B$107,$B41,'11.1.Амортиз.нови активи'!Y$60:Y$107)+('11.1.Амортиз.нови активи'!K$111*SUMIF('11.1.Амортиз.нови активи'!$B$60:$B$107,$B41,'11.1.Амортиз.нови активи'!AF$60:AF$107))</f>
        <v>5.6742216168029627</v>
      </c>
      <c r="Z41" s="1671"/>
      <c r="AA41" s="1702"/>
    </row>
    <row r="42" spans="1:28">
      <c r="A42" s="1673">
        <v>4</v>
      </c>
      <c r="B42" s="1674">
        <v>20403</v>
      </c>
      <c r="C42" s="1679">
        <v>0.04</v>
      </c>
      <c r="D42" s="1625" t="s">
        <v>606</v>
      </c>
      <c r="E42" s="2750">
        <v>0.9696218710976976</v>
      </c>
      <c r="F42" s="897">
        <f>$E42-SUMIF('11.2. Нови активи отч.год.'!$B$61:$B$108,$B42,'11.2. Нови активи отч.год.'!$E$61:$E$108)+SUMIF('11.2. Нови активи отч.год.'!$B$61:$B$108,$B42,'11.2. Нови активи отч.год.'!F$61:F$108)+SUMIF('11.1.Амортиз.нови активи'!$B$60:$B$107,$B42,'11.1.Амортиз.нови активи'!F$60:F$107)+('11.1.Амортиз.нови активи'!F$109*SUMIF('11.1.Амортиз.нови активи'!$B$60:$B$107,$B42,'11.1.Амортиз.нови активи'!AA$60:AA$107))</f>
        <v>0.9696218710976976</v>
      </c>
      <c r="G42" s="898">
        <f>$E42-SUMIF('11.2. Нови активи отч.год.'!$B$61:$B$108,$B42,'11.2. Нови активи отч.год.'!$E$61:$E$108)+SUMIF('11.2. Нови активи отч.год.'!$B$61:$B$108,$B42,'11.2. Нови активи отч.год.'!G$61:G$108)+SUMIF('11.1.Амортиз.нови активи'!$B$60:$B$107,$B42,'11.1.Амортиз.нови активи'!G$60:G$107)+('11.1.Амортиз.нови активи'!G$109*SUMIF('11.1.Амортиз.нови активи'!$B$60:$B$107,$B42,'11.1.Амортиз.нови активи'!AB$60:AB$107))</f>
        <v>0.9696218710976976</v>
      </c>
      <c r="H42" s="898">
        <f>$E42-SUMIF('11.2. Нови активи отч.год.'!$B$61:$B$108,$B42,'11.2. Нови активи отч.год.'!$E$61:$E$108)+SUMIF('11.2. Нови активи отч.год.'!$B$61:$B$108,$B42,'11.2. Нови активи отч.год.'!H$61:H$108)+SUMIF('11.1.Амортиз.нови активи'!$B$60:$B$107,$B42,'11.1.Амортиз.нови активи'!H$60:H$107)+('11.1.Амортиз.нови активи'!H$109*SUMIF('11.1.Амортиз.нови активи'!$B$60:$B$107,$B42,'11.1.Амортиз.нови активи'!AC$60:AC$107))</f>
        <v>0.9696218710976976</v>
      </c>
      <c r="I42" s="898">
        <f>$E42-SUMIF('11.2. Нови активи отч.год.'!$B$61:$B$108,$B42,'11.2. Нови активи отч.год.'!$E$61:$E$108)+SUMIF('11.2. Нови активи отч.год.'!$B$61:$B$108,$B42,'11.2. Нови активи отч.год.'!I$61:I$108)+SUMIF('11.1.Амортиз.нови активи'!$B$60:$B$107,$B42,'11.1.Амортиз.нови активи'!I$60:I$107)+('11.1.Амортиз.нови активи'!I$109*SUMIF('11.1.Амортиз.нови активи'!$B$60:$B$107,$B42,'11.1.Амортиз.нови активи'!AD$60:AD$107))</f>
        <v>0.9696218710976976</v>
      </c>
      <c r="J42" s="898">
        <f>$E42-SUMIF('11.2. Нови активи отч.год.'!$B$61:$B$108,$B42,'11.2. Нови активи отч.год.'!$E$61:$E$108)+SUMIF('11.2. Нови активи отч.год.'!$B$61:$B$108,$B42,'11.2. Нови активи отч.год.'!J$61:J$108)+SUMIF('11.1.Амортиз.нови активи'!$B$60:$B$107,$B42,'11.1.Амортиз.нови активи'!J$60:J$107)+('11.1.Амортиз.нови активи'!J$109*SUMIF('11.1.Амортиз.нови активи'!$B$60:$B$107,$B42,'11.1.Амортиз.нови активи'!AE$60:AE$107))</f>
        <v>0.9696218710976976</v>
      </c>
      <c r="K42" s="899">
        <f>$E42-SUMIF('11.2. Нови активи отч.год.'!$B$61:$B$108,$B42,'11.2. Нови активи отч.год.'!$E$61:$E$108)+SUMIF('11.2. Нови активи отч.год.'!$B$61:$B$108,$B42,'11.2. Нови активи отч.год.'!K$61:K$108)+SUMIF('11.1.Амортиз.нови активи'!$B$60:$B$107,$B42,'11.1.Амортиз.нови активи'!K$60:K$107)+('11.1.Амортиз.нови активи'!K$109*SUMIF('11.1.Амортиз.нови активи'!$B$60:$B$107,$B42,'11.1.Амортиз.нови активи'!AF$60:AF$107))</f>
        <v>0.9696218710976976</v>
      </c>
      <c r="L42" s="2750">
        <v>0</v>
      </c>
      <c r="M42" s="897">
        <f>$L42-SUMIF('11.2. Нови активи отч.год.'!$B$61:$B$108,$B42,'11.2. Нови активи отч.год.'!$L$61:$L$108)+SUMIF('11.2. Нови активи отч.год.'!$B$61:$B$108,$B42,'11.2. Нови активи отч.год.'!M$61:M$108)+SUMIF('11.1.Амортиз.нови активи'!$B$60:$B$107,$B42,'11.1.Амортиз.нови активи'!M$60:M$107)+('11.1.Амортиз.нови активи'!F$110*SUMIF('11.1.Амортиз.нови активи'!$B$60:$B$107,$B42,'11.1.Амортиз.нови активи'!AA$60:AA$107))</f>
        <v>0</v>
      </c>
      <c r="N42" s="898">
        <f>$L42-SUMIF('11.2. Нови активи отч.год.'!$B$61:$B$108,$B42,'11.2. Нови активи отч.год.'!$L$61:$L$108)+SUMIF('11.2. Нови активи отч.год.'!$B$61:$B$108,$B42,'11.2. Нови активи отч.год.'!N$61:N$108)+SUMIF('11.1.Амортиз.нови активи'!$B$60:$B$107,$B42,'11.1.Амортиз.нови активи'!N$60:N$107)+('11.1.Амортиз.нови активи'!G$110*SUMIF('11.1.Амортиз.нови активи'!$B$60:$B$107,$B42,'11.1.Амортиз.нови активи'!AB$60:AB$107))</f>
        <v>0</v>
      </c>
      <c r="O42" s="898">
        <f>$L42-SUMIF('11.2. Нови активи отч.год.'!$B$61:$B$108,$B42,'11.2. Нови активи отч.год.'!$L$61:$L$108)+SUMIF('11.2. Нови активи отч.год.'!$B$61:$B$108,$B42,'11.2. Нови активи отч.год.'!O$61:O$108)+SUMIF('11.1.Амортиз.нови активи'!$B$60:$B$107,$B42,'11.1.Амортиз.нови активи'!O$60:O$107)+('11.1.Амортиз.нови активи'!H$110*SUMIF('11.1.Амортиз.нови активи'!$B$60:$B$107,$B42,'11.1.Амортиз.нови активи'!AC$60:AC$107))</f>
        <v>0</v>
      </c>
      <c r="P42" s="898">
        <f>$L42-SUMIF('11.2. Нови активи отч.год.'!$B$61:$B$108,$B42,'11.2. Нови активи отч.год.'!$L$61:$L$108)+SUMIF('11.2. Нови активи отч.год.'!$B$61:$B$108,$B42,'11.2. Нови активи отч.год.'!P$61:P$108)+SUMIF('11.1.Амортиз.нови активи'!$B$60:$B$107,$B42,'11.1.Амортиз.нови активи'!P$60:P$107)+('11.1.Амортиз.нови активи'!I$110*SUMIF('11.1.Амортиз.нови активи'!$B$60:$B$107,$B42,'11.1.Амортиз.нови активи'!AD$60:AD$107))</f>
        <v>0</v>
      </c>
      <c r="Q42" s="898">
        <f>$L42-SUMIF('11.2. Нови активи отч.год.'!$B$61:$B$108,$B42,'11.2. Нови активи отч.год.'!$L$61:$L$108)+SUMIF('11.2. Нови активи отч.год.'!$B$61:$B$108,$B42,'11.2. Нови активи отч.год.'!Q$61:Q$108)+SUMIF('11.1.Амортиз.нови активи'!$B$60:$B$107,$B42,'11.1.Амортиз.нови активи'!Q$60:Q$107)+('11.1.Амортиз.нови активи'!J$110*SUMIF('11.1.Амортиз.нови активи'!$B$60:$B$107,$B42,'11.1.Амортиз.нови активи'!AE$60:AE$107))</f>
        <v>0</v>
      </c>
      <c r="R42" s="899">
        <f>$L42-SUMIF('11.2. Нови активи отч.год.'!$B$61:$B$108,$B42,'11.2. Нови активи отч.год.'!$L$61:$L$108)+SUMIF('11.2. Нови активи отч.год.'!$B$61:$B$108,$B42,'11.2. Нови активи отч.год.'!R$61:R$108)+SUMIF('11.1.Амортиз.нови активи'!$B$60:$B$107,$B42,'11.1.Амортиз.нови активи'!R$60:R$107)+('11.1.Амортиз.нови активи'!K$110*SUMIF('11.1.Амортиз.нови активи'!$B$60:$B$107,$B42,'11.1.Амортиз.нови активи'!AF$60:AF$107))</f>
        <v>0</v>
      </c>
      <c r="S42" s="2750">
        <v>6.1600000000000002E-2</v>
      </c>
      <c r="T42" s="897">
        <f>$S42-SUMIF('11.2. Нови активи отч.год.'!$B$61:$B$108,$B42,'11.2. Нови активи отч.год.'!$S$61:$S$108)+SUMIF('11.2. Нови активи отч.год.'!$B$61:$B$108,$B42,'11.2. Нови активи отч.год.'!T$61:T$108)+SUMIF('11.1.Амортиз.нови активи'!$B$60:$B$107,$B42,'11.1.Амортиз.нови активи'!T$60:T$107)+('11.1.Амортиз.нови активи'!F$111*SUMIF('11.1.Амортиз.нови активи'!$B$60:$B$107,$B42,'11.1.Амортиз.нови активи'!AA$60:AA$107))</f>
        <v>6.1600000000000002E-2</v>
      </c>
      <c r="U42" s="898">
        <f>$S42-SUMIF('11.2. Нови активи отч.год.'!$B$61:$B$108,$B42,'11.2. Нови активи отч.год.'!$S$61:$S$108)+SUMIF('11.2. Нови активи отч.год.'!$B$61:$B$108,$B42,'11.2. Нови активи отч.год.'!U$61:U$108)+SUMIF('11.1.Амортиз.нови активи'!$B$60:$B$107,$B42,'11.1.Амортиз.нови активи'!U$60:U$107)+('11.1.Амортиз.нови активи'!G$111*SUMIF('11.1.Амортиз.нови активи'!$B$60:$B$107,$B42,'11.1.Амортиз.нови активи'!AB$60:AB$107))</f>
        <v>6.1600000000000002E-2</v>
      </c>
      <c r="V42" s="898">
        <f>$S42-SUMIF('11.2. Нови активи отч.год.'!$B$61:$B$108,$B42,'11.2. Нови активи отч.год.'!$S$61:$S$108)+SUMIF('11.2. Нови активи отч.год.'!$B$61:$B$108,$B42,'11.2. Нови активи отч.год.'!V$61:V$108)+SUMIF('11.1.Амортиз.нови активи'!$B$60:$B$107,$B42,'11.1.Амортиз.нови активи'!V$60:V$107)+('11.1.Амортиз.нови активи'!H$111*SUMIF('11.1.Амортиз.нови активи'!$B$60:$B$107,$B42,'11.1.Амортиз.нови активи'!AC$60:AC$107))</f>
        <v>6.1600000000000002E-2</v>
      </c>
      <c r="W42" s="898">
        <f>$S42-SUMIF('11.2. Нови активи отч.год.'!$B$61:$B$108,$B42,'11.2. Нови активи отч.год.'!$S$61:$S$108)+SUMIF('11.2. Нови активи отч.год.'!$B$61:$B$108,$B42,'11.2. Нови активи отч.год.'!W$61:W$108)+SUMIF('11.1.Амортиз.нови активи'!$B$60:$B$107,$B42,'11.1.Амортиз.нови активи'!W$60:W$107)+('11.1.Амортиз.нови активи'!I$111*SUMIF('11.1.Амортиз.нови активи'!$B$60:$B$107,$B42,'11.1.Амортиз.нови активи'!AD$60:AD$107))</f>
        <v>6.1600000000000002E-2</v>
      </c>
      <c r="X42" s="898">
        <f>$S42-SUMIF('11.2. Нови активи отч.год.'!$B$61:$B$108,$B42,'11.2. Нови активи отч.год.'!$S$61:$S$108)+SUMIF('11.2. Нови активи отч.год.'!$B$61:$B$108,$B42,'11.2. Нови активи отч.год.'!X$61:X$108)+SUMIF('11.1.Амортиз.нови активи'!$B$60:$B$107,$B42,'11.1.Амортиз.нови активи'!X$60:X$107)+('11.1.Амортиз.нови активи'!J$111*SUMIF('11.1.Амортиз.нови активи'!$B$60:$B$107,$B42,'11.1.Амортиз.нови активи'!AE$60:AE$107))</f>
        <v>6.1600000000000002E-2</v>
      </c>
      <c r="Y42" s="899">
        <f>$S42-SUMIF('11.2. Нови активи отч.год.'!$B$61:$B$108,$B42,'11.2. Нови активи отч.год.'!$S$61:$S$108)+SUMIF('11.2. Нови активи отч.год.'!$B$61:$B$108,$B42,'11.2. Нови активи отч.год.'!Y$61:Y$108)+SUMIF('11.1.Амортиз.нови активи'!$B$60:$B$107,$B42,'11.1.Амортиз.нови активи'!Y$60:Y$107)+('11.1.Амортиз.нови активи'!K$111*SUMIF('11.1.Амортиз.нови активи'!$B$60:$B$107,$B42,'11.1.Амортиз.нови активи'!AF$60:AF$107))</f>
        <v>6.1600000000000002E-2</v>
      </c>
      <c r="Z42" s="1671"/>
      <c r="AA42" s="1702"/>
    </row>
    <row r="43" spans="1:28">
      <c r="A43" s="1673">
        <v>5</v>
      </c>
      <c r="B43" s="1699">
        <v>205</v>
      </c>
      <c r="C43" s="1670"/>
      <c r="D43" s="1623" t="s">
        <v>275</v>
      </c>
      <c r="E43" s="1682">
        <f t="shared" ref="E43:Y43" si="6">SUM(E44:E47)</f>
        <v>117.68994248716646</v>
      </c>
      <c r="F43" s="1683">
        <f t="shared" si="6"/>
        <v>54.743275820499797</v>
      </c>
      <c r="G43" s="1684">
        <f t="shared" si="6"/>
        <v>44.243275820499797</v>
      </c>
      <c r="H43" s="1684">
        <f t="shared" si="6"/>
        <v>45.243275820499797</v>
      </c>
      <c r="I43" s="1684">
        <f t="shared" si="6"/>
        <v>10.243275820499795</v>
      </c>
      <c r="J43" s="1684">
        <f t="shared" si="6"/>
        <v>12.443275820499794</v>
      </c>
      <c r="K43" s="1684">
        <f t="shared" si="6"/>
        <v>12.843275820499795</v>
      </c>
      <c r="L43" s="1682">
        <f t="shared" si="6"/>
        <v>30.04788922311532</v>
      </c>
      <c r="M43" s="1683">
        <f t="shared" si="6"/>
        <v>19.197889223115318</v>
      </c>
      <c r="N43" s="1684">
        <f t="shared" si="6"/>
        <v>2.6978892231153186</v>
      </c>
      <c r="O43" s="1684">
        <f t="shared" si="6"/>
        <v>3.1978892231153186</v>
      </c>
      <c r="P43" s="1684">
        <f t="shared" si="6"/>
        <v>3.1978892231153186</v>
      </c>
      <c r="Q43" s="1684">
        <f t="shared" si="6"/>
        <v>2.1978892231153186</v>
      </c>
      <c r="R43" s="1684">
        <f t="shared" si="6"/>
        <v>1.1978892231153189</v>
      </c>
      <c r="S43" s="1682">
        <f t="shared" si="6"/>
        <v>2.8445910700020143</v>
      </c>
      <c r="T43" s="1683">
        <f t="shared" si="6"/>
        <v>2.8445910700020143</v>
      </c>
      <c r="U43" s="1684">
        <f t="shared" si="6"/>
        <v>0.55459107000201391</v>
      </c>
      <c r="V43" s="1684">
        <f t="shared" si="6"/>
        <v>-0.44540892999798626</v>
      </c>
      <c r="W43" s="1684">
        <f t="shared" si="6"/>
        <v>-0.44540892999798626</v>
      </c>
      <c r="X43" s="1684">
        <f t="shared" si="6"/>
        <v>-0.44540892999798626</v>
      </c>
      <c r="Y43" s="1685">
        <f t="shared" si="6"/>
        <v>-0.44540892999798626</v>
      </c>
      <c r="Z43" s="1671"/>
      <c r="AA43" s="1702"/>
    </row>
    <row r="44" spans="1:28">
      <c r="A44" s="1686"/>
      <c r="B44" s="1688">
        <v>20501</v>
      </c>
      <c r="C44" s="1670">
        <v>0.08</v>
      </c>
      <c r="D44" s="1626" t="s">
        <v>582</v>
      </c>
      <c r="E44" s="2750">
        <v>8.318201181134981</v>
      </c>
      <c r="F44" s="897">
        <f>$E44-SUMIF('11.2. Нови активи отч.год.'!$B$61:$B$108,$B44,'11.2. Нови активи отч.год.'!$E$61:$E$108)+SUMIF('11.2. Нови активи отч.год.'!$B$61:$B$108,$B44,'11.2. Нови активи отч.год.'!F$61:F$108)+SUMIF('11.1.Амортиз.нови активи'!$B$60:$B$107,$B44,'11.1.Амортиз.нови активи'!F$60:F$107)+('11.1.Амортиз.нови активи'!F$109*SUMIF('11.1.Амортиз.нови активи'!$B$60:$B$107,$B44,'11.1.Амортиз.нови активи'!AA$60:AA$107))</f>
        <v>8.6382011811349813</v>
      </c>
      <c r="G44" s="898">
        <f>$E44-SUMIF('11.2. Нови активи отч.год.'!$B$61:$B$108,$B44,'11.2. Нови активи отч.год.'!$E$61:$E$108)+SUMIF('11.2. Нови активи отч.год.'!$B$61:$B$108,$B44,'11.2. Нови активи отч.год.'!G$61:G$108)+SUMIF('11.1.Амортиз.нови активи'!$B$60:$B$107,$B44,'11.1.Амортиз.нови активи'!G$60:G$107)+('11.1.Амортиз.нови активи'!G$109*SUMIF('11.1.Амортиз.нови активи'!$B$60:$B$107,$B44,'11.1.Амортиз.нови активи'!AB$60:AB$107))</f>
        <v>8.6382011811349813</v>
      </c>
      <c r="H44" s="898">
        <f>$E44-SUMIF('11.2. Нови активи отч.год.'!$B$61:$B$108,$B44,'11.2. Нови активи отч.год.'!$E$61:$E$108)+SUMIF('11.2. Нови активи отч.год.'!$B$61:$B$108,$B44,'11.2. Нови активи отч.год.'!H$61:H$108)+SUMIF('11.1.Амортиз.нови активи'!$B$60:$B$107,$B44,'11.1.Амортиз.нови активи'!H$60:H$107)+('11.1.Амортиз.нови активи'!H$109*SUMIF('11.1.Амортиз.нови активи'!$B$60:$B$107,$B44,'11.1.Амортиз.нови активи'!AC$60:AC$107))</f>
        <v>8.6382011811349813</v>
      </c>
      <c r="I44" s="898">
        <f>$E44-SUMIF('11.2. Нови активи отч.год.'!$B$61:$B$108,$B44,'11.2. Нови активи отч.год.'!$E$61:$E$108)+SUMIF('11.2. Нови активи отч.год.'!$B$61:$B$108,$B44,'11.2. Нови активи отч.год.'!I$61:I$108)+SUMIF('11.1.Амортиз.нови активи'!$B$60:$B$107,$B44,'11.1.Амортиз.нови активи'!I$60:I$107)+('11.1.Амортиз.нови активи'!I$109*SUMIF('11.1.Амортиз.нови активи'!$B$60:$B$107,$B44,'11.1.Амортиз.нови активи'!AD$60:AD$107))</f>
        <v>8.6382011811349813</v>
      </c>
      <c r="J44" s="898">
        <f>$E44-SUMIF('11.2. Нови активи отч.год.'!$B$61:$B$108,$B44,'11.2. Нови активи отч.год.'!$E$61:$E$108)+SUMIF('11.2. Нови активи отч.год.'!$B$61:$B$108,$B44,'11.2. Нови активи отч.год.'!J$61:J$108)+SUMIF('11.1.Амортиз.нови активи'!$B$60:$B$107,$B44,'11.1.Амортиз.нови активи'!J$60:J$107)+('11.1.Амортиз.нови активи'!J$109*SUMIF('11.1.Амортиз.нови активи'!$B$60:$B$107,$B44,'11.1.Амортиз.нови активи'!AE$60:AE$107))</f>
        <v>9.8382011811349805</v>
      </c>
      <c r="K44" s="899">
        <f>$E44-SUMIF('11.2. Нови активи отч.год.'!$B$61:$B$108,$B44,'11.2. Нови активи отч.год.'!$E$61:$E$108)+SUMIF('11.2. Нови активи отч.год.'!$B$61:$B$108,$B44,'11.2. Нови активи отч.год.'!K$61:K$108)+SUMIF('11.1.Амортиз.нови активи'!$B$60:$B$107,$B44,'11.1.Амортиз.нови активи'!K$60:K$107)+('11.1.Амортиз.нови активи'!K$109*SUMIF('11.1.Амортиз.нови активи'!$B$60:$B$107,$B44,'11.1.Амортиз.нови активи'!AF$60:AF$107))</f>
        <v>10.238201181134981</v>
      </c>
      <c r="L44" s="2750">
        <v>26.865273982071653</v>
      </c>
      <c r="M44" s="897">
        <f>$L44-SUMIF('11.2. Нови активи отч.год.'!$B$61:$B$108,$B44,'11.2. Нови активи отч.год.'!$L$61:$L$108)+SUMIF('11.2. Нови активи отч.год.'!$B$61:$B$108,$B44,'11.2. Нови активи отч.год.'!M$61:M$108)+SUMIF('11.1.Амортиз.нови активи'!$B$60:$B$107,$B44,'11.1.Амортиз.нови активи'!M$60:M$107)+('11.1.Амортиз.нови активи'!F$110*SUMIF('11.1.Амортиз.нови активи'!$B$60:$B$107,$B44,'11.1.Амортиз.нови активи'!AA$60:AA$107))</f>
        <v>15.665273982071652</v>
      </c>
      <c r="N44" s="898">
        <f>$L44-SUMIF('11.2. Нови активи отч.год.'!$B$61:$B$108,$B44,'11.2. Нови активи отч.год.'!$L$61:$L$108)+SUMIF('11.2. Нови активи отч.год.'!$B$61:$B$108,$B44,'11.2. Нови активи отч.год.'!N$61:N$108)+SUMIF('11.1.Амортиз.нови активи'!$B$60:$B$107,$B44,'11.1.Амортиз.нови активи'!N$60:N$107)+('11.1.Амортиз.нови активи'!G$110*SUMIF('11.1.Амортиз.нови активи'!$B$60:$B$107,$B44,'11.1.Амортиз.нови активи'!AB$60:AB$107))</f>
        <v>-0.33472601792835022</v>
      </c>
      <c r="O44" s="898">
        <f>$L44-SUMIF('11.2. Нови активи отч.год.'!$B$61:$B$108,$B44,'11.2. Нови активи отч.год.'!$L$61:$L$108)+SUMIF('11.2. Нови активи отч.год.'!$B$61:$B$108,$B44,'11.2. Нови активи отч.год.'!O$61:O$108)+SUMIF('11.1.Амортиз.нови активи'!$B$60:$B$107,$B44,'11.1.Амортиз.нови активи'!O$60:O$107)+('11.1.Амортиз.нови активи'!H$110*SUMIF('11.1.Амортиз.нови активи'!$B$60:$B$107,$B44,'11.1.Амортиз.нови активи'!AC$60:AC$107))</f>
        <v>-0.33472601792835022</v>
      </c>
      <c r="P44" s="898">
        <f>$L44-SUMIF('11.2. Нови активи отч.год.'!$B$61:$B$108,$B44,'11.2. Нови активи отч.год.'!$L$61:$L$108)+SUMIF('11.2. Нови активи отч.год.'!$B$61:$B$108,$B44,'11.2. Нови активи отч.год.'!P$61:P$108)+SUMIF('11.1.Амортиз.нови активи'!$B$60:$B$107,$B44,'11.1.Амортиз.нови активи'!P$60:P$107)+('11.1.Амортиз.нови активи'!I$110*SUMIF('11.1.Амортиз.нови активи'!$B$60:$B$107,$B44,'11.1.Амортиз.нови активи'!AD$60:AD$107))</f>
        <v>-0.33472601792835022</v>
      </c>
      <c r="Q44" s="898">
        <f>$L44-SUMIF('11.2. Нови активи отч.год.'!$B$61:$B$108,$B44,'11.2. Нови активи отч.год.'!$L$61:$L$108)+SUMIF('11.2. Нови активи отч.год.'!$B$61:$B$108,$B44,'11.2. Нови активи отч.год.'!Q$61:Q$108)+SUMIF('11.1.Амортиз.нови активи'!$B$60:$B$107,$B44,'11.1.Амортиз.нови активи'!Q$60:Q$107)+('11.1.Амортиз.нови активи'!J$110*SUMIF('11.1.Амортиз.нови активи'!$B$60:$B$107,$B44,'11.1.Амортиз.нови активи'!AE$60:AE$107))</f>
        <v>-0.33472601792835022</v>
      </c>
      <c r="R44" s="899">
        <f>$L44-SUMIF('11.2. Нови активи отч.год.'!$B$61:$B$108,$B44,'11.2. Нови активи отч.год.'!$L$61:$L$108)+SUMIF('11.2. Нови активи отч.год.'!$B$61:$B$108,$B44,'11.2. Нови активи отч.год.'!R$61:R$108)+SUMIF('11.1.Амортиз.нови активи'!$B$60:$B$107,$B44,'11.1.Амортиз.нови активи'!R$60:R$107)+('11.1.Амортиз.нови активи'!K$110*SUMIF('11.1.Амортиз.нови активи'!$B$60:$B$107,$B44,'11.1.Амортиз.нови активи'!AF$60:AF$107))</f>
        <v>-0.33472601792835022</v>
      </c>
      <c r="S44" s="2750">
        <v>8.0334956224311097E-2</v>
      </c>
      <c r="T44" s="897">
        <f>$S44-SUMIF('11.2. Нови активи отч.год.'!$B$61:$B$108,$B44,'11.2. Нови активи отч.год.'!$S$61:$S$108)+SUMIF('11.2. Нови активи отч.год.'!$B$61:$B$108,$B44,'11.2. Нови активи отч.год.'!T$61:T$108)+SUMIF('11.1.Амортиз.нови активи'!$B$60:$B$107,$B44,'11.1.Амортиз.нови активи'!T$60:T$107)+('11.1.Амортиз.нови активи'!F$111*SUMIF('11.1.Амортиз.нови активи'!$B$60:$B$107,$B44,'11.1.Амортиз.нови активи'!AA$60:AA$107))</f>
        <v>8.0334956224311097E-2</v>
      </c>
      <c r="U44" s="898">
        <f>$S44-SUMIF('11.2. Нови активи отч.год.'!$B$61:$B$108,$B44,'11.2. Нови активи отч.год.'!$S$61:$S$108)+SUMIF('11.2. Нови активи отч.год.'!$B$61:$B$108,$B44,'11.2. Нови активи отч.год.'!U$61:U$108)+SUMIF('11.1.Амортиз.нови активи'!$B$60:$B$107,$B44,'11.1.Амортиз.нови активи'!U$60:U$107)+('11.1.Амортиз.нови активи'!G$111*SUMIF('11.1.Амортиз.нови активи'!$B$60:$B$107,$B44,'11.1.Амортиз.нови активи'!AB$60:AB$107))</f>
        <v>-7.9665043775688907E-2</v>
      </c>
      <c r="V44" s="898">
        <f>$S44-SUMIF('11.2. Нови активи отч.год.'!$B$61:$B$108,$B44,'11.2. Нови активи отч.год.'!$S$61:$S$108)+SUMIF('11.2. Нови активи отч.год.'!$B$61:$B$108,$B44,'11.2. Нови активи отч.год.'!V$61:V$108)+SUMIF('11.1.Амортиз.нови активи'!$B$60:$B$107,$B44,'11.1.Амортиз.нови активи'!V$60:V$107)+('11.1.Амортиз.нови активи'!H$111*SUMIF('11.1.Амортиз.нови активи'!$B$60:$B$107,$B44,'11.1.Амортиз.нови активи'!AC$60:AC$107))</f>
        <v>-7.9665043775688907E-2</v>
      </c>
      <c r="W44" s="898">
        <f>$S44-SUMIF('11.2. Нови активи отч.год.'!$B$61:$B$108,$B44,'11.2. Нови активи отч.год.'!$S$61:$S$108)+SUMIF('11.2. Нови активи отч.год.'!$B$61:$B$108,$B44,'11.2. Нови активи отч.год.'!W$61:W$108)+SUMIF('11.1.Амортиз.нови активи'!$B$60:$B$107,$B44,'11.1.Амортиз.нови активи'!W$60:W$107)+('11.1.Амортиз.нови активи'!I$111*SUMIF('11.1.Амортиз.нови активи'!$B$60:$B$107,$B44,'11.1.Амортиз.нови активи'!AD$60:AD$107))</f>
        <v>-7.9665043775688907E-2</v>
      </c>
      <c r="X44" s="898">
        <f>$S44-SUMIF('11.2. Нови активи отч.год.'!$B$61:$B$108,$B44,'11.2. Нови активи отч.год.'!$S$61:$S$108)+SUMIF('11.2. Нови активи отч.год.'!$B$61:$B$108,$B44,'11.2. Нови активи отч.год.'!X$61:X$108)+SUMIF('11.1.Амортиз.нови активи'!$B$60:$B$107,$B44,'11.1.Амортиз.нови активи'!X$60:X$107)+('11.1.Амортиз.нови активи'!J$111*SUMIF('11.1.Амортиз.нови активи'!$B$60:$B$107,$B44,'11.1.Амортиз.нови активи'!AE$60:AE$107))</f>
        <v>-7.9665043775688907E-2</v>
      </c>
      <c r="Y44" s="899">
        <f>$S44-SUMIF('11.2. Нови активи отч.год.'!$B$61:$B$108,$B44,'11.2. Нови активи отч.год.'!$S$61:$S$108)+SUMIF('11.2. Нови активи отч.год.'!$B$61:$B$108,$B44,'11.2. Нови активи отч.год.'!Y$61:Y$108)+SUMIF('11.1.Амортиз.нови активи'!$B$60:$B$107,$B44,'11.1.Амортиз.нови активи'!Y$60:Y$107)+('11.1.Амортиз.нови активи'!K$111*SUMIF('11.1.Амортиз.нови активи'!$B$60:$B$107,$B44,'11.1.Амортиз.нови активи'!AF$60:AF$107))</f>
        <v>-7.9665043775688907E-2</v>
      </c>
      <c r="Z44" s="1671"/>
      <c r="AA44" s="1702"/>
    </row>
    <row r="45" spans="1:28">
      <c r="A45" s="1686"/>
      <c r="B45" s="1688">
        <v>20502</v>
      </c>
      <c r="C45" s="1670">
        <v>0.1</v>
      </c>
      <c r="D45" s="1626" t="s">
        <v>583</v>
      </c>
      <c r="E45" s="2750">
        <v>34.216900169056913</v>
      </c>
      <c r="F45" s="897">
        <f>$E45-SUMIF('11.2. Нови активи отч.год.'!$B$61:$B$108,$B45,'11.2. Нови активи отч.год.'!$E$61:$E$108)+SUMIF('11.2. Нови активи отч.год.'!$B$61:$B$108,$B45,'11.2. Нови активи отч.год.'!F$61:F$108)+SUMIF('11.1.Амортиз.нови активи'!$B$60:$B$107,$B45,'11.1.Амортиз.нови активи'!F$60:F$107)+('11.1.Амортиз.нови активи'!F$109*SUMIF('11.1.Амортиз.нови активи'!$B$60:$B$107,$B45,'11.1.Амортиз.нови активи'!AA$60:AA$107))</f>
        <v>34.950233502390248</v>
      </c>
      <c r="G45" s="898">
        <f>$E45-SUMIF('11.2. Нови активи отч.год.'!$B$61:$B$108,$B45,'11.2. Нови активи отч.год.'!$E$61:$E$108)+SUMIF('11.2. Нови активи отч.год.'!$B$61:$B$108,$B45,'11.2. Нови активи отч.год.'!G$61:G$108)+SUMIF('11.1.Амортиз.нови активи'!$B$60:$B$107,$B45,'11.1.Амортиз.нови активи'!G$60:G$107)+('11.1.Амортиз.нови активи'!G$109*SUMIF('11.1.Амортиз.нови активи'!$B$60:$B$107,$B45,'11.1.Амортиз.нови активи'!AB$60:AB$107))</f>
        <v>35.450233502390248</v>
      </c>
      <c r="H45" s="898">
        <f>$E45-SUMIF('11.2. Нови активи отч.год.'!$B$61:$B$108,$B45,'11.2. Нови активи отч.год.'!$E$61:$E$108)+SUMIF('11.2. Нови активи отч.год.'!$B$61:$B$108,$B45,'11.2. Нови активи отч.год.'!H$61:H$108)+SUMIF('11.1.Амортиз.нови активи'!$B$60:$B$107,$B45,'11.1.Амортиз.нови активи'!H$60:H$107)+('11.1.Амортиз.нови активи'!H$109*SUMIF('11.1.Амортиз.нови активи'!$B$60:$B$107,$B45,'11.1.Амортиз.нови активи'!AC$60:AC$107))</f>
        <v>36.450233502390248</v>
      </c>
      <c r="I45" s="898">
        <f>$E45-SUMIF('11.2. Нови активи отч.год.'!$B$61:$B$108,$B45,'11.2. Нови активи отч.год.'!$E$61:$E$108)+SUMIF('11.2. Нови активи отч.год.'!$B$61:$B$108,$B45,'11.2. Нови активи отч.год.'!I$61:I$108)+SUMIF('11.1.Амортиз.нови активи'!$B$60:$B$107,$B45,'11.1.Амортиз.нови активи'!I$60:I$107)+('11.1.Амортиз.нови активи'!I$109*SUMIF('11.1.Амортиз.нови активи'!$B$60:$B$107,$B45,'11.1.Амортиз.нови активи'!AD$60:AD$107))</f>
        <v>1.4502335023902475</v>
      </c>
      <c r="J45" s="898">
        <f>$E45-SUMIF('11.2. Нови активи отч.год.'!$B$61:$B$108,$B45,'11.2. Нови активи отч.год.'!$E$61:$E$108)+SUMIF('11.2. Нови активи отч.год.'!$B$61:$B$108,$B45,'11.2. Нови активи отч.год.'!J$61:J$108)+SUMIF('11.1.Амортиз.нови активи'!$B$60:$B$107,$B45,'11.1.Амортиз.нови активи'!J$60:J$107)+('11.1.Амортиз.нови активи'!J$109*SUMIF('11.1.Амортиз.нови активи'!$B$60:$B$107,$B45,'11.1.Амортиз.нови активи'!AE$60:AE$107))</f>
        <v>2.4502335023902475</v>
      </c>
      <c r="K45" s="899">
        <f>$E45-SUMIF('11.2. Нови активи отч.год.'!$B$61:$B$108,$B45,'11.2. Нови активи отч.год.'!$E$61:$E$108)+SUMIF('11.2. Нови активи отч.год.'!$B$61:$B$108,$B45,'11.2. Нови активи отч.год.'!K$61:K$108)+SUMIF('11.1.Амортиз.нови активи'!$B$60:$B$107,$B45,'11.1.Амортиз.нови активи'!K$60:K$107)+('11.1.Амортиз.нови активи'!K$109*SUMIF('11.1.Амортиз.нови активи'!$B$60:$B$107,$B45,'11.1.Амортиз.нови активи'!AF$60:AF$107))</f>
        <v>2.4502335023902475</v>
      </c>
      <c r="L45" s="2750">
        <v>2.0745228941713494</v>
      </c>
      <c r="M45" s="897">
        <f>$L45-SUMIF('11.2. Нови активи отч.год.'!$B$61:$B$108,$B45,'11.2. Нови активи отч.год.'!$L$61:$L$108)+SUMIF('11.2. Нови активи отч.год.'!$B$61:$B$108,$B45,'11.2. Нови активи отч.год.'!M$61:M$108)+SUMIF('11.1.Амортиз.нови активи'!$B$60:$B$107,$B45,'11.1.Амортиз.нови активи'!M$60:M$107)+('11.1.Амортиз.нови активи'!F$110*SUMIF('11.1.Амортиз.нови активи'!$B$60:$B$107,$B45,'11.1.Амортиз.нови активи'!AA$60:AA$107))</f>
        <v>2.4245228941713495</v>
      </c>
      <c r="N45" s="898">
        <f>$L45-SUMIF('11.2. Нови активи отч.год.'!$B$61:$B$108,$B45,'11.2. Нови активи отч.год.'!$L$61:$L$108)+SUMIF('11.2. Нови активи отч.год.'!$B$61:$B$108,$B45,'11.2. Нови активи отч.год.'!N$61:N$108)+SUMIF('11.1.Амортиз.нови активи'!$B$60:$B$107,$B45,'11.1.Амортиз.нови активи'!N$60:N$107)+('11.1.Амортиз.нови активи'!G$110*SUMIF('11.1.Амортиз.нови активи'!$B$60:$B$107,$B45,'11.1.Амортиз.нови активи'!AB$60:AB$107))</f>
        <v>2.9245228941713495</v>
      </c>
      <c r="O45" s="898">
        <f>$L45-SUMIF('11.2. Нови активи отч.год.'!$B$61:$B$108,$B45,'11.2. Нови активи отч.год.'!$L$61:$L$108)+SUMIF('11.2. Нови активи отч.год.'!$B$61:$B$108,$B45,'11.2. Нови активи отч.год.'!O$61:O$108)+SUMIF('11.1.Амортиз.нови активи'!$B$60:$B$107,$B45,'11.1.Амортиз.нови активи'!O$60:O$107)+('11.1.Амортиз.нови активи'!H$110*SUMIF('11.1.Амортиз.нови активи'!$B$60:$B$107,$B45,'11.1.Амортиз.нови активи'!AC$60:AC$107))</f>
        <v>3.4245228941713495</v>
      </c>
      <c r="P45" s="898">
        <f>$L45-SUMIF('11.2. Нови активи отч.год.'!$B$61:$B$108,$B45,'11.2. Нови активи отч.год.'!$L$61:$L$108)+SUMIF('11.2. Нови активи отч.год.'!$B$61:$B$108,$B45,'11.2. Нови активи отч.год.'!P$61:P$108)+SUMIF('11.1.Амортиз.нови активи'!$B$60:$B$107,$B45,'11.1.Амортиз.нови активи'!P$60:P$107)+('11.1.Амортиз.нови активи'!I$110*SUMIF('11.1.Амортиз.нови активи'!$B$60:$B$107,$B45,'11.1.Амортиз.нови активи'!AD$60:AD$107))</f>
        <v>3.4245228941713495</v>
      </c>
      <c r="Q45" s="898">
        <f>$L45-SUMIF('11.2. Нови активи отч.год.'!$B$61:$B$108,$B45,'11.2. Нови активи отч.год.'!$L$61:$L$108)+SUMIF('11.2. Нови активи отч.год.'!$B$61:$B$108,$B45,'11.2. Нови активи отч.год.'!Q$61:Q$108)+SUMIF('11.1.Амортиз.нови активи'!$B$60:$B$107,$B45,'11.1.Амортиз.нови активи'!Q$60:Q$107)+('11.1.Амортиз.нови активи'!J$110*SUMIF('11.1.Амортиз.нови активи'!$B$60:$B$107,$B45,'11.1.Амортиз.нови активи'!AE$60:AE$107))</f>
        <v>2.4245228941713495</v>
      </c>
      <c r="R45" s="899">
        <f>$L45-SUMIF('11.2. Нови активи отч.год.'!$B$61:$B$108,$B45,'11.2. Нови активи отч.год.'!$L$61:$L$108)+SUMIF('11.2. Нови активи отч.год.'!$B$61:$B$108,$B45,'11.2. Нови активи отч.год.'!R$61:R$108)+SUMIF('11.1.Амортиз.нови активи'!$B$60:$B$107,$B45,'11.1.Амортиз.нови активи'!R$60:R$107)+('11.1.Амортиз.нови активи'!K$110*SUMIF('11.1.Амортиз.нови активи'!$B$60:$B$107,$B45,'11.1.Амортиз.нови активи'!AF$60:AF$107))</f>
        <v>1.4245228941713495</v>
      </c>
      <c r="S45" s="2750">
        <v>2.4842379598050286</v>
      </c>
      <c r="T45" s="897">
        <f>$S45-SUMIF('11.2. Нови активи отч.год.'!$B$61:$B$108,$B45,'11.2. Нови активи отч.год.'!$S$61:$S$108)+SUMIF('11.2. Нови активи отч.год.'!$B$61:$B$108,$B45,'11.2. Нови активи отч.год.'!T$61:T$108)+SUMIF('11.1.Амортиз.нови активи'!$B$60:$B$107,$B45,'11.1.Амортиз.нови активи'!T$60:T$107)+('11.1.Амортиз.нови активи'!F$111*SUMIF('11.1.Амортиз.нови активи'!$B$60:$B$107,$B45,'11.1.Амортиз.нови активи'!AA$60:AA$107))</f>
        <v>2.4842379598050286</v>
      </c>
      <c r="U45" s="898">
        <f>$S45-SUMIF('11.2. Нови активи отч.год.'!$B$61:$B$108,$B45,'11.2. Нови активи отч.год.'!$S$61:$S$108)+SUMIF('11.2. Нови активи отч.год.'!$B$61:$B$108,$B45,'11.2. Нови активи отч.год.'!U$61:U$108)+SUMIF('11.1.Амортиз.нови активи'!$B$60:$B$107,$B45,'11.1.Амортиз.нови активи'!U$60:U$107)+('11.1.Амортиз.нови активи'!G$111*SUMIF('11.1.Амортиз.нови активи'!$B$60:$B$107,$B45,'11.1.Амортиз.нови активи'!AB$60:AB$107))</f>
        <v>0.58423795980502846</v>
      </c>
      <c r="V45" s="898">
        <f>$S45-SUMIF('11.2. Нови активи отч.год.'!$B$61:$B$108,$B45,'11.2. Нови активи отч.год.'!$S$61:$S$108)+SUMIF('11.2. Нови активи отч.год.'!$B$61:$B$108,$B45,'11.2. Нови активи отч.год.'!V$61:V$108)+SUMIF('11.1.Амортиз.нови активи'!$B$60:$B$107,$B45,'11.1.Амортиз.нови активи'!V$60:V$107)+('11.1.Амортиз.нови активи'!H$111*SUMIF('11.1.Амортиз.нови активи'!$B$60:$B$107,$B45,'11.1.Амортиз.нови активи'!AC$60:AC$107))</f>
        <v>-0.41576204019497176</v>
      </c>
      <c r="W45" s="898">
        <f>$S45-SUMIF('11.2. Нови активи отч.год.'!$B$61:$B$108,$B45,'11.2. Нови активи отч.год.'!$S$61:$S$108)+SUMIF('11.2. Нови активи отч.год.'!$B$61:$B$108,$B45,'11.2. Нови активи отч.год.'!W$61:W$108)+SUMIF('11.1.Амортиз.нови активи'!$B$60:$B$107,$B45,'11.1.Амортиз.нови активи'!W$60:W$107)+('11.1.Амортиз.нови активи'!I$111*SUMIF('11.1.Амортиз.нови активи'!$B$60:$B$107,$B45,'11.1.Амортиз.нови активи'!AD$60:AD$107))</f>
        <v>-0.41576204019497176</v>
      </c>
      <c r="X45" s="898">
        <f>$S45-SUMIF('11.2. Нови активи отч.год.'!$B$61:$B$108,$B45,'11.2. Нови активи отч.год.'!$S$61:$S$108)+SUMIF('11.2. Нови активи отч.год.'!$B$61:$B$108,$B45,'11.2. Нови активи отч.год.'!X$61:X$108)+SUMIF('11.1.Амортиз.нови активи'!$B$60:$B$107,$B45,'11.1.Амортиз.нови активи'!X$60:X$107)+('11.1.Амортиз.нови активи'!J$111*SUMIF('11.1.Амортиз.нови активи'!$B$60:$B$107,$B45,'11.1.Амортиз.нови активи'!AE$60:AE$107))</f>
        <v>-0.41576204019497176</v>
      </c>
      <c r="Y45" s="899">
        <f>$S45-SUMIF('11.2. Нови активи отч.год.'!$B$61:$B$108,$B45,'11.2. Нови активи отч.год.'!$S$61:$S$108)+SUMIF('11.2. Нови активи отч.год.'!$B$61:$B$108,$B45,'11.2. Нови активи отч.год.'!Y$61:Y$108)+SUMIF('11.1.Амортиз.нови активи'!$B$60:$B$107,$B45,'11.1.Амортиз.нови активи'!Y$60:Y$107)+('11.1.Амортиз.нови активи'!K$111*SUMIF('11.1.Амортиз.нови активи'!$B$60:$B$107,$B45,'11.1.Амортиз.нови активи'!AF$60:AF$107))</f>
        <v>-0.41576204019497176</v>
      </c>
      <c r="Z45" s="1671"/>
      <c r="AA45" s="1702"/>
    </row>
    <row r="46" spans="1:28">
      <c r="A46" s="1686"/>
      <c r="B46" s="1688">
        <v>20503</v>
      </c>
      <c r="C46" s="1670">
        <v>0.1</v>
      </c>
      <c r="D46" s="1624" t="s">
        <v>584</v>
      </c>
      <c r="E46" s="2750">
        <v>74.58184947644385</v>
      </c>
      <c r="F46" s="897">
        <f>$E46-SUMIF('11.2. Нови активи отч.год.'!$B$61:$B$108,$B46,'11.2. Нови активи отч.год.'!$E$61:$E$108)+SUMIF('11.2. Нови активи отч.год.'!$B$61:$B$108,$B46,'11.2. Нови активи отч.год.'!F$61:F$108)+SUMIF('11.1.Амортиз.нови активи'!$B$60:$B$107,$B46,'11.1.Амортиз.нови активи'!F$60:F$107)+('11.1.Амортиз.нови активи'!F$109*SUMIF('11.1.Амортиз.нови активи'!$B$60:$B$107,$B46,'11.1.Амортиз.нови активи'!AA$60:AA$107))</f>
        <v>10.58184947644385</v>
      </c>
      <c r="G46" s="898">
        <f>$E46-SUMIF('11.2. Нови активи отч.год.'!$B$61:$B$108,$B46,'11.2. Нови активи отч.год.'!$E$61:$E$108)+SUMIF('11.2. Нови активи отч.год.'!$B$61:$B$108,$B46,'11.2. Нови активи отч.год.'!G$61:G$108)+SUMIF('11.1.Амортиз.нови активи'!$B$60:$B$107,$B46,'11.1.Амортиз.нови активи'!G$60:G$107)+('11.1.Амортиз.нови активи'!G$109*SUMIF('11.1.Амортиз.нови активи'!$B$60:$B$107,$B46,'11.1.Амортиз.нови активи'!AB$60:AB$107))</f>
        <v>-0.41815052355615023</v>
      </c>
      <c r="H46" s="898">
        <f>$E46-SUMIF('11.2. Нови активи отч.год.'!$B$61:$B$108,$B46,'11.2. Нови активи отч.год.'!$E$61:$E$108)+SUMIF('11.2. Нови активи отч.год.'!$B$61:$B$108,$B46,'11.2. Нови активи отч.год.'!H$61:H$108)+SUMIF('11.1.Амортиз.нови активи'!$B$60:$B$107,$B46,'11.1.Амортиз.нови активи'!H$60:H$107)+('11.1.Амортиз.нови активи'!H$109*SUMIF('11.1.Амортиз.нови активи'!$B$60:$B$107,$B46,'11.1.Амортиз.нови активи'!AC$60:AC$107))</f>
        <v>-0.41815052355615023</v>
      </c>
      <c r="I46" s="898">
        <f>$E46-SUMIF('11.2. Нови активи отч.год.'!$B$61:$B$108,$B46,'11.2. Нови активи отч.год.'!$E$61:$E$108)+SUMIF('11.2. Нови активи отч.год.'!$B$61:$B$108,$B46,'11.2. Нови активи отч.год.'!I$61:I$108)+SUMIF('11.1.Амортиз.нови активи'!$B$60:$B$107,$B46,'11.1.Амортиз.нови активи'!I$60:I$107)+('11.1.Амортиз.нови активи'!I$109*SUMIF('11.1.Амортиз.нови активи'!$B$60:$B$107,$B46,'11.1.Амортиз.нови активи'!AD$60:AD$107))</f>
        <v>-0.41815052355615023</v>
      </c>
      <c r="J46" s="898">
        <f>$E46-SUMIF('11.2. Нови активи отч.год.'!$B$61:$B$108,$B46,'11.2. Нови активи отч.год.'!$E$61:$E$108)+SUMIF('11.2. Нови активи отч.год.'!$B$61:$B$108,$B46,'11.2. Нови активи отч.год.'!J$61:J$108)+SUMIF('11.1.Амортиз.нови активи'!$B$60:$B$107,$B46,'11.1.Амортиз.нови активи'!J$60:J$107)+('11.1.Амортиз.нови активи'!J$109*SUMIF('11.1.Амортиз.нови активи'!$B$60:$B$107,$B46,'11.1.Амортиз.нови активи'!AE$60:AE$107))</f>
        <v>-0.41815052355615023</v>
      </c>
      <c r="K46" s="899">
        <f>$E46-SUMIF('11.2. Нови активи отч.год.'!$B$61:$B$108,$B46,'11.2. Нови активи отч.год.'!$E$61:$E$108)+SUMIF('11.2. Нови активи отч.год.'!$B$61:$B$108,$B46,'11.2. Нови активи отч.год.'!K$61:K$108)+SUMIF('11.1.Амортиз.нови активи'!$B$60:$B$107,$B46,'11.1.Амортиз.нови активи'!K$60:K$107)+('11.1.Амортиз.нови активи'!K$109*SUMIF('11.1.Амортиз.нови активи'!$B$60:$B$107,$B46,'11.1.Амортиз.нови активи'!AF$60:AF$107))</f>
        <v>-0.41815052355615023</v>
      </c>
      <c r="L46" s="2750">
        <v>1.0380597317514419</v>
      </c>
      <c r="M46" s="897">
        <f>$L46-SUMIF('11.2. Нови активи отч.год.'!$B$61:$B$108,$B46,'11.2. Нови активи отч.год.'!$L$61:$L$108)+SUMIF('11.2. Нови активи отч.год.'!$B$61:$B$108,$B46,'11.2. Нови активи отч.год.'!M$61:M$108)+SUMIF('11.1.Амортиз.нови активи'!$B$60:$B$107,$B46,'11.1.Амортиз.нови активи'!M$60:M$107)+('11.1.Амортиз.нови активи'!F$110*SUMIF('11.1.Амортиз.нови активи'!$B$60:$B$107,$B46,'11.1.Амортиз.нови активи'!AA$60:AA$107))</f>
        <v>1.0380597317514419</v>
      </c>
      <c r="N46" s="898">
        <f>$L46-SUMIF('11.2. Нови активи отч.год.'!$B$61:$B$108,$B46,'11.2. Нови активи отч.год.'!$L$61:$L$108)+SUMIF('11.2. Нови активи отч.год.'!$B$61:$B$108,$B46,'11.2. Нови активи отч.год.'!N$61:N$108)+SUMIF('11.1.Амортиз.нови активи'!$B$60:$B$107,$B46,'11.1.Амортиз.нови активи'!N$60:N$107)+('11.1.Амортиз.нови активи'!G$110*SUMIF('11.1.Амортиз.нови активи'!$B$60:$B$107,$B46,'11.1.Амортиз.нови активи'!AB$60:AB$107))</f>
        <v>3.805973175144195E-2</v>
      </c>
      <c r="O46" s="898">
        <f>$L46-SUMIF('11.2. Нови активи отч.год.'!$B$61:$B$108,$B46,'11.2. Нови активи отч.год.'!$L$61:$L$108)+SUMIF('11.2. Нови активи отч.год.'!$B$61:$B$108,$B46,'11.2. Нови активи отч.год.'!O$61:O$108)+SUMIF('11.1.Амортиз.нови активи'!$B$60:$B$107,$B46,'11.1.Амортиз.нови активи'!O$60:O$107)+('11.1.Амортиз.нови активи'!H$110*SUMIF('11.1.Амортиз.нови активи'!$B$60:$B$107,$B46,'11.1.Амортиз.нови активи'!AC$60:AC$107))</f>
        <v>3.805973175144195E-2</v>
      </c>
      <c r="P46" s="898">
        <f>$L46-SUMIF('11.2. Нови активи отч.год.'!$B$61:$B$108,$B46,'11.2. Нови активи отч.год.'!$L$61:$L$108)+SUMIF('11.2. Нови активи отч.год.'!$B$61:$B$108,$B46,'11.2. Нови активи отч.год.'!P$61:P$108)+SUMIF('11.1.Амортиз.нови активи'!$B$60:$B$107,$B46,'11.1.Амортиз.нови активи'!P$60:P$107)+('11.1.Амортиз.нови активи'!I$110*SUMIF('11.1.Амортиз.нови активи'!$B$60:$B$107,$B46,'11.1.Амортиз.нови активи'!AD$60:AD$107))</f>
        <v>3.805973175144195E-2</v>
      </c>
      <c r="Q46" s="898">
        <f>$L46-SUMIF('11.2. Нови активи отч.год.'!$B$61:$B$108,$B46,'11.2. Нови активи отч.год.'!$L$61:$L$108)+SUMIF('11.2. Нови активи отч.год.'!$B$61:$B$108,$B46,'11.2. Нови активи отч.год.'!Q$61:Q$108)+SUMIF('11.1.Амортиз.нови активи'!$B$60:$B$107,$B46,'11.1.Амортиз.нови активи'!Q$60:Q$107)+('11.1.Амортиз.нови активи'!J$110*SUMIF('11.1.Амортиз.нови активи'!$B$60:$B$107,$B46,'11.1.Амортиз.нови активи'!AE$60:AE$107))</f>
        <v>3.805973175144195E-2</v>
      </c>
      <c r="R46" s="899">
        <f>$L46-SUMIF('11.2. Нови активи отч.год.'!$B$61:$B$108,$B46,'11.2. Нови активи отч.год.'!$L$61:$L$108)+SUMIF('11.2. Нови активи отч.год.'!$B$61:$B$108,$B46,'11.2. Нови активи отч.год.'!R$61:R$108)+SUMIF('11.1.Амортиз.нови активи'!$B$60:$B$107,$B46,'11.1.Амортиз.нови активи'!R$60:R$107)+('11.1.Амортиз.нови активи'!K$110*SUMIF('11.1.Амортиз.нови активи'!$B$60:$B$107,$B46,'11.1.Амортиз.нови активи'!AF$60:AF$107))</f>
        <v>3.805973175144195E-2</v>
      </c>
      <c r="S46" s="2750">
        <v>0.26232070875578528</v>
      </c>
      <c r="T46" s="897">
        <f>$S46-SUMIF('11.2. Нови активи отч.год.'!$B$61:$B$108,$B46,'11.2. Нови активи отч.год.'!$S$61:$S$108)+SUMIF('11.2. Нови активи отч.год.'!$B$61:$B$108,$B46,'11.2. Нови активи отч.год.'!T$61:T$108)+SUMIF('11.1.Амортиз.нови активи'!$B$60:$B$107,$B46,'11.1.Амортиз.нови активи'!T$60:T$107)+('11.1.Амортиз.нови активи'!F$111*SUMIF('11.1.Амортиз.нови активи'!$B$60:$B$107,$B46,'11.1.Амортиз.нови активи'!AA$60:AA$107))</f>
        <v>0.26232070875578528</v>
      </c>
      <c r="U46" s="898">
        <f>$S46-SUMIF('11.2. Нови активи отч.год.'!$B$61:$B$108,$B46,'11.2. Нови активи отч.год.'!$S$61:$S$108)+SUMIF('11.2. Нови активи отч.год.'!$B$61:$B$108,$B46,'11.2. Нови активи отч.год.'!U$61:U$108)+SUMIF('11.1.Амортиз.нови активи'!$B$60:$B$107,$B46,'11.1.Амортиз.нови активи'!U$60:U$107)+('11.1.Амортиз.нови активи'!G$111*SUMIF('11.1.Амортиз.нови активи'!$B$60:$B$107,$B46,'11.1.Амортиз.нови активи'!AB$60:AB$107))</f>
        <v>3.2320708755785299E-2</v>
      </c>
      <c r="V46" s="898">
        <f>$S46-SUMIF('11.2. Нови активи отч.год.'!$B$61:$B$108,$B46,'11.2. Нови активи отч.год.'!$S$61:$S$108)+SUMIF('11.2. Нови активи отч.год.'!$B$61:$B$108,$B46,'11.2. Нови активи отч.год.'!V$61:V$108)+SUMIF('11.1.Амортиз.нови активи'!$B$60:$B$107,$B46,'11.1.Амортиз.нови активи'!V$60:V$107)+('11.1.Амортиз.нови активи'!H$111*SUMIF('11.1.Амортиз.нови активи'!$B$60:$B$107,$B46,'11.1.Амортиз.нови активи'!AC$60:AC$107))</f>
        <v>3.2320708755785299E-2</v>
      </c>
      <c r="W46" s="898">
        <f>$S46-SUMIF('11.2. Нови активи отч.год.'!$B$61:$B$108,$B46,'11.2. Нови активи отч.год.'!$S$61:$S$108)+SUMIF('11.2. Нови активи отч.год.'!$B$61:$B$108,$B46,'11.2. Нови активи отч.год.'!W$61:W$108)+SUMIF('11.1.Амортиз.нови активи'!$B$60:$B$107,$B46,'11.1.Амортиз.нови активи'!W$60:W$107)+('11.1.Амортиз.нови активи'!I$111*SUMIF('11.1.Амортиз.нови активи'!$B$60:$B$107,$B46,'11.1.Амортиз.нови активи'!AD$60:AD$107))</f>
        <v>3.2320708755785299E-2</v>
      </c>
      <c r="X46" s="898">
        <f>$S46-SUMIF('11.2. Нови активи отч.год.'!$B$61:$B$108,$B46,'11.2. Нови активи отч.год.'!$S$61:$S$108)+SUMIF('11.2. Нови активи отч.год.'!$B$61:$B$108,$B46,'11.2. Нови активи отч.год.'!X$61:X$108)+SUMIF('11.1.Амортиз.нови активи'!$B$60:$B$107,$B46,'11.1.Амортиз.нови активи'!X$60:X$107)+('11.1.Амортиз.нови активи'!J$111*SUMIF('11.1.Амортиз.нови активи'!$B$60:$B$107,$B46,'11.1.Амортиз.нови активи'!AE$60:AE$107))</f>
        <v>3.2320708755785299E-2</v>
      </c>
      <c r="Y46" s="899">
        <f>$S46-SUMIF('11.2. Нови активи отч.год.'!$B$61:$B$108,$B46,'11.2. Нови активи отч.год.'!$S$61:$S$108)+SUMIF('11.2. Нови активи отч.год.'!$B$61:$B$108,$B46,'11.2. Нови активи отч.год.'!Y$61:Y$108)+SUMIF('11.1.Амортиз.нови активи'!$B$60:$B$107,$B46,'11.1.Амортиз.нови активи'!Y$60:Y$107)+('11.1.Амортиз.нови активи'!K$111*SUMIF('11.1.Амортиз.нови активи'!$B$60:$B$107,$B46,'11.1.Амортиз.нови активи'!AF$60:AF$107))</f>
        <v>3.2320708755785299E-2</v>
      </c>
      <c r="Z46" s="1671"/>
      <c r="AA46" s="1702"/>
    </row>
    <row r="47" spans="1:28">
      <c r="A47" s="1686"/>
      <c r="B47" s="1688">
        <v>20504</v>
      </c>
      <c r="C47" s="1670">
        <v>0.1</v>
      </c>
      <c r="D47" s="1624" t="s">
        <v>759</v>
      </c>
      <c r="E47" s="2750">
        <v>0.57299166053071693</v>
      </c>
      <c r="F47" s="897">
        <f>$E47-SUMIF('11.2. Нови активи отч.год.'!$B$61:$B$108,$B47,'11.2. Нови активи отч.год.'!$E$61:$E$108)+SUMIF('11.2. Нови активи отч.год.'!$B$61:$B$108,$B47,'11.2. Нови активи отч.год.'!F$61:F$108)+SUMIF('11.1.Амортиз.нови активи'!$B$60:$B$107,$B47,'11.1.Амортиз.нови активи'!F$60:F$107)+('11.1.Амортиз.нови активи'!F$109*SUMIF('11.1.Амортиз.нови активи'!$B$60:$B$107,$B47,'11.1.Амортиз.нови активи'!AA$60:AA$107))</f>
        <v>0.57299166053071693</v>
      </c>
      <c r="G47" s="898">
        <f>$E47-SUMIF('11.2. Нови активи отч.год.'!$B$61:$B$108,$B47,'11.2. Нови активи отч.год.'!$E$61:$E$108)+SUMIF('11.2. Нови активи отч.год.'!$B$61:$B$108,$B47,'11.2. Нови активи отч.год.'!G$61:G$108)+SUMIF('11.1.Амортиз.нови активи'!$B$60:$B$107,$B47,'11.1.Амортиз.нови активи'!G$60:G$107)+('11.1.Амортиз.нови активи'!G$109*SUMIF('11.1.Амортиз.нови активи'!$B$60:$B$107,$B47,'11.1.Амортиз.нови активи'!AB$60:AB$107))</f>
        <v>0.57299166053071693</v>
      </c>
      <c r="H47" s="898">
        <f>$E47-SUMIF('11.2. Нови активи отч.год.'!$B$61:$B$108,$B47,'11.2. Нови активи отч.год.'!$E$61:$E$108)+SUMIF('11.2. Нови активи отч.год.'!$B$61:$B$108,$B47,'11.2. Нови активи отч.год.'!H$61:H$108)+SUMIF('11.1.Амортиз.нови активи'!$B$60:$B$107,$B47,'11.1.Амортиз.нови активи'!H$60:H$107)+('11.1.Амортиз.нови активи'!H$109*SUMIF('11.1.Амортиз.нови активи'!$B$60:$B$107,$B47,'11.1.Амортиз.нови активи'!AC$60:AC$107))</f>
        <v>0.57299166053071693</v>
      </c>
      <c r="I47" s="898">
        <f>$E47-SUMIF('11.2. Нови активи отч.год.'!$B$61:$B$108,$B47,'11.2. Нови активи отч.год.'!$E$61:$E$108)+SUMIF('11.2. Нови активи отч.год.'!$B$61:$B$108,$B47,'11.2. Нови активи отч.год.'!I$61:I$108)+SUMIF('11.1.Амортиз.нови активи'!$B$60:$B$107,$B47,'11.1.Амортиз.нови активи'!I$60:I$107)+('11.1.Амортиз.нови активи'!I$109*SUMIF('11.1.Амортиз.нови активи'!$B$60:$B$107,$B47,'11.1.Амортиз.нови активи'!AD$60:AD$107))</f>
        <v>0.57299166053071693</v>
      </c>
      <c r="J47" s="898">
        <f>$E47-SUMIF('11.2. Нови активи отч.год.'!$B$61:$B$108,$B47,'11.2. Нови активи отч.год.'!$E$61:$E$108)+SUMIF('11.2. Нови активи отч.год.'!$B$61:$B$108,$B47,'11.2. Нови активи отч.год.'!J$61:J$108)+SUMIF('11.1.Амортиз.нови активи'!$B$60:$B$107,$B47,'11.1.Амортиз.нови активи'!J$60:J$107)+('11.1.Амортиз.нови активи'!J$109*SUMIF('11.1.Амортиз.нови активи'!$B$60:$B$107,$B47,'11.1.Амортиз.нови активи'!AE$60:AE$107))</f>
        <v>0.57299166053071693</v>
      </c>
      <c r="K47" s="899">
        <f>$E47-SUMIF('11.2. Нови активи отч.год.'!$B$61:$B$108,$B47,'11.2. Нови активи отч.год.'!$E$61:$E$108)+SUMIF('11.2. Нови активи отч.год.'!$B$61:$B$108,$B47,'11.2. Нови активи отч.год.'!K$61:K$108)+SUMIF('11.1.Амортиз.нови активи'!$B$60:$B$107,$B47,'11.1.Амортиз.нови активи'!K$60:K$107)+('11.1.Амортиз.нови активи'!K$109*SUMIF('11.1.Амортиз.нови активи'!$B$60:$B$107,$B47,'11.1.Амортиз.нови активи'!AF$60:AF$107))</f>
        <v>0.57299166053071693</v>
      </c>
      <c r="L47" s="2750">
        <v>7.0032615120877661E-2</v>
      </c>
      <c r="M47" s="897">
        <f>$L47-SUMIF('11.2. Нови активи отч.год.'!$B$61:$B$108,$B47,'11.2. Нови активи отч.год.'!$L$61:$L$108)+SUMIF('11.2. Нови активи отч.год.'!$B$61:$B$108,$B47,'11.2. Нови активи отч.год.'!M$61:M$108)+SUMIF('11.1.Амортиз.нови активи'!$B$60:$B$107,$B47,'11.1.Амортиз.нови активи'!M$60:M$107)+('11.1.Амортиз.нови активи'!F$110*SUMIF('11.1.Амортиз.нови активи'!$B$60:$B$107,$B47,'11.1.Амортиз.нови активи'!AA$60:AA$107))</f>
        <v>7.0032615120877661E-2</v>
      </c>
      <c r="N47" s="898">
        <f>$L47-SUMIF('11.2. Нови активи отч.год.'!$B$61:$B$108,$B47,'11.2. Нови активи отч.год.'!$L$61:$L$108)+SUMIF('11.2. Нови активи отч.год.'!$B$61:$B$108,$B47,'11.2. Нови активи отч.год.'!N$61:N$108)+SUMIF('11.1.Амортиз.нови активи'!$B$60:$B$107,$B47,'11.1.Амортиз.нови активи'!N$60:N$107)+('11.1.Амортиз.нови активи'!G$110*SUMIF('11.1.Амортиз.нови активи'!$B$60:$B$107,$B47,'11.1.Амортиз.нови активи'!AB$60:AB$107))</f>
        <v>7.0032615120877661E-2</v>
      </c>
      <c r="O47" s="898">
        <f>$L47-SUMIF('11.2. Нови активи отч.год.'!$B$61:$B$108,$B47,'11.2. Нови активи отч.год.'!$L$61:$L$108)+SUMIF('11.2. Нови активи отч.год.'!$B$61:$B$108,$B47,'11.2. Нови активи отч.год.'!O$61:O$108)+SUMIF('11.1.Амортиз.нови активи'!$B$60:$B$107,$B47,'11.1.Амортиз.нови активи'!O$60:O$107)+('11.1.Амортиз.нови активи'!H$110*SUMIF('11.1.Амортиз.нови активи'!$B$60:$B$107,$B47,'11.1.Амортиз.нови активи'!AC$60:AC$107))</f>
        <v>7.0032615120877661E-2</v>
      </c>
      <c r="P47" s="898">
        <f>$L47-SUMIF('11.2. Нови активи отч.год.'!$B$61:$B$108,$B47,'11.2. Нови активи отч.год.'!$L$61:$L$108)+SUMIF('11.2. Нови активи отч.год.'!$B$61:$B$108,$B47,'11.2. Нови активи отч.год.'!P$61:P$108)+SUMIF('11.1.Амортиз.нови активи'!$B$60:$B$107,$B47,'11.1.Амортиз.нови активи'!P$60:P$107)+('11.1.Амортиз.нови активи'!I$110*SUMIF('11.1.Амортиз.нови активи'!$B$60:$B$107,$B47,'11.1.Амортиз.нови активи'!AD$60:AD$107))</f>
        <v>7.0032615120877661E-2</v>
      </c>
      <c r="Q47" s="898">
        <f>$L47-SUMIF('11.2. Нови активи отч.год.'!$B$61:$B$108,$B47,'11.2. Нови активи отч.год.'!$L$61:$L$108)+SUMIF('11.2. Нови активи отч.год.'!$B$61:$B$108,$B47,'11.2. Нови активи отч.год.'!Q$61:Q$108)+SUMIF('11.1.Амортиз.нови активи'!$B$60:$B$107,$B47,'11.1.Амортиз.нови активи'!Q$60:Q$107)+('11.1.Амортиз.нови активи'!J$110*SUMIF('11.1.Амортиз.нови активи'!$B$60:$B$107,$B47,'11.1.Амортиз.нови активи'!AE$60:AE$107))</f>
        <v>7.0032615120877661E-2</v>
      </c>
      <c r="R47" s="899">
        <f>$L47-SUMIF('11.2. Нови активи отч.год.'!$B$61:$B$108,$B47,'11.2. Нови активи отч.год.'!$L$61:$L$108)+SUMIF('11.2. Нови активи отч.год.'!$B$61:$B$108,$B47,'11.2. Нови активи отч.год.'!R$61:R$108)+SUMIF('11.1.Амортиз.нови активи'!$B$60:$B$107,$B47,'11.1.Амортиз.нови активи'!R$60:R$107)+('11.1.Амортиз.нови активи'!K$110*SUMIF('11.1.Амортиз.нови активи'!$B$60:$B$107,$B47,'11.1.Амортиз.нови активи'!AF$60:AF$107))</f>
        <v>7.0032615120877661E-2</v>
      </c>
      <c r="S47" s="2750">
        <v>1.7697445216889113E-2</v>
      </c>
      <c r="T47" s="897">
        <f>$S47-SUMIF('11.2. Нови активи отч.год.'!$B$61:$B$108,$B47,'11.2. Нови активи отч.год.'!$S$61:$S$108)+SUMIF('11.2. Нови активи отч.год.'!$B$61:$B$108,$B47,'11.2. Нови активи отч.год.'!T$61:T$108)+SUMIF('11.1.Амортиз.нови активи'!$B$60:$B$107,$B47,'11.1.Амортиз.нови активи'!T$60:T$107)+('11.1.Амортиз.нови активи'!F$111*SUMIF('11.1.Амортиз.нови активи'!$B$60:$B$107,$B47,'11.1.Амортиз.нови активи'!AA$60:AA$107))</f>
        <v>1.7697445216889113E-2</v>
      </c>
      <c r="U47" s="898">
        <f>$S47-SUMIF('11.2. Нови активи отч.год.'!$B$61:$B$108,$B47,'11.2. Нови активи отч.год.'!$S$61:$S$108)+SUMIF('11.2. Нови активи отч.год.'!$B$61:$B$108,$B47,'11.2. Нови активи отч.год.'!U$61:U$108)+SUMIF('11.1.Амортиз.нови активи'!$B$60:$B$107,$B47,'11.1.Амортиз.нови активи'!U$60:U$107)+('11.1.Амортиз.нови активи'!G$111*SUMIF('11.1.Амортиз.нови активи'!$B$60:$B$107,$B47,'11.1.Амортиз.нови активи'!AB$60:AB$107))</f>
        <v>1.7697445216889113E-2</v>
      </c>
      <c r="V47" s="898">
        <f>$S47-SUMIF('11.2. Нови активи отч.год.'!$B$61:$B$108,$B47,'11.2. Нови активи отч.год.'!$S$61:$S$108)+SUMIF('11.2. Нови активи отч.год.'!$B$61:$B$108,$B47,'11.2. Нови активи отч.год.'!V$61:V$108)+SUMIF('11.1.Амортиз.нови активи'!$B$60:$B$107,$B47,'11.1.Амортиз.нови активи'!V$60:V$107)+('11.1.Амортиз.нови активи'!H$111*SUMIF('11.1.Амортиз.нови активи'!$B$60:$B$107,$B47,'11.1.Амортиз.нови активи'!AC$60:AC$107))</f>
        <v>1.7697445216889113E-2</v>
      </c>
      <c r="W47" s="898">
        <f>$S47-SUMIF('11.2. Нови активи отч.год.'!$B$61:$B$108,$B47,'11.2. Нови активи отч.год.'!$S$61:$S$108)+SUMIF('11.2. Нови активи отч.год.'!$B$61:$B$108,$B47,'11.2. Нови активи отч.год.'!W$61:W$108)+SUMIF('11.1.Амортиз.нови активи'!$B$60:$B$107,$B47,'11.1.Амортиз.нови активи'!W$60:W$107)+('11.1.Амортиз.нови активи'!I$111*SUMIF('11.1.Амортиз.нови активи'!$B$60:$B$107,$B47,'11.1.Амортиз.нови активи'!AD$60:AD$107))</f>
        <v>1.7697445216889113E-2</v>
      </c>
      <c r="X47" s="898">
        <f>$S47-SUMIF('11.2. Нови активи отч.год.'!$B$61:$B$108,$B47,'11.2. Нови активи отч.год.'!$S$61:$S$108)+SUMIF('11.2. Нови активи отч.год.'!$B$61:$B$108,$B47,'11.2. Нови активи отч.год.'!X$61:X$108)+SUMIF('11.1.Амортиз.нови активи'!$B$60:$B$107,$B47,'11.1.Амортиз.нови активи'!X$60:X$107)+('11.1.Амортиз.нови активи'!J$111*SUMIF('11.1.Амортиз.нови активи'!$B$60:$B$107,$B47,'11.1.Амортиз.нови активи'!AE$60:AE$107))</f>
        <v>1.7697445216889113E-2</v>
      </c>
      <c r="Y47" s="899">
        <f>$S47-SUMIF('11.2. Нови активи отч.год.'!$B$61:$B$108,$B47,'11.2. Нови активи отч.год.'!$S$61:$S$108)+SUMIF('11.2. Нови активи отч.год.'!$B$61:$B$108,$B47,'11.2. Нови активи отч.год.'!Y$61:Y$108)+SUMIF('11.1.Амортиз.нови активи'!$B$60:$B$107,$B47,'11.1.Амортиз.нови активи'!Y$60:Y$107)+('11.1.Амортиз.нови активи'!K$111*SUMIF('11.1.Амортиз.нови активи'!$B$60:$B$107,$B47,'11.1.Амортиз.нови активи'!AF$60:AF$107))</f>
        <v>1.7697445216889113E-2</v>
      </c>
      <c r="Z47" s="1671"/>
      <c r="AA47" s="1702"/>
    </row>
    <row r="48" spans="1:28">
      <c r="A48" s="1686">
        <v>6</v>
      </c>
      <c r="B48" s="1688">
        <v>208</v>
      </c>
      <c r="C48" s="1670">
        <v>0.2</v>
      </c>
      <c r="D48" s="1625" t="s">
        <v>585</v>
      </c>
      <c r="E48" s="2750">
        <v>31.731912218797724</v>
      </c>
      <c r="F48" s="897">
        <f>$E48-SUMIF('11.2. Нови активи отч.год.'!$B$61:$B$108,$B48,'11.2. Нови активи отч.год.'!$E$61:$E$108)+SUMIF('11.2. Нови активи отч.год.'!$B$61:$B$108,$B48,'11.2. Нови активи отч.год.'!F$61:F$108)+SUMIF('11.1.Амортиз.нови активи'!$B$60:$B$107,$B48,'11.1.Амортиз.нови активи'!F$60:F$107)+('11.1.Амортиз.нови активи'!F$109*SUMIF('11.1.Амортиз.нови активи'!$B$60:$B$107,$B48,'11.1.Амортиз.нови активи'!AA$60:AA$107))</f>
        <v>31.865245552131057</v>
      </c>
      <c r="G48" s="898">
        <f>$E48-SUMIF('11.2. Нови активи отч.год.'!$B$61:$B$108,$B48,'11.2. Нови активи отч.год.'!$E$61:$E$108)+SUMIF('11.2. Нови активи отч.год.'!$B$61:$B$108,$B48,'11.2. Нови активи отч.год.'!G$61:G$108)+SUMIF('11.1.Амортиз.нови активи'!$B$60:$B$107,$B48,'11.1.Амортиз.нови активи'!G$60:G$107)+('11.1.Амортиз.нови активи'!G$109*SUMIF('11.1.Амортиз.нови активи'!$B$60:$B$107,$B48,'11.1.Амортиз.нови активи'!AB$60:AB$107))</f>
        <v>0.32209285256552933</v>
      </c>
      <c r="H48" s="898">
        <f>$E48-SUMIF('11.2. Нови активи отч.год.'!$B$61:$B$108,$B48,'11.2. Нови активи отч.год.'!$E$61:$E$108)+SUMIF('11.2. Нови активи отч.год.'!$B$61:$B$108,$B48,'11.2. Нови активи отч.год.'!H$61:H$108)+SUMIF('11.1.Амортиз.нови активи'!$B$60:$B$107,$B48,'11.1.Амортиз.нови активи'!H$60:H$107)+('11.1.Амортиз.нови активи'!H$109*SUMIF('11.1.Амортиз.нови активи'!$B$60:$B$107,$B48,'11.1.Амортиз.нови активи'!AC$60:AC$107))</f>
        <v>1.1498504724095711</v>
      </c>
      <c r="I48" s="898">
        <f>$E48-SUMIF('11.2. Нови активи отч.год.'!$B$61:$B$108,$B48,'11.2. Нови активи отч.год.'!$E$61:$E$108)+SUMIF('11.2. Нови активи отч.год.'!$B$61:$B$108,$B48,'11.2. Нови активи отч.год.'!I$61:I$108)+SUMIF('11.1.Амортиз.нови активи'!$B$60:$B$107,$B48,'11.1.Амортиз.нови активи'!I$60:I$107)+('11.1.Амортиз.нови активи'!I$109*SUMIF('11.1.Амортиз.нови активи'!$B$60:$B$107,$B48,'11.1.Амортиз.нови активи'!AD$60:AD$107))</f>
        <v>1.8806923491380179</v>
      </c>
      <c r="J48" s="898">
        <f>$E48-SUMIF('11.2. Нови активи отч.год.'!$B$61:$B$108,$B48,'11.2. Нови активи отч.год.'!$E$61:$E$108)+SUMIF('11.2. Нови активи отч.год.'!$B$61:$B$108,$B48,'11.2. Нови активи отч.год.'!J$61:J$108)+SUMIF('11.1.Амортиз.нови активи'!$B$60:$B$107,$B48,'11.1.Амортиз.нови активи'!J$60:J$107)+('11.1.Амортиз.нови активи'!J$109*SUMIF('11.1.Амортиз.нови активи'!$B$60:$B$107,$B48,'11.1.Амортиз.нови активи'!AE$60:AE$107))</f>
        <v>2.5680898085644484</v>
      </c>
      <c r="K48" s="899">
        <f>$E48-SUMIF('11.2. Нови активи отч.год.'!$B$61:$B$108,$B48,'11.2. Нови активи отч.год.'!$E$61:$E$108)+SUMIF('11.2. Нови активи отч.год.'!$B$61:$B$108,$B48,'11.2. Нови активи отч.год.'!K$61:K$108)+SUMIF('11.1.Амортиз.нови активи'!$B$60:$B$107,$B48,'11.1.Амортиз.нови активи'!K$60:K$107)+('11.1.Амортиз.нови активи'!K$109*SUMIF('11.1.Амортиз.нови активи'!$B$60:$B$107,$B48,'11.1.Амортиз.нови активи'!AF$60:AF$107))</f>
        <v>3.2568043220003497</v>
      </c>
      <c r="L48" s="2750">
        <v>3.4841029375273531</v>
      </c>
      <c r="M48" s="897">
        <f>$L48-SUMIF('11.2. Нови активи отч.год.'!$B$61:$B$108,$B48,'11.2. Нови активи отч.год.'!$L$61:$L$108)+SUMIF('11.2. Нови активи отч.год.'!$B$61:$B$108,$B48,'11.2. Нови активи отч.год.'!M$61:M$108)+SUMIF('11.1.Амортиз.нови активи'!$B$60:$B$107,$B48,'11.1.Амортиз.нови активи'!M$60:M$107)+('11.1.Амортиз.нови активи'!F$110*SUMIF('11.1.Амортиз.нови активи'!$B$60:$B$107,$B48,'11.1.Амортиз.нови активи'!AA$60:AA$107))</f>
        <v>1.4841029375273531</v>
      </c>
      <c r="N48" s="898">
        <f>$L48-SUMIF('11.2. Нови активи отч.год.'!$B$61:$B$108,$B48,'11.2. Нови активи отч.год.'!$L$61:$L$108)+SUMIF('11.2. Нови активи отч.год.'!$B$61:$B$108,$B48,'11.2. Нови активи отч.год.'!N$61:N$108)+SUMIF('11.1.Амортиз.нови активи'!$B$60:$B$107,$B48,'11.1.Амортиз.нови активи'!N$60:N$107)+('11.1.Амортиз.нови активи'!G$110*SUMIF('11.1.Амортиз.нови активи'!$B$60:$B$107,$B48,'11.1.Амортиз.нови активи'!AB$60:AB$107))</f>
        <v>1.4932758154799943</v>
      </c>
      <c r="O48" s="898">
        <f>$L48-SUMIF('11.2. Нови активи отч.год.'!$B$61:$B$108,$B48,'11.2. Нови активи отч.год.'!$L$61:$L$108)+SUMIF('11.2. Нови активи отч.год.'!$B$61:$B$108,$B48,'11.2. Нови активи отч.год.'!O$61:O$108)+SUMIF('11.1.Амортиз.нови активи'!$B$60:$B$107,$B48,'11.1.Амортиз.нови активи'!O$60:O$107)+('11.1.Амортиз.нови активи'!H$110*SUMIF('11.1.Амортиз.нови активи'!$B$60:$B$107,$B48,'11.1.Амортиз.нови активи'!AC$60:AC$107))</f>
        <v>0.53786554942583609</v>
      </c>
      <c r="P48" s="898">
        <f>$L48-SUMIF('11.2. Нови активи отч.год.'!$B$61:$B$108,$B48,'11.2. Нови активи отч.год.'!$L$61:$L$108)+SUMIF('11.2. Нови активи отч.год.'!$B$61:$B$108,$B48,'11.2. Нови активи отч.год.'!P$61:P$108)+SUMIF('11.1.Амортиз.нови активи'!$B$60:$B$107,$B48,'11.1.Амортиз.нови активи'!P$60:P$107)+('11.1.Амортиз.нови активи'!I$110*SUMIF('11.1.Амортиз.нови активи'!$B$60:$B$107,$B48,'11.1.Амортиз.нови активи'!AD$60:AD$107))</f>
        <v>1.5859801310791261E-2</v>
      </c>
      <c r="Q48" s="898">
        <f>$L48-SUMIF('11.2. Нови активи отч.год.'!$B$61:$B$108,$B48,'11.2. Нови активи отч.год.'!$L$61:$L$108)+SUMIF('11.2. Нови активи отч.год.'!$B$61:$B$108,$B48,'11.2. Нови активи отч.год.'!Q$61:Q$108)+SUMIF('11.1.Амортиз.нови активи'!$B$60:$B$107,$B48,'11.1.Амортиз.нови активи'!Q$60:Q$107)+('11.1.Амортиз.нови активи'!J$110*SUMIF('11.1.Амортиз.нови активи'!$B$60:$B$107,$B48,'11.1.Амортиз.нови активи'!AE$60:AE$107))</f>
        <v>0.10089041413144298</v>
      </c>
      <c r="R48" s="899">
        <f>$L48-SUMIF('11.2. Нови активи отч.год.'!$B$61:$B$108,$B48,'11.2. Нови активи отч.год.'!$L$61:$L$108)+SUMIF('11.2. Нови активи отч.год.'!$B$61:$B$108,$B48,'11.2. Нови активи отч.год.'!R$61:R$108)+SUMIF('11.1.Амортиз.нови активи'!$B$60:$B$107,$B48,'11.1.Амортиз.нови активи'!R$60:R$107)+('11.1.Амортиз.нови активи'!K$110*SUMIF('11.1.Амортиз.нови активи'!$B$60:$B$107,$B48,'11.1.Амортиз.нови активи'!AF$60:AF$107))</f>
        <v>0.18498048161561281</v>
      </c>
      <c r="S48" s="2750">
        <v>1.0179429302042609</v>
      </c>
      <c r="T48" s="897">
        <f>$S48-SUMIF('11.2. Нови активи отч.год.'!$B$61:$B$108,$B48,'11.2. Нови активи отч.год.'!$S$61:$S$108)+SUMIF('11.2. Нови активи отч.год.'!$B$61:$B$108,$B48,'11.2. Нови активи отч.год.'!T$61:T$108)+SUMIF('11.1.Амортиз.нови активи'!$B$60:$B$107,$B48,'11.1.Амортиз.нови активи'!T$60:T$107)+('11.1.Амортиз.нови активи'!F$111*SUMIF('11.1.Амортиз.нови активи'!$B$60:$B$107,$B48,'11.1.Амортиз.нови активи'!AA$60:AA$107))</f>
        <v>1.0179429302042609</v>
      </c>
      <c r="U48" s="898">
        <f>$S48-SUMIF('11.2. Нови активи отч.год.'!$B$61:$B$108,$B48,'11.2. Нови активи отч.год.'!$S$61:$S$108)+SUMIF('11.2. Нови активи отч.год.'!$B$61:$B$108,$B48,'11.2. Нови активи отч.год.'!U$61:U$108)+SUMIF('11.1.Амортиз.нови активи'!$B$60:$B$107,$B48,'11.1.Амортиз.нови активи'!U$60:U$107)+('11.1.Амортиз.нови активи'!G$111*SUMIF('11.1.Амортиз.нови активи'!$B$60:$B$107,$B48,'11.1.Амортиз.нови активи'!AB$60:AB$107))</f>
        <v>5.1922751817147346E-2</v>
      </c>
      <c r="V48" s="898">
        <f>$S48-SUMIF('11.2. Нови активи отч.год.'!$B$61:$B$108,$B48,'11.2. Нови активи отч.год.'!$S$61:$S$108)+SUMIF('11.2. Нови активи отч.год.'!$B$61:$B$108,$B48,'11.2. Нови активи отч.год.'!V$61:V$108)+SUMIF('11.1.Амортиз.нови активи'!$B$60:$B$107,$B48,'11.1.Амортиз.нови активи'!V$60:V$107)+('11.1.Амортиз.нови активи'!H$111*SUMIF('11.1.Амортиз.нови активи'!$B$60:$B$107,$B48,'11.1.Амортиз.нови активи'!AC$60:AC$107))</f>
        <v>0.17957539802726413</v>
      </c>
      <c r="W48" s="898">
        <f>$S48-SUMIF('11.2. Нови активи отч.год.'!$B$61:$B$108,$B48,'11.2. Нови активи отч.год.'!$S$61:$S$108)+SUMIF('11.2. Нови активи отч.год.'!$B$61:$B$108,$B48,'11.2. Нови активи отч.год.'!W$61:W$108)+SUMIF('11.1.Амортиз.нови активи'!$B$60:$B$107,$B48,'11.1.Амортиз.нови активи'!W$60:W$107)+('11.1.Амортиз.нови активи'!I$111*SUMIF('11.1.Амортиз.нови активи'!$B$60:$B$107,$B48,'11.1.Амортиз.нови активи'!AD$60:AD$107))</f>
        <v>0.37073926941386193</v>
      </c>
      <c r="X48" s="898">
        <f>$S48-SUMIF('11.2. Нови активи отч.год.'!$B$61:$B$108,$B48,'11.2. Нови активи отч.год.'!$S$61:$S$108)+SUMIF('11.2. Нови активи отч.год.'!$B$61:$B$108,$B48,'11.2. Нови активи отч.год.'!X$61:X$108)+SUMIF('11.1.Амортиз.нови активи'!$B$60:$B$107,$B48,'11.1.Амортиз.нови активи'!X$60:X$107)+('11.1.Амортиз.нови активи'!J$111*SUMIF('11.1.Амортиз.нови активи'!$B$60:$B$107,$B48,'11.1.Амортиз.нови активи'!AE$60:AE$107))</f>
        <v>0.59831119716677972</v>
      </c>
      <c r="Y48" s="899">
        <f>$S48-SUMIF('11.2. Нови активи отч.год.'!$B$61:$B$108,$B48,'11.2. Нови активи отч.год.'!$S$61:$S$108)+SUMIF('11.2. Нови активи отч.год.'!$B$61:$B$108,$B48,'11.2. Нови активи отч.год.'!Y$61:Y$108)+SUMIF('11.1.Амортиз.нови активи'!$B$60:$B$107,$B48,'11.1.Амортиз.нови активи'!Y$60:Y$107)+('11.1.Амортиз.нови активи'!K$111*SUMIF('11.1.Амортиз.нови активи'!$B$60:$B$107,$B48,'11.1.Амортиз.нови активи'!AF$60:AF$107))</f>
        <v>0.82550661624670818</v>
      </c>
      <c r="Z48" s="1671"/>
      <c r="AA48" s="1702"/>
    </row>
    <row r="49" spans="1:28">
      <c r="A49" s="1686">
        <v>7</v>
      </c>
      <c r="B49" s="1688">
        <v>20601</v>
      </c>
      <c r="C49" s="1679">
        <v>0.1</v>
      </c>
      <c r="D49" s="1625" t="s">
        <v>766</v>
      </c>
      <c r="E49" s="2750">
        <v>2.8191212990712025</v>
      </c>
      <c r="F49" s="897">
        <f>$E49-SUMIF('11.2. Нови активи отч.год.'!$B$61:$B$108,$B49,'11.2. Нови активи отч.год.'!$E$61:$E$108)+SUMIF('11.2. Нови активи отч.год.'!$B$61:$B$108,$B49,'11.2. Нови активи отч.год.'!F$61:F$108)+SUMIF('11.1.Амортиз.нови активи'!$B$60:$B$107,$B49,'11.1.Амортиз.нови активи'!F$60:F$107)+('11.1.Амортиз.нови активи'!F$109*SUMIF('11.1.Амортиз.нови активи'!$B$60:$B$107,$B49,'11.1.Амортиз.нови активи'!AA$60:AA$107))</f>
        <v>2.8191212990712025</v>
      </c>
      <c r="G49" s="898">
        <f>$E49-SUMIF('11.2. Нови активи отч.год.'!$B$61:$B$108,$B49,'11.2. Нови активи отч.год.'!$E$61:$E$108)+SUMIF('11.2. Нови активи отч.год.'!$B$61:$B$108,$B49,'11.2. Нови активи отч.год.'!G$61:G$108)+SUMIF('11.1.Амортиз.нови активи'!$B$60:$B$107,$B49,'11.1.Амортиз.нови активи'!G$60:G$107)+('11.1.Амортиз.нови активи'!G$109*SUMIF('11.1.Амортиз.нови активи'!$B$60:$B$107,$B49,'11.1.Амортиз.нови активи'!AB$60:AB$107))</f>
        <v>2.8191212990712025</v>
      </c>
      <c r="H49" s="898">
        <f>$E49-SUMIF('11.2. Нови активи отч.год.'!$B$61:$B$108,$B49,'11.2. Нови активи отч.год.'!$E$61:$E$108)+SUMIF('11.2. Нови активи отч.год.'!$B$61:$B$108,$B49,'11.2. Нови активи отч.год.'!H$61:H$108)+SUMIF('11.1.Амортиз.нови активи'!$B$60:$B$107,$B49,'11.1.Амортиз.нови активи'!H$60:H$107)+('11.1.Амортиз.нови активи'!H$109*SUMIF('11.1.Амортиз.нови активи'!$B$60:$B$107,$B49,'11.1.Амортиз.нови активи'!AC$60:AC$107))</f>
        <v>0.24732293916404041</v>
      </c>
      <c r="I49" s="898">
        <f>$E49-SUMIF('11.2. Нови активи отч.год.'!$B$61:$B$108,$B49,'11.2. Нови активи отч.год.'!$E$61:$E$108)+SUMIF('11.2. Нови активи отч.год.'!$B$61:$B$108,$B49,'11.2. Нови активи отч.год.'!I$61:I$108)+SUMIF('11.1.Амортиз.нови активи'!$B$60:$B$107,$B49,'11.1.Амортиз.нови активи'!I$60:I$107)+('11.1.Амортиз.нови активи'!I$109*SUMIF('11.1.Амортиз.нови активи'!$B$60:$B$107,$B49,'11.1.Амортиз.нови активи'!AD$60:AD$107))</f>
        <v>1.0283893772753789</v>
      </c>
      <c r="J49" s="898">
        <f>$E49-SUMIF('11.2. Нови активи отч.год.'!$B$61:$B$108,$B49,'11.2. Нови активи отч.год.'!$E$61:$E$108)+SUMIF('11.2. Нови активи отч.год.'!$B$61:$B$108,$B49,'11.2. Нови активи отч.год.'!J$61:J$108)+SUMIF('11.1.Амортиз.нови активи'!$B$60:$B$107,$B49,'11.1.Амортиз.нови активи'!J$60:J$107)+('11.1.Амортиз.нови активи'!J$109*SUMIF('11.1.Амортиз.нови активи'!$B$60:$B$107,$B49,'11.1.Амортиз.нови активи'!AE$60:AE$107))</f>
        <v>1.7497243393807675</v>
      </c>
      <c r="K49" s="899">
        <f>$E49-SUMIF('11.2. Нови активи отч.год.'!$B$61:$B$108,$B49,'11.2. Нови активи отч.год.'!$E$61:$E$108)+SUMIF('11.2. Нови активи отч.год.'!$B$61:$B$108,$B49,'11.2. Нови активи отч.год.'!K$61:K$108)+SUMIF('11.1.Амортиз.нови активи'!$B$60:$B$107,$B49,'11.1.Амортиз.нови активи'!K$60:K$107)+('11.1.Амортиз.нови активи'!K$109*SUMIF('11.1.Амортиз.нови активи'!$B$60:$B$107,$B49,'11.1.Амортиз.нови активи'!AF$60:AF$107))</f>
        <v>2.4570003423028748</v>
      </c>
      <c r="L49" s="2750">
        <v>0.42973640300346699</v>
      </c>
      <c r="M49" s="897">
        <f>$L49-SUMIF('11.2. Нови активи отч.год.'!$B$61:$B$108,$B49,'11.2. Нови активи отч.год.'!$L$61:$L$108)+SUMIF('11.2. Нови активи отч.год.'!$B$61:$B$108,$B49,'11.2. Нови активи отч.год.'!M$61:M$108)+SUMIF('11.1.Амортиз.нови активи'!$B$60:$B$107,$B49,'11.1.Амортиз.нови активи'!M$60:M$107)+('11.1.Амортиз.нови активи'!F$110*SUMIF('11.1.Амортиз.нови активи'!$B$60:$B$107,$B49,'11.1.Амортиз.нови активи'!AA$60:AA$107))</f>
        <v>0.42973640300346699</v>
      </c>
      <c r="N49" s="898">
        <f>$L49-SUMIF('11.2. Нови активи отч.год.'!$B$61:$B$108,$B49,'11.2. Нови активи отч.год.'!$L$61:$L$108)+SUMIF('11.2. Нови активи отч.год.'!$B$61:$B$108,$B49,'11.2. Нови активи отч.год.'!N$61:N$108)+SUMIF('11.1.Амортиз.нови активи'!$B$60:$B$107,$B49,'11.1.Амортиз.нови активи'!N$60:N$107)+('11.1.Амортиз.нови активи'!G$110*SUMIF('11.1.Амортиз.нови активи'!$B$60:$B$107,$B49,'11.1.Амортиз.нови активи'!AB$60:AB$107))</f>
        <v>0.42973640300346699</v>
      </c>
      <c r="O49" s="898">
        <f>$L49-SUMIF('11.2. Нови активи отч.год.'!$B$61:$B$108,$B49,'11.2. Нови активи отч.год.'!$L$61:$L$108)+SUMIF('11.2. Нови активи отч.год.'!$B$61:$B$108,$B49,'11.2. Нови активи отч.год.'!O$61:O$108)+SUMIF('11.1.Амортиз.нови активи'!$B$60:$B$107,$B49,'11.1.Амортиз.нови активи'!O$60:O$107)+('11.1.Амортиз.нови активи'!H$110*SUMIF('11.1.Амортиз.нови активи'!$B$60:$B$107,$B49,'11.1.Амортиз.нови активи'!AC$60:AC$107))</f>
        <v>-5.234272636370535E-2</v>
      </c>
      <c r="P49" s="898">
        <f>$L49-SUMIF('11.2. Нови активи отч.год.'!$B$61:$B$108,$B49,'11.2. Нови активи отч.год.'!$L$61:$L$108)+SUMIF('11.2. Нови активи отч.год.'!$B$61:$B$108,$B49,'11.2. Нови активи отч.год.'!P$61:P$108)+SUMIF('11.1.Амортиз.нови активи'!$B$60:$B$107,$B49,'11.1.Амортиз.нови активи'!P$60:P$107)+('11.1.Амортиз.нови активи'!I$110*SUMIF('11.1.Амортиз.нови активи'!$B$60:$B$107,$B49,'11.1.Амортиз.нови активи'!AD$60:AD$107))</f>
        <v>8.7905212735299304E-3</v>
      </c>
      <c r="Q49" s="898">
        <f>$L49-SUMIF('11.2. Нови активи отч.год.'!$B$61:$B$108,$B49,'11.2. Нови активи отч.год.'!$L$61:$L$108)+SUMIF('11.2. Нови активи отч.год.'!$B$61:$B$108,$B49,'11.2. Нови активи отч.год.'!Q$61:Q$108)+SUMIF('11.1.Амортиз.нови активи'!$B$60:$B$107,$B49,'11.1.Амортиз.нови активи'!Q$60:Q$107)+('11.1.Амортиз.нови активи'!J$110*SUMIF('11.1.Амортиз.нови активи'!$B$60:$B$107,$B49,'11.1.Амортиз.нови активи'!AE$60:AE$107))</f>
        <v>8.4584600577816971E-2</v>
      </c>
      <c r="R49" s="899">
        <f>$L49-SUMIF('11.2. Нови активи отч.год.'!$B$61:$B$108,$B49,'11.2. Нови активи отч.год.'!$L$61:$L$108)+SUMIF('11.2. Нови активи отч.год.'!$B$61:$B$108,$B49,'11.2. Нови активи отч.год.'!R$61:R$108)+SUMIF('11.1.Амортиз.нови активи'!$B$60:$B$107,$B49,'11.1.Амортиз.нови активи'!R$60:R$107)+('11.1.Амортиз.нови активи'!K$110*SUMIF('11.1.Амортиз.нови активи'!$B$60:$B$107,$B49,'11.1.Амортиз.нови активи'!AF$60:AF$107))</f>
        <v>0.16375227062766906</v>
      </c>
      <c r="S49" s="2750">
        <v>0.93758778144699972</v>
      </c>
      <c r="T49" s="897">
        <f>$S49-SUMIF('11.2. Нови активи отч.год.'!$B$61:$B$108,$B49,'11.2. Нови активи отч.год.'!$S$61:$S$108)+SUMIF('11.2. Нови активи отч.год.'!$B$61:$B$108,$B49,'11.2. Нови активи отч.год.'!T$61:T$108)+SUMIF('11.1.Амортиз.нови активи'!$B$60:$B$107,$B49,'11.1.Амортиз.нови активи'!T$60:T$107)+('11.1.Амортиз.нови активи'!F$111*SUMIF('11.1.Амортиз.нови активи'!$B$60:$B$107,$B49,'11.1.Амортиз.нови активи'!AA$60:AA$107))</f>
        <v>0.93758778144699972</v>
      </c>
      <c r="U49" s="898">
        <f>$S49-SUMIF('11.2. Нови активи отч.год.'!$B$61:$B$108,$B49,'11.2. Нови активи отч.год.'!$S$61:$S$108)+SUMIF('11.2. Нови активи отч.год.'!$B$61:$B$108,$B49,'11.2. Нови активи отч.год.'!U$61:U$108)+SUMIF('11.1.Амортиз.нови активи'!$B$60:$B$107,$B49,'11.1.Амортиз.нови активи'!U$60:U$107)+('11.1.Амортиз.нови активи'!G$111*SUMIF('11.1.Амортиз.нови активи'!$B$60:$B$107,$B49,'11.1.Амортиз.нови активи'!AB$60:AB$107))</f>
        <v>0.93758778144699972</v>
      </c>
      <c r="V49" s="898">
        <f>$S49-SUMIF('11.2. Нови активи отч.год.'!$B$61:$B$108,$B49,'11.2. Нови активи отч.год.'!$S$61:$S$108)+SUMIF('11.2. Нови активи отч.год.'!$B$61:$B$108,$B49,'11.2. Нови активи отч.год.'!V$61:V$108)+SUMIF('11.1.Амортиз.нови активи'!$B$60:$B$107,$B49,'11.1.Амортиз.нови активи'!V$60:V$107)+('11.1.Амортиз.нови активи'!H$111*SUMIF('11.1.Амортиз.нови активи'!$B$60:$B$107,$B49,'11.1.Амортиз.нови активи'!AC$60:AC$107))</f>
        <v>0.99146527072133417</v>
      </c>
      <c r="W49" s="898">
        <f>$S49-SUMIF('11.2. Нови активи отч.год.'!$B$61:$B$108,$B49,'11.2. Нови активи отч.год.'!$S$61:$S$108)+SUMIF('11.2. Нови активи отч.год.'!$B$61:$B$108,$B49,'11.2. Нови активи отч.год.'!W$61:W$108)+SUMIF('11.1.Амортиз.нови активи'!$B$60:$B$107,$B49,'11.1.Амортиз.нови активи'!W$60:W$107)+('11.1.Амортиз.нови активи'!I$111*SUMIF('11.1.Амортиз.нови активи'!$B$60:$B$107,$B49,'11.1.Амортиз.нови активи'!AD$60:AD$107))</f>
        <v>1.1492655849727604</v>
      </c>
      <c r="X49" s="898">
        <f>$S49-SUMIF('11.2. Нови активи отч.год.'!$B$61:$B$108,$B49,'11.2. Нови активи отч.год.'!$S$61:$S$108)+SUMIF('11.2. Нови активи отч.год.'!$B$61:$B$108,$B49,'11.2. Нови активи отч.год.'!X$61:X$108)+SUMIF('11.1.Амортиз.нови активи'!$B$60:$B$107,$B49,'11.1.Амортиз.нови активи'!X$60:X$107)+('11.1.Амортиз.нови активи'!J$111*SUMIF('11.1.Амортиз.нови активи'!$B$60:$B$107,$B49,'11.1.Амортиз.нови активи'!AE$60:AE$107))</f>
        <v>0.85213654356308455</v>
      </c>
      <c r="Y49" s="899">
        <f>$S49-SUMIF('11.2. Нови активи отч.год.'!$B$61:$B$108,$B49,'11.2. Нови активи отч.год.'!$S$61:$S$108)+SUMIF('11.2. Нови активи отч.год.'!$B$61:$B$108,$B49,'11.2. Нови активи отч.год.'!Y$61:Y$108)+SUMIF('11.1.Амортиз.нови активи'!$B$60:$B$107,$B49,'11.1.Амортиз.нови активи'!Y$60:Y$107)+('11.1.Амортиз.нови активи'!K$111*SUMIF('11.1.Амортиз.нови активи'!$B$60:$B$107,$B49,'11.1.Амортиз.нови активи'!AF$60:AF$107))</f>
        <v>0.76569287059112545</v>
      </c>
      <c r="Z49" s="1671"/>
      <c r="AA49" s="1702"/>
    </row>
    <row r="50" spans="1:28">
      <c r="A50" s="1689">
        <v>8</v>
      </c>
      <c r="B50" s="1688">
        <v>20602</v>
      </c>
      <c r="C50" s="1679">
        <v>0.1</v>
      </c>
      <c r="D50" s="1625" t="s">
        <v>607</v>
      </c>
      <c r="E50" s="2750">
        <v>1.2587333059963668</v>
      </c>
      <c r="F50" s="897">
        <f>$E50-SUMIF('11.2. Нови активи отч.год.'!$B$61:$B$108,$B50,'11.2. Нови активи отч.год.'!$E$61:$E$108)+SUMIF('11.2. Нови активи отч.год.'!$B$61:$B$108,$B50,'11.2. Нови активи отч.год.'!F$61:F$108)+SUMIF('11.1.Амортиз.нови активи'!$B$60:$B$107,$B50,'11.1.Амортиз.нови активи'!F$60:F$107)+('11.1.Амортиз.нови активи'!F$109*SUMIF('11.1.Амортиз.нови активи'!$B$60:$B$107,$B50,'11.1.Амортиз.нови активи'!AA$60:AA$107))</f>
        <v>0.40873330599636659</v>
      </c>
      <c r="G50" s="898">
        <f>$E50-SUMIF('11.2. Нови активи отч.год.'!$B$61:$B$108,$B50,'11.2. Нови активи отч.год.'!$E$61:$E$108)+SUMIF('11.2. Нови активи отч.год.'!$B$61:$B$108,$B50,'11.2. Нови активи отч.год.'!G$61:G$108)+SUMIF('11.1.Амортиз.нови активи'!$B$60:$B$107,$B50,'11.1.Амортиз.нови активи'!G$60:G$107)+('11.1.Амортиз.нови активи'!G$109*SUMIF('11.1.Амортиз.нови активи'!$B$60:$B$107,$B50,'11.1.Амортиз.нови активи'!AB$60:AB$107))</f>
        <v>-0.39126669400363356</v>
      </c>
      <c r="H50" s="898">
        <f>$E50-SUMIF('11.2. Нови активи отч.год.'!$B$61:$B$108,$B50,'11.2. Нови активи отч.год.'!$E$61:$E$108)+SUMIF('11.2. Нови активи отч.год.'!$B$61:$B$108,$B50,'11.2. Нови активи отч.год.'!H$61:H$108)+SUMIF('11.1.Амортиз.нови активи'!$B$60:$B$107,$B50,'11.1.Амортиз.нови активи'!H$60:H$107)+('11.1.Амортиз.нови активи'!H$109*SUMIF('11.1.Амортиз.нови активи'!$B$60:$B$107,$B50,'11.1.Амортиз.нови активи'!AC$60:AC$107))</f>
        <v>-0.39126669400363356</v>
      </c>
      <c r="I50" s="898">
        <f>$E50-SUMIF('11.2. Нови активи отч.год.'!$B$61:$B$108,$B50,'11.2. Нови активи отч.год.'!$E$61:$E$108)+SUMIF('11.2. Нови активи отч.год.'!$B$61:$B$108,$B50,'11.2. Нови активи отч.год.'!I$61:I$108)+SUMIF('11.1.Амортиз.нови активи'!$B$60:$B$107,$B50,'11.1.Амортиз.нови активи'!I$60:I$107)+('11.1.Амортиз.нови активи'!I$109*SUMIF('11.1.Амортиз.нови активи'!$B$60:$B$107,$B50,'11.1.Амортиз.нови активи'!AD$60:AD$107))</f>
        <v>-0.39126669400363356</v>
      </c>
      <c r="J50" s="898">
        <f>$E50-SUMIF('11.2. Нови активи отч.год.'!$B$61:$B$108,$B50,'11.2. Нови активи отч.год.'!$E$61:$E$108)+SUMIF('11.2. Нови активи отч.год.'!$B$61:$B$108,$B50,'11.2. Нови активи отч.год.'!J$61:J$108)+SUMIF('11.1.Амортиз.нови активи'!$B$60:$B$107,$B50,'11.1.Амортиз.нови активи'!J$60:J$107)+('11.1.Амортиз.нови активи'!J$109*SUMIF('11.1.Амортиз.нови активи'!$B$60:$B$107,$B50,'11.1.Амортиз.нови активи'!AE$60:AE$107))</f>
        <v>-0.39126669400363356</v>
      </c>
      <c r="K50" s="899">
        <f>$E50-SUMIF('11.2. Нови активи отч.год.'!$B$61:$B$108,$B50,'11.2. Нови активи отч.год.'!$E$61:$E$108)+SUMIF('11.2. Нови активи отч.год.'!$B$61:$B$108,$B50,'11.2. Нови активи отч.год.'!K$61:K$108)+SUMIF('11.1.Амортиз.нови активи'!$B$60:$B$107,$B50,'11.1.Амортиз.нови активи'!K$60:K$107)+('11.1.Амортиз.нови активи'!K$109*SUMIF('11.1.Амортиз.нови активи'!$B$60:$B$107,$B50,'11.1.Амортиз.нови активи'!AF$60:AF$107))</f>
        <v>-0.39126669400363356</v>
      </c>
      <c r="L50" s="2750">
        <v>0.1538458431960858</v>
      </c>
      <c r="M50" s="897">
        <f>$L50-SUMIF('11.2. Нови активи отч.год.'!$B$61:$B$108,$B50,'11.2. Нови активи отч.год.'!$L$61:$L$108)+SUMIF('11.2. Нови активи отч.год.'!$B$61:$B$108,$B50,'11.2. Нови активи отч.год.'!M$61:M$108)+SUMIF('11.1.Амортиз.нови активи'!$B$60:$B$107,$B50,'11.1.Амортиз.нови активи'!M$60:M$107)+('11.1.Амортиз.нови активи'!F$110*SUMIF('11.1.Амортиз.нови активи'!$B$60:$B$107,$B50,'11.1.Амортиз.нови активи'!AA$60:AA$107))</f>
        <v>0.1538458431960858</v>
      </c>
      <c r="N50" s="898">
        <f>$L50-SUMIF('11.2. Нови активи отч.год.'!$B$61:$B$108,$B50,'11.2. Нови активи отч.год.'!$L$61:$L$108)+SUMIF('11.2. Нови активи отч.год.'!$B$61:$B$108,$B50,'11.2. Нови активи отч.год.'!N$61:N$108)+SUMIF('11.1.Амортиз.нови активи'!$B$60:$B$107,$B50,'11.1.Амортиз.нови активи'!N$60:N$107)+('11.1.Амортиз.нови активи'!G$110*SUMIF('11.1.Амортиз.нови активи'!$B$60:$B$107,$B50,'11.1.Амортиз.нови активи'!AB$60:AB$107))</f>
        <v>-4.6154156803914215E-2</v>
      </c>
      <c r="O50" s="898">
        <f>$L50-SUMIF('11.2. Нови активи отч.год.'!$B$61:$B$108,$B50,'11.2. Нови активи отч.год.'!$L$61:$L$108)+SUMIF('11.2. Нови активи отч.год.'!$B$61:$B$108,$B50,'11.2. Нови активи отч.год.'!O$61:O$108)+SUMIF('11.1.Амортиз.нови активи'!$B$60:$B$107,$B50,'11.1.Амортиз.нови активи'!O$60:O$107)+('11.1.Амортиз.нови активи'!H$110*SUMIF('11.1.Амортиз.нови активи'!$B$60:$B$107,$B50,'11.1.Амортиз.нови активи'!AC$60:AC$107))</f>
        <v>-4.6154156803914215E-2</v>
      </c>
      <c r="P50" s="898">
        <f>$L50-SUMIF('11.2. Нови активи отч.год.'!$B$61:$B$108,$B50,'11.2. Нови активи отч.год.'!$L$61:$L$108)+SUMIF('11.2. Нови активи отч.год.'!$B$61:$B$108,$B50,'11.2. Нови активи отч.год.'!P$61:P$108)+SUMIF('11.1.Амортиз.нови активи'!$B$60:$B$107,$B50,'11.1.Амортиз.нови активи'!P$60:P$107)+('11.1.Амортиз.нови активи'!I$110*SUMIF('11.1.Амортиз.нови активи'!$B$60:$B$107,$B50,'11.1.Амортиз.нови активи'!AD$60:AD$107))</f>
        <v>-4.6154156803914215E-2</v>
      </c>
      <c r="Q50" s="898">
        <f>$L50-SUMIF('11.2. Нови активи отч.год.'!$B$61:$B$108,$B50,'11.2. Нови активи отч.год.'!$L$61:$L$108)+SUMIF('11.2. Нови активи отч.год.'!$B$61:$B$108,$B50,'11.2. Нови активи отч.год.'!Q$61:Q$108)+SUMIF('11.1.Амортиз.нови активи'!$B$60:$B$107,$B50,'11.1.Амортиз.нови активи'!Q$60:Q$107)+('11.1.Амортиз.нови активи'!J$110*SUMIF('11.1.Амортиз.нови активи'!$B$60:$B$107,$B50,'11.1.Амортиз.нови активи'!AE$60:AE$107))</f>
        <v>-4.6154156803914215E-2</v>
      </c>
      <c r="R50" s="899">
        <f>$L50-SUMIF('11.2. Нови активи отч.год.'!$B$61:$B$108,$B50,'11.2. Нови активи отч.год.'!$L$61:$L$108)+SUMIF('11.2. Нови активи отч.год.'!$B$61:$B$108,$B50,'11.2. Нови активи отч.год.'!R$61:R$108)+SUMIF('11.1.Амортиз.нови активи'!$B$60:$B$107,$B50,'11.1.Амортиз.нови активи'!R$60:R$107)+('11.1.Амортиз.нови активи'!K$110*SUMIF('11.1.Амортиз.нови активи'!$B$60:$B$107,$B50,'11.1.Амортиз.нови активи'!AF$60:AF$107))</f>
        <v>-4.6154156803914215E-2</v>
      </c>
      <c r="S50" s="2750">
        <v>0.11737729134645973</v>
      </c>
      <c r="T50" s="897">
        <f>$S50-SUMIF('11.2. Нови активи отч.год.'!$B$61:$B$108,$B50,'11.2. Нови активи отч.год.'!$S$61:$S$108)+SUMIF('11.2. Нови активи отч.год.'!$B$61:$B$108,$B50,'11.2. Нови активи отч.год.'!T$61:T$108)+SUMIF('11.1.Амортиз.нови активи'!$B$60:$B$107,$B50,'11.1.Амортиз.нови активи'!T$60:T$107)+('11.1.Амортиз.нови активи'!F$111*SUMIF('11.1.Амортиз.нови активи'!$B$60:$B$107,$B50,'11.1.Амортиз.нови активи'!AA$60:AA$107))</f>
        <v>0.11737729134645973</v>
      </c>
      <c r="U50" s="898">
        <f>$S50-SUMIF('11.2. Нови активи отч.год.'!$B$61:$B$108,$B50,'11.2. Нови активи отч.год.'!$S$61:$S$108)+SUMIF('11.2. Нови активи отч.год.'!$B$61:$B$108,$B50,'11.2. Нови активи отч.год.'!U$61:U$108)+SUMIF('11.1.Амортиз.нови активи'!$B$60:$B$107,$B50,'11.1.Амортиз.нови активи'!U$60:U$107)+('11.1.Амортиз.нови активи'!G$111*SUMIF('11.1.Амортиз.нови активи'!$B$60:$B$107,$B50,'11.1.Амортиз.нови активи'!AB$60:AB$107))</f>
        <v>0.11737729134645973</v>
      </c>
      <c r="V50" s="898">
        <f>$S50-SUMIF('11.2. Нови активи отч.год.'!$B$61:$B$108,$B50,'11.2. Нови активи отч.год.'!$S$61:$S$108)+SUMIF('11.2. Нови активи отч.год.'!$B$61:$B$108,$B50,'11.2. Нови активи отч.год.'!V$61:V$108)+SUMIF('11.1.Амортиз.нови активи'!$B$60:$B$107,$B50,'11.1.Амортиз.нови активи'!V$60:V$107)+('11.1.Амортиз.нови активи'!H$111*SUMIF('11.1.Амортиз.нови активи'!$B$60:$B$107,$B50,'11.1.Амортиз.нови активи'!AC$60:AC$107))</f>
        <v>0.11737729134645973</v>
      </c>
      <c r="W50" s="898">
        <f>$S50-SUMIF('11.2. Нови активи отч.год.'!$B$61:$B$108,$B50,'11.2. Нови активи отч.год.'!$S$61:$S$108)+SUMIF('11.2. Нови активи отч.год.'!$B$61:$B$108,$B50,'11.2. Нови активи отч.год.'!W$61:W$108)+SUMIF('11.1.Амортиз.нови активи'!$B$60:$B$107,$B50,'11.1.Амортиз.нови активи'!W$60:W$107)+('11.1.Амортиз.нови активи'!I$111*SUMIF('11.1.Амортиз.нови активи'!$B$60:$B$107,$B50,'11.1.Амортиз.нови активи'!AD$60:AD$107))</f>
        <v>0.11737729134645973</v>
      </c>
      <c r="X50" s="898">
        <f>$S50-SUMIF('11.2. Нови активи отч.год.'!$B$61:$B$108,$B50,'11.2. Нови активи отч.год.'!$S$61:$S$108)+SUMIF('11.2. Нови активи отч.год.'!$B$61:$B$108,$B50,'11.2. Нови активи отч.год.'!X$61:X$108)+SUMIF('11.1.Амортиз.нови активи'!$B$60:$B$107,$B50,'11.1.Амортиз.нови активи'!X$60:X$107)+('11.1.Амортиз.нови активи'!J$111*SUMIF('11.1.Амортиз.нови активи'!$B$60:$B$107,$B50,'11.1.Амортиз.нови активи'!AE$60:AE$107))</f>
        <v>-0.38262270865354026</v>
      </c>
      <c r="Y50" s="899">
        <f>$S50-SUMIF('11.2. Нови активи отч.год.'!$B$61:$B$108,$B50,'11.2. Нови активи отч.год.'!$S$61:$S$108)+SUMIF('11.2. Нови активи отч.год.'!$B$61:$B$108,$B50,'11.2. Нови активи отч.год.'!Y$61:Y$108)+SUMIF('11.1.Амортиз.нови активи'!$B$60:$B$107,$B50,'11.1.Амортиз.нови активи'!Y$60:Y$107)+('11.1.Амортиз.нови активи'!K$111*SUMIF('11.1.Амортиз.нови активи'!$B$60:$B$107,$B50,'11.1.Амортиз.нови активи'!AF$60:AF$107))</f>
        <v>-0.38262270865354026</v>
      </c>
      <c r="Z50" s="1671"/>
      <c r="AA50" s="1702"/>
    </row>
    <row r="51" spans="1:28">
      <c r="A51" s="1689">
        <v>9</v>
      </c>
      <c r="B51" s="1687">
        <v>20603</v>
      </c>
      <c r="C51" s="1679">
        <v>0.5</v>
      </c>
      <c r="D51" s="1625" t="s">
        <v>1441</v>
      </c>
      <c r="E51" s="2750">
        <v>0</v>
      </c>
      <c r="F51" s="897">
        <f>$E51-SUMIF('11.2. Нови активи отч.год.'!$B$61:$B$108,$B51,'11.2. Нови активи отч.год.'!$E$61:$E$108)+SUMIF('11.2. Нови активи отч.год.'!$B$61:$B$108,$B51,'11.2. Нови активи отч.год.'!F$61:F$108)+SUMIF('11.1.Амортиз.нови активи'!$B$60:$B$107,$B51,'11.1.Амортиз.нови активи'!F$60:F$107)+('11.1.Амортиз.нови активи'!F$109*SUMIF('11.1.Амортиз.нови активи'!$B$60:$B$107,$B51,'11.1.Амортиз.нови активи'!AA$60:AA$107))</f>
        <v>0</v>
      </c>
      <c r="G51" s="898">
        <f>$E51-SUMIF('11.2. Нови активи отч.год.'!$B$61:$B$108,$B51,'11.2. Нови активи отч.год.'!$E$61:$E$108)+SUMIF('11.2. Нови активи отч.год.'!$B$61:$B$108,$B51,'11.2. Нови активи отч.год.'!G$61:G$108)+SUMIF('11.1.Амортиз.нови активи'!$B$60:$B$107,$B51,'11.1.Амортиз.нови активи'!G$60:G$107)+('11.1.Амортиз.нови активи'!G$109*SUMIF('11.1.Амортиз.нови активи'!$B$60:$B$107,$B51,'11.1.Амортиз.нови активи'!AB$60:AB$107))</f>
        <v>0</v>
      </c>
      <c r="H51" s="898">
        <f>$E51-SUMIF('11.2. Нови активи отч.год.'!$B$61:$B$108,$B51,'11.2. Нови активи отч.год.'!$E$61:$E$108)+SUMIF('11.2. Нови активи отч.год.'!$B$61:$B$108,$B51,'11.2. Нови активи отч.год.'!H$61:H$108)+SUMIF('11.1.Амортиз.нови активи'!$B$60:$B$107,$B51,'11.1.Амортиз.нови активи'!H$60:H$107)+('11.1.Амортиз.нови активи'!H$109*SUMIF('11.1.Амортиз.нови активи'!$B$60:$B$107,$B51,'11.1.Амортиз.нови активи'!AC$60:AC$107))</f>
        <v>0</v>
      </c>
      <c r="I51" s="898">
        <f>$E51-SUMIF('11.2. Нови активи отч.год.'!$B$61:$B$108,$B51,'11.2. Нови активи отч.год.'!$E$61:$E$108)+SUMIF('11.2. Нови активи отч.год.'!$B$61:$B$108,$B51,'11.2. Нови активи отч.год.'!I$61:I$108)+SUMIF('11.1.Амортиз.нови активи'!$B$60:$B$107,$B51,'11.1.Амортиз.нови активи'!I$60:I$107)+('11.1.Амортиз.нови активи'!I$109*SUMIF('11.1.Амортиз.нови активи'!$B$60:$B$107,$B51,'11.1.Амортиз.нови активи'!AD$60:AD$107))</f>
        <v>0</v>
      </c>
      <c r="J51" s="898">
        <f>$E51-SUMIF('11.2. Нови активи отч.год.'!$B$61:$B$108,$B51,'11.2. Нови активи отч.год.'!$E$61:$E$108)+SUMIF('11.2. Нови активи отч.год.'!$B$61:$B$108,$B51,'11.2. Нови активи отч.год.'!J$61:J$108)+SUMIF('11.1.Амортиз.нови активи'!$B$60:$B$107,$B51,'11.1.Амортиз.нови активи'!J$60:J$107)+('11.1.Амортиз.нови активи'!J$109*SUMIF('11.1.Амортиз.нови активи'!$B$60:$B$107,$B51,'11.1.Амортиз.нови активи'!AE$60:AE$107))</f>
        <v>0</v>
      </c>
      <c r="K51" s="899">
        <f>$E51-SUMIF('11.2. Нови активи отч.год.'!$B$61:$B$108,$B51,'11.2. Нови активи отч.год.'!$E$61:$E$108)+SUMIF('11.2. Нови активи отч.год.'!$B$61:$B$108,$B51,'11.2. Нови активи отч.год.'!K$61:K$108)+SUMIF('11.1.Амортиз.нови активи'!$B$60:$B$107,$B51,'11.1.Амортиз.нови активи'!K$60:K$107)+('11.1.Амортиз.нови активи'!K$109*SUMIF('11.1.Амортиз.нови активи'!$B$60:$B$107,$B51,'11.1.Амортиз.нови активи'!AF$60:AF$107))</f>
        <v>0</v>
      </c>
      <c r="L51" s="2750">
        <v>0</v>
      </c>
      <c r="M51" s="897">
        <f>$L51-SUMIF('11.2. Нови активи отч.год.'!$B$61:$B$108,$B51,'11.2. Нови активи отч.год.'!$L$61:$L$108)+SUMIF('11.2. Нови активи отч.год.'!$B$61:$B$108,$B51,'11.2. Нови активи отч.год.'!M$61:M$108)+SUMIF('11.1.Амортиз.нови активи'!$B$60:$B$107,$B51,'11.1.Амортиз.нови активи'!M$60:M$107)+('11.1.Амортиз.нови активи'!F$110*SUMIF('11.1.Амортиз.нови активи'!$B$60:$B$107,$B51,'11.1.Амортиз.нови активи'!AA$60:AA$107))</f>
        <v>0</v>
      </c>
      <c r="N51" s="898">
        <f>$L51-SUMIF('11.2. Нови активи отч.год.'!$B$61:$B$108,$B51,'11.2. Нови активи отч.год.'!$L$61:$L$108)+SUMIF('11.2. Нови активи отч.год.'!$B$61:$B$108,$B51,'11.2. Нови активи отч.год.'!N$61:N$108)+SUMIF('11.1.Амортиз.нови активи'!$B$60:$B$107,$B51,'11.1.Амортиз.нови активи'!N$60:N$107)+('11.1.Амортиз.нови активи'!G$110*SUMIF('11.1.Амортиз.нови активи'!$B$60:$B$107,$B51,'11.1.Амортиз.нови активи'!AB$60:AB$107))</f>
        <v>0</v>
      </c>
      <c r="O51" s="898">
        <f>$L51-SUMIF('11.2. Нови активи отч.год.'!$B$61:$B$108,$B51,'11.2. Нови активи отч.год.'!$L$61:$L$108)+SUMIF('11.2. Нови активи отч.год.'!$B$61:$B$108,$B51,'11.2. Нови активи отч.год.'!O$61:O$108)+SUMIF('11.1.Амортиз.нови активи'!$B$60:$B$107,$B51,'11.1.Амортиз.нови активи'!O$60:O$107)+('11.1.Амортиз.нови активи'!H$110*SUMIF('11.1.Амортиз.нови активи'!$B$60:$B$107,$B51,'11.1.Амортиз.нови активи'!AC$60:AC$107))</f>
        <v>0</v>
      </c>
      <c r="P51" s="898">
        <f>$L51-SUMIF('11.2. Нови активи отч.год.'!$B$61:$B$108,$B51,'11.2. Нови активи отч.год.'!$L$61:$L$108)+SUMIF('11.2. Нови активи отч.год.'!$B$61:$B$108,$B51,'11.2. Нови активи отч.год.'!P$61:P$108)+SUMIF('11.1.Амортиз.нови активи'!$B$60:$B$107,$B51,'11.1.Амортиз.нови активи'!P$60:P$107)+('11.1.Амортиз.нови активи'!I$110*SUMIF('11.1.Амортиз.нови активи'!$B$60:$B$107,$B51,'11.1.Амортиз.нови активи'!AD$60:AD$107))</f>
        <v>0</v>
      </c>
      <c r="Q51" s="898">
        <f>$L51-SUMIF('11.2. Нови активи отч.год.'!$B$61:$B$108,$B51,'11.2. Нови активи отч.год.'!$L$61:$L$108)+SUMIF('11.2. Нови активи отч.год.'!$B$61:$B$108,$B51,'11.2. Нови активи отч.год.'!Q$61:Q$108)+SUMIF('11.1.Амортиз.нови активи'!$B$60:$B$107,$B51,'11.1.Амортиз.нови активи'!Q$60:Q$107)+('11.1.Амортиз.нови активи'!J$110*SUMIF('11.1.Амортиз.нови активи'!$B$60:$B$107,$B51,'11.1.Амортиз.нови активи'!AE$60:AE$107))</f>
        <v>0</v>
      </c>
      <c r="R51" s="899">
        <f>$L51-SUMIF('11.2. Нови активи отч.год.'!$B$61:$B$108,$B51,'11.2. Нови активи отч.год.'!$L$61:$L$108)+SUMIF('11.2. Нови активи отч.год.'!$B$61:$B$108,$B51,'11.2. Нови активи отч.год.'!R$61:R$108)+SUMIF('11.1.Амортиз.нови активи'!$B$60:$B$107,$B51,'11.1.Амортиз.нови активи'!R$60:R$107)+('11.1.Амортиз.нови активи'!K$110*SUMIF('11.1.Амортиз.нови активи'!$B$60:$B$107,$B51,'11.1.Амортиз.нови активи'!AF$60:AF$107))</f>
        <v>0</v>
      </c>
      <c r="S51" s="2750">
        <v>0</v>
      </c>
      <c r="T51" s="897">
        <f>$S51-SUMIF('11.2. Нови активи отч.год.'!$B$61:$B$108,$B51,'11.2. Нови активи отч.год.'!$S$61:$S$108)+SUMIF('11.2. Нови активи отч.год.'!$B$61:$B$108,$B51,'11.2. Нови активи отч.год.'!T$61:T$108)+SUMIF('11.1.Амортиз.нови активи'!$B$60:$B$107,$B51,'11.1.Амортиз.нови активи'!T$60:T$107)+('11.1.Амортиз.нови активи'!F$111*SUMIF('11.1.Амортиз.нови активи'!$B$60:$B$107,$B51,'11.1.Амортиз.нови активи'!AA$60:AA$107))</f>
        <v>0</v>
      </c>
      <c r="U51" s="898">
        <f>$S51-SUMIF('11.2. Нови активи отч.год.'!$B$61:$B$108,$B51,'11.2. Нови активи отч.год.'!$S$61:$S$108)+SUMIF('11.2. Нови активи отч.год.'!$B$61:$B$108,$B51,'11.2. Нови активи отч.год.'!U$61:U$108)+SUMIF('11.1.Амортиз.нови активи'!$B$60:$B$107,$B51,'11.1.Амортиз.нови активи'!U$60:U$107)+('11.1.Амортиз.нови активи'!G$111*SUMIF('11.1.Амортиз.нови активи'!$B$60:$B$107,$B51,'11.1.Амортиз.нови активи'!AB$60:AB$107))</f>
        <v>0</v>
      </c>
      <c r="V51" s="898">
        <f>$S51-SUMIF('11.2. Нови активи отч.год.'!$B$61:$B$108,$B51,'11.2. Нови активи отч.год.'!$S$61:$S$108)+SUMIF('11.2. Нови активи отч.год.'!$B$61:$B$108,$B51,'11.2. Нови активи отч.год.'!V$61:V$108)+SUMIF('11.1.Амортиз.нови активи'!$B$60:$B$107,$B51,'11.1.Амортиз.нови активи'!V$60:V$107)+('11.1.Амортиз.нови активи'!H$111*SUMIF('11.1.Амортиз.нови активи'!$B$60:$B$107,$B51,'11.1.Амортиз.нови активи'!AC$60:AC$107))</f>
        <v>0</v>
      </c>
      <c r="W51" s="898">
        <f>$S51-SUMIF('11.2. Нови активи отч.год.'!$B$61:$B$108,$B51,'11.2. Нови активи отч.год.'!$S$61:$S$108)+SUMIF('11.2. Нови активи отч.год.'!$B$61:$B$108,$B51,'11.2. Нови активи отч.год.'!W$61:W$108)+SUMIF('11.1.Амортиз.нови активи'!$B$60:$B$107,$B51,'11.1.Амортиз.нови активи'!W$60:W$107)+('11.1.Амортиз.нови активи'!I$111*SUMIF('11.1.Амортиз.нови активи'!$B$60:$B$107,$B51,'11.1.Амортиз.нови активи'!AD$60:AD$107))</f>
        <v>0</v>
      </c>
      <c r="X51" s="898">
        <f>$S51-SUMIF('11.2. Нови активи отч.год.'!$B$61:$B$108,$B51,'11.2. Нови активи отч.год.'!$S$61:$S$108)+SUMIF('11.2. Нови активи отч.год.'!$B$61:$B$108,$B51,'11.2. Нови активи отч.год.'!X$61:X$108)+SUMIF('11.1.Амортиз.нови активи'!$B$60:$B$107,$B51,'11.1.Амортиз.нови активи'!X$60:X$107)+('11.1.Амортиз.нови активи'!J$111*SUMIF('11.1.Амортиз.нови активи'!$B$60:$B$107,$B51,'11.1.Амортиз.нови активи'!AE$60:AE$107))</f>
        <v>0</v>
      </c>
      <c r="Y51" s="899">
        <f>$S51-SUMIF('11.2. Нови активи отч.год.'!$B$61:$B$108,$B51,'11.2. Нови активи отч.год.'!$S$61:$S$108)+SUMIF('11.2. Нови активи отч.год.'!$B$61:$B$108,$B51,'11.2. Нови активи отч.год.'!Y$61:Y$108)+SUMIF('11.1.Амортиз.нови активи'!$B$60:$B$107,$B51,'11.1.Амортиз.нови активи'!Y$60:Y$107)+('11.1.Амортиз.нови активи'!K$111*SUMIF('11.1.Амортиз.нови активи'!$B$60:$B$107,$B51,'11.1.Амортиз.нови активи'!AF$60:AF$107))</f>
        <v>0</v>
      </c>
      <c r="Z51" s="1671"/>
      <c r="AA51" s="1702"/>
    </row>
    <row r="52" spans="1:28">
      <c r="A52" s="1689">
        <v>10</v>
      </c>
      <c r="B52" s="1688">
        <v>209</v>
      </c>
      <c r="C52" s="1670">
        <v>0.1</v>
      </c>
      <c r="D52" s="1625" t="s">
        <v>276</v>
      </c>
      <c r="E52" s="2750">
        <v>0</v>
      </c>
      <c r="F52" s="897">
        <f>$E52-SUMIF('11.2. Нови активи отч.год.'!$B$61:$B$108,$B52,'11.2. Нови активи отч.год.'!$E$61:$E$108)+SUMIF('11.2. Нови активи отч.год.'!$B$61:$B$108,$B52,'11.2. Нови активи отч.год.'!F$61:F$108)+SUMIF('11.1.Амортиз.нови активи'!$B$60:$B$107,$B52,'11.1.Амортиз.нови активи'!F$60:F$107)+('11.1.Амортиз.нови активи'!F$109*SUMIF('11.1.Амортиз.нови активи'!$B$60:$B$107,$B52,'11.1.Амортиз.нови активи'!AA$60:AA$107))</f>
        <v>0</v>
      </c>
      <c r="G52" s="898">
        <f>$E52-SUMIF('11.2. Нови активи отч.год.'!$B$61:$B$108,$B52,'11.2. Нови активи отч.год.'!$E$61:$E$108)+SUMIF('11.2. Нови активи отч.год.'!$B$61:$B$108,$B52,'11.2. Нови активи отч.год.'!G$61:G$108)+SUMIF('11.1.Амортиз.нови активи'!$B$60:$B$107,$B52,'11.1.Амортиз.нови активи'!G$60:G$107)+('11.1.Амортиз.нови активи'!G$109*SUMIF('11.1.Амортиз.нови активи'!$B$60:$B$107,$B52,'11.1.Амортиз.нови активи'!AB$60:AB$107))</f>
        <v>0</v>
      </c>
      <c r="H52" s="898">
        <f>$E52-SUMIF('11.2. Нови активи отч.год.'!$B$61:$B$108,$B52,'11.2. Нови активи отч.год.'!$E$61:$E$108)+SUMIF('11.2. Нови активи отч.год.'!$B$61:$B$108,$B52,'11.2. Нови активи отч.год.'!H$61:H$108)+SUMIF('11.1.Амортиз.нови активи'!$B$60:$B$107,$B52,'11.1.Амортиз.нови активи'!H$60:H$107)+('11.1.Амортиз.нови активи'!H$109*SUMIF('11.1.Амортиз.нови активи'!$B$60:$B$107,$B52,'11.1.Амортиз.нови активи'!AC$60:AC$107))</f>
        <v>0</v>
      </c>
      <c r="I52" s="898">
        <f>$E52-SUMIF('11.2. Нови активи отч.год.'!$B$61:$B$108,$B52,'11.2. Нови активи отч.год.'!$E$61:$E$108)+SUMIF('11.2. Нови активи отч.год.'!$B$61:$B$108,$B52,'11.2. Нови активи отч.год.'!I$61:I$108)+SUMIF('11.1.Амортиз.нови активи'!$B$60:$B$107,$B52,'11.1.Амортиз.нови активи'!I$60:I$107)+('11.1.Амортиз.нови активи'!I$109*SUMIF('11.1.Амортиз.нови активи'!$B$60:$B$107,$B52,'11.1.Амортиз.нови активи'!AD$60:AD$107))</f>
        <v>0</v>
      </c>
      <c r="J52" s="898">
        <f>$E52-SUMIF('11.2. Нови активи отч.год.'!$B$61:$B$108,$B52,'11.2. Нови активи отч.год.'!$E$61:$E$108)+SUMIF('11.2. Нови активи отч.год.'!$B$61:$B$108,$B52,'11.2. Нови активи отч.год.'!J$61:J$108)+SUMIF('11.1.Амортиз.нови активи'!$B$60:$B$107,$B52,'11.1.Амортиз.нови активи'!J$60:J$107)+('11.1.Амортиз.нови активи'!J$109*SUMIF('11.1.Амортиз.нови активи'!$B$60:$B$107,$B52,'11.1.Амортиз.нови активи'!AE$60:AE$107))</f>
        <v>0</v>
      </c>
      <c r="K52" s="899">
        <f>$E52-SUMIF('11.2. Нови активи отч.год.'!$B$61:$B$108,$B52,'11.2. Нови активи отч.год.'!$E$61:$E$108)+SUMIF('11.2. Нови активи отч.год.'!$B$61:$B$108,$B52,'11.2. Нови активи отч.год.'!K$61:K$108)+SUMIF('11.1.Амортиз.нови активи'!$B$60:$B$107,$B52,'11.1.Амортиз.нови активи'!K$60:K$107)+('11.1.Амортиз.нови активи'!K$109*SUMIF('11.1.Амортиз.нови активи'!$B$60:$B$107,$B52,'11.1.Амортиз.нови активи'!AF$60:AF$107))</f>
        <v>0</v>
      </c>
      <c r="L52" s="2750">
        <v>0</v>
      </c>
      <c r="M52" s="897">
        <f>$L52-SUMIF('11.2. Нови активи отч.год.'!$B$61:$B$108,$B52,'11.2. Нови активи отч.год.'!$L$61:$L$108)+SUMIF('11.2. Нови активи отч.год.'!$B$61:$B$108,$B52,'11.2. Нови активи отч.год.'!M$61:M$108)+SUMIF('11.1.Амортиз.нови активи'!$B$60:$B$107,$B52,'11.1.Амортиз.нови активи'!M$60:M$107)+('11.1.Амортиз.нови активи'!F$110*SUMIF('11.1.Амортиз.нови активи'!$B$60:$B$107,$B52,'11.1.Амортиз.нови активи'!AA$60:AA$107))</f>
        <v>0</v>
      </c>
      <c r="N52" s="898">
        <f>$L52-SUMIF('11.2. Нови активи отч.год.'!$B$61:$B$108,$B52,'11.2. Нови активи отч.год.'!$L$61:$L$108)+SUMIF('11.2. Нови активи отч.год.'!$B$61:$B$108,$B52,'11.2. Нови активи отч.год.'!N$61:N$108)+SUMIF('11.1.Амортиз.нови активи'!$B$60:$B$107,$B52,'11.1.Амортиз.нови активи'!N$60:N$107)+('11.1.Амортиз.нови активи'!G$110*SUMIF('11.1.Амортиз.нови активи'!$B$60:$B$107,$B52,'11.1.Амортиз.нови активи'!AB$60:AB$107))</f>
        <v>0</v>
      </c>
      <c r="O52" s="898">
        <f>$L52-SUMIF('11.2. Нови активи отч.год.'!$B$61:$B$108,$B52,'11.2. Нови активи отч.год.'!$L$61:$L$108)+SUMIF('11.2. Нови активи отч.год.'!$B$61:$B$108,$B52,'11.2. Нови активи отч.год.'!O$61:O$108)+SUMIF('11.1.Амортиз.нови активи'!$B$60:$B$107,$B52,'11.1.Амортиз.нови активи'!O$60:O$107)+('11.1.Амортиз.нови активи'!H$110*SUMIF('11.1.Амортиз.нови активи'!$B$60:$B$107,$B52,'11.1.Амортиз.нови активи'!AC$60:AC$107))</f>
        <v>0</v>
      </c>
      <c r="P52" s="898">
        <f>$L52-SUMIF('11.2. Нови активи отч.год.'!$B$61:$B$108,$B52,'11.2. Нови активи отч.год.'!$L$61:$L$108)+SUMIF('11.2. Нови активи отч.год.'!$B$61:$B$108,$B52,'11.2. Нови активи отч.год.'!P$61:P$108)+SUMIF('11.1.Амортиз.нови активи'!$B$60:$B$107,$B52,'11.1.Амортиз.нови активи'!P$60:P$107)+('11.1.Амортиз.нови активи'!I$110*SUMIF('11.1.Амортиз.нови активи'!$B$60:$B$107,$B52,'11.1.Амортиз.нови активи'!AD$60:AD$107))</f>
        <v>0</v>
      </c>
      <c r="Q52" s="898">
        <f>$L52-SUMIF('11.2. Нови активи отч.год.'!$B$61:$B$108,$B52,'11.2. Нови активи отч.год.'!$L$61:$L$108)+SUMIF('11.2. Нови активи отч.год.'!$B$61:$B$108,$B52,'11.2. Нови активи отч.год.'!Q$61:Q$108)+SUMIF('11.1.Амортиз.нови активи'!$B$60:$B$107,$B52,'11.1.Амортиз.нови активи'!Q$60:Q$107)+('11.1.Амортиз.нови активи'!J$110*SUMIF('11.1.Амортиз.нови активи'!$B$60:$B$107,$B52,'11.1.Амортиз.нови активи'!AE$60:AE$107))</f>
        <v>0</v>
      </c>
      <c r="R52" s="899">
        <f>$L52-SUMIF('11.2. Нови активи отч.год.'!$B$61:$B$108,$B52,'11.2. Нови активи отч.год.'!$L$61:$L$108)+SUMIF('11.2. Нови активи отч.год.'!$B$61:$B$108,$B52,'11.2. Нови активи отч.год.'!R$61:R$108)+SUMIF('11.1.Амортиз.нови активи'!$B$60:$B$107,$B52,'11.1.Амортиз.нови активи'!R$60:R$107)+('11.1.Амортиз.нови активи'!K$110*SUMIF('11.1.Амортиз.нови активи'!$B$60:$B$107,$B52,'11.1.Амортиз.нови активи'!AF$60:AF$107))</f>
        <v>0</v>
      </c>
      <c r="S52" s="2750">
        <v>0</v>
      </c>
      <c r="T52" s="897">
        <f>$S52-SUMIF('11.2. Нови активи отч.год.'!$B$61:$B$108,$B52,'11.2. Нови активи отч.год.'!$S$61:$S$108)+SUMIF('11.2. Нови активи отч.год.'!$B$61:$B$108,$B52,'11.2. Нови активи отч.год.'!T$61:T$108)+SUMIF('11.1.Амортиз.нови активи'!$B$60:$B$107,$B52,'11.1.Амортиз.нови активи'!T$60:T$107)+('11.1.Амортиз.нови активи'!F$111*SUMIF('11.1.Амортиз.нови активи'!$B$60:$B$107,$B52,'11.1.Амортиз.нови активи'!AA$60:AA$107))</f>
        <v>0</v>
      </c>
      <c r="U52" s="898">
        <f>$S52-SUMIF('11.2. Нови активи отч.год.'!$B$61:$B$108,$B52,'11.2. Нови активи отч.год.'!$S$61:$S$108)+SUMIF('11.2. Нови активи отч.год.'!$B$61:$B$108,$B52,'11.2. Нови активи отч.год.'!U$61:U$108)+SUMIF('11.1.Амортиз.нови активи'!$B$60:$B$107,$B52,'11.1.Амортиз.нови активи'!U$60:U$107)+('11.1.Амортиз.нови активи'!G$111*SUMIF('11.1.Амортиз.нови активи'!$B$60:$B$107,$B52,'11.1.Амортиз.нови активи'!AB$60:AB$107))</f>
        <v>0</v>
      </c>
      <c r="V52" s="898">
        <f>$S52-SUMIF('11.2. Нови активи отч.год.'!$B$61:$B$108,$B52,'11.2. Нови активи отч.год.'!$S$61:$S$108)+SUMIF('11.2. Нови активи отч.год.'!$B$61:$B$108,$B52,'11.2. Нови активи отч.год.'!V$61:V$108)+SUMIF('11.1.Амортиз.нови активи'!$B$60:$B$107,$B52,'11.1.Амортиз.нови активи'!V$60:V$107)+('11.1.Амортиз.нови активи'!H$111*SUMIF('11.1.Амортиз.нови активи'!$B$60:$B$107,$B52,'11.1.Амортиз.нови активи'!AC$60:AC$107))</f>
        <v>0</v>
      </c>
      <c r="W52" s="898">
        <f>$S52-SUMIF('11.2. Нови активи отч.год.'!$B$61:$B$108,$B52,'11.2. Нови активи отч.год.'!$S$61:$S$108)+SUMIF('11.2. Нови активи отч.год.'!$B$61:$B$108,$B52,'11.2. Нови активи отч.год.'!W$61:W$108)+SUMIF('11.1.Амортиз.нови активи'!$B$60:$B$107,$B52,'11.1.Амортиз.нови активи'!W$60:W$107)+('11.1.Амортиз.нови активи'!I$111*SUMIF('11.1.Амортиз.нови активи'!$B$60:$B$107,$B52,'11.1.Амортиз.нови активи'!AD$60:AD$107))</f>
        <v>0</v>
      </c>
      <c r="X52" s="898">
        <f>$S52-SUMIF('11.2. Нови активи отч.год.'!$B$61:$B$108,$B52,'11.2. Нови активи отч.год.'!$S$61:$S$108)+SUMIF('11.2. Нови активи отч.год.'!$B$61:$B$108,$B52,'11.2. Нови активи отч.год.'!X$61:X$108)+SUMIF('11.1.Амортиз.нови активи'!$B$60:$B$107,$B52,'11.1.Амортиз.нови активи'!X$60:X$107)+('11.1.Амортиз.нови активи'!J$111*SUMIF('11.1.Амортиз.нови активи'!$B$60:$B$107,$B52,'11.1.Амортиз.нови активи'!AE$60:AE$107))</f>
        <v>0</v>
      </c>
      <c r="Y52" s="899">
        <f>$S52-SUMIF('11.2. Нови активи отч.год.'!$B$61:$B$108,$B52,'11.2. Нови активи отч.год.'!$S$61:$S$108)+SUMIF('11.2. Нови активи отч.год.'!$B$61:$B$108,$B52,'11.2. Нови активи отч.год.'!Y$61:Y$108)+SUMIF('11.1.Амортиз.нови активи'!$B$60:$B$107,$B52,'11.1.Амортиз.нови активи'!Y$60:Y$107)+('11.1.Амортиз.нови активи'!K$111*SUMIF('11.1.Амортиз.нови активи'!$B$60:$B$107,$B52,'11.1.Амортиз.нови активи'!AF$60:AF$107))</f>
        <v>0</v>
      </c>
      <c r="Z52" s="1671"/>
      <c r="AA52" s="1702"/>
    </row>
    <row r="53" spans="1:28" ht="24">
      <c r="A53" s="1689">
        <v>11</v>
      </c>
      <c r="B53" s="1688">
        <v>207</v>
      </c>
      <c r="C53" s="1670" t="s">
        <v>380</v>
      </c>
      <c r="D53" s="1627" t="s">
        <v>586</v>
      </c>
      <c r="E53" s="2750">
        <v>0</v>
      </c>
      <c r="F53" s="897">
        <f>$E53-SUMIF('11.2. Нови активи отч.год.'!$B$61:$B$108,$B53,'11.2. Нови активи отч.год.'!$E$61:$E$108)+SUMIF('11.2. Нови активи отч.год.'!$B$61:$B$108,$B53,'11.2. Нови активи отч.год.'!F$61:F$108)+SUMIF('11.1.Амортиз.нови активи'!$B$60:$B$107,$B53,'11.1.Амортиз.нови активи'!F$60:F$107)+('11.1.Амортиз.нови активи'!F$109*SUMIF('11.1.Амортиз.нови активи'!$B$60:$B$107,$B53,'11.1.Амортиз.нови активи'!AA$60:AA$107))</f>
        <v>0</v>
      </c>
      <c r="G53" s="898">
        <f>$E53-SUMIF('11.2. Нови активи отч.год.'!$B$61:$B$108,$B53,'11.2. Нови активи отч.год.'!$E$61:$E$108)+SUMIF('11.2. Нови активи отч.год.'!$B$61:$B$108,$B53,'11.2. Нови активи отч.год.'!G$61:G$108)+SUMIF('11.1.Амортиз.нови активи'!$B$60:$B$107,$B53,'11.1.Амортиз.нови активи'!G$60:G$107)+('11.1.Амортиз.нови активи'!G$109*SUMIF('11.1.Амортиз.нови активи'!$B$60:$B$107,$B53,'11.1.Амортиз.нови активи'!AB$60:AB$107))</f>
        <v>0</v>
      </c>
      <c r="H53" s="898">
        <f>$E53-SUMIF('11.2. Нови активи отч.год.'!$B$61:$B$108,$B53,'11.2. Нови активи отч.год.'!$E$61:$E$108)+SUMIF('11.2. Нови активи отч.год.'!$B$61:$B$108,$B53,'11.2. Нови активи отч.год.'!H$61:H$108)+SUMIF('11.1.Амортиз.нови активи'!$B$60:$B$107,$B53,'11.1.Амортиз.нови активи'!H$60:H$107)+('11.1.Амортиз.нови активи'!H$109*SUMIF('11.1.Амортиз.нови активи'!$B$60:$B$107,$B53,'11.1.Амортиз.нови активи'!AC$60:AC$107))</f>
        <v>0</v>
      </c>
      <c r="I53" s="898">
        <f>$E53-SUMIF('11.2. Нови активи отч.год.'!$B$61:$B$108,$B53,'11.2. Нови активи отч.год.'!$E$61:$E$108)+SUMIF('11.2. Нови активи отч.год.'!$B$61:$B$108,$B53,'11.2. Нови активи отч.год.'!I$61:I$108)+SUMIF('11.1.Амортиз.нови активи'!$B$60:$B$107,$B53,'11.1.Амортиз.нови активи'!I$60:I$107)+('11.1.Амортиз.нови активи'!I$109*SUMIF('11.1.Амортиз.нови активи'!$B$60:$B$107,$B53,'11.1.Амортиз.нови активи'!AD$60:AD$107))</f>
        <v>0</v>
      </c>
      <c r="J53" s="898">
        <f>$E53-SUMIF('11.2. Нови активи отч.год.'!$B$61:$B$108,$B53,'11.2. Нови активи отч.год.'!$E$61:$E$108)+SUMIF('11.2. Нови активи отч.год.'!$B$61:$B$108,$B53,'11.2. Нови активи отч.год.'!J$61:J$108)+SUMIF('11.1.Амортиз.нови активи'!$B$60:$B$107,$B53,'11.1.Амортиз.нови активи'!J$60:J$107)+('11.1.Амортиз.нови активи'!J$109*SUMIF('11.1.Амортиз.нови активи'!$B$60:$B$107,$B53,'11.1.Амортиз.нови активи'!AE$60:AE$107))</f>
        <v>0</v>
      </c>
      <c r="K53" s="899">
        <f>$E53-SUMIF('11.2. Нови активи отч.год.'!$B$61:$B$108,$B53,'11.2. Нови активи отч.год.'!$E$61:$E$108)+SUMIF('11.2. Нови активи отч.год.'!$B$61:$B$108,$B53,'11.2. Нови активи отч.год.'!K$61:K$108)+SUMIF('11.1.Амортиз.нови активи'!$B$60:$B$107,$B53,'11.1.Амортиз.нови активи'!K$60:K$107)+('11.1.Амортиз.нови активи'!K$109*SUMIF('11.1.Амортиз.нови активи'!$B$60:$B$107,$B53,'11.1.Амортиз.нови активи'!AF$60:AF$107))</f>
        <v>0</v>
      </c>
      <c r="L53" s="2750">
        <v>0</v>
      </c>
      <c r="M53" s="897">
        <f>$L53-SUMIF('11.2. Нови активи отч.год.'!$B$61:$B$108,$B53,'11.2. Нови активи отч.год.'!$L$61:$L$108)+SUMIF('11.2. Нови активи отч.год.'!$B$61:$B$108,$B53,'11.2. Нови активи отч.год.'!M$61:M$108)+SUMIF('11.1.Амортиз.нови активи'!$B$60:$B$107,$B53,'11.1.Амортиз.нови активи'!M$60:M$107)+('11.1.Амортиз.нови активи'!F$110*SUMIF('11.1.Амортиз.нови активи'!$B$60:$B$107,$B53,'11.1.Амортиз.нови активи'!AA$60:AA$107))</f>
        <v>0</v>
      </c>
      <c r="N53" s="898">
        <f>$L53-SUMIF('11.2. Нови активи отч.год.'!$B$61:$B$108,$B53,'11.2. Нови активи отч.год.'!$L$61:$L$108)+SUMIF('11.2. Нови активи отч.год.'!$B$61:$B$108,$B53,'11.2. Нови активи отч.год.'!N$61:N$108)+SUMIF('11.1.Амортиз.нови активи'!$B$60:$B$107,$B53,'11.1.Амортиз.нови активи'!N$60:N$107)+('11.1.Амортиз.нови активи'!G$110*SUMIF('11.1.Амортиз.нови активи'!$B$60:$B$107,$B53,'11.1.Амортиз.нови активи'!AB$60:AB$107))</f>
        <v>0</v>
      </c>
      <c r="O53" s="898">
        <f>$L53-SUMIF('11.2. Нови активи отч.год.'!$B$61:$B$108,$B53,'11.2. Нови активи отч.год.'!$L$61:$L$108)+SUMIF('11.2. Нови активи отч.год.'!$B$61:$B$108,$B53,'11.2. Нови активи отч.год.'!O$61:O$108)+SUMIF('11.1.Амортиз.нови активи'!$B$60:$B$107,$B53,'11.1.Амортиз.нови активи'!O$60:O$107)+('11.1.Амортиз.нови активи'!H$110*SUMIF('11.1.Амортиз.нови активи'!$B$60:$B$107,$B53,'11.1.Амортиз.нови активи'!AC$60:AC$107))</f>
        <v>0</v>
      </c>
      <c r="P53" s="898">
        <f>$L53-SUMIF('11.2. Нови активи отч.год.'!$B$61:$B$108,$B53,'11.2. Нови активи отч.год.'!$L$61:$L$108)+SUMIF('11.2. Нови активи отч.год.'!$B$61:$B$108,$B53,'11.2. Нови активи отч.год.'!P$61:P$108)+SUMIF('11.1.Амортиз.нови активи'!$B$60:$B$107,$B53,'11.1.Амортиз.нови активи'!P$60:P$107)+('11.1.Амортиз.нови активи'!I$110*SUMIF('11.1.Амортиз.нови активи'!$B$60:$B$107,$B53,'11.1.Амортиз.нови активи'!AD$60:AD$107))</f>
        <v>0</v>
      </c>
      <c r="Q53" s="898">
        <f>$L53-SUMIF('11.2. Нови активи отч.год.'!$B$61:$B$108,$B53,'11.2. Нови активи отч.год.'!$L$61:$L$108)+SUMIF('11.2. Нови активи отч.год.'!$B$61:$B$108,$B53,'11.2. Нови активи отч.год.'!Q$61:Q$108)+SUMIF('11.1.Амортиз.нови активи'!$B$60:$B$107,$B53,'11.1.Амортиз.нови активи'!Q$60:Q$107)+('11.1.Амортиз.нови активи'!J$110*SUMIF('11.1.Амортиз.нови активи'!$B$60:$B$107,$B53,'11.1.Амортиз.нови активи'!AE$60:AE$107))</f>
        <v>0</v>
      </c>
      <c r="R53" s="899">
        <f>$L53-SUMIF('11.2. Нови активи отч.год.'!$B$61:$B$108,$B53,'11.2. Нови активи отч.год.'!$L$61:$L$108)+SUMIF('11.2. Нови активи отч.год.'!$B$61:$B$108,$B53,'11.2. Нови активи отч.год.'!R$61:R$108)+SUMIF('11.1.Амортиз.нови активи'!$B$60:$B$107,$B53,'11.1.Амортиз.нови активи'!R$60:R$107)+('11.1.Амортиз.нови активи'!K$110*SUMIF('11.1.Амортиз.нови активи'!$B$60:$B$107,$B53,'11.1.Амортиз.нови активи'!AF$60:AF$107))</f>
        <v>0</v>
      </c>
      <c r="S53" s="2750">
        <v>0</v>
      </c>
      <c r="T53" s="897">
        <f>$S53-SUMIF('11.2. Нови активи отч.год.'!$B$61:$B$108,$B53,'11.2. Нови активи отч.год.'!$S$61:$S$108)+SUMIF('11.2. Нови активи отч.год.'!$B$61:$B$108,$B53,'11.2. Нови активи отч.год.'!T$61:T$108)+SUMIF('11.1.Амортиз.нови активи'!$B$60:$B$107,$B53,'11.1.Амортиз.нови активи'!T$60:T$107)+('11.1.Амортиз.нови активи'!F$111*SUMIF('11.1.Амортиз.нови активи'!$B$60:$B$107,$B53,'11.1.Амортиз.нови активи'!AA$60:AA$107))</f>
        <v>0</v>
      </c>
      <c r="U53" s="898">
        <f>$S53-SUMIF('11.2. Нови активи отч.год.'!$B$61:$B$108,$B53,'11.2. Нови активи отч.год.'!$S$61:$S$108)+SUMIF('11.2. Нови активи отч.год.'!$B$61:$B$108,$B53,'11.2. Нови активи отч.год.'!U$61:U$108)+SUMIF('11.1.Амортиз.нови активи'!$B$60:$B$107,$B53,'11.1.Амортиз.нови активи'!U$60:U$107)+('11.1.Амортиз.нови активи'!G$111*SUMIF('11.1.Амортиз.нови активи'!$B$60:$B$107,$B53,'11.1.Амортиз.нови активи'!AB$60:AB$107))</f>
        <v>0</v>
      </c>
      <c r="V53" s="898">
        <f>$S53-SUMIF('11.2. Нови активи отч.год.'!$B$61:$B$108,$B53,'11.2. Нови активи отч.год.'!$S$61:$S$108)+SUMIF('11.2. Нови активи отч.год.'!$B$61:$B$108,$B53,'11.2. Нови активи отч.год.'!V$61:V$108)+SUMIF('11.1.Амортиз.нови активи'!$B$60:$B$107,$B53,'11.1.Амортиз.нови активи'!V$60:V$107)+('11.1.Амортиз.нови активи'!H$111*SUMIF('11.1.Амортиз.нови активи'!$B$60:$B$107,$B53,'11.1.Амортиз.нови активи'!AC$60:AC$107))</f>
        <v>0</v>
      </c>
      <c r="W53" s="898">
        <f>$S53-SUMIF('11.2. Нови активи отч.год.'!$B$61:$B$108,$B53,'11.2. Нови активи отч.год.'!$S$61:$S$108)+SUMIF('11.2. Нови активи отч.год.'!$B$61:$B$108,$B53,'11.2. Нови активи отч.год.'!W$61:W$108)+SUMIF('11.1.Амортиз.нови активи'!$B$60:$B$107,$B53,'11.1.Амортиз.нови активи'!W$60:W$107)+('11.1.Амортиз.нови активи'!I$111*SUMIF('11.1.Амортиз.нови активи'!$B$60:$B$107,$B53,'11.1.Амортиз.нови активи'!AD$60:AD$107))</f>
        <v>0</v>
      </c>
      <c r="X53" s="898">
        <f>$S53-SUMIF('11.2. Нови активи отч.год.'!$B$61:$B$108,$B53,'11.2. Нови активи отч.год.'!$S$61:$S$108)+SUMIF('11.2. Нови активи отч.год.'!$B$61:$B$108,$B53,'11.2. Нови активи отч.год.'!X$61:X$108)+SUMIF('11.1.Амортиз.нови активи'!$B$60:$B$107,$B53,'11.1.Амортиз.нови активи'!X$60:X$107)+('11.1.Амортиз.нови активи'!J$111*SUMIF('11.1.Амортиз.нови активи'!$B$60:$B$107,$B53,'11.1.Амортиз.нови активи'!AE$60:AE$107))</f>
        <v>0</v>
      </c>
      <c r="Y53" s="899">
        <f>$S53-SUMIF('11.2. Нови активи отч.год.'!$B$61:$B$108,$B53,'11.2. Нови активи отч.год.'!$S$61:$S$108)+SUMIF('11.2. Нови активи отч.год.'!$B$61:$B$108,$B53,'11.2. Нови активи отч.год.'!Y$61:Y$108)+SUMIF('11.1.Амортиз.нови активи'!$B$60:$B$107,$B53,'11.1.Амортиз.нови активи'!Y$60:Y$107)+('11.1.Амортиз.нови активи'!K$111*SUMIF('11.1.Амортиз.нови активи'!$B$60:$B$107,$B53,'11.1.Амортиз.нови активи'!AF$60:AF$107))</f>
        <v>0</v>
      </c>
      <c r="Z53" s="1671"/>
      <c r="AA53" s="1702"/>
    </row>
    <row r="54" spans="1:28">
      <c r="A54" s="1689">
        <v>12</v>
      </c>
      <c r="B54" s="1687">
        <v>212</v>
      </c>
      <c r="C54" s="1679">
        <v>0.2</v>
      </c>
      <c r="D54" s="1628" t="s">
        <v>277</v>
      </c>
      <c r="E54" s="2750">
        <v>14.9070826113177</v>
      </c>
      <c r="F54" s="897">
        <f>$E54-SUMIF('11.2. Нови активи отч.год.'!$B$61:$B$108,$B54,'11.2. Нови активи отч.год.'!$E$61:$E$108)+SUMIF('11.2. Нови активи отч.год.'!$B$61:$B$108,$B54,'11.2. Нови активи отч.год.'!F$61:F$108)+SUMIF('11.1.Амортиз.нови активи'!$B$60:$B$107,$B54,'11.1.Амортиз.нови активи'!F$60:F$107)+('11.1.Амортиз.нови активи'!F$109*SUMIF('11.1.Амортиз.нови активи'!$B$60:$B$107,$B54,'11.1.Амортиз.нови активи'!AA$60:AA$107))</f>
        <v>14.9070826113177</v>
      </c>
      <c r="G54" s="898">
        <f>$E54-SUMIF('11.2. Нови активи отч.год.'!$B$61:$B$108,$B54,'11.2. Нови активи отч.год.'!$E$61:$E$108)+SUMIF('11.2. Нови активи отч.год.'!$B$61:$B$108,$B54,'11.2. Нови активи отч.год.'!G$61:G$108)+SUMIF('11.1.Амортиз.нови активи'!$B$60:$B$107,$B54,'11.1.Амортиз.нови активи'!G$60:G$107)+('11.1.Амортиз.нови активи'!G$109*SUMIF('11.1.Амортиз.нови активи'!$B$60:$B$107,$B54,'11.1.Амортиз.нови активи'!AB$60:AB$107))</f>
        <v>14.9070826113177</v>
      </c>
      <c r="H54" s="898">
        <f>$E54-SUMIF('11.2. Нови активи отч.год.'!$B$61:$B$108,$B54,'11.2. Нови активи отч.год.'!$E$61:$E$108)+SUMIF('11.2. Нови активи отч.год.'!$B$61:$B$108,$B54,'11.2. Нови активи отч.год.'!H$61:H$108)+SUMIF('11.1.Амортиз.нови активи'!$B$60:$B$107,$B54,'11.1.Амортиз.нови активи'!H$60:H$107)+('11.1.Амортиз.нови активи'!H$109*SUMIF('11.1.Амортиз.нови активи'!$B$60:$B$107,$B54,'11.1.Амортиз.нови активи'!AC$60:AC$107))</f>
        <v>14.9070826113177</v>
      </c>
      <c r="I54" s="898">
        <f>$E54-SUMIF('11.2. Нови активи отч.год.'!$B$61:$B$108,$B54,'11.2. Нови активи отч.год.'!$E$61:$E$108)+SUMIF('11.2. Нови активи отч.год.'!$B$61:$B$108,$B54,'11.2. Нови активи отч.год.'!I$61:I$108)+SUMIF('11.1.Амортиз.нови активи'!$B$60:$B$107,$B54,'11.1.Амортиз.нови активи'!I$60:I$107)+('11.1.Амортиз.нови активи'!I$109*SUMIF('11.1.Амортиз.нови активи'!$B$60:$B$107,$B54,'11.1.Амортиз.нови активи'!AD$60:AD$107))</f>
        <v>14.9070826113177</v>
      </c>
      <c r="J54" s="898">
        <f>$E54-SUMIF('11.2. Нови активи отч.год.'!$B$61:$B$108,$B54,'11.2. Нови активи отч.год.'!$E$61:$E$108)+SUMIF('11.2. Нови активи отч.год.'!$B$61:$B$108,$B54,'11.2. Нови активи отч.год.'!J$61:J$108)+SUMIF('11.1.Амортиз.нови активи'!$B$60:$B$107,$B54,'11.1.Амортиз.нови активи'!J$60:J$107)+('11.1.Амортиз.нови активи'!J$109*SUMIF('11.1.Амортиз.нови активи'!$B$60:$B$107,$B54,'11.1.Амортиз.нови активи'!AE$60:AE$107))</f>
        <v>10.9070826113177</v>
      </c>
      <c r="K54" s="899">
        <f>$E54-SUMIF('11.2. Нови активи отч.год.'!$B$61:$B$108,$B54,'11.2. Нови активи отч.год.'!$E$61:$E$108)+SUMIF('11.2. Нови активи отч.год.'!$B$61:$B$108,$B54,'11.2. Нови активи отч.год.'!K$61:K$108)+SUMIF('11.1.Амортиз.нови активи'!$B$60:$B$107,$B54,'11.1.Амортиз.нови активи'!K$60:K$107)+('11.1.Амортиз.нови активи'!K$109*SUMIF('11.1.Амортиз.нови активи'!$B$60:$B$107,$B54,'11.1.Амортиз.нови активи'!AF$60:AF$107))</f>
        <v>-9.2917388682300484E-2</v>
      </c>
      <c r="L54" s="2750">
        <v>3.9902407799261783</v>
      </c>
      <c r="M54" s="897">
        <f>$L54-SUMIF('11.2. Нови активи отч.год.'!$B$61:$B$108,$B54,'11.2. Нови активи отч.год.'!$L$61:$L$108)+SUMIF('11.2. Нови активи отч.год.'!$B$61:$B$108,$B54,'11.2. Нови активи отч.год.'!M$61:M$108)+SUMIF('11.1.Амортиз.нови активи'!$B$60:$B$107,$B54,'11.1.Амортиз.нови активи'!M$60:M$107)+('11.1.Амортиз.нови активи'!F$110*SUMIF('11.1.Амортиз.нови активи'!$B$60:$B$107,$B54,'11.1.Амортиз.нови активи'!AA$60:AA$107))</f>
        <v>3.9902407799261783</v>
      </c>
      <c r="N54" s="898">
        <f>$L54-SUMIF('11.2. Нови активи отч.год.'!$B$61:$B$108,$B54,'11.2. Нови активи отч.год.'!$L$61:$L$108)+SUMIF('11.2. Нови активи отч.год.'!$B$61:$B$108,$B54,'11.2. Нови активи отч.год.'!N$61:N$108)+SUMIF('11.1.Амортиз.нови активи'!$B$60:$B$107,$B54,'11.1.Амортиз.нови активи'!N$60:N$107)+('11.1.Амортиз.нови активи'!G$110*SUMIF('11.1.Амортиз.нови активи'!$B$60:$B$107,$B54,'11.1.Амортиз.нови активи'!AB$60:AB$107))</f>
        <v>3.9902407799261783</v>
      </c>
      <c r="O54" s="898">
        <f>$L54-SUMIF('11.2. Нови активи отч.год.'!$B$61:$B$108,$B54,'11.2. Нови активи отч.год.'!$L$61:$L$108)+SUMIF('11.2. Нови активи отч.год.'!$B$61:$B$108,$B54,'11.2. Нови активи отч.год.'!O$61:O$108)+SUMIF('11.1.Амортиз.нови активи'!$B$60:$B$107,$B54,'11.1.Амортиз.нови активи'!O$60:O$107)+('11.1.Амортиз.нови активи'!H$110*SUMIF('11.1.Амортиз.нови активи'!$B$60:$B$107,$B54,'11.1.Амортиз.нови активи'!AC$60:AC$107))</f>
        <v>-9.7592200738216839E-3</v>
      </c>
      <c r="P54" s="898">
        <f>$L54-SUMIF('11.2. Нови активи отч.год.'!$B$61:$B$108,$B54,'11.2. Нови активи отч.год.'!$L$61:$L$108)+SUMIF('11.2. Нови активи отч.год.'!$B$61:$B$108,$B54,'11.2. Нови активи отч.год.'!P$61:P$108)+SUMIF('11.1.Амортиз.нови активи'!$B$60:$B$107,$B54,'11.1.Амортиз.нови активи'!P$60:P$107)+('11.1.Амортиз.нови активи'!I$110*SUMIF('11.1.Амортиз.нови активи'!$B$60:$B$107,$B54,'11.1.Амортиз.нови активи'!AD$60:AD$107))</f>
        <v>-9.7592200738216839E-3</v>
      </c>
      <c r="Q54" s="898">
        <f>$L54-SUMIF('11.2. Нови активи отч.год.'!$B$61:$B$108,$B54,'11.2. Нови активи отч.год.'!$L$61:$L$108)+SUMIF('11.2. Нови активи отч.год.'!$B$61:$B$108,$B54,'11.2. Нови активи отч.год.'!Q$61:Q$108)+SUMIF('11.1.Амортиз.нови активи'!$B$60:$B$107,$B54,'11.1.Амортиз.нови активи'!Q$60:Q$107)+('11.1.Амортиз.нови активи'!J$110*SUMIF('11.1.Амортиз.нови активи'!$B$60:$B$107,$B54,'11.1.Амортиз.нови активи'!AE$60:AE$107))</f>
        <v>-9.7592200738216839E-3</v>
      </c>
      <c r="R54" s="899">
        <f>$L54-SUMIF('11.2. Нови активи отч.год.'!$B$61:$B$108,$B54,'11.2. Нови активи отч.год.'!$L$61:$L$108)+SUMIF('11.2. Нови активи отч.год.'!$B$61:$B$108,$B54,'11.2. Нови активи отч.год.'!R$61:R$108)+SUMIF('11.1.Амортиз.нови активи'!$B$60:$B$107,$B54,'11.1.Амортиз.нови активи'!R$60:R$107)+('11.1.Амортиз.нови активи'!K$110*SUMIF('11.1.Амортиз.нови активи'!$B$60:$B$107,$B54,'11.1.Амортиз.нови активи'!AF$60:AF$107))</f>
        <v>-9.7592200738216839E-3</v>
      </c>
      <c r="S54" s="2750">
        <v>1.0083454328108981</v>
      </c>
      <c r="T54" s="897">
        <f>$S54-SUMIF('11.2. Нови активи отч.год.'!$B$61:$B$108,$B54,'11.2. Нови активи отч.год.'!$S$61:$S$108)+SUMIF('11.2. Нови активи отч.год.'!$B$61:$B$108,$B54,'11.2. Нови активи отч.год.'!T$61:T$108)+SUMIF('11.1.Амортиз.нови активи'!$B$60:$B$107,$B54,'11.1.Амортиз.нови активи'!T$60:T$107)+('11.1.Амортиз.нови активи'!F$111*SUMIF('11.1.Амортиз.нови активи'!$B$60:$B$107,$B54,'11.1.Амортиз.нови активи'!AA$60:AA$107))</f>
        <v>1.0083454328108981</v>
      </c>
      <c r="U54" s="898">
        <f>$S54-SUMIF('11.2. Нови активи отч.год.'!$B$61:$B$108,$B54,'11.2. Нови активи отч.год.'!$S$61:$S$108)+SUMIF('11.2. Нови активи отч.год.'!$B$61:$B$108,$B54,'11.2. Нови активи отч.год.'!U$61:U$108)+SUMIF('11.1.Амортиз.нови активи'!$B$60:$B$107,$B54,'11.1.Амортиз.нови активи'!U$60:U$107)+('11.1.Амортиз.нови активи'!G$111*SUMIF('11.1.Амортиз.нови активи'!$B$60:$B$107,$B54,'11.1.Амортиз.нови активи'!AB$60:AB$107))</f>
        <v>8.3454328108980569E-3</v>
      </c>
      <c r="V54" s="898">
        <f>$S54-SUMIF('11.2. Нови активи отч.год.'!$B$61:$B$108,$B54,'11.2. Нови активи отч.год.'!$S$61:$S$108)+SUMIF('11.2. Нови активи отч.год.'!$B$61:$B$108,$B54,'11.2. Нови активи отч.год.'!V$61:V$108)+SUMIF('11.1.Амортиз.нови активи'!$B$60:$B$107,$B54,'11.1.Амортиз.нови активи'!V$60:V$107)+('11.1.Амортиз.нови активи'!H$111*SUMIF('11.1.Амортиз.нови активи'!$B$60:$B$107,$B54,'11.1.Амортиз.нови активи'!AC$60:AC$107))</f>
        <v>8.3454328108980569E-3</v>
      </c>
      <c r="W54" s="898">
        <f>$S54-SUMIF('11.2. Нови активи отч.год.'!$B$61:$B$108,$B54,'11.2. Нови активи отч.год.'!$S$61:$S$108)+SUMIF('11.2. Нови активи отч.год.'!$B$61:$B$108,$B54,'11.2. Нови активи отч.год.'!W$61:W$108)+SUMIF('11.1.Амортиз.нови активи'!$B$60:$B$107,$B54,'11.1.Амортиз.нови активи'!W$60:W$107)+('11.1.Амортиз.нови активи'!I$111*SUMIF('11.1.Амортиз.нови активи'!$B$60:$B$107,$B54,'11.1.Амортиз.нови активи'!AD$60:AD$107))</f>
        <v>8.3454328108980569E-3</v>
      </c>
      <c r="X54" s="898">
        <f>$S54-SUMIF('11.2. Нови активи отч.год.'!$B$61:$B$108,$B54,'11.2. Нови активи отч.год.'!$S$61:$S$108)+SUMIF('11.2. Нови активи отч.год.'!$B$61:$B$108,$B54,'11.2. Нови активи отч.год.'!X$61:X$108)+SUMIF('11.1.Амортиз.нови активи'!$B$60:$B$107,$B54,'11.1.Амортиз.нови активи'!X$60:X$107)+('11.1.Амортиз.нови активи'!J$111*SUMIF('11.1.Амортиз.нови активи'!$B$60:$B$107,$B54,'11.1.Амортиз.нови активи'!AE$60:AE$107))</f>
        <v>8.3454328108980569E-3</v>
      </c>
      <c r="Y54" s="899">
        <f>$S54-SUMIF('11.2. Нови активи отч.год.'!$B$61:$B$108,$B54,'11.2. Нови активи отч.год.'!$S$61:$S$108)+SUMIF('11.2. Нови активи отч.год.'!$B$61:$B$108,$B54,'11.2. Нови активи отч.год.'!Y$61:Y$108)+SUMIF('11.1.Амортиз.нови активи'!$B$60:$B$107,$B54,'11.1.Амортиз.нови активи'!Y$60:Y$107)+('11.1.Амортиз.нови активи'!K$111*SUMIF('11.1.Амортиз.нови активи'!$B$60:$B$107,$B54,'11.1.Амортиз.нови активи'!AF$60:AF$107))</f>
        <v>8.3454328108980569E-3</v>
      </c>
      <c r="Z54" s="1671"/>
      <c r="AA54" s="1702"/>
    </row>
    <row r="55" spans="1:28">
      <c r="A55" s="1689">
        <v>13</v>
      </c>
      <c r="B55" s="1686">
        <v>213</v>
      </c>
      <c r="C55" s="1690">
        <v>0.2</v>
      </c>
      <c r="D55" s="272" t="s">
        <v>278</v>
      </c>
      <c r="E55" s="2750">
        <v>0</v>
      </c>
      <c r="F55" s="897">
        <f>$E55-SUMIF('11.2. Нови активи отч.год.'!$B$61:$B$108,$B55,'11.2. Нови активи отч.год.'!$E$61:$E$108)+SUMIF('11.2. Нови активи отч.год.'!$B$61:$B$108,$B55,'11.2. Нови активи отч.год.'!F$61:F$108)+SUMIF('11.1.Амортиз.нови активи'!$B$60:$B$107,$B55,'11.1.Амортиз.нови активи'!F$60:F$107)+('11.1.Амортиз.нови активи'!F$109*SUMIF('11.1.Амортиз.нови активи'!$B$60:$B$107,$B55,'11.1.Амортиз.нови активи'!AA$60:AA$107))</f>
        <v>0</v>
      </c>
      <c r="G55" s="898">
        <f>$E55-SUMIF('11.2. Нови активи отч.год.'!$B$61:$B$108,$B55,'11.2. Нови активи отч.год.'!$E$61:$E$108)+SUMIF('11.2. Нови активи отч.год.'!$B$61:$B$108,$B55,'11.2. Нови активи отч.год.'!G$61:G$108)+SUMIF('11.1.Амортиз.нови активи'!$B$60:$B$107,$B55,'11.1.Амортиз.нови активи'!G$60:G$107)+('11.1.Амортиз.нови активи'!G$109*SUMIF('11.1.Амортиз.нови активи'!$B$60:$B$107,$B55,'11.1.Амортиз.нови активи'!AB$60:AB$107))</f>
        <v>0</v>
      </c>
      <c r="H55" s="898">
        <f>$E55-SUMIF('11.2. Нови активи отч.год.'!$B$61:$B$108,$B55,'11.2. Нови активи отч.год.'!$E$61:$E$108)+SUMIF('11.2. Нови активи отч.год.'!$B$61:$B$108,$B55,'11.2. Нови активи отч.год.'!H$61:H$108)+SUMIF('11.1.Амортиз.нови активи'!$B$60:$B$107,$B55,'11.1.Амортиз.нови активи'!H$60:H$107)+('11.1.Амортиз.нови активи'!H$109*SUMIF('11.1.Амортиз.нови активи'!$B$60:$B$107,$B55,'11.1.Амортиз.нови активи'!AC$60:AC$107))</f>
        <v>0</v>
      </c>
      <c r="I55" s="898">
        <f>$E55-SUMIF('11.2. Нови активи отч.год.'!$B$61:$B$108,$B55,'11.2. Нови активи отч.год.'!$E$61:$E$108)+SUMIF('11.2. Нови активи отч.год.'!$B$61:$B$108,$B55,'11.2. Нови активи отч.год.'!I$61:I$108)+SUMIF('11.1.Амортиз.нови активи'!$B$60:$B$107,$B55,'11.1.Амортиз.нови активи'!I$60:I$107)+('11.1.Амортиз.нови активи'!I$109*SUMIF('11.1.Амортиз.нови активи'!$B$60:$B$107,$B55,'11.1.Амортиз.нови активи'!AD$60:AD$107))</f>
        <v>0</v>
      </c>
      <c r="J55" s="898">
        <f>$E55-SUMIF('11.2. Нови активи отч.год.'!$B$61:$B$108,$B55,'11.2. Нови активи отч.год.'!$E$61:$E$108)+SUMIF('11.2. Нови активи отч.год.'!$B$61:$B$108,$B55,'11.2. Нови активи отч.год.'!J$61:J$108)+SUMIF('11.1.Амортиз.нови активи'!$B$60:$B$107,$B55,'11.1.Амортиз.нови активи'!J$60:J$107)+('11.1.Амортиз.нови активи'!J$109*SUMIF('11.1.Амортиз.нови активи'!$B$60:$B$107,$B55,'11.1.Амортиз.нови активи'!AE$60:AE$107))</f>
        <v>0</v>
      </c>
      <c r="K55" s="899">
        <f>$E55-SUMIF('11.2. Нови активи отч.год.'!$B$61:$B$108,$B55,'11.2. Нови активи отч.год.'!$E$61:$E$108)+SUMIF('11.2. Нови активи отч.год.'!$B$61:$B$108,$B55,'11.2. Нови активи отч.год.'!K$61:K$108)+SUMIF('11.1.Амортиз.нови активи'!$B$60:$B$107,$B55,'11.1.Амортиз.нови активи'!K$60:K$107)+('11.1.Амортиз.нови активи'!K$109*SUMIF('11.1.Амортиз.нови активи'!$B$60:$B$107,$B55,'11.1.Амортиз.нови активи'!AF$60:AF$107))</f>
        <v>0</v>
      </c>
      <c r="L55" s="2750">
        <v>0</v>
      </c>
      <c r="M55" s="897">
        <f>$L55-SUMIF('11.2. Нови активи отч.год.'!$B$61:$B$108,$B55,'11.2. Нови активи отч.год.'!$L$61:$L$108)+SUMIF('11.2. Нови активи отч.год.'!$B$61:$B$108,$B55,'11.2. Нови активи отч.год.'!M$61:M$108)+SUMIF('11.1.Амортиз.нови активи'!$B$60:$B$107,$B55,'11.1.Амортиз.нови активи'!M$60:M$107)+('11.1.Амортиз.нови активи'!F$110*SUMIF('11.1.Амортиз.нови активи'!$B$60:$B$107,$B55,'11.1.Амортиз.нови активи'!AA$60:AA$107))</f>
        <v>0</v>
      </c>
      <c r="N55" s="898">
        <f>$L55-SUMIF('11.2. Нови активи отч.год.'!$B$61:$B$108,$B55,'11.2. Нови активи отч.год.'!$L$61:$L$108)+SUMIF('11.2. Нови активи отч.год.'!$B$61:$B$108,$B55,'11.2. Нови активи отч.год.'!N$61:N$108)+SUMIF('11.1.Амортиз.нови активи'!$B$60:$B$107,$B55,'11.1.Амортиз.нови активи'!N$60:N$107)+('11.1.Амортиз.нови активи'!G$110*SUMIF('11.1.Амортиз.нови активи'!$B$60:$B$107,$B55,'11.1.Амортиз.нови активи'!AB$60:AB$107))</f>
        <v>0</v>
      </c>
      <c r="O55" s="898">
        <f>$L55-SUMIF('11.2. Нови активи отч.год.'!$B$61:$B$108,$B55,'11.2. Нови активи отч.год.'!$L$61:$L$108)+SUMIF('11.2. Нови активи отч.год.'!$B$61:$B$108,$B55,'11.2. Нови активи отч.год.'!O$61:O$108)+SUMIF('11.1.Амортиз.нови активи'!$B$60:$B$107,$B55,'11.1.Амортиз.нови активи'!O$60:O$107)+('11.1.Амортиз.нови активи'!H$110*SUMIF('11.1.Амортиз.нови активи'!$B$60:$B$107,$B55,'11.1.Амортиз.нови активи'!AC$60:AC$107))</f>
        <v>0</v>
      </c>
      <c r="P55" s="898">
        <f>$L55-SUMIF('11.2. Нови активи отч.год.'!$B$61:$B$108,$B55,'11.2. Нови активи отч.год.'!$L$61:$L$108)+SUMIF('11.2. Нови активи отч.год.'!$B$61:$B$108,$B55,'11.2. Нови активи отч.год.'!P$61:P$108)+SUMIF('11.1.Амортиз.нови активи'!$B$60:$B$107,$B55,'11.1.Амортиз.нови активи'!P$60:P$107)+('11.1.Амортиз.нови активи'!I$110*SUMIF('11.1.Амортиз.нови активи'!$B$60:$B$107,$B55,'11.1.Амортиз.нови активи'!AD$60:AD$107))</f>
        <v>0</v>
      </c>
      <c r="Q55" s="898">
        <f>$L55-SUMIF('11.2. Нови активи отч.год.'!$B$61:$B$108,$B55,'11.2. Нови активи отч.год.'!$L$61:$L$108)+SUMIF('11.2. Нови активи отч.год.'!$B$61:$B$108,$B55,'11.2. Нови активи отч.год.'!Q$61:Q$108)+SUMIF('11.1.Амортиз.нови активи'!$B$60:$B$107,$B55,'11.1.Амортиз.нови активи'!Q$60:Q$107)+('11.1.Амортиз.нови активи'!J$110*SUMIF('11.1.Амортиз.нови активи'!$B$60:$B$107,$B55,'11.1.Амортиз.нови активи'!AE$60:AE$107))</f>
        <v>0</v>
      </c>
      <c r="R55" s="899">
        <f>$L55-SUMIF('11.2. Нови активи отч.год.'!$B$61:$B$108,$B55,'11.2. Нови активи отч.год.'!$L$61:$L$108)+SUMIF('11.2. Нови активи отч.год.'!$B$61:$B$108,$B55,'11.2. Нови активи отч.год.'!R$61:R$108)+SUMIF('11.1.Амортиз.нови активи'!$B$60:$B$107,$B55,'11.1.Амортиз.нови активи'!R$60:R$107)+('11.1.Амортиз.нови активи'!K$110*SUMIF('11.1.Амортиз.нови активи'!$B$60:$B$107,$B55,'11.1.Амортиз.нови активи'!AF$60:AF$107))</f>
        <v>0</v>
      </c>
      <c r="S55" s="2750">
        <v>0</v>
      </c>
      <c r="T55" s="897">
        <f>$S55-SUMIF('11.2. Нови активи отч.год.'!$B$61:$B$108,$B55,'11.2. Нови активи отч.год.'!$S$61:$S$108)+SUMIF('11.2. Нови активи отч.год.'!$B$61:$B$108,$B55,'11.2. Нови активи отч.год.'!T$61:T$108)+SUMIF('11.1.Амортиз.нови активи'!$B$60:$B$107,$B55,'11.1.Амортиз.нови активи'!T$60:T$107)+('11.1.Амортиз.нови активи'!F$111*SUMIF('11.1.Амортиз.нови активи'!$B$60:$B$107,$B55,'11.1.Амортиз.нови активи'!AA$60:AA$107))</f>
        <v>0</v>
      </c>
      <c r="U55" s="898">
        <f>$S55-SUMIF('11.2. Нови активи отч.год.'!$B$61:$B$108,$B55,'11.2. Нови активи отч.год.'!$S$61:$S$108)+SUMIF('11.2. Нови активи отч.год.'!$B$61:$B$108,$B55,'11.2. Нови активи отч.год.'!U$61:U$108)+SUMIF('11.1.Амортиз.нови активи'!$B$60:$B$107,$B55,'11.1.Амортиз.нови активи'!U$60:U$107)+('11.1.Амортиз.нови активи'!G$111*SUMIF('11.1.Амортиз.нови активи'!$B$60:$B$107,$B55,'11.1.Амортиз.нови активи'!AB$60:AB$107))</f>
        <v>0</v>
      </c>
      <c r="V55" s="898">
        <f>$S55-SUMIF('11.2. Нови активи отч.год.'!$B$61:$B$108,$B55,'11.2. Нови активи отч.год.'!$S$61:$S$108)+SUMIF('11.2. Нови активи отч.год.'!$B$61:$B$108,$B55,'11.2. Нови активи отч.год.'!V$61:V$108)+SUMIF('11.1.Амортиз.нови активи'!$B$60:$B$107,$B55,'11.1.Амортиз.нови активи'!V$60:V$107)+('11.1.Амортиз.нови активи'!H$111*SUMIF('11.1.Амортиз.нови активи'!$B$60:$B$107,$B55,'11.1.Амортиз.нови активи'!AC$60:AC$107))</f>
        <v>0</v>
      </c>
      <c r="W55" s="898">
        <f>$S55-SUMIF('11.2. Нови активи отч.год.'!$B$61:$B$108,$B55,'11.2. Нови активи отч.год.'!$S$61:$S$108)+SUMIF('11.2. Нови активи отч.год.'!$B$61:$B$108,$B55,'11.2. Нови активи отч.год.'!W$61:W$108)+SUMIF('11.1.Амортиз.нови активи'!$B$60:$B$107,$B55,'11.1.Амортиз.нови активи'!W$60:W$107)+('11.1.Амортиз.нови активи'!I$111*SUMIF('11.1.Амортиз.нови активи'!$B$60:$B$107,$B55,'11.1.Амортиз.нови активи'!AD$60:AD$107))</f>
        <v>0</v>
      </c>
      <c r="X55" s="898">
        <f>$S55-SUMIF('11.2. Нови активи отч.год.'!$B$61:$B$108,$B55,'11.2. Нови активи отч.год.'!$S$61:$S$108)+SUMIF('11.2. Нови активи отч.год.'!$B$61:$B$108,$B55,'11.2. Нови активи отч.год.'!X$61:X$108)+SUMIF('11.1.Амортиз.нови активи'!$B$60:$B$107,$B55,'11.1.Амортиз.нови активи'!X$60:X$107)+('11.1.Амортиз.нови активи'!J$111*SUMIF('11.1.Амортиз.нови активи'!$B$60:$B$107,$B55,'11.1.Амортиз.нови активи'!AE$60:AE$107))</f>
        <v>0</v>
      </c>
      <c r="Y55" s="899">
        <f>$S55-SUMIF('11.2. Нови активи отч.год.'!$B$61:$B$108,$B55,'11.2. Нови активи отч.год.'!$S$61:$S$108)+SUMIF('11.2. Нови активи отч.год.'!$B$61:$B$108,$B55,'11.2. Нови активи отч.год.'!Y$61:Y$108)+SUMIF('11.1.Амортиз.нови активи'!$B$60:$B$107,$B55,'11.1.Амортиз.нови активи'!Y$60:Y$107)+('11.1.Амортиз.нови активи'!K$111*SUMIF('11.1.Амортиз.нови активи'!$B$60:$B$107,$B55,'11.1.Амортиз.нови активи'!AF$60:AF$107))</f>
        <v>0</v>
      </c>
      <c r="Z55" s="1671"/>
      <c r="AA55" s="1702"/>
    </row>
    <row r="56" spans="1:28">
      <c r="A56" s="1689">
        <v>14</v>
      </c>
      <c r="B56" s="1691"/>
      <c r="C56" s="1691"/>
      <c r="D56" s="526" t="s">
        <v>844</v>
      </c>
      <c r="E56" s="2750">
        <v>0</v>
      </c>
      <c r="F56" s="897">
        <f>$E56-SUMIF('11.2. Нови активи отч.год.'!$B$61:$B$108,$B56,'11.2. Нови активи отч.год.'!$E$61:$E$108)+SUMIF('11.2. Нови активи отч.год.'!$B$61:$B$108,$B56,'11.2. Нови активи отч.год.'!F$61:F$108)+SUMIF('11.1.Амортиз.нови активи'!$B$60:$B$107,$B56,'11.1.Амортиз.нови активи'!F$60:F$107)+('11.1.Амортиз.нови активи'!F$109*SUMIF('11.1.Амортиз.нови активи'!$B$60:$B$107,$B56,'11.1.Амортиз.нови активи'!AA$60:AA$107))</f>
        <v>0</v>
      </c>
      <c r="G56" s="898">
        <f>$E56-SUMIF('11.2. Нови активи отч.год.'!$B$61:$B$108,$B56,'11.2. Нови активи отч.год.'!$E$61:$E$108)+SUMIF('11.2. Нови активи отч.год.'!$B$61:$B$108,$B56,'11.2. Нови активи отч.год.'!G$61:G$108)+SUMIF('11.1.Амортиз.нови активи'!$B$60:$B$107,$B56,'11.1.Амортиз.нови активи'!G$60:G$107)+('11.1.Амортиз.нови активи'!G$109*SUMIF('11.1.Амортиз.нови активи'!$B$60:$B$107,$B56,'11.1.Амортиз.нови активи'!AB$60:AB$107))</f>
        <v>0</v>
      </c>
      <c r="H56" s="898">
        <f>$E56-SUMIF('11.2. Нови активи отч.год.'!$B$61:$B$108,$B56,'11.2. Нови активи отч.год.'!$E$61:$E$108)+SUMIF('11.2. Нови активи отч.год.'!$B$61:$B$108,$B56,'11.2. Нови активи отч.год.'!H$61:H$108)+SUMIF('11.1.Амортиз.нови активи'!$B$60:$B$107,$B56,'11.1.Амортиз.нови активи'!H$60:H$107)+('11.1.Амортиз.нови активи'!H$109*SUMIF('11.1.Амортиз.нови активи'!$B$60:$B$107,$B56,'11.1.Амортиз.нови активи'!AC$60:AC$107))</f>
        <v>0</v>
      </c>
      <c r="I56" s="898">
        <f>$E56-SUMIF('11.2. Нови активи отч.год.'!$B$61:$B$108,$B56,'11.2. Нови активи отч.год.'!$E$61:$E$108)+SUMIF('11.2. Нови активи отч.год.'!$B$61:$B$108,$B56,'11.2. Нови активи отч.год.'!I$61:I$108)+SUMIF('11.1.Амортиз.нови активи'!$B$60:$B$107,$B56,'11.1.Амортиз.нови активи'!I$60:I$107)+('11.1.Амортиз.нови активи'!I$109*SUMIF('11.1.Амортиз.нови активи'!$B$60:$B$107,$B56,'11.1.Амортиз.нови активи'!AD$60:AD$107))</f>
        <v>0</v>
      </c>
      <c r="J56" s="898">
        <f>$E56-SUMIF('11.2. Нови активи отч.год.'!$B$61:$B$108,$B56,'11.2. Нови активи отч.год.'!$E$61:$E$108)+SUMIF('11.2. Нови активи отч.год.'!$B$61:$B$108,$B56,'11.2. Нови активи отч.год.'!J$61:J$108)+SUMIF('11.1.Амортиз.нови активи'!$B$60:$B$107,$B56,'11.1.Амортиз.нови активи'!J$60:J$107)+('11.1.Амортиз.нови активи'!J$109*SUMIF('11.1.Амортиз.нови активи'!$B$60:$B$107,$B56,'11.1.Амортиз.нови активи'!AE$60:AE$107))</f>
        <v>0</v>
      </c>
      <c r="K56" s="899">
        <f>$E56-SUMIF('11.2. Нови активи отч.год.'!$B$61:$B$108,$B56,'11.2. Нови активи отч.год.'!$E$61:$E$108)+SUMIF('11.2. Нови активи отч.год.'!$B$61:$B$108,$B56,'11.2. Нови активи отч.год.'!K$61:K$108)+SUMIF('11.1.Амортиз.нови активи'!$B$60:$B$107,$B56,'11.1.Амортиз.нови активи'!K$60:K$107)+('11.1.Амортиз.нови активи'!K$109*SUMIF('11.1.Амортиз.нови активи'!$B$60:$B$107,$B56,'11.1.Амортиз.нови активи'!AF$60:AF$107))</f>
        <v>0</v>
      </c>
      <c r="L56" s="2750">
        <v>0</v>
      </c>
      <c r="M56" s="897">
        <f>$L56-SUMIF('11.2. Нови активи отч.год.'!$B$61:$B$108,$B56,'11.2. Нови активи отч.год.'!$L$61:$L$108)+SUMIF('11.2. Нови активи отч.год.'!$B$61:$B$108,$B56,'11.2. Нови активи отч.год.'!M$61:M$108)+SUMIF('11.1.Амортиз.нови активи'!$B$60:$B$107,$B56,'11.1.Амортиз.нови активи'!M$60:M$107)+('11.1.Амортиз.нови активи'!F$110*SUMIF('11.1.Амортиз.нови активи'!$B$60:$B$107,$B56,'11.1.Амортиз.нови активи'!AA$60:AA$107))</f>
        <v>0</v>
      </c>
      <c r="N56" s="898">
        <f>$L56-SUMIF('11.2. Нови активи отч.год.'!$B$61:$B$108,$B56,'11.2. Нови активи отч.год.'!$L$61:$L$108)+SUMIF('11.2. Нови активи отч.год.'!$B$61:$B$108,$B56,'11.2. Нови активи отч.год.'!N$61:N$108)+SUMIF('11.1.Амортиз.нови активи'!$B$60:$B$107,$B56,'11.1.Амортиз.нови активи'!N$60:N$107)+('11.1.Амортиз.нови активи'!G$110*SUMIF('11.1.Амортиз.нови активи'!$B$60:$B$107,$B56,'11.1.Амортиз.нови активи'!AB$60:AB$107))</f>
        <v>0</v>
      </c>
      <c r="O56" s="898">
        <f>$L56-SUMIF('11.2. Нови активи отч.год.'!$B$61:$B$108,$B56,'11.2. Нови активи отч.год.'!$L$61:$L$108)+SUMIF('11.2. Нови активи отч.год.'!$B$61:$B$108,$B56,'11.2. Нови активи отч.год.'!O$61:O$108)+SUMIF('11.1.Амортиз.нови активи'!$B$60:$B$107,$B56,'11.1.Амортиз.нови активи'!O$60:O$107)+('11.1.Амортиз.нови активи'!H$110*SUMIF('11.1.Амортиз.нови активи'!$B$60:$B$107,$B56,'11.1.Амортиз.нови активи'!AC$60:AC$107))</f>
        <v>0</v>
      </c>
      <c r="P56" s="898">
        <f>$L56-SUMIF('11.2. Нови активи отч.год.'!$B$61:$B$108,$B56,'11.2. Нови активи отч.год.'!$L$61:$L$108)+SUMIF('11.2. Нови активи отч.год.'!$B$61:$B$108,$B56,'11.2. Нови активи отч.год.'!P$61:P$108)+SUMIF('11.1.Амортиз.нови активи'!$B$60:$B$107,$B56,'11.1.Амортиз.нови активи'!P$60:P$107)+('11.1.Амортиз.нови активи'!I$110*SUMIF('11.1.Амортиз.нови активи'!$B$60:$B$107,$B56,'11.1.Амортиз.нови активи'!AD$60:AD$107))</f>
        <v>0</v>
      </c>
      <c r="Q56" s="898">
        <f>$L56-SUMIF('11.2. Нови активи отч.год.'!$B$61:$B$108,$B56,'11.2. Нови активи отч.год.'!$L$61:$L$108)+SUMIF('11.2. Нови активи отч.год.'!$B$61:$B$108,$B56,'11.2. Нови активи отч.год.'!Q$61:Q$108)+SUMIF('11.1.Амортиз.нови активи'!$B$60:$B$107,$B56,'11.1.Амортиз.нови активи'!Q$60:Q$107)+('11.1.Амортиз.нови активи'!J$110*SUMIF('11.1.Амортиз.нови активи'!$B$60:$B$107,$B56,'11.1.Амортиз.нови активи'!AE$60:AE$107))</f>
        <v>0</v>
      </c>
      <c r="R56" s="899">
        <f>$L56-SUMIF('11.2. Нови активи отч.год.'!$B$61:$B$108,$B56,'11.2. Нови активи отч.год.'!$L$61:$L$108)+SUMIF('11.2. Нови активи отч.год.'!$B$61:$B$108,$B56,'11.2. Нови активи отч.год.'!R$61:R$108)+SUMIF('11.1.Амортиз.нови активи'!$B$60:$B$107,$B56,'11.1.Амортиз.нови активи'!R$60:R$107)+('11.1.Амортиз.нови активи'!K$110*SUMIF('11.1.Амортиз.нови активи'!$B$60:$B$107,$B56,'11.1.Амортиз.нови активи'!AF$60:AF$107))</f>
        <v>0</v>
      </c>
      <c r="S56" s="2750">
        <v>0</v>
      </c>
      <c r="T56" s="897">
        <f>$S56-SUMIF('11.2. Нови активи отч.год.'!$B$61:$B$108,$B56,'11.2. Нови активи отч.год.'!$S$61:$S$108)+SUMIF('11.2. Нови активи отч.год.'!$B$61:$B$108,$B56,'11.2. Нови активи отч.год.'!T$61:T$108)+SUMIF('11.1.Амортиз.нови активи'!$B$60:$B$107,$B56,'11.1.Амортиз.нови активи'!T$60:T$107)+('11.1.Амортиз.нови активи'!F$111*SUMIF('11.1.Амортиз.нови активи'!$B$60:$B$107,$B56,'11.1.Амортиз.нови активи'!AA$60:AA$107))</f>
        <v>0</v>
      </c>
      <c r="U56" s="898">
        <f>$S56-SUMIF('11.2. Нови активи отч.год.'!$B$61:$B$108,$B56,'11.2. Нови активи отч.год.'!$S$61:$S$108)+SUMIF('11.2. Нови активи отч.год.'!$B$61:$B$108,$B56,'11.2. Нови активи отч.год.'!U$61:U$108)+SUMIF('11.1.Амортиз.нови активи'!$B$60:$B$107,$B56,'11.1.Амортиз.нови активи'!U$60:U$107)+('11.1.Амортиз.нови активи'!G$111*SUMIF('11.1.Амортиз.нови активи'!$B$60:$B$107,$B56,'11.1.Амортиз.нови активи'!AB$60:AB$107))</f>
        <v>0</v>
      </c>
      <c r="V56" s="898">
        <f>$S56-SUMIF('11.2. Нови активи отч.год.'!$B$61:$B$108,$B56,'11.2. Нови активи отч.год.'!$S$61:$S$108)+SUMIF('11.2. Нови активи отч.год.'!$B$61:$B$108,$B56,'11.2. Нови активи отч.год.'!V$61:V$108)+SUMIF('11.1.Амортиз.нови активи'!$B$60:$B$107,$B56,'11.1.Амортиз.нови активи'!V$60:V$107)+('11.1.Амортиз.нови активи'!H$111*SUMIF('11.1.Амортиз.нови активи'!$B$60:$B$107,$B56,'11.1.Амортиз.нови активи'!AC$60:AC$107))</f>
        <v>0</v>
      </c>
      <c r="W56" s="898">
        <f>$S56-SUMIF('11.2. Нови активи отч.год.'!$B$61:$B$108,$B56,'11.2. Нови активи отч.год.'!$S$61:$S$108)+SUMIF('11.2. Нови активи отч.год.'!$B$61:$B$108,$B56,'11.2. Нови активи отч.год.'!W$61:W$108)+SUMIF('11.1.Амортиз.нови активи'!$B$60:$B$107,$B56,'11.1.Амортиз.нови активи'!W$60:W$107)+('11.1.Амортиз.нови активи'!I$111*SUMIF('11.1.Амортиз.нови активи'!$B$60:$B$107,$B56,'11.1.Амортиз.нови активи'!AD$60:AD$107))</f>
        <v>0</v>
      </c>
      <c r="X56" s="898">
        <f>$S56-SUMIF('11.2. Нови активи отч.год.'!$B$61:$B$108,$B56,'11.2. Нови активи отч.год.'!$S$61:$S$108)+SUMIF('11.2. Нови активи отч.год.'!$B$61:$B$108,$B56,'11.2. Нови активи отч.год.'!X$61:X$108)+SUMIF('11.1.Амортиз.нови активи'!$B$60:$B$107,$B56,'11.1.Амортиз.нови активи'!X$60:X$107)+('11.1.Амортиз.нови активи'!J$111*SUMIF('11.1.Амортиз.нови активи'!$B$60:$B$107,$B56,'11.1.Амортиз.нови активи'!AE$60:AE$107))</f>
        <v>0</v>
      </c>
      <c r="Y56" s="899">
        <f>$S56-SUMIF('11.2. Нови активи отч.год.'!$B$61:$B$108,$B56,'11.2. Нови активи отч.год.'!$S$61:$S$108)+SUMIF('11.2. Нови активи отч.год.'!$B$61:$B$108,$B56,'11.2. Нови активи отч.год.'!Y$61:Y$108)+SUMIF('11.1.Амортиз.нови активи'!$B$60:$B$107,$B56,'11.1.Амортиз.нови активи'!Y$60:Y$107)+('11.1.Амортиз.нови активи'!K$111*SUMIF('11.1.Амортиз.нови активи'!$B$60:$B$107,$B56,'11.1.Амортиз.нови активи'!AF$60:AF$107))</f>
        <v>0</v>
      </c>
      <c r="Z56" s="1671"/>
      <c r="AA56" s="1678"/>
      <c r="AB56" s="1641"/>
    </row>
    <row r="57" spans="1:28" ht="24">
      <c r="A57" s="1689">
        <v>15</v>
      </c>
      <c r="B57" s="1703">
        <v>207</v>
      </c>
      <c r="C57" s="1704" t="s">
        <v>380</v>
      </c>
      <c r="D57" s="272" t="s">
        <v>587</v>
      </c>
      <c r="E57" s="2750">
        <v>0</v>
      </c>
      <c r="F57" s="897">
        <f>$E57-SUMIF('11.2. Нови активи отч.год.'!$B$61:$B$108,$B57,'11.2. Нови активи отч.год.'!$E$61:$E$108)+SUMIF('11.2. Нови активи отч.год.'!$B$61:$B$108,$B57,'11.2. Нови активи отч.год.'!F$61:F$108)+SUMIF('11.1.Амортиз.нови активи'!$B$60:$B$107,$B57,'11.1.Амортиз.нови активи'!F$60:F$107)+('11.1.Амортиз.нови активи'!F$109*SUMIF('11.1.Амортиз.нови активи'!$B$60:$B$107,$B57,'11.1.Амортиз.нови активи'!AA$60:AA$107))</f>
        <v>0</v>
      </c>
      <c r="G57" s="898">
        <f>$E57-SUMIF('11.2. Нови активи отч.год.'!$B$61:$B$108,$B57,'11.2. Нови активи отч.год.'!$E$61:$E$108)+SUMIF('11.2. Нови активи отч.год.'!$B$61:$B$108,$B57,'11.2. Нови активи отч.год.'!G$61:G$108)+SUMIF('11.1.Амортиз.нови активи'!$B$60:$B$107,$B57,'11.1.Амортиз.нови активи'!G$60:G$107)+('11.1.Амортиз.нови активи'!G$109*SUMIF('11.1.Амортиз.нови активи'!$B$60:$B$107,$B57,'11.1.Амортиз.нови активи'!AB$60:AB$107))</f>
        <v>0</v>
      </c>
      <c r="H57" s="898">
        <f>$E57-SUMIF('11.2. Нови активи отч.год.'!$B$61:$B$108,$B57,'11.2. Нови активи отч.год.'!$E$61:$E$108)+SUMIF('11.2. Нови активи отч.год.'!$B$61:$B$108,$B57,'11.2. Нови активи отч.год.'!H$61:H$108)+SUMIF('11.1.Амортиз.нови активи'!$B$60:$B$107,$B57,'11.1.Амортиз.нови активи'!H$60:H$107)+('11.1.Амортиз.нови активи'!H$109*SUMIF('11.1.Амортиз.нови активи'!$B$60:$B$107,$B57,'11.1.Амортиз.нови активи'!AC$60:AC$107))</f>
        <v>0</v>
      </c>
      <c r="I57" s="898">
        <f>$E57-SUMIF('11.2. Нови активи отч.год.'!$B$61:$B$108,$B57,'11.2. Нови активи отч.год.'!$E$61:$E$108)+SUMIF('11.2. Нови активи отч.год.'!$B$61:$B$108,$B57,'11.2. Нови активи отч.год.'!I$61:I$108)+SUMIF('11.1.Амортиз.нови активи'!$B$60:$B$107,$B57,'11.1.Амортиз.нови активи'!I$60:I$107)+('11.1.Амортиз.нови активи'!I$109*SUMIF('11.1.Амортиз.нови активи'!$B$60:$B$107,$B57,'11.1.Амортиз.нови активи'!AD$60:AD$107))</f>
        <v>0</v>
      </c>
      <c r="J57" s="898">
        <f>$E57-SUMIF('11.2. Нови активи отч.год.'!$B$61:$B$108,$B57,'11.2. Нови активи отч.год.'!$E$61:$E$108)+SUMIF('11.2. Нови активи отч.год.'!$B$61:$B$108,$B57,'11.2. Нови активи отч.год.'!J$61:J$108)+SUMIF('11.1.Амортиз.нови активи'!$B$60:$B$107,$B57,'11.1.Амортиз.нови активи'!J$60:J$107)+('11.1.Амортиз.нови активи'!J$109*SUMIF('11.1.Амортиз.нови активи'!$B$60:$B$107,$B57,'11.1.Амортиз.нови активи'!AE$60:AE$107))</f>
        <v>0</v>
      </c>
      <c r="K57" s="899">
        <f>$E57-SUMIF('11.2. Нови активи отч.год.'!$B$61:$B$108,$B57,'11.2. Нови активи отч.год.'!$E$61:$E$108)+SUMIF('11.2. Нови активи отч.год.'!$B$61:$B$108,$B57,'11.2. Нови активи отч.год.'!K$61:K$108)+SUMIF('11.1.Амортиз.нови активи'!$B$60:$B$107,$B57,'11.1.Амортиз.нови активи'!K$60:K$107)+('11.1.Амортиз.нови активи'!K$109*SUMIF('11.1.Амортиз.нови активи'!$B$60:$B$107,$B57,'11.1.Амортиз.нови активи'!AF$60:AF$107))</f>
        <v>0</v>
      </c>
      <c r="L57" s="2750">
        <v>0</v>
      </c>
      <c r="M57" s="897">
        <f>$L57-SUMIF('11.2. Нови активи отч.год.'!$B$61:$B$108,$B57,'11.2. Нови активи отч.год.'!$L$61:$L$108)+SUMIF('11.2. Нови активи отч.год.'!$B$61:$B$108,$B57,'11.2. Нови активи отч.год.'!M$61:M$108)+SUMIF('11.1.Амортиз.нови активи'!$B$60:$B$107,$B57,'11.1.Амортиз.нови активи'!M$60:M$107)+('11.1.Амортиз.нови активи'!F$110*SUMIF('11.1.Амортиз.нови активи'!$B$60:$B$107,$B57,'11.1.Амортиз.нови активи'!AA$60:AA$107))</f>
        <v>0</v>
      </c>
      <c r="N57" s="898">
        <f>$L57-SUMIF('11.2. Нови активи отч.год.'!$B$61:$B$108,$B57,'11.2. Нови активи отч.год.'!$L$61:$L$108)+SUMIF('11.2. Нови активи отч.год.'!$B$61:$B$108,$B57,'11.2. Нови активи отч.год.'!N$61:N$108)+SUMIF('11.1.Амортиз.нови активи'!$B$60:$B$107,$B57,'11.1.Амортиз.нови активи'!N$60:N$107)+('11.1.Амортиз.нови активи'!G$110*SUMIF('11.1.Амортиз.нови активи'!$B$60:$B$107,$B57,'11.1.Амортиз.нови активи'!AB$60:AB$107))</f>
        <v>0</v>
      </c>
      <c r="O57" s="898">
        <f>$L57-SUMIF('11.2. Нови активи отч.год.'!$B$61:$B$108,$B57,'11.2. Нови активи отч.год.'!$L$61:$L$108)+SUMIF('11.2. Нови активи отч.год.'!$B$61:$B$108,$B57,'11.2. Нови активи отч.год.'!O$61:O$108)+SUMIF('11.1.Амортиз.нови активи'!$B$60:$B$107,$B57,'11.1.Амортиз.нови активи'!O$60:O$107)+('11.1.Амортиз.нови активи'!H$110*SUMIF('11.1.Амортиз.нови активи'!$B$60:$B$107,$B57,'11.1.Амортиз.нови активи'!AC$60:AC$107))</f>
        <v>0</v>
      </c>
      <c r="P57" s="898">
        <f>$L57-SUMIF('11.2. Нови активи отч.год.'!$B$61:$B$108,$B57,'11.2. Нови активи отч.год.'!$L$61:$L$108)+SUMIF('11.2. Нови активи отч.год.'!$B$61:$B$108,$B57,'11.2. Нови активи отч.год.'!P$61:P$108)+SUMIF('11.1.Амортиз.нови активи'!$B$60:$B$107,$B57,'11.1.Амортиз.нови активи'!P$60:P$107)+('11.1.Амортиз.нови активи'!I$110*SUMIF('11.1.Амортиз.нови активи'!$B$60:$B$107,$B57,'11.1.Амортиз.нови активи'!AD$60:AD$107))</f>
        <v>0</v>
      </c>
      <c r="Q57" s="898">
        <f>$L57-SUMIF('11.2. Нови активи отч.год.'!$B$61:$B$108,$B57,'11.2. Нови активи отч.год.'!$L$61:$L$108)+SUMIF('11.2. Нови активи отч.год.'!$B$61:$B$108,$B57,'11.2. Нови активи отч.год.'!Q$61:Q$108)+SUMIF('11.1.Амортиз.нови активи'!$B$60:$B$107,$B57,'11.1.Амортиз.нови активи'!Q$60:Q$107)+('11.1.Амортиз.нови активи'!J$110*SUMIF('11.1.Амортиз.нови активи'!$B$60:$B$107,$B57,'11.1.Амортиз.нови активи'!AE$60:AE$107))</f>
        <v>0</v>
      </c>
      <c r="R57" s="899">
        <f>$L57-SUMIF('11.2. Нови активи отч.год.'!$B$61:$B$108,$B57,'11.2. Нови активи отч.год.'!$L$61:$L$108)+SUMIF('11.2. Нови активи отч.год.'!$B$61:$B$108,$B57,'11.2. Нови активи отч.год.'!R$61:R$108)+SUMIF('11.1.Амортиз.нови активи'!$B$60:$B$107,$B57,'11.1.Амортиз.нови активи'!R$60:R$107)+('11.1.Амортиз.нови активи'!K$110*SUMIF('11.1.Амортиз.нови активи'!$B$60:$B$107,$B57,'11.1.Амортиз.нови активи'!AF$60:AF$107))</f>
        <v>0</v>
      </c>
      <c r="S57" s="2750">
        <v>0</v>
      </c>
      <c r="T57" s="897">
        <f>$S57-SUMIF('11.2. Нови активи отч.год.'!$B$61:$B$108,$B57,'11.2. Нови активи отч.год.'!$S$61:$S$108)+SUMIF('11.2. Нови активи отч.год.'!$B$61:$B$108,$B57,'11.2. Нови активи отч.год.'!T$61:T$108)+SUMIF('11.1.Амортиз.нови активи'!$B$60:$B$107,$B57,'11.1.Амортиз.нови активи'!T$60:T$107)+('11.1.Амортиз.нови активи'!F$111*SUMIF('11.1.Амортиз.нови активи'!$B$60:$B$107,$B57,'11.1.Амортиз.нови активи'!AA$60:AA$107))</f>
        <v>0</v>
      </c>
      <c r="U57" s="898">
        <f>$S57-SUMIF('11.2. Нови активи отч.год.'!$B$61:$B$108,$B57,'11.2. Нови активи отч.год.'!$S$61:$S$108)+SUMIF('11.2. Нови активи отч.год.'!$B$61:$B$108,$B57,'11.2. Нови активи отч.год.'!U$61:U$108)+SUMIF('11.1.Амортиз.нови активи'!$B$60:$B$107,$B57,'11.1.Амортиз.нови активи'!U$60:U$107)+('11.1.Амортиз.нови активи'!G$111*SUMIF('11.1.Амортиз.нови активи'!$B$60:$B$107,$B57,'11.1.Амортиз.нови активи'!AB$60:AB$107))</f>
        <v>0</v>
      </c>
      <c r="V57" s="898">
        <f>$S57-SUMIF('11.2. Нови активи отч.год.'!$B$61:$B$108,$B57,'11.2. Нови активи отч.год.'!$S$61:$S$108)+SUMIF('11.2. Нови активи отч.год.'!$B$61:$B$108,$B57,'11.2. Нови активи отч.год.'!V$61:V$108)+SUMIF('11.1.Амортиз.нови активи'!$B$60:$B$107,$B57,'11.1.Амортиз.нови активи'!V$60:V$107)+('11.1.Амортиз.нови активи'!H$111*SUMIF('11.1.Амортиз.нови активи'!$B$60:$B$107,$B57,'11.1.Амортиз.нови активи'!AC$60:AC$107))</f>
        <v>0</v>
      </c>
      <c r="W57" s="898">
        <f>$S57-SUMIF('11.2. Нови активи отч.год.'!$B$61:$B$108,$B57,'11.2. Нови активи отч.год.'!$S$61:$S$108)+SUMIF('11.2. Нови активи отч.год.'!$B$61:$B$108,$B57,'11.2. Нови активи отч.год.'!W$61:W$108)+SUMIF('11.1.Амортиз.нови активи'!$B$60:$B$107,$B57,'11.1.Амортиз.нови активи'!W$60:W$107)+('11.1.Амортиз.нови активи'!I$111*SUMIF('11.1.Амортиз.нови активи'!$B$60:$B$107,$B57,'11.1.Амортиз.нови активи'!AD$60:AD$107))</f>
        <v>0</v>
      </c>
      <c r="X57" s="898">
        <f>$S57-SUMIF('11.2. Нови активи отч.год.'!$B$61:$B$108,$B57,'11.2. Нови активи отч.год.'!$S$61:$S$108)+SUMIF('11.2. Нови активи отч.год.'!$B$61:$B$108,$B57,'11.2. Нови активи отч.год.'!X$61:X$108)+SUMIF('11.1.Амортиз.нови активи'!$B$60:$B$107,$B57,'11.1.Амортиз.нови активи'!X$60:X$107)+('11.1.Амортиз.нови активи'!J$111*SUMIF('11.1.Амортиз.нови активи'!$B$60:$B$107,$B57,'11.1.Амортиз.нови активи'!AE$60:AE$107))</f>
        <v>0</v>
      </c>
      <c r="Y57" s="899">
        <f>$S57-SUMIF('11.2. Нови активи отч.год.'!$B$61:$B$108,$B57,'11.2. Нови активи отч.год.'!$S$61:$S$108)+SUMIF('11.2. Нови активи отч.год.'!$B$61:$B$108,$B57,'11.2. Нови активи отч.год.'!Y$61:Y$108)+SUMIF('11.1.Амортиз.нови активи'!$B$60:$B$107,$B57,'11.1.Амортиз.нови активи'!Y$60:Y$107)+('11.1.Амортиз.нови активи'!K$111*SUMIF('11.1.Амортиз.нови активи'!$B$60:$B$107,$B57,'11.1.Амортиз.нови активи'!AF$60:AF$107))</f>
        <v>0</v>
      </c>
      <c r="Z57" s="1671"/>
      <c r="AA57" s="1702"/>
    </row>
    <row r="58" spans="1:28" ht="13.5" thickBot="1">
      <c r="A58" s="1689">
        <v>16</v>
      </c>
      <c r="B58" s="1705">
        <v>219</v>
      </c>
      <c r="C58" s="1704">
        <v>0.1</v>
      </c>
      <c r="D58" s="277" t="s">
        <v>279</v>
      </c>
      <c r="E58" s="2750">
        <v>0</v>
      </c>
      <c r="F58" s="897">
        <f>$E58-SUMIF('11.2. Нови активи отч.год.'!$B$61:$B$108,$B58,'11.2. Нови активи отч.год.'!$E$61:$E$108)+SUMIF('11.2. Нови активи отч.год.'!$B$61:$B$108,$B58,'11.2. Нови активи отч.год.'!F$61:F$108)+SUMIF('11.1.Амортиз.нови активи'!$B$60:$B$107,$B58,'11.1.Амортиз.нови активи'!F$60:F$107)+('11.1.Амортиз.нови активи'!F$109*SUMIF('11.1.Амортиз.нови активи'!$B$60:$B$107,$B58,'11.1.Амортиз.нови активи'!AA$60:AA$107))</f>
        <v>0</v>
      </c>
      <c r="G58" s="898">
        <f>$E58-SUMIF('11.2. Нови активи отч.год.'!$B$61:$B$108,$B58,'11.2. Нови активи отч.год.'!$E$61:$E$108)+SUMIF('11.2. Нови активи отч.год.'!$B$61:$B$108,$B58,'11.2. Нови активи отч.год.'!G$61:G$108)+SUMIF('11.1.Амортиз.нови активи'!$B$60:$B$107,$B58,'11.1.Амортиз.нови активи'!G$60:G$107)+('11.1.Амортиз.нови активи'!G$109*SUMIF('11.1.Амортиз.нови активи'!$B$60:$B$107,$B58,'11.1.Амортиз.нови активи'!AB$60:AB$107))</f>
        <v>0</v>
      </c>
      <c r="H58" s="898">
        <f>$E58-SUMIF('11.2. Нови активи отч.год.'!$B$61:$B$108,$B58,'11.2. Нови активи отч.год.'!$E$61:$E$108)+SUMIF('11.2. Нови активи отч.год.'!$B$61:$B$108,$B58,'11.2. Нови активи отч.год.'!H$61:H$108)+SUMIF('11.1.Амортиз.нови активи'!$B$60:$B$107,$B58,'11.1.Амортиз.нови активи'!H$60:H$107)+('11.1.Амортиз.нови активи'!H$109*SUMIF('11.1.Амортиз.нови активи'!$B$60:$B$107,$B58,'11.1.Амортиз.нови активи'!AC$60:AC$107))</f>
        <v>0</v>
      </c>
      <c r="I58" s="898">
        <f>$E58-SUMIF('11.2. Нови активи отч.год.'!$B$61:$B$108,$B58,'11.2. Нови активи отч.год.'!$E$61:$E$108)+SUMIF('11.2. Нови активи отч.год.'!$B$61:$B$108,$B58,'11.2. Нови активи отч.год.'!I$61:I$108)+SUMIF('11.1.Амортиз.нови активи'!$B$60:$B$107,$B58,'11.1.Амортиз.нови активи'!I$60:I$107)+('11.1.Амортиз.нови активи'!I$109*SUMIF('11.1.Амортиз.нови активи'!$B$60:$B$107,$B58,'11.1.Амортиз.нови активи'!AD$60:AD$107))</f>
        <v>0</v>
      </c>
      <c r="J58" s="898">
        <f>$E58-SUMIF('11.2. Нови активи отч.год.'!$B$61:$B$108,$B58,'11.2. Нови активи отч.год.'!$E$61:$E$108)+SUMIF('11.2. Нови активи отч.год.'!$B$61:$B$108,$B58,'11.2. Нови активи отч.год.'!J$61:J$108)+SUMIF('11.1.Амортиз.нови активи'!$B$60:$B$107,$B58,'11.1.Амортиз.нови активи'!J$60:J$107)+('11.1.Амортиз.нови активи'!J$109*SUMIF('11.1.Амортиз.нови активи'!$B$60:$B$107,$B58,'11.1.Амортиз.нови активи'!AE$60:AE$107))</f>
        <v>0</v>
      </c>
      <c r="K58" s="899">
        <f>$E58-SUMIF('11.2. Нови активи отч.год.'!$B$61:$B$108,$B58,'11.2. Нови активи отч.год.'!$E$61:$E$108)+SUMIF('11.2. Нови активи отч.год.'!$B$61:$B$108,$B58,'11.2. Нови активи отч.год.'!K$61:K$108)+SUMIF('11.1.Амортиз.нови активи'!$B$60:$B$107,$B58,'11.1.Амортиз.нови активи'!K$60:K$107)+('11.1.Амортиз.нови активи'!K$109*SUMIF('11.1.Амортиз.нови активи'!$B$60:$B$107,$B58,'11.1.Амортиз.нови активи'!AF$60:AF$107))</f>
        <v>0</v>
      </c>
      <c r="L58" s="2750">
        <v>0</v>
      </c>
      <c r="M58" s="897">
        <f>$L58-SUMIF('11.2. Нови активи отч.год.'!$B$61:$B$108,$B58,'11.2. Нови активи отч.год.'!$L$61:$L$108)+SUMIF('11.2. Нови активи отч.год.'!$B$61:$B$108,$B58,'11.2. Нови активи отч.год.'!M$61:M$108)+SUMIF('11.1.Амортиз.нови активи'!$B$60:$B$107,$B58,'11.1.Амортиз.нови активи'!M$60:M$107)+('11.1.Амортиз.нови активи'!F$110*SUMIF('11.1.Амортиз.нови активи'!$B$60:$B$107,$B58,'11.1.Амортиз.нови активи'!AA$60:AA$107))</f>
        <v>0</v>
      </c>
      <c r="N58" s="898">
        <f>$L58-SUMIF('11.2. Нови активи отч.год.'!$B$61:$B$108,$B58,'11.2. Нови активи отч.год.'!$L$61:$L$108)+SUMIF('11.2. Нови активи отч.год.'!$B$61:$B$108,$B58,'11.2. Нови активи отч.год.'!N$61:N$108)+SUMIF('11.1.Амортиз.нови активи'!$B$60:$B$107,$B58,'11.1.Амортиз.нови активи'!N$60:N$107)+('11.1.Амортиз.нови активи'!G$110*SUMIF('11.1.Амортиз.нови активи'!$B$60:$B$107,$B58,'11.1.Амортиз.нови активи'!AB$60:AB$107))</f>
        <v>0</v>
      </c>
      <c r="O58" s="898">
        <f>$L58-SUMIF('11.2. Нови активи отч.год.'!$B$61:$B$108,$B58,'11.2. Нови активи отч.год.'!$L$61:$L$108)+SUMIF('11.2. Нови активи отч.год.'!$B$61:$B$108,$B58,'11.2. Нови активи отч.год.'!O$61:O$108)+SUMIF('11.1.Амортиз.нови активи'!$B$60:$B$107,$B58,'11.1.Амортиз.нови активи'!O$60:O$107)+('11.1.Амортиз.нови активи'!H$110*SUMIF('11.1.Амортиз.нови активи'!$B$60:$B$107,$B58,'11.1.Амортиз.нови активи'!AC$60:AC$107))</f>
        <v>0</v>
      </c>
      <c r="P58" s="898">
        <f>$L58-SUMIF('11.2. Нови активи отч.год.'!$B$61:$B$108,$B58,'11.2. Нови активи отч.год.'!$L$61:$L$108)+SUMIF('11.2. Нови активи отч.год.'!$B$61:$B$108,$B58,'11.2. Нови активи отч.год.'!P$61:P$108)+SUMIF('11.1.Амортиз.нови активи'!$B$60:$B$107,$B58,'11.1.Амортиз.нови активи'!P$60:P$107)+('11.1.Амортиз.нови активи'!I$110*SUMIF('11.1.Амортиз.нови активи'!$B$60:$B$107,$B58,'11.1.Амортиз.нови активи'!AD$60:AD$107))</f>
        <v>0</v>
      </c>
      <c r="Q58" s="898">
        <f>$L58-SUMIF('11.2. Нови активи отч.год.'!$B$61:$B$108,$B58,'11.2. Нови активи отч.год.'!$L$61:$L$108)+SUMIF('11.2. Нови активи отч.год.'!$B$61:$B$108,$B58,'11.2. Нови активи отч.год.'!Q$61:Q$108)+SUMIF('11.1.Амортиз.нови активи'!$B$60:$B$107,$B58,'11.1.Амортиз.нови активи'!Q$60:Q$107)+('11.1.Амортиз.нови активи'!J$110*SUMIF('11.1.Амортиз.нови активи'!$B$60:$B$107,$B58,'11.1.Амортиз.нови активи'!AE$60:AE$107))</f>
        <v>0</v>
      </c>
      <c r="R58" s="899">
        <f>$L58-SUMIF('11.2. Нови активи отч.год.'!$B$61:$B$108,$B58,'11.2. Нови активи отч.год.'!$L$61:$L$108)+SUMIF('11.2. Нови активи отч.год.'!$B$61:$B$108,$B58,'11.2. Нови активи отч.год.'!R$61:R$108)+SUMIF('11.1.Амортиз.нови активи'!$B$60:$B$107,$B58,'11.1.Амортиз.нови активи'!R$60:R$107)+('11.1.Амортиз.нови активи'!K$110*SUMIF('11.1.Амортиз.нови активи'!$B$60:$B$107,$B58,'11.1.Амортиз.нови активи'!AF$60:AF$107))</f>
        <v>0</v>
      </c>
      <c r="S58" s="2750">
        <v>0</v>
      </c>
      <c r="T58" s="897">
        <f>$S58-SUMIF('11.2. Нови активи отч.год.'!$B$61:$B$108,$B58,'11.2. Нови активи отч.год.'!$S$61:$S$108)+SUMIF('11.2. Нови активи отч.год.'!$B$61:$B$108,$B58,'11.2. Нови активи отч.год.'!T$61:T$108)+SUMIF('11.1.Амортиз.нови активи'!$B$60:$B$107,$B58,'11.1.Амортиз.нови активи'!T$60:T$107)+('11.1.Амортиз.нови активи'!F$111*SUMIF('11.1.Амортиз.нови активи'!$B$60:$B$107,$B58,'11.1.Амортиз.нови активи'!AA$60:AA$107))</f>
        <v>0</v>
      </c>
      <c r="U58" s="898">
        <f>$S58-SUMIF('11.2. Нови активи отч.год.'!$B$61:$B$108,$B58,'11.2. Нови активи отч.год.'!$S$61:$S$108)+SUMIF('11.2. Нови активи отч.год.'!$B$61:$B$108,$B58,'11.2. Нови активи отч.год.'!U$61:U$108)+SUMIF('11.1.Амортиз.нови активи'!$B$60:$B$107,$B58,'11.1.Амортиз.нови активи'!U$60:U$107)+('11.1.Амортиз.нови активи'!G$111*SUMIF('11.1.Амортиз.нови активи'!$B$60:$B$107,$B58,'11.1.Амортиз.нови активи'!AB$60:AB$107))</f>
        <v>0</v>
      </c>
      <c r="V58" s="898">
        <f>$S58-SUMIF('11.2. Нови активи отч.год.'!$B$61:$B$108,$B58,'11.2. Нови активи отч.год.'!$S$61:$S$108)+SUMIF('11.2. Нови активи отч.год.'!$B$61:$B$108,$B58,'11.2. Нови активи отч.год.'!V$61:V$108)+SUMIF('11.1.Амортиз.нови активи'!$B$60:$B$107,$B58,'11.1.Амортиз.нови активи'!V$60:V$107)+('11.1.Амортиз.нови активи'!H$111*SUMIF('11.1.Амортиз.нови активи'!$B$60:$B$107,$B58,'11.1.Амортиз.нови активи'!AC$60:AC$107))</f>
        <v>0</v>
      </c>
      <c r="W58" s="898">
        <f>$S58-SUMIF('11.2. Нови активи отч.год.'!$B$61:$B$108,$B58,'11.2. Нови активи отч.год.'!$S$61:$S$108)+SUMIF('11.2. Нови активи отч.год.'!$B$61:$B$108,$B58,'11.2. Нови активи отч.год.'!W$61:W$108)+SUMIF('11.1.Амортиз.нови активи'!$B$60:$B$107,$B58,'11.1.Амортиз.нови активи'!W$60:W$107)+('11.1.Амортиз.нови активи'!I$111*SUMIF('11.1.Амортиз.нови активи'!$B$60:$B$107,$B58,'11.1.Амортиз.нови активи'!AD$60:AD$107))</f>
        <v>0</v>
      </c>
      <c r="X58" s="898">
        <f>$S58-SUMIF('11.2. Нови активи отч.год.'!$B$61:$B$108,$B58,'11.2. Нови активи отч.год.'!$S$61:$S$108)+SUMIF('11.2. Нови активи отч.год.'!$B$61:$B$108,$B58,'11.2. Нови активи отч.год.'!X$61:X$108)+SUMIF('11.1.Амортиз.нови активи'!$B$60:$B$107,$B58,'11.1.Амортиз.нови активи'!X$60:X$107)+('11.1.Амортиз.нови активи'!J$111*SUMIF('11.1.Амортиз.нови активи'!$B$60:$B$107,$B58,'11.1.Амортиз.нови активи'!AE$60:AE$107))</f>
        <v>0</v>
      </c>
      <c r="Y58" s="899">
        <f>$S58-SUMIF('11.2. Нови активи отч.год.'!$B$61:$B$108,$B58,'11.2. Нови активи отч.год.'!$S$61:$S$108)+SUMIF('11.2. Нови активи отч.год.'!$B$61:$B$108,$B58,'11.2. Нови активи отч.год.'!Y$61:Y$108)+SUMIF('11.1.Амортиз.нови активи'!$B$60:$B$107,$B58,'11.1.Амортиз.нови активи'!Y$60:Y$107)+('11.1.Амортиз.нови активи'!K$111*SUMIF('11.1.Амортиз.нови активи'!$B$60:$B$107,$B58,'11.1.Амортиз.нови активи'!AF$60:AF$107))</f>
        <v>0</v>
      </c>
      <c r="Z58" s="1671"/>
      <c r="AA58" s="1702"/>
    </row>
    <row r="59" spans="1:28" ht="13.5" thickBot="1">
      <c r="A59" s="1694" t="s">
        <v>282</v>
      </c>
      <c r="B59" s="1695"/>
      <c r="C59" s="1695"/>
      <c r="D59" s="1665" t="s">
        <v>283</v>
      </c>
      <c r="E59" s="650">
        <f t="shared" ref="E59:Y59" si="7">SUM(E60:E83)-E62-E68</f>
        <v>2764.5517355714637</v>
      </c>
      <c r="F59" s="242">
        <f t="shared" si="7"/>
        <v>3027.946884099616</v>
      </c>
      <c r="G59" s="243">
        <f t="shared" si="7"/>
        <v>3153.3859341183315</v>
      </c>
      <c r="H59" s="243">
        <f t="shared" si="7"/>
        <v>3282.5792706829366</v>
      </c>
      <c r="I59" s="243">
        <f t="shared" si="7"/>
        <v>3384.253768125398</v>
      </c>
      <c r="J59" s="243">
        <f t="shared" si="7"/>
        <v>3487.7432172272247</v>
      </c>
      <c r="K59" s="244">
        <f t="shared" si="7"/>
        <v>3558.7352711994363</v>
      </c>
      <c r="L59" s="650">
        <f t="shared" si="7"/>
        <v>500.10573449464113</v>
      </c>
      <c r="M59" s="242">
        <f t="shared" si="7"/>
        <v>541.058811420761</v>
      </c>
      <c r="N59" s="243">
        <f t="shared" si="7"/>
        <v>566.27381308821919</v>
      </c>
      <c r="O59" s="243">
        <f t="shared" si="7"/>
        <v>576.71470228044006</v>
      </c>
      <c r="P59" s="243">
        <f t="shared" si="7"/>
        <v>587.11811724774861</v>
      </c>
      <c r="Q59" s="243">
        <f t="shared" si="7"/>
        <v>597.60786609102797</v>
      </c>
      <c r="R59" s="244">
        <f t="shared" si="7"/>
        <v>608.18609969208626</v>
      </c>
      <c r="S59" s="650">
        <f t="shared" si="7"/>
        <v>102.01618736365593</v>
      </c>
      <c r="T59" s="242">
        <f t="shared" si="7"/>
        <v>112.74920542188525</v>
      </c>
      <c r="U59" s="243">
        <f t="shared" si="7"/>
        <v>121.98639724821113</v>
      </c>
      <c r="V59" s="243">
        <f t="shared" si="7"/>
        <v>135.54341500388463</v>
      </c>
      <c r="W59" s="243">
        <f t="shared" si="7"/>
        <v>157.15674610661205</v>
      </c>
      <c r="X59" s="243">
        <f t="shared" si="7"/>
        <v>187.96879167400866</v>
      </c>
      <c r="Y59" s="244">
        <f t="shared" si="7"/>
        <v>227.78974761323715</v>
      </c>
      <c r="Z59" s="1666"/>
      <c r="AA59" s="1667"/>
      <c r="AB59" s="1647"/>
    </row>
    <row r="60" spans="1:28">
      <c r="A60" s="1668">
        <v>1</v>
      </c>
      <c r="B60" s="1668">
        <v>20101</v>
      </c>
      <c r="C60" s="1704">
        <v>0</v>
      </c>
      <c r="D60" s="265" t="s">
        <v>758</v>
      </c>
      <c r="E60" s="2250">
        <v>0</v>
      </c>
      <c r="F60" s="882">
        <f t="shared" ref="F60:K61" si="8">E60+F35</f>
        <v>0</v>
      </c>
      <c r="G60" s="883">
        <f t="shared" si="8"/>
        <v>0</v>
      </c>
      <c r="H60" s="883">
        <f t="shared" si="8"/>
        <v>0</v>
      </c>
      <c r="I60" s="883">
        <f t="shared" si="8"/>
        <v>0</v>
      </c>
      <c r="J60" s="883">
        <f t="shared" si="8"/>
        <v>0</v>
      </c>
      <c r="K60" s="884">
        <f t="shared" si="8"/>
        <v>0</v>
      </c>
      <c r="L60" s="2250">
        <v>0</v>
      </c>
      <c r="M60" s="882">
        <f t="shared" ref="M60:R61" si="9">L60+M35</f>
        <v>0</v>
      </c>
      <c r="N60" s="883">
        <f t="shared" si="9"/>
        <v>0</v>
      </c>
      <c r="O60" s="883">
        <f t="shared" si="9"/>
        <v>0</v>
      </c>
      <c r="P60" s="883">
        <f t="shared" si="9"/>
        <v>0</v>
      </c>
      <c r="Q60" s="883">
        <f t="shared" si="9"/>
        <v>0</v>
      </c>
      <c r="R60" s="884">
        <f t="shared" si="9"/>
        <v>0</v>
      </c>
      <c r="S60" s="2250">
        <v>0</v>
      </c>
      <c r="T60" s="882">
        <f t="shared" ref="T60:Y61" si="10">S60+T35</f>
        <v>0</v>
      </c>
      <c r="U60" s="883">
        <f t="shared" si="10"/>
        <v>0</v>
      </c>
      <c r="V60" s="883">
        <f t="shared" si="10"/>
        <v>0</v>
      </c>
      <c r="W60" s="883">
        <f t="shared" si="10"/>
        <v>0</v>
      </c>
      <c r="X60" s="883">
        <f t="shared" si="10"/>
        <v>0</v>
      </c>
      <c r="Y60" s="884">
        <f t="shared" si="10"/>
        <v>0</v>
      </c>
      <c r="Z60" s="1671"/>
      <c r="AA60" s="1672"/>
      <c r="AB60" s="1641"/>
    </row>
    <row r="61" spans="1:28">
      <c r="A61" s="1673">
        <v>2</v>
      </c>
      <c r="B61" s="1673">
        <v>20201</v>
      </c>
      <c r="C61" s="1706">
        <v>0.03</v>
      </c>
      <c r="D61" s="268" t="s">
        <v>597</v>
      </c>
      <c r="E61" s="2750">
        <v>227.00798799078865</v>
      </c>
      <c r="F61" s="885">
        <f t="shared" si="8"/>
        <v>240.680777648657</v>
      </c>
      <c r="G61" s="886">
        <f t="shared" si="8"/>
        <v>254.49062149665568</v>
      </c>
      <c r="H61" s="886">
        <f t="shared" si="8"/>
        <v>268.54879263060758</v>
      </c>
      <c r="I61" s="886">
        <f t="shared" si="8"/>
        <v>282.82621632757798</v>
      </c>
      <c r="J61" s="886">
        <f t="shared" si="8"/>
        <v>297.30985926237634</v>
      </c>
      <c r="K61" s="887">
        <f t="shared" si="8"/>
        <v>312.00011655120545</v>
      </c>
      <c r="L61" s="2750">
        <v>11.556181408058004</v>
      </c>
      <c r="M61" s="885">
        <f t="shared" si="9"/>
        <v>12.231697521259823</v>
      </c>
      <c r="N61" s="886">
        <f t="shared" si="9"/>
        <v>12.909965497847436</v>
      </c>
      <c r="O61" s="886">
        <f t="shared" si="9"/>
        <v>13.601610394618801</v>
      </c>
      <c r="P61" s="886">
        <f t="shared" si="9"/>
        <v>14.316653566955651</v>
      </c>
      <c r="Q61" s="886">
        <f t="shared" si="9"/>
        <v>15.057205923138698</v>
      </c>
      <c r="R61" s="887">
        <f t="shared" si="9"/>
        <v>15.822985299566994</v>
      </c>
      <c r="S61" s="2750">
        <v>2.9202806011533671</v>
      </c>
      <c r="T61" s="885">
        <f t="shared" si="10"/>
        <v>3.09098548466915</v>
      </c>
      <c r="U61" s="886">
        <f t="shared" si="10"/>
        <v>3.2718843146687986</v>
      </c>
      <c r="V61" s="886">
        <f t="shared" si="10"/>
        <v>3.4910789385314822</v>
      </c>
      <c r="W61" s="886">
        <f t="shared" si="10"/>
        <v>3.7676227238101454</v>
      </c>
      <c r="X61" s="886">
        <f t="shared" si="10"/>
        <v>4.1124380874146835</v>
      </c>
      <c r="Y61" s="887">
        <f t="shared" si="10"/>
        <v>4.5254120767432005</v>
      </c>
      <c r="Z61" s="1671"/>
      <c r="AA61" s="1676"/>
      <c r="AB61" s="1641"/>
    </row>
    <row r="62" spans="1:28" ht="24.75" customHeight="1">
      <c r="A62" s="1673">
        <v>3</v>
      </c>
      <c r="B62" s="1674">
        <v>203</v>
      </c>
      <c r="C62" s="1670"/>
      <c r="D62" s="1623" t="s">
        <v>577</v>
      </c>
      <c r="E62" s="1677">
        <f>SUM(E63:E66)</f>
        <v>1227.3019883141972</v>
      </c>
      <c r="F62" s="962">
        <f t="shared" ref="F62:Y62" si="11">SUM(F63:F66)</f>
        <v>1371.3112667243656</v>
      </c>
      <c r="G62" s="958">
        <f t="shared" si="11"/>
        <v>1420.0705451345339</v>
      </c>
      <c r="H62" s="958">
        <f t="shared" si="11"/>
        <v>1473.0798235447023</v>
      </c>
      <c r="I62" s="958">
        <f t="shared" si="11"/>
        <v>1531.8391019548708</v>
      </c>
      <c r="J62" s="958">
        <f t="shared" si="11"/>
        <v>1592.5983803650392</v>
      </c>
      <c r="K62" s="958">
        <f t="shared" si="11"/>
        <v>1629.8576587752075</v>
      </c>
      <c r="L62" s="1677">
        <f>SUM(L63:L66)</f>
        <v>115.46135001231518</v>
      </c>
      <c r="M62" s="962">
        <f t="shared" si="11"/>
        <v>130.4830956384647</v>
      </c>
      <c r="N62" s="958">
        <f t="shared" si="11"/>
        <v>146.45484126461429</v>
      </c>
      <c r="O62" s="958">
        <f t="shared" si="11"/>
        <v>152.57658689076385</v>
      </c>
      <c r="P62" s="958">
        <f t="shared" si="11"/>
        <v>159.09833251691339</v>
      </c>
      <c r="Q62" s="958">
        <f t="shared" si="11"/>
        <v>166.52007814306296</v>
      </c>
      <c r="R62" s="958">
        <f t="shared" si="11"/>
        <v>174.84182376921254</v>
      </c>
      <c r="S62" s="1677">
        <f>SUM(S63:S66)</f>
        <v>58.449489103249242</v>
      </c>
      <c r="T62" s="962">
        <f t="shared" si="11"/>
        <v>63.024357772152037</v>
      </c>
      <c r="U62" s="958">
        <f t="shared" si="11"/>
        <v>70.349226441054824</v>
      </c>
      <c r="V62" s="958">
        <f t="shared" si="11"/>
        <v>82.774095109957614</v>
      </c>
      <c r="W62" s="958">
        <f t="shared" si="11"/>
        <v>102.84896377886041</v>
      </c>
      <c r="X62" s="958">
        <f t="shared" si="11"/>
        <v>132.62383244776319</v>
      </c>
      <c r="Y62" s="961">
        <f t="shared" si="11"/>
        <v>171.19870111666603</v>
      </c>
      <c r="Z62" s="1671"/>
      <c r="AA62" s="1701"/>
      <c r="AB62" s="1641"/>
    </row>
    <row r="63" spans="1:28">
      <c r="A63" s="1673"/>
      <c r="B63" s="1674">
        <v>20301</v>
      </c>
      <c r="C63" s="1679">
        <v>0.1</v>
      </c>
      <c r="D63" s="1624" t="s">
        <v>599</v>
      </c>
      <c r="E63" s="2250">
        <f>528.028630516194-515</f>
        <v>13.028630516193971</v>
      </c>
      <c r="F63" s="885">
        <f t="shared" ref="F63:K67" si="12">E63+F38</f>
        <v>17.620257384679576</v>
      </c>
      <c r="G63" s="886">
        <f t="shared" si="12"/>
        <v>22.211884253165181</v>
      </c>
      <c r="H63" s="886">
        <f t="shared" si="12"/>
        <v>26.803511121650786</v>
      </c>
      <c r="I63" s="886">
        <f t="shared" si="12"/>
        <v>31.395137990136391</v>
      </c>
      <c r="J63" s="886">
        <f t="shared" si="12"/>
        <v>35.986764858621996</v>
      </c>
      <c r="K63" s="887">
        <f t="shared" si="12"/>
        <v>40.578391727107601</v>
      </c>
      <c r="L63" s="2250">
        <v>50.980266540412053</v>
      </c>
      <c r="M63" s="885">
        <f t="shared" ref="M63:R67" si="13">L63+M38</f>
        <v>57.385926609396314</v>
      </c>
      <c r="N63" s="886">
        <f t="shared" si="13"/>
        <v>63.791586678380575</v>
      </c>
      <c r="O63" s="886">
        <f t="shared" si="13"/>
        <v>64.197246747364829</v>
      </c>
      <c r="P63" s="886">
        <f t="shared" si="13"/>
        <v>64.10290681634909</v>
      </c>
      <c r="Q63" s="886">
        <f t="shared" si="13"/>
        <v>64.008566885333352</v>
      </c>
      <c r="R63" s="887">
        <f t="shared" si="13"/>
        <v>63.914226954317613</v>
      </c>
      <c r="S63" s="2250">
        <v>13.478312943393846</v>
      </c>
      <c r="T63" s="885">
        <f t="shared" ref="T63:Y67" si="14">S63+T38</f>
        <v>15.253132939087886</v>
      </c>
      <c r="U63" s="886">
        <f t="shared" si="14"/>
        <v>17.027952934781926</v>
      </c>
      <c r="V63" s="886">
        <f t="shared" si="14"/>
        <v>18.002772930475967</v>
      </c>
      <c r="W63" s="886">
        <f t="shared" si="14"/>
        <v>18.177592926170007</v>
      </c>
      <c r="X63" s="886">
        <f t="shared" si="14"/>
        <v>17.852412921864047</v>
      </c>
      <c r="Y63" s="887">
        <f t="shared" si="14"/>
        <v>17.527232917558088</v>
      </c>
      <c r="Z63" s="1671"/>
      <c r="AA63" s="1701"/>
      <c r="AB63" s="1641"/>
    </row>
    <row r="64" spans="1:28">
      <c r="A64" s="1673"/>
      <c r="B64" s="1674">
        <v>20302</v>
      </c>
      <c r="C64" s="1679">
        <v>0.1</v>
      </c>
      <c r="D64" s="1624" t="s">
        <v>600</v>
      </c>
      <c r="E64" s="2250"/>
      <c r="F64" s="885">
        <f t="shared" si="12"/>
        <v>0</v>
      </c>
      <c r="G64" s="886">
        <f t="shared" si="12"/>
        <v>0.25</v>
      </c>
      <c r="H64" s="886">
        <f t="shared" si="12"/>
        <v>1</v>
      </c>
      <c r="I64" s="886">
        <f t="shared" si="12"/>
        <v>2.25</v>
      </c>
      <c r="J64" s="886">
        <f t="shared" si="12"/>
        <v>4</v>
      </c>
      <c r="K64" s="887">
        <f t="shared" si="12"/>
        <v>6.25</v>
      </c>
      <c r="L64" s="2250">
        <v>38.031753001467109</v>
      </c>
      <c r="M64" s="885">
        <f t="shared" si="13"/>
        <v>42.855982008880744</v>
      </c>
      <c r="N64" s="886">
        <f t="shared" si="13"/>
        <v>47.680211016294379</v>
      </c>
      <c r="O64" s="886">
        <f t="shared" si="13"/>
        <v>47.504440023708014</v>
      </c>
      <c r="P64" s="886">
        <f t="shared" si="13"/>
        <v>47.328669031121649</v>
      </c>
      <c r="Q64" s="886">
        <f t="shared" si="13"/>
        <v>47.152898038535284</v>
      </c>
      <c r="R64" s="887">
        <f t="shared" si="13"/>
        <v>46.977127045948919</v>
      </c>
      <c r="S64" s="2250">
        <v>9.6107344282945757</v>
      </c>
      <c r="T64" s="885">
        <f t="shared" si="14"/>
        <v>10.829831108106813</v>
      </c>
      <c r="U64" s="886">
        <f t="shared" si="14"/>
        <v>14.498927787919049</v>
      </c>
      <c r="V64" s="886">
        <f t="shared" si="14"/>
        <v>23.268024467731287</v>
      </c>
      <c r="W64" s="886">
        <f t="shared" si="14"/>
        <v>39.237121147543519</v>
      </c>
      <c r="X64" s="886">
        <f t="shared" si="14"/>
        <v>63.656217827355761</v>
      </c>
      <c r="Y64" s="887">
        <f t="shared" si="14"/>
        <v>94.375314507168</v>
      </c>
      <c r="Z64" s="1671"/>
      <c r="AA64" s="1701"/>
      <c r="AB64" s="1641"/>
    </row>
    <row r="65" spans="1:28">
      <c r="A65" s="1673"/>
      <c r="B65" s="1674">
        <v>20303</v>
      </c>
      <c r="C65" s="1670">
        <v>0.1</v>
      </c>
      <c r="D65" s="1624" t="s">
        <v>578</v>
      </c>
      <c r="E65" s="2250">
        <v>1051.2897695085408</v>
      </c>
      <c r="F65" s="885">
        <f t="shared" si="12"/>
        <v>1146.982218184871</v>
      </c>
      <c r="G65" s="886">
        <f t="shared" si="12"/>
        <v>1146.6746668612013</v>
      </c>
      <c r="H65" s="886">
        <f t="shared" si="12"/>
        <v>1149.1171155375316</v>
      </c>
      <c r="I65" s="886">
        <f t="shared" si="12"/>
        <v>1155.8095642138619</v>
      </c>
      <c r="J65" s="886">
        <f t="shared" si="12"/>
        <v>1163.0020128901922</v>
      </c>
      <c r="K65" s="887">
        <f t="shared" si="12"/>
        <v>1169.1944615665225</v>
      </c>
      <c r="L65" s="2250">
        <v>18.829801447808901</v>
      </c>
      <c r="M65" s="885">
        <f t="shared" si="13"/>
        <v>19.127971256687495</v>
      </c>
      <c r="N65" s="886">
        <f t="shared" si="13"/>
        <v>19.876141065566088</v>
      </c>
      <c r="O65" s="886">
        <f t="shared" si="13"/>
        <v>21.524310874444684</v>
      </c>
      <c r="P65" s="886">
        <f t="shared" si="13"/>
        <v>24.072480683323278</v>
      </c>
      <c r="Q65" s="886">
        <f t="shared" si="13"/>
        <v>27.520650492201874</v>
      </c>
      <c r="R65" s="887">
        <f t="shared" si="13"/>
        <v>31.868820301080468</v>
      </c>
      <c r="S65" s="2250">
        <v>30.028919043650337</v>
      </c>
      <c r="T65" s="885">
        <f t="shared" si="14"/>
        <v>30.035649420243889</v>
      </c>
      <c r="U65" s="886">
        <f t="shared" si="14"/>
        <v>30.042379796837441</v>
      </c>
      <c r="V65" s="886">
        <f t="shared" si="14"/>
        <v>30.049110173430993</v>
      </c>
      <c r="W65" s="886">
        <f t="shared" si="14"/>
        <v>30.305840550024545</v>
      </c>
      <c r="X65" s="886">
        <f t="shared" si="14"/>
        <v>31.312570926618097</v>
      </c>
      <c r="Y65" s="887">
        <f t="shared" si="14"/>
        <v>33.819301303211653</v>
      </c>
      <c r="Z65" s="1671"/>
      <c r="AA65" s="1701"/>
      <c r="AB65" s="1641"/>
    </row>
    <row r="66" spans="1:28">
      <c r="A66" s="1673"/>
      <c r="B66" s="1674">
        <v>20306</v>
      </c>
      <c r="C66" s="1670">
        <v>0.1</v>
      </c>
      <c r="D66" s="1624" t="s">
        <v>581</v>
      </c>
      <c r="E66" s="2250">
        <v>162.9835882894624</v>
      </c>
      <c r="F66" s="885">
        <f t="shared" si="12"/>
        <v>206.70879115481492</v>
      </c>
      <c r="G66" s="886">
        <f t="shared" si="12"/>
        <v>250.93399402016743</v>
      </c>
      <c r="H66" s="886">
        <f t="shared" si="12"/>
        <v>296.15919688551992</v>
      </c>
      <c r="I66" s="886">
        <f t="shared" si="12"/>
        <v>342.38439975087243</v>
      </c>
      <c r="J66" s="886">
        <f t="shared" si="12"/>
        <v>389.60960261622495</v>
      </c>
      <c r="K66" s="887">
        <f t="shared" si="12"/>
        <v>413.83480548157746</v>
      </c>
      <c r="L66" s="2250">
        <v>7.6195290226271002</v>
      </c>
      <c r="M66" s="885">
        <f t="shared" si="13"/>
        <v>11.113215763500172</v>
      </c>
      <c r="N66" s="886">
        <f t="shared" si="13"/>
        <v>15.106902504373245</v>
      </c>
      <c r="O66" s="886">
        <f t="shared" si="13"/>
        <v>19.350589245246319</v>
      </c>
      <c r="P66" s="886">
        <f t="shared" si="13"/>
        <v>23.594275986119392</v>
      </c>
      <c r="Q66" s="886">
        <f t="shared" si="13"/>
        <v>27.837962726992465</v>
      </c>
      <c r="R66" s="887">
        <f t="shared" si="13"/>
        <v>32.081649467865539</v>
      </c>
      <c r="S66" s="2250">
        <v>5.3315226879104838</v>
      </c>
      <c r="T66" s="885">
        <f t="shared" si="14"/>
        <v>6.9057443047134468</v>
      </c>
      <c r="U66" s="886">
        <f t="shared" si="14"/>
        <v>8.7799659215164105</v>
      </c>
      <c r="V66" s="886">
        <f t="shared" si="14"/>
        <v>11.454187538319374</v>
      </c>
      <c r="W66" s="886">
        <f t="shared" si="14"/>
        <v>15.128409155122338</v>
      </c>
      <c r="X66" s="886">
        <f t="shared" si="14"/>
        <v>19.802630771925301</v>
      </c>
      <c r="Y66" s="887">
        <f t="shared" si="14"/>
        <v>25.476852388728265</v>
      </c>
      <c r="Z66" s="1671"/>
      <c r="AA66" s="1702"/>
    </row>
    <row r="67" spans="1:28">
      <c r="A67" s="1673">
        <v>4</v>
      </c>
      <c r="B67" s="1674">
        <v>20403</v>
      </c>
      <c r="C67" s="1679">
        <v>0.04</v>
      </c>
      <c r="D67" s="1625" t="s">
        <v>606</v>
      </c>
      <c r="E67" s="2250">
        <v>12.987577775288385</v>
      </c>
      <c r="F67" s="885">
        <f t="shared" si="12"/>
        <v>13.957199646386082</v>
      </c>
      <c r="G67" s="886">
        <f t="shared" si="12"/>
        <v>14.926821517483779</v>
      </c>
      <c r="H67" s="886">
        <f t="shared" si="12"/>
        <v>15.896443388581476</v>
      </c>
      <c r="I67" s="886">
        <f t="shared" si="12"/>
        <v>16.866065259679175</v>
      </c>
      <c r="J67" s="886">
        <f t="shared" si="12"/>
        <v>17.835687130776872</v>
      </c>
      <c r="K67" s="887">
        <f t="shared" si="12"/>
        <v>18.805309001874569</v>
      </c>
      <c r="L67" s="2250">
        <v>1.4626231158541618</v>
      </c>
      <c r="M67" s="885">
        <f t="shared" si="13"/>
        <v>1.4626231158541618</v>
      </c>
      <c r="N67" s="886">
        <f t="shared" si="13"/>
        <v>1.4626231158541618</v>
      </c>
      <c r="O67" s="886">
        <f t="shared" si="13"/>
        <v>1.4626231158541618</v>
      </c>
      <c r="P67" s="886">
        <f t="shared" si="13"/>
        <v>1.4626231158541618</v>
      </c>
      <c r="Q67" s="886">
        <f t="shared" si="13"/>
        <v>1.4626231158541618</v>
      </c>
      <c r="R67" s="887">
        <f t="shared" si="13"/>
        <v>1.4626231158541618</v>
      </c>
      <c r="S67" s="2250">
        <v>1.9096091088574545</v>
      </c>
      <c r="T67" s="885">
        <f t="shared" si="14"/>
        <v>1.9712091088574546</v>
      </c>
      <c r="U67" s="886">
        <f t="shared" si="14"/>
        <v>2.0328091088574545</v>
      </c>
      <c r="V67" s="886">
        <f t="shared" si="14"/>
        <v>2.0944091088574543</v>
      </c>
      <c r="W67" s="886">
        <f t="shared" si="14"/>
        <v>2.1560091088574542</v>
      </c>
      <c r="X67" s="886">
        <f t="shared" si="14"/>
        <v>2.2176091088574541</v>
      </c>
      <c r="Y67" s="887">
        <f t="shared" si="14"/>
        <v>2.279209108857454</v>
      </c>
      <c r="Z67" s="1671"/>
      <c r="AA67" s="1702"/>
    </row>
    <row r="68" spans="1:28">
      <c r="A68" s="1673">
        <v>5</v>
      </c>
      <c r="B68" s="1674">
        <v>205</v>
      </c>
      <c r="C68" s="1670"/>
      <c r="D68" s="1623" t="s">
        <v>275</v>
      </c>
      <c r="E68" s="1682">
        <f t="shared" ref="E68:Y68" si="15">SUM(E69:E72)</f>
        <v>1012.5958040394896</v>
      </c>
      <c r="F68" s="962">
        <f t="shared" si="15"/>
        <v>1067.3390798599896</v>
      </c>
      <c r="G68" s="958">
        <f t="shared" si="15"/>
        <v>1111.5823556804892</v>
      </c>
      <c r="H68" s="958">
        <f t="shared" si="15"/>
        <v>1156.8256315009889</v>
      </c>
      <c r="I68" s="958">
        <f t="shared" si="15"/>
        <v>1167.0689073214887</v>
      </c>
      <c r="J68" s="958">
        <f t="shared" si="15"/>
        <v>1179.5121831419885</v>
      </c>
      <c r="K68" s="958">
        <f t="shared" si="15"/>
        <v>1192.3554589624882</v>
      </c>
      <c r="L68" s="1682">
        <f t="shared" si="15"/>
        <v>341.07221332924161</v>
      </c>
      <c r="M68" s="962">
        <f t="shared" si="15"/>
        <v>360.27010255235695</v>
      </c>
      <c r="N68" s="958">
        <f t="shared" si="15"/>
        <v>362.96799177547229</v>
      </c>
      <c r="O68" s="958">
        <f t="shared" si="15"/>
        <v>366.16588099858757</v>
      </c>
      <c r="P68" s="958">
        <f t="shared" si="15"/>
        <v>369.36377022170291</v>
      </c>
      <c r="Q68" s="958">
        <f t="shared" si="15"/>
        <v>371.56165944481825</v>
      </c>
      <c r="R68" s="958">
        <f t="shared" si="15"/>
        <v>372.75954866793359</v>
      </c>
      <c r="S68" s="1682">
        <f t="shared" si="15"/>
        <v>25.196462631269053</v>
      </c>
      <c r="T68" s="962">
        <f t="shared" si="15"/>
        <v>28.041053701271071</v>
      </c>
      <c r="U68" s="958">
        <f t="shared" si="15"/>
        <v>28.595644771273083</v>
      </c>
      <c r="V68" s="958">
        <f t="shared" si="15"/>
        <v>28.150235841275094</v>
      </c>
      <c r="W68" s="958">
        <f t="shared" si="15"/>
        <v>27.70482691127711</v>
      </c>
      <c r="X68" s="958">
        <f t="shared" si="15"/>
        <v>27.259417981279125</v>
      </c>
      <c r="Y68" s="961">
        <f t="shared" si="15"/>
        <v>26.814009051281143</v>
      </c>
      <c r="Z68" s="1671"/>
      <c r="AA68" s="1702"/>
    </row>
    <row r="69" spans="1:28">
      <c r="A69" s="1686"/>
      <c r="B69" s="1687">
        <v>20501</v>
      </c>
      <c r="C69" s="1670">
        <v>0.08</v>
      </c>
      <c r="D69" s="1626" t="s">
        <v>582</v>
      </c>
      <c r="E69" s="2250">
        <v>65.935678271300432</v>
      </c>
      <c r="F69" s="885">
        <f t="shared" ref="F69:K73" si="16">E69+F44</f>
        <v>74.57387945243542</v>
      </c>
      <c r="G69" s="886">
        <f t="shared" si="16"/>
        <v>83.212080633570395</v>
      </c>
      <c r="H69" s="886">
        <f t="shared" si="16"/>
        <v>91.850281814705369</v>
      </c>
      <c r="I69" s="886">
        <f t="shared" si="16"/>
        <v>100.48848299584034</v>
      </c>
      <c r="J69" s="886">
        <f t="shared" si="16"/>
        <v>110.32668417697532</v>
      </c>
      <c r="K69" s="887">
        <f t="shared" si="16"/>
        <v>120.5648853581103</v>
      </c>
      <c r="L69" s="2250">
        <v>320.31267477589563</v>
      </c>
      <c r="M69" s="885">
        <f t="shared" ref="M69:R74" si="17">L69+M44</f>
        <v>335.97794875796728</v>
      </c>
      <c r="N69" s="886">
        <f t="shared" si="17"/>
        <v>335.64322274003894</v>
      </c>
      <c r="O69" s="886">
        <f t="shared" si="17"/>
        <v>335.30849672211059</v>
      </c>
      <c r="P69" s="886">
        <f t="shared" si="17"/>
        <v>334.97377070418224</v>
      </c>
      <c r="Q69" s="886">
        <f t="shared" si="17"/>
        <v>334.6390446862539</v>
      </c>
      <c r="R69" s="887">
        <f t="shared" si="17"/>
        <v>334.30431866832555</v>
      </c>
      <c r="S69" s="2250">
        <v>1.0041869528038887</v>
      </c>
      <c r="T69" s="885">
        <f t="shared" ref="T69:Y74" si="18">S69+T44</f>
        <v>1.0845219090281999</v>
      </c>
      <c r="U69" s="886">
        <f t="shared" si="18"/>
        <v>1.0048568652525109</v>
      </c>
      <c r="V69" s="886">
        <f t="shared" si="18"/>
        <v>0.925191821476822</v>
      </c>
      <c r="W69" s="886">
        <f t="shared" si="18"/>
        <v>0.84552677770113305</v>
      </c>
      <c r="X69" s="886">
        <f t="shared" si="18"/>
        <v>0.7658617339254441</v>
      </c>
      <c r="Y69" s="887">
        <f t="shared" si="18"/>
        <v>0.68619669014975515</v>
      </c>
      <c r="Z69" s="1671"/>
      <c r="AA69" s="1702"/>
    </row>
    <row r="70" spans="1:28">
      <c r="A70" s="1686"/>
      <c r="B70" s="1687">
        <v>20502</v>
      </c>
      <c r="C70" s="1670">
        <v>0.1</v>
      </c>
      <c r="D70" s="1626" t="s">
        <v>583</v>
      </c>
      <c r="E70" s="2250">
        <f>271.868606494862-16</f>
        <v>255.86860649486198</v>
      </c>
      <c r="F70" s="885">
        <f t="shared" si="16"/>
        <v>290.81883999725221</v>
      </c>
      <c r="G70" s="886">
        <f t="shared" si="16"/>
        <v>326.26907349964245</v>
      </c>
      <c r="H70" s="886">
        <f t="shared" si="16"/>
        <v>362.71930700203268</v>
      </c>
      <c r="I70" s="886">
        <f t="shared" si="16"/>
        <v>364.16954050442291</v>
      </c>
      <c r="J70" s="886">
        <f t="shared" si="16"/>
        <v>366.61977400681315</v>
      </c>
      <c r="K70" s="887">
        <f t="shared" si="16"/>
        <v>369.07000750920338</v>
      </c>
      <c r="L70" s="2250">
        <v>11.197805529280984</v>
      </c>
      <c r="M70" s="885">
        <f t="shared" si="17"/>
        <v>13.622328423452334</v>
      </c>
      <c r="N70" s="886">
        <f t="shared" si="17"/>
        <v>16.546851317623684</v>
      </c>
      <c r="O70" s="886">
        <f t="shared" si="17"/>
        <v>19.971374211795034</v>
      </c>
      <c r="P70" s="886">
        <f t="shared" si="17"/>
        <v>23.395897105966384</v>
      </c>
      <c r="Q70" s="886">
        <f t="shared" si="17"/>
        <v>25.820420000137734</v>
      </c>
      <c r="R70" s="887">
        <f t="shared" si="17"/>
        <v>27.244942894309084</v>
      </c>
      <c r="S70" s="2250">
        <v>21.775997975857084</v>
      </c>
      <c r="T70" s="885">
        <f t="shared" si="18"/>
        <v>24.260235935662113</v>
      </c>
      <c r="U70" s="886">
        <f t="shared" si="18"/>
        <v>24.844473895467143</v>
      </c>
      <c r="V70" s="886">
        <f t="shared" si="18"/>
        <v>24.428711855272169</v>
      </c>
      <c r="W70" s="886">
        <f t="shared" si="18"/>
        <v>24.012949815077199</v>
      </c>
      <c r="X70" s="886">
        <f t="shared" si="18"/>
        <v>23.597187774882229</v>
      </c>
      <c r="Y70" s="887">
        <f t="shared" si="18"/>
        <v>23.181425734687259</v>
      </c>
      <c r="Z70" s="1671"/>
      <c r="AA70" s="1702"/>
    </row>
    <row r="71" spans="1:28">
      <c r="A71" s="1686"/>
      <c r="B71" s="1687">
        <v>20503</v>
      </c>
      <c r="C71" s="1670">
        <v>0.1</v>
      </c>
      <c r="D71" s="1624" t="s">
        <v>584</v>
      </c>
      <c r="E71" s="2250">
        <f>742.688412391865-55</f>
        <v>687.68841239186497</v>
      </c>
      <c r="F71" s="885">
        <f t="shared" si="16"/>
        <v>698.27026186830881</v>
      </c>
      <c r="G71" s="886">
        <f t="shared" si="16"/>
        <v>697.85211134475264</v>
      </c>
      <c r="H71" s="886">
        <f t="shared" si="16"/>
        <v>697.43396082119648</v>
      </c>
      <c r="I71" s="886">
        <f t="shared" si="16"/>
        <v>697.01581029764031</v>
      </c>
      <c r="J71" s="886">
        <f t="shared" si="16"/>
        <v>696.59765977408415</v>
      </c>
      <c r="K71" s="887">
        <f t="shared" si="16"/>
        <v>696.17950925052799</v>
      </c>
      <c r="L71" s="2250">
        <v>9.2122701808527481</v>
      </c>
      <c r="M71" s="885">
        <f t="shared" si="17"/>
        <v>10.25032991260419</v>
      </c>
      <c r="N71" s="886">
        <f t="shared" si="17"/>
        <v>10.288389644355632</v>
      </c>
      <c r="O71" s="886">
        <f t="shared" si="17"/>
        <v>10.326449376107075</v>
      </c>
      <c r="P71" s="886">
        <f t="shared" si="17"/>
        <v>10.364509107858517</v>
      </c>
      <c r="Q71" s="886">
        <f t="shared" si="17"/>
        <v>10.402568839609959</v>
      </c>
      <c r="R71" s="887">
        <f t="shared" si="17"/>
        <v>10.440628571361401</v>
      </c>
      <c r="S71" s="2250">
        <v>2.3279674272826085</v>
      </c>
      <c r="T71" s="885">
        <f t="shared" si="18"/>
        <v>2.590288136038394</v>
      </c>
      <c r="U71" s="886">
        <f t="shared" si="18"/>
        <v>2.6226088447941791</v>
      </c>
      <c r="V71" s="886">
        <f t="shared" si="18"/>
        <v>2.6549295535499642</v>
      </c>
      <c r="W71" s="886">
        <f t="shared" si="18"/>
        <v>2.6872502623057493</v>
      </c>
      <c r="X71" s="886">
        <f t="shared" si="18"/>
        <v>2.7195709710615343</v>
      </c>
      <c r="Y71" s="887">
        <f t="shared" si="18"/>
        <v>2.7518916798173194</v>
      </c>
      <c r="Z71" s="1671"/>
      <c r="AA71" s="1702"/>
    </row>
    <row r="72" spans="1:28">
      <c r="A72" s="1686"/>
      <c r="B72" s="1687">
        <v>20504</v>
      </c>
      <c r="C72" s="1670">
        <v>0.1</v>
      </c>
      <c r="D72" s="1624" t="s">
        <v>759</v>
      </c>
      <c r="E72" s="2250">
        <v>3.1031068814622538</v>
      </c>
      <c r="F72" s="885">
        <f t="shared" si="16"/>
        <v>3.6760985419929706</v>
      </c>
      <c r="G72" s="886">
        <f t="shared" si="16"/>
        <v>4.2490902025236874</v>
      </c>
      <c r="H72" s="886">
        <f t="shared" si="16"/>
        <v>4.8220818630544047</v>
      </c>
      <c r="I72" s="886">
        <f t="shared" si="16"/>
        <v>5.3950735235851219</v>
      </c>
      <c r="J72" s="886">
        <f t="shared" si="16"/>
        <v>5.9680651841158392</v>
      </c>
      <c r="K72" s="887">
        <f t="shared" si="16"/>
        <v>6.5410568446465565</v>
      </c>
      <c r="L72" s="2250">
        <v>0.34946284321227356</v>
      </c>
      <c r="M72" s="885">
        <f t="shared" si="17"/>
        <v>0.41949545833315122</v>
      </c>
      <c r="N72" s="886">
        <f t="shared" si="17"/>
        <v>0.48952807345402888</v>
      </c>
      <c r="O72" s="886">
        <f t="shared" si="17"/>
        <v>0.55956068857490648</v>
      </c>
      <c r="P72" s="886">
        <f t="shared" si="17"/>
        <v>0.62959330369578415</v>
      </c>
      <c r="Q72" s="886">
        <f t="shared" si="17"/>
        <v>0.69962591881666181</v>
      </c>
      <c r="R72" s="887">
        <f t="shared" si="17"/>
        <v>0.76965853393753947</v>
      </c>
      <c r="S72" s="2250">
        <v>8.8310275325472004E-2</v>
      </c>
      <c r="T72" s="885">
        <f t="shared" si="18"/>
        <v>0.10600772054236111</v>
      </c>
      <c r="U72" s="886">
        <f t="shared" si="18"/>
        <v>0.12370516575925022</v>
      </c>
      <c r="V72" s="886">
        <f t="shared" si="18"/>
        <v>0.14140261097613935</v>
      </c>
      <c r="W72" s="886">
        <f t="shared" si="18"/>
        <v>0.15910005619302847</v>
      </c>
      <c r="X72" s="886">
        <f t="shared" si="18"/>
        <v>0.1767975014099176</v>
      </c>
      <c r="Y72" s="887">
        <f t="shared" si="18"/>
        <v>0.19449494662680672</v>
      </c>
      <c r="Z72" s="1671"/>
      <c r="AA72" s="1702"/>
    </row>
    <row r="73" spans="1:28">
      <c r="A73" s="1686">
        <v>6</v>
      </c>
      <c r="B73" s="1687">
        <v>208</v>
      </c>
      <c r="C73" s="1670">
        <v>0.2</v>
      </c>
      <c r="D73" s="1625" t="s">
        <v>585</v>
      </c>
      <c r="E73" s="2250">
        <v>137.92177833478559</v>
      </c>
      <c r="F73" s="885">
        <f t="shared" si="16"/>
        <v>169.78702388691664</v>
      </c>
      <c r="G73" s="886">
        <f t="shared" si="16"/>
        <v>170.10911673948218</v>
      </c>
      <c r="H73" s="886">
        <f t="shared" si="16"/>
        <v>171.25896721189176</v>
      </c>
      <c r="I73" s="886">
        <f t="shared" si="16"/>
        <v>173.13965956102979</v>
      </c>
      <c r="J73" s="886">
        <f t="shared" si="16"/>
        <v>175.70774936959424</v>
      </c>
      <c r="K73" s="887">
        <f t="shared" si="16"/>
        <v>178.9645536915946</v>
      </c>
      <c r="L73" s="2250">
        <v>14.192504550133631</v>
      </c>
      <c r="M73" s="885">
        <f t="shared" si="17"/>
        <v>15.676607487660984</v>
      </c>
      <c r="N73" s="886">
        <f t="shared" si="17"/>
        <v>17.169883303140978</v>
      </c>
      <c r="O73" s="886">
        <f t="shared" si="17"/>
        <v>17.707748852566812</v>
      </c>
      <c r="P73" s="886">
        <f t="shared" si="17"/>
        <v>17.723608653877605</v>
      </c>
      <c r="Q73" s="886">
        <f t="shared" si="17"/>
        <v>17.824499068009047</v>
      </c>
      <c r="R73" s="887">
        <f t="shared" si="17"/>
        <v>18.009479549624661</v>
      </c>
      <c r="S73" s="2250">
        <v>4.0871871150807833</v>
      </c>
      <c r="T73" s="885">
        <f t="shared" si="18"/>
        <v>5.1051300452850441</v>
      </c>
      <c r="U73" s="886">
        <f t="shared" si="18"/>
        <v>5.1570527971021916</v>
      </c>
      <c r="V73" s="886">
        <f t="shared" si="18"/>
        <v>5.3366281951294559</v>
      </c>
      <c r="W73" s="886">
        <f t="shared" si="18"/>
        <v>5.7073674645433181</v>
      </c>
      <c r="X73" s="886">
        <f t="shared" si="18"/>
        <v>6.3056786617100977</v>
      </c>
      <c r="Y73" s="887">
        <f t="shared" si="18"/>
        <v>7.1311852779568063</v>
      </c>
      <c r="Z73" s="1671"/>
      <c r="AA73" s="1702"/>
    </row>
    <row r="74" spans="1:28">
      <c r="A74" s="1686">
        <v>7</v>
      </c>
      <c r="B74" s="1688">
        <v>20601</v>
      </c>
      <c r="C74" s="1679">
        <v>0.1</v>
      </c>
      <c r="D74" s="1625" t="s">
        <v>766</v>
      </c>
      <c r="E74" s="2250">
        <v>33.090618380382814</v>
      </c>
      <c r="F74" s="885">
        <f t="shared" ref="F74:K75" si="19">E74+F49</f>
        <v>35.90973967945402</v>
      </c>
      <c r="G74" s="886">
        <f t="shared" si="19"/>
        <v>38.728860978525219</v>
      </c>
      <c r="H74" s="886">
        <f t="shared" si="19"/>
        <v>38.976183917689262</v>
      </c>
      <c r="I74" s="886">
        <f t="shared" si="19"/>
        <v>40.004573294964644</v>
      </c>
      <c r="J74" s="886">
        <f t="shared" si="19"/>
        <v>41.754297634345413</v>
      </c>
      <c r="K74" s="887">
        <f t="shared" si="19"/>
        <v>44.211297976648289</v>
      </c>
      <c r="L74" s="2250">
        <v>3.5933980520998619</v>
      </c>
      <c r="M74" s="885">
        <f t="shared" si="17"/>
        <v>4.023134455103329</v>
      </c>
      <c r="N74" s="886">
        <f t="shared" si="17"/>
        <v>4.4528708581067962</v>
      </c>
      <c r="O74" s="886">
        <f t="shared" si="17"/>
        <v>4.4005281317430907</v>
      </c>
      <c r="P74" s="886">
        <f t="shared" si="17"/>
        <v>4.4093186530166202</v>
      </c>
      <c r="Q74" s="886">
        <f t="shared" si="17"/>
        <v>4.4939032535944374</v>
      </c>
      <c r="R74" s="887">
        <f t="shared" si="17"/>
        <v>4.6576555242221067</v>
      </c>
      <c r="S74" s="2250">
        <v>5.5417835675173226</v>
      </c>
      <c r="T74" s="885">
        <f t="shared" si="18"/>
        <v>6.4793713489643228</v>
      </c>
      <c r="U74" s="886">
        <f t="shared" si="18"/>
        <v>7.4169591304113229</v>
      </c>
      <c r="V74" s="886">
        <f t="shared" si="18"/>
        <v>8.4084244011326579</v>
      </c>
      <c r="W74" s="886">
        <f t="shared" si="18"/>
        <v>9.5576899861054176</v>
      </c>
      <c r="X74" s="886">
        <f t="shared" si="18"/>
        <v>10.409826529668502</v>
      </c>
      <c r="Y74" s="887">
        <f t="shared" si="18"/>
        <v>11.175519400259628</v>
      </c>
      <c r="Z74" s="1671"/>
      <c r="AA74" s="1702"/>
    </row>
    <row r="75" spans="1:28">
      <c r="A75" s="1689">
        <v>8</v>
      </c>
      <c r="B75" s="1688">
        <v>20602</v>
      </c>
      <c r="C75" s="1679">
        <v>0.1</v>
      </c>
      <c r="D75" s="1625" t="s">
        <v>607</v>
      </c>
      <c r="E75" s="2250">
        <v>13.36353003039968</v>
      </c>
      <c r="F75" s="885">
        <f t="shared" si="19"/>
        <v>13.772263336396046</v>
      </c>
      <c r="G75" s="886">
        <f t="shared" si="19"/>
        <v>13.380996642392413</v>
      </c>
      <c r="H75" s="886">
        <f t="shared" si="19"/>
        <v>12.98972994838878</v>
      </c>
      <c r="I75" s="886">
        <f t="shared" si="19"/>
        <v>12.598463254385146</v>
      </c>
      <c r="J75" s="886">
        <f t="shared" si="19"/>
        <v>12.207196560381513</v>
      </c>
      <c r="K75" s="887">
        <f t="shared" si="19"/>
        <v>11.81592986637788</v>
      </c>
      <c r="L75" s="2250">
        <v>1.5049617619279154</v>
      </c>
      <c r="M75" s="885">
        <f t="shared" ref="M75:R75" si="20">L75+M50</f>
        <v>1.6588076051240013</v>
      </c>
      <c r="N75" s="886">
        <f t="shared" si="20"/>
        <v>1.6126534483200872</v>
      </c>
      <c r="O75" s="886">
        <f t="shared" si="20"/>
        <v>1.5664992915161728</v>
      </c>
      <c r="P75" s="886">
        <f t="shared" si="20"/>
        <v>1.5203451347122585</v>
      </c>
      <c r="Q75" s="886">
        <f t="shared" si="20"/>
        <v>1.4741909779083442</v>
      </c>
      <c r="R75" s="887">
        <f t="shared" si="20"/>
        <v>1.4280368211044299</v>
      </c>
      <c r="S75" s="2250">
        <v>1.0653082076724001</v>
      </c>
      <c r="T75" s="885">
        <f t="shared" ref="T75:Y75" si="21">S75+T50</f>
        <v>1.1826854990188598</v>
      </c>
      <c r="U75" s="886">
        <f>T75+U50</f>
        <v>1.3000627903653195</v>
      </c>
      <c r="V75" s="886">
        <f t="shared" si="21"/>
        <v>1.4174400817117792</v>
      </c>
      <c r="W75" s="886">
        <f t="shared" si="21"/>
        <v>1.5348173730582388</v>
      </c>
      <c r="X75" s="886">
        <f t="shared" si="21"/>
        <v>1.1521946644046985</v>
      </c>
      <c r="Y75" s="887">
        <f t="shared" si="21"/>
        <v>0.76957195575115822</v>
      </c>
      <c r="Z75" s="1671"/>
      <c r="AA75" s="1702"/>
    </row>
    <row r="76" spans="1:28">
      <c r="A76" s="1689">
        <v>9</v>
      </c>
      <c r="B76" s="1687">
        <v>20603</v>
      </c>
      <c r="C76" s="1679">
        <v>0.5</v>
      </c>
      <c r="D76" s="1625" t="s">
        <v>1441</v>
      </c>
      <c r="E76" s="2250">
        <v>0</v>
      </c>
      <c r="F76" s="885">
        <f t="shared" ref="F76:K76" si="22">E76+F51</f>
        <v>0</v>
      </c>
      <c r="G76" s="886">
        <f t="shared" si="22"/>
        <v>0</v>
      </c>
      <c r="H76" s="886">
        <f t="shared" si="22"/>
        <v>0</v>
      </c>
      <c r="I76" s="886">
        <f t="shared" si="22"/>
        <v>0</v>
      </c>
      <c r="J76" s="886">
        <f t="shared" si="22"/>
        <v>0</v>
      </c>
      <c r="K76" s="887">
        <f t="shared" si="22"/>
        <v>0</v>
      </c>
      <c r="L76" s="2250">
        <v>0</v>
      </c>
      <c r="M76" s="885">
        <f t="shared" ref="M76:R76" si="23">L76+M51</f>
        <v>0</v>
      </c>
      <c r="N76" s="886">
        <f t="shared" si="23"/>
        <v>0</v>
      </c>
      <c r="O76" s="886">
        <f t="shared" si="23"/>
        <v>0</v>
      </c>
      <c r="P76" s="886">
        <f t="shared" si="23"/>
        <v>0</v>
      </c>
      <c r="Q76" s="886">
        <f t="shared" si="23"/>
        <v>0</v>
      </c>
      <c r="R76" s="887">
        <f t="shared" si="23"/>
        <v>0</v>
      </c>
      <c r="S76" s="2250">
        <v>0</v>
      </c>
      <c r="T76" s="885">
        <f t="shared" ref="T76:Y76" si="24">S76+T51</f>
        <v>0</v>
      </c>
      <c r="U76" s="886">
        <f t="shared" si="24"/>
        <v>0</v>
      </c>
      <c r="V76" s="886">
        <f t="shared" si="24"/>
        <v>0</v>
      </c>
      <c r="W76" s="886">
        <f t="shared" si="24"/>
        <v>0</v>
      </c>
      <c r="X76" s="886">
        <f t="shared" si="24"/>
        <v>0</v>
      </c>
      <c r="Y76" s="887">
        <f t="shared" si="24"/>
        <v>0</v>
      </c>
      <c r="Z76" s="1671"/>
      <c r="AA76" s="1702"/>
    </row>
    <row r="77" spans="1:28">
      <c r="A77" s="1689">
        <v>10</v>
      </c>
      <c r="B77" s="1687">
        <v>209</v>
      </c>
      <c r="C77" s="1670">
        <v>0.1</v>
      </c>
      <c r="D77" s="1625" t="s">
        <v>276</v>
      </c>
      <c r="E77" s="2250">
        <v>0</v>
      </c>
      <c r="F77" s="885">
        <f t="shared" ref="F77:K83" si="25">E77+F52</f>
        <v>0</v>
      </c>
      <c r="G77" s="886">
        <f t="shared" si="25"/>
        <v>0</v>
      </c>
      <c r="H77" s="886">
        <f t="shared" si="25"/>
        <v>0</v>
      </c>
      <c r="I77" s="886">
        <f t="shared" si="25"/>
        <v>0</v>
      </c>
      <c r="J77" s="886">
        <f t="shared" si="25"/>
        <v>0</v>
      </c>
      <c r="K77" s="887">
        <f t="shared" si="25"/>
        <v>0</v>
      </c>
      <c r="L77" s="2250">
        <v>0</v>
      </c>
      <c r="M77" s="885">
        <f t="shared" ref="M77:R77" si="26">L77+M52</f>
        <v>0</v>
      </c>
      <c r="N77" s="886">
        <f t="shared" si="26"/>
        <v>0</v>
      </c>
      <c r="O77" s="886">
        <f t="shared" si="26"/>
        <v>0</v>
      </c>
      <c r="P77" s="886">
        <f t="shared" si="26"/>
        <v>0</v>
      </c>
      <c r="Q77" s="886">
        <f t="shared" si="26"/>
        <v>0</v>
      </c>
      <c r="R77" s="887">
        <f t="shared" si="26"/>
        <v>0</v>
      </c>
      <c r="S77" s="2250">
        <v>0</v>
      </c>
      <c r="T77" s="885">
        <f t="shared" ref="T77:Y77" si="27">S77+T52</f>
        <v>0</v>
      </c>
      <c r="U77" s="886">
        <f t="shared" si="27"/>
        <v>0</v>
      </c>
      <c r="V77" s="886">
        <f t="shared" si="27"/>
        <v>0</v>
      </c>
      <c r="W77" s="886">
        <f t="shared" si="27"/>
        <v>0</v>
      </c>
      <c r="X77" s="886">
        <f t="shared" si="27"/>
        <v>0</v>
      </c>
      <c r="Y77" s="887">
        <f t="shared" si="27"/>
        <v>0</v>
      </c>
      <c r="Z77" s="1671"/>
      <c r="AA77" s="1702"/>
    </row>
    <row r="78" spans="1:28" ht="24">
      <c r="A78" s="1689">
        <v>11</v>
      </c>
      <c r="B78" s="1687">
        <v>207</v>
      </c>
      <c r="C78" s="1670" t="s">
        <v>380</v>
      </c>
      <c r="D78" s="1627" t="s">
        <v>586</v>
      </c>
      <c r="E78" s="2250">
        <v>0</v>
      </c>
      <c r="F78" s="885">
        <f t="shared" si="25"/>
        <v>0</v>
      </c>
      <c r="G78" s="886">
        <f t="shared" si="25"/>
        <v>0</v>
      </c>
      <c r="H78" s="886">
        <f t="shared" si="25"/>
        <v>0</v>
      </c>
      <c r="I78" s="886">
        <f t="shared" si="25"/>
        <v>0</v>
      </c>
      <c r="J78" s="886">
        <f t="shared" si="25"/>
        <v>0</v>
      </c>
      <c r="K78" s="887">
        <f t="shared" si="25"/>
        <v>0</v>
      </c>
      <c r="L78" s="2250">
        <v>0</v>
      </c>
      <c r="M78" s="885">
        <f t="shared" ref="M78:M83" si="28">L78+M53</f>
        <v>0</v>
      </c>
      <c r="N78" s="886">
        <f>M78+N53</f>
        <v>0</v>
      </c>
      <c r="O78" s="886">
        <f>N78+O53</f>
        <v>0</v>
      </c>
      <c r="P78" s="886">
        <f>O78+P53</f>
        <v>0</v>
      </c>
      <c r="Q78" s="886">
        <f>P78+Q53</f>
        <v>0</v>
      </c>
      <c r="R78" s="887">
        <f>Q78+R53</f>
        <v>0</v>
      </c>
      <c r="S78" s="2250">
        <v>0</v>
      </c>
      <c r="T78" s="885">
        <f t="shared" ref="T78:Y78" si="29">S78+T53</f>
        <v>0</v>
      </c>
      <c r="U78" s="886">
        <f t="shared" ref="U78:U83" si="30">T78+U53</f>
        <v>0</v>
      </c>
      <c r="V78" s="886">
        <f t="shared" si="29"/>
        <v>0</v>
      </c>
      <c r="W78" s="886">
        <f t="shared" si="29"/>
        <v>0</v>
      </c>
      <c r="X78" s="886">
        <f t="shared" si="29"/>
        <v>0</v>
      </c>
      <c r="Y78" s="887">
        <f t="shared" si="29"/>
        <v>0</v>
      </c>
      <c r="Z78" s="1671"/>
      <c r="AA78" s="1702"/>
    </row>
    <row r="79" spans="1:28">
      <c r="A79" s="1689">
        <v>12</v>
      </c>
      <c r="B79" s="1687">
        <v>212</v>
      </c>
      <c r="C79" s="1679">
        <v>0.2</v>
      </c>
      <c r="D79" s="1628" t="s">
        <v>277</v>
      </c>
      <c r="E79" s="2250">
        <v>100.28245070613285</v>
      </c>
      <c r="F79" s="885">
        <f t="shared" si="25"/>
        <v>115.18953331745055</v>
      </c>
      <c r="G79" s="886">
        <f t="shared" si="25"/>
        <v>130.09661592876824</v>
      </c>
      <c r="H79" s="886">
        <f t="shared" si="25"/>
        <v>145.00369854008594</v>
      </c>
      <c r="I79" s="886">
        <f t="shared" si="25"/>
        <v>159.91078115140363</v>
      </c>
      <c r="J79" s="886">
        <f t="shared" si="25"/>
        <v>170.81786376272132</v>
      </c>
      <c r="K79" s="887">
        <f t="shared" si="25"/>
        <v>170.72494637403901</v>
      </c>
      <c r="L79" s="2250">
        <v>11.262502265010786</v>
      </c>
      <c r="M79" s="885">
        <f t="shared" si="28"/>
        <v>15.252743044936965</v>
      </c>
      <c r="N79" s="886">
        <f t="shared" ref="N79:R83" si="31">M79+N54</f>
        <v>19.242983824863142</v>
      </c>
      <c r="O79" s="886">
        <f t="shared" si="31"/>
        <v>19.233224604789321</v>
      </c>
      <c r="P79" s="886">
        <f t="shared" si="31"/>
        <v>19.223465384715499</v>
      </c>
      <c r="Q79" s="886">
        <f t="shared" si="31"/>
        <v>19.213706164641678</v>
      </c>
      <c r="R79" s="887">
        <f t="shared" si="31"/>
        <v>19.203946944567857</v>
      </c>
      <c r="S79" s="2250">
        <v>2.8460670288563694</v>
      </c>
      <c r="T79" s="885">
        <f>S79+T54</f>
        <v>3.8544124616672675</v>
      </c>
      <c r="U79" s="886">
        <f t="shared" si="30"/>
        <v>3.8627578944781655</v>
      </c>
      <c r="V79" s="886">
        <f t="shared" ref="V79:Y83" si="32">U79+V54</f>
        <v>3.8711033272890636</v>
      </c>
      <c r="W79" s="886">
        <f t="shared" si="32"/>
        <v>3.8794487600999616</v>
      </c>
      <c r="X79" s="886">
        <f t="shared" si="32"/>
        <v>3.8877941929108597</v>
      </c>
      <c r="Y79" s="887">
        <f t="shared" si="32"/>
        <v>3.8961396257217578</v>
      </c>
      <c r="Z79" s="1671"/>
      <c r="AA79" s="1702"/>
    </row>
    <row r="80" spans="1:28">
      <c r="A80" s="1689">
        <v>13</v>
      </c>
      <c r="B80" s="1686">
        <v>213</v>
      </c>
      <c r="C80" s="1690">
        <v>0.2</v>
      </c>
      <c r="D80" s="272" t="s">
        <v>278</v>
      </c>
      <c r="E80" s="2250">
        <v>0</v>
      </c>
      <c r="F80" s="885">
        <f t="shared" si="25"/>
        <v>0</v>
      </c>
      <c r="G80" s="886">
        <f t="shared" si="25"/>
        <v>0</v>
      </c>
      <c r="H80" s="886">
        <f t="shared" si="25"/>
        <v>0</v>
      </c>
      <c r="I80" s="886">
        <f t="shared" si="25"/>
        <v>0</v>
      </c>
      <c r="J80" s="886">
        <f t="shared" si="25"/>
        <v>0</v>
      </c>
      <c r="K80" s="887">
        <f t="shared" si="25"/>
        <v>0</v>
      </c>
      <c r="L80" s="2250">
        <v>0</v>
      </c>
      <c r="M80" s="885">
        <f t="shared" si="28"/>
        <v>0</v>
      </c>
      <c r="N80" s="886">
        <f t="shared" si="31"/>
        <v>0</v>
      </c>
      <c r="O80" s="886">
        <f t="shared" si="31"/>
        <v>0</v>
      </c>
      <c r="P80" s="886">
        <f t="shared" si="31"/>
        <v>0</v>
      </c>
      <c r="Q80" s="886">
        <f t="shared" si="31"/>
        <v>0</v>
      </c>
      <c r="R80" s="887">
        <f t="shared" si="31"/>
        <v>0</v>
      </c>
      <c r="S80" s="2250">
        <v>0</v>
      </c>
      <c r="T80" s="885">
        <f>S80+T55</f>
        <v>0</v>
      </c>
      <c r="U80" s="886">
        <f t="shared" si="30"/>
        <v>0</v>
      </c>
      <c r="V80" s="886">
        <f t="shared" si="32"/>
        <v>0</v>
      </c>
      <c r="W80" s="886">
        <f t="shared" si="32"/>
        <v>0</v>
      </c>
      <c r="X80" s="886">
        <f t="shared" si="32"/>
        <v>0</v>
      </c>
      <c r="Y80" s="887">
        <f t="shared" si="32"/>
        <v>0</v>
      </c>
      <c r="Z80" s="1671"/>
      <c r="AA80" s="1678"/>
      <c r="AB80" s="1641"/>
    </row>
    <row r="81" spans="1:28">
      <c r="A81" s="1689">
        <v>14</v>
      </c>
      <c r="B81" s="1691"/>
      <c r="C81" s="1691"/>
      <c r="D81" s="526" t="s">
        <v>844</v>
      </c>
      <c r="E81" s="2250"/>
      <c r="F81" s="885">
        <f t="shared" si="25"/>
        <v>0</v>
      </c>
      <c r="G81" s="886">
        <f t="shared" si="25"/>
        <v>0</v>
      </c>
      <c r="H81" s="886">
        <f t="shared" si="25"/>
        <v>0</v>
      </c>
      <c r="I81" s="886">
        <f t="shared" si="25"/>
        <v>0</v>
      </c>
      <c r="J81" s="886">
        <f t="shared" si="25"/>
        <v>0</v>
      </c>
      <c r="K81" s="887">
        <f t="shared" si="25"/>
        <v>0</v>
      </c>
      <c r="L81" s="2250"/>
      <c r="M81" s="885">
        <f t="shared" si="28"/>
        <v>0</v>
      </c>
      <c r="N81" s="886">
        <f t="shared" si="31"/>
        <v>0</v>
      </c>
      <c r="O81" s="886">
        <f t="shared" si="31"/>
        <v>0</v>
      </c>
      <c r="P81" s="886">
        <f t="shared" si="31"/>
        <v>0</v>
      </c>
      <c r="Q81" s="886">
        <f t="shared" si="31"/>
        <v>0</v>
      </c>
      <c r="R81" s="887">
        <f t="shared" si="31"/>
        <v>0</v>
      </c>
      <c r="S81" s="2250"/>
      <c r="T81" s="885">
        <f>S81+T56</f>
        <v>0</v>
      </c>
      <c r="U81" s="886">
        <f t="shared" si="30"/>
        <v>0</v>
      </c>
      <c r="V81" s="886">
        <f t="shared" si="32"/>
        <v>0</v>
      </c>
      <c r="W81" s="886">
        <f t="shared" si="32"/>
        <v>0</v>
      </c>
      <c r="X81" s="886">
        <f t="shared" si="32"/>
        <v>0</v>
      </c>
      <c r="Y81" s="887">
        <f t="shared" si="32"/>
        <v>0</v>
      </c>
      <c r="Z81" s="1671"/>
      <c r="AA81" s="1702"/>
    </row>
    <row r="82" spans="1:28" ht="24">
      <c r="A82" s="1689">
        <v>15</v>
      </c>
      <c r="B82" s="1686">
        <v>207</v>
      </c>
      <c r="C82" s="1704" t="s">
        <v>380</v>
      </c>
      <c r="D82" s="272" t="s">
        <v>587</v>
      </c>
      <c r="E82" s="2250"/>
      <c r="F82" s="885">
        <f t="shared" si="25"/>
        <v>0</v>
      </c>
      <c r="G82" s="886">
        <f t="shared" si="25"/>
        <v>0</v>
      </c>
      <c r="H82" s="886">
        <f t="shared" si="25"/>
        <v>0</v>
      </c>
      <c r="I82" s="886">
        <f t="shared" si="25"/>
        <v>0</v>
      </c>
      <c r="J82" s="886">
        <f t="shared" si="25"/>
        <v>0</v>
      </c>
      <c r="K82" s="887">
        <f t="shared" si="25"/>
        <v>0</v>
      </c>
      <c r="L82" s="2250"/>
      <c r="M82" s="885">
        <f t="shared" si="28"/>
        <v>0</v>
      </c>
      <c r="N82" s="886">
        <f t="shared" si="31"/>
        <v>0</v>
      </c>
      <c r="O82" s="886">
        <f t="shared" si="31"/>
        <v>0</v>
      </c>
      <c r="P82" s="886">
        <f t="shared" si="31"/>
        <v>0</v>
      </c>
      <c r="Q82" s="886">
        <f t="shared" si="31"/>
        <v>0</v>
      </c>
      <c r="R82" s="887">
        <f t="shared" si="31"/>
        <v>0</v>
      </c>
      <c r="S82" s="2250"/>
      <c r="T82" s="885">
        <f>S82+T57</f>
        <v>0</v>
      </c>
      <c r="U82" s="886">
        <f t="shared" si="30"/>
        <v>0</v>
      </c>
      <c r="V82" s="886">
        <f t="shared" si="32"/>
        <v>0</v>
      </c>
      <c r="W82" s="886">
        <f t="shared" si="32"/>
        <v>0</v>
      </c>
      <c r="X82" s="886">
        <f t="shared" si="32"/>
        <v>0</v>
      </c>
      <c r="Y82" s="887">
        <f t="shared" si="32"/>
        <v>0</v>
      </c>
      <c r="Z82" s="1671"/>
      <c r="AA82" s="1702"/>
    </row>
    <row r="83" spans="1:28" ht="13.5" thickBot="1">
      <c r="A83" s="1689">
        <v>16</v>
      </c>
      <c r="B83" s="1692">
        <v>219</v>
      </c>
      <c r="C83" s="1707">
        <v>0.1</v>
      </c>
      <c r="D83" s="277" t="s">
        <v>279</v>
      </c>
      <c r="E83" s="2251"/>
      <c r="F83" s="885">
        <f t="shared" si="25"/>
        <v>0</v>
      </c>
      <c r="G83" s="886">
        <f t="shared" si="25"/>
        <v>0</v>
      </c>
      <c r="H83" s="886">
        <f t="shared" si="25"/>
        <v>0</v>
      </c>
      <c r="I83" s="886">
        <f t="shared" si="25"/>
        <v>0</v>
      </c>
      <c r="J83" s="886">
        <f t="shared" si="25"/>
        <v>0</v>
      </c>
      <c r="K83" s="887">
        <f t="shared" si="25"/>
        <v>0</v>
      </c>
      <c r="L83" s="2251"/>
      <c r="M83" s="885">
        <f t="shared" si="28"/>
        <v>0</v>
      </c>
      <c r="N83" s="886">
        <f t="shared" si="31"/>
        <v>0</v>
      </c>
      <c r="O83" s="886">
        <f t="shared" si="31"/>
        <v>0</v>
      </c>
      <c r="P83" s="886">
        <f t="shared" si="31"/>
        <v>0</v>
      </c>
      <c r="Q83" s="886">
        <f t="shared" si="31"/>
        <v>0</v>
      </c>
      <c r="R83" s="887">
        <f t="shared" si="31"/>
        <v>0</v>
      </c>
      <c r="S83" s="2251"/>
      <c r="T83" s="885">
        <f>S83+T58</f>
        <v>0</v>
      </c>
      <c r="U83" s="886">
        <f t="shared" si="30"/>
        <v>0</v>
      </c>
      <c r="V83" s="886">
        <f t="shared" si="32"/>
        <v>0</v>
      </c>
      <c r="W83" s="886">
        <f t="shared" si="32"/>
        <v>0</v>
      </c>
      <c r="X83" s="886">
        <f t="shared" si="32"/>
        <v>0</v>
      </c>
      <c r="Y83" s="887">
        <f t="shared" si="32"/>
        <v>0</v>
      </c>
      <c r="Z83" s="1671"/>
      <c r="AA83" s="1702"/>
    </row>
    <row r="84" spans="1:28" ht="13.5" thickBot="1">
      <c r="A84" s="1694" t="s">
        <v>284</v>
      </c>
      <c r="B84" s="1695"/>
      <c r="C84" s="1695"/>
      <c r="D84" s="1665" t="s">
        <v>285</v>
      </c>
      <c r="E84" s="650">
        <f>SUM(E85:E108)-E87-E93</f>
        <v>3644.8897659217873</v>
      </c>
      <c r="F84" s="242">
        <f t="shared" ref="F84:Y84" si="33">SUM(F85:F108)-F87-F93</f>
        <v>3381.4946173936364</v>
      </c>
      <c r="G84" s="243">
        <f t="shared" si="33"/>
        <v>3292.4877627921078</v>
      </c>
      <c r="H84" s="243">
        <f t="shared" si="33"/>
        <v>3261.6196420787305</v>
      </c>
      <c r="I84" s="243">
        <f t="shared" si="33"/>
        <v>3233.389458130669</v>
      </c>
      <c r="J84" s="243">
        <f t="shared" si="33"/>
        <v>3203.7946849547716</v>
      </c>
      <c r="K84" s="244">
        <f t="shared" si="33"/>
        <v>3177.7318762655782</v>
      </c>
      <c r="L84" s="650">
        <f t="shared" si="33"/>
        <v>409.74058663405503</v>
      </c>
      <c r="M84" s="242">
        <f t="shared" si="33"/>
        <v>373.78750970793527</v>
      </c>
      <c r="N84" s="243">
        <f t="shared" si="33"/>
        <v>373.23628563727954</v>
      </c>
      <c r="O84" s="243">
        <f t="shared" si="33"/>
        <v>374.26938360467818</v>
      </c>
      <c r="P84" s="243">
        <f t="shared" si="33"/>
        <v>375.06101872576107</v>
      </c>
      <c r="Q84" s="243">
        <f t="shared" si="33"/>
        <v>375.50992728988899</v>
      </c>
      <c r="R84" s="244">
        <f t="shared" si="33"/>
        <v>375.49091800748863</v>
      </c>
      <c r="S84" s="650">
        <f t="shared" si="33"/>
        <v>44.81510446081748</v>
      </c>
      <c r="T84" s="242">
        <f t="shared" si="33"/>
        <v>34.082086402588274</v>
      </c>
      <c r="U84" s="243">
        <f t="shared" si="33"/>
        <v>82.748921562273281</v>
      </c>
      <c r="V84" s="243">
        <f t="shared" si="33"/>
        <v>136.39270079575189</v>
      </c>
      <c r="W84" s="243">
        <f t="shared" si="33"/>
        <v>225.14000611023116</v>
      </c>
      <c r="X84" s="243">
        <f t="shared" si="33"/>
        <v>296.49462720950135</v>
      </c>
      <c r="Y84" s="244">
        <f t="shared" si="33"/>
        <v>338.18520166859565</v>
      </c>
      <c r="Z84" s="1666"/>
      <c r="AA84" s="1708">
        <f>-(K84+R84+Y84+K170+R170+Y170+K257+R257+Y257)+((K9+R9+Y9+K110+R110+Y110+K191+R191+Y191)-(K59+R59+Y59+K150+R150+Y150+K235+R235+Y235))</f>
        <v>0</v>
      </c>
      <c r="AB84" s="1647"/>
    </row>
    <row r="85" spans="1:28">
      <c r="A85" s="1668">
        <v>1</v>
      </c>
      <c r="B85" s="1668">
        <v>20101</v>
      </c>
      <c r="C85" s="1690">
        <v>0</v>
      </c>
      <c r="D85" s="265" t="s">
        <v>758</v>
      </c>
      <c r="E85" s="2060">
        <f>E10-E60</f>
        <v>251.143144221033</v>
      </c>
      <c r="F85" s="2059">
        <f t="shared" ref="F85:L86" si="34">F10-F60</f>
        <v>251.143144221033</v>
      </c>
      <c r="G85" s="883">
        <f t="shared" si="34"/>
        <v>251.143144221033</v>
      </c>
      <c r="H85" s="883">
        <f t="shared" si="34"/>
        <v>251.143144221033</v>
      </c>
      <c r="I85" s="883">
        <f t="shared" si="34"/>
        <v>251.143144221033</v>
      </c>
      <c r="J85" s="883">
        <f t="shared" si="34"/>
        <v>251.143144221033</v>
      </c>
      <c r="K85" s="2064">
        <f t="shared" si="34"/>
        <v>251.143144221033</v>
      </c>
      <c r="L85" s="2060">
        <f t="shared" si="34"/>
        <v>19.13214320555284</v>
      </c>
      <c r="M85" s="2059">
        <f t="shared" ref="M85:S86" si="35">M10-M60</f>
        <v>19.13214320555284</v>
      </c>
      <c r="N85" s="883">
        <f t="shared" si="35"/>
        <v>19.13214320555284</v>
      </c>
      <c r="O85" s="883">
        <f t="shared" si="35"/>
        <v>19.13214320555284</v>
      </c>
      <c r="P85" s="883">
        <f t="shared" si="35"/>
        <v>19.13214320555284</v>
      </c>
      <c r="Q85" s="883">
        <f t="shared" si="35"/>
        <v>19.13214320555284</v>
      </c>
      <c r="R85" s="2064">
        <f t="shared" si="35"/>
        <v>19.13214320555284</v>
      </c>
      <c r="S85" s="2060">
        <f t="shared" si="35"/>
        <v>4.8347481480955059</v>
      </c>
      <c r="T85" s="882">
        <f t="shared" ref="T85:Y86" si="36">T10-T60</f>
        <v>4.8347481480955059</v>
      </c>
      <c r="U85" s="883">
        <f t="shared" si="36"/>
        <v>4.8347481480955059</v>
      </c>
      <c r="V85" s="883">
        <f t="shared" si="36"/>
        <v>4.8347481480955059</v>
      </c>
      <c r="W85" s="883">
        <f t="shared" si="36"/>
        <v>4.8347481480955059</v>
      </c>
      <c r="X85" s="883">
        <f t="shared" si="36"/>
        <v>4.8347481480955059</v>
      </c>
      <c r="Y85" s="884">
        <f t="shared" si="36"/>
        <v>4.8347481480955059</v>
      </c>
      <c r="Z85" s="1671"/>
      <c r="AA85" s="1672"/>
      <c r="AB85" s="1641"/>
    </row>
    <row r="86" spans="1:28">
      <c r="A86" s="1673">
        <v>2</v>
      </c>
      <c r="B86" s="1673">
        <v>20201</v>
      </c>
      <c r="C86" s="1706">
        <v>0.03</v>
      </c>
      <c r="D86" s="268" t="s">
        <v>597</v>
      </c>
      <c r="E86" s="2061">
        <f>E11-E61</f>
        <v>237.75166727148934</v>
      </c>
      <c r="F86" s="932">
        <f t="shared" si="34"/>
        <v>224.07887761362099</v>
      </c>
      <c r="G86" s="886">
        <f t="shared" si="34"/>
        <v>217.89049737707998</v>
      </c>
      <c r="H86" s="886">
        <f t="shared" si="34"/>
        <v>211.16241258361953</v>
      </c>
      <c r="I86" s="886">
        <f t="shared" si="34"/>
        <v>204.26271428440987</v>
      </c>
      <c r="J86" s="886">
        <f t="shared" si="34"/>
        <v>197.33694171998189</v>
      </c>
      <c r="K86" s="985">
        <f t="shared" si="34"/>
        <v>190.61838254436032</v>
      </c>
      <c r="L86" s="2061">
        <f t="shared" si="34"/>
        <v>15.961022365335998</v>
      </c>
      <c r="M86" s="932">
        <f t="shared" si="35"/>
        <v>15.285506252134178</v>
      </c>
      <c r="N86" s="886">
        <f t="shared" si="35"/>
        <v>15.049756673414903</v>
      </c>
      <c r="O86" s="886">
        <f t="shared" si="35"/>
        <v>15.347706640491223</v>
      </c>
      <c r="P86" s="886">
        <f t="shared" si="35"/>
        <v>15.510683503510883</v>
      </c>
      <c r="Q86" s="886">
        <f t="shared" si="35"/>
        <v>15.545594110290798</v>
      </c>
      <c r="R86" s="985">
        <f t="shared" si="35"/>
        <v>15.403504461325813</v>
      </c>
      <c r="S86" s="2061">
        <f t="shared" si="35"/>
        <v>4.7698821827060529</v>
      </c>
      <c r="T86" s="885">
        <f t="shared" si="36"/>
        <v>4.59917729919027</v>
      </c>
      <c r="U86" s="886">
        <f t="shared" si="36"/>
        <v>6.3542964598645897</v>
      </c>
      <c r="V86" s="886">
        <f t="shared" si="36"/>
        <v>7.815420631662743</v>
      </c>
      <c r="W86" s="886">
        <f t="shared" si="36"/>
        <v>9.2831314132668137</v>
      </c>
      <c r="X86" s="886">
        <f t="shared" si="36"/>
        <v>10.604982716328941</v>
      </c>
      <c r="Y86" s="887">
        <f t="shared" si="36"/>
        <v>11.596620886329564</v>
      </c>
      <c r="Z86" s="1671"/>
      <c r="AA86" s="1709"/>
    </row>
    <row r="87" spans="1:28" ht="25.5" customHeight="1">
      <c r="A87" s="1673">
        <v>3</v>
      </c>
      <c r="B87" s="1674">
        <v>203</v>
      </c>
      <c r="C87" s="1679"/>
      <c r="D87" s="1623" t="s">
        <v>577</v>
      </c>
      <c r="E87" s="2062">
        <f>SUM(E88:E91)</f>
        <v>345.79079578748781</v>
      </c>
      <c r="F87" s="1710">
        <f t="shared" ref="F87:Y87" si="37">SUM(F88:F91)</f>
        <v>201.78151737731937</v>
      </c>
      <c r="G87" s="1711">
        <f t="shared" si="37"/>
        <v>168.02223896715097</v>
      </c>
      <c r="H87" s="1711">
        <f t="shared" si="37"/>
        <v>185.01296055698259</v>
      </c>
      <c r="I87" s="1711">
        <f t="shared" si="37"/>
        <v>171.25368214681419</v>
      </c>
      <c r="J87" s="1711">
        <f t="shared" si="37"/>
        <v>125.49440373664578</v>
      </c>
      <c r="K87" s="2065">
        <f t="shared" si="37"/>
        <v>103.23512532647737</v>
      </c>
      <c r="L87" s="2062">
        <f>SUM(L88:L91)</f>
        <v>52.256106249180434</v>
      </c>
      <c r="M87" s="1710">
        <f t="shared" si="37"/>
        <v>42.234360623030867</v>
      </c>
      <c r="N87" s="1711">
        <f t="shared" si="37"/>
        <v>40.262614996881311</v>
      </c>
      <c r="O87" s="1711">
        <f t="shared" si="37"/>
        <v>43.14086937073175</v>
      </c>
      <c r="P87" s="1711">
        <f t="shared" si="37"/>
        <v>45.61912374458219</v>
      </c>
      <c r="Q87" s="1711">
        <f t="shared" si="37"/>
        <v>47.197378118432624</v>
      </c>
      <c r="R87" s="2065">
        <f t="shared" si="37"/>
        <v>47.87563249228306</v>
      </c>
      <c r="S87" s="2062">
        <f t="shared" si="37"/>
        <v>15.29919758577867</v>
      </c>
      <c r="T87" s="957">
        <f t="shared" si="37"/>
        <v>10.724328916875876</v>
      </c>
      <c r="U87" s="958">
        <f t="shared" si="37"/>
        <v>58.399460247973082</v>
      </c>
      <c r="V87" s="958">
        <f t="shared" si="37"/>
        <v>108.97459157907028</v>
      </c>
      <c r="W87" s="958">
        <f t="shared" si="37"/>
        <v>194.8997229101675</v>
      </c>
      <c r="X87" s="958">
        <f t="shared" si="37"/>
        <v>263.1248542412647</v>
      </c>
      <c r="Y87" s="961">
        <f t="shared" si="37"/>
        <v>302.54998557236189</v>
      </c>
      <c r="Z87" s="1671"/>
      <c r="AA87" s="1702"/>
    </row>
    <row r="88" spans="1:28">
      <c r="A88" s="1673"/>
      <c r="B88" s="1674">
        <v>20301</v>
      </c>
      <c r="C88" s="1679">
        <v>0.1</v>
      </c>
      <c r="D88" s="1624" t="s">
        <v>599</v>
      </c>
      <c r="E88" s="2061">
        <f>E13-E63</f>
        <v>32.887638168662079</v>
      </c>
      <c r="F88" s="932">
        <f t="shared" ref="F88:L92" si="38">F13-F63</f>
        <v>28.296011300176474</v>
      </c>
      <c r="G88" s="886">
        <f t="shared" si="38"/>
        <v>23.704384431690869</v>
      </c>
      <c r="H88" s="886">
        <f t="shared" si="38"/>
        <v>19.112757563205264</v>
      </c>
      <c r="I88" s="886">
        <f t="shared" si="38"/>
        <v>14.521130694719659</v>
      </c>
      <c r="J88" s="886">
        <f t="shared" si="38"/>
        <v>9.929503826234054</v>
      </c>
      <c r="K88" s="985">
        <f t="shared" si="38"/>
        <v>5.3378769577484491</v>
      </c>
      <c r="L88" s="2061">
        <f t="shared" si="38"/>
        <v>13.076334149430558</v>
      </c>
      <c r="M88" s="932">
        <f t="shared" ref="M88:S92" si="39">M13-M63</f>
        <v>6.6706740804462967</v>
      </c>
      <c r="N88" s="886">
        <f t="shared" si="39"/>
        <v>0.26501401146203563</v>
      </c>
      <c r="O88" s="886">
        <f t="shared" si="39"/>
        <v>-0.14064605752221837</v>
      </c>
      <c r="P88" s="886">
        <f t="shared" si="39"/>
        <v>-4.6306126506479472E-2</v>
      </c>
      <c r="Q88" s="886">
        <f t="shared" si="39"/>
        <v>4.8033804509259426E-2</v>
      </c>
      <c r="R88" s="985">
        <f t="shared" si="39"/>
        <v>0.14237373552499832</v>
      </c>
      <c r="S88" s="2061">
        <f t="shared" si="39"/>
        <v>4.2698870135465512</v>
      </c>
      <c r="T88" s="885">
        <f t="shared" ref="T88:Y92" si="40">T13-T63</f>
        <v>2.4950670178525112</v>
      </c>
      <c r="U88" s="886">
        <f t="shared" si="40"/>
        <v>0.72024702215847114</v>
      </c>
      <c r="V88" s="886">
        <f t="shared" si="40"/>
        <v>-0.25457297353556996</v>
      </c>
      <c r="W88" s="886">
        <f t="shared" si="40"/>
        <v>-0.42939296922961034</v>
      </c>
      <c r="X88" s="886">
        <f t="shared" si="40"/>
        <v>-0.10421296492365073</v>
      </c>
      <c r="Y88" s="887">
        <f t="shared" si="40"/>
        <v>0.22096703938230888</v>
      </c>
      <c r="Z88" s="1671"/>
      <c r="AA88" s="1702"/>
    </row>
    <row r="89" spans="1:28">
      <c r="A89" s="1673"/>
      <c r="B89" s="1674">
        <v>20302</v>
      </c>
      <c r="C89" s="1679">
        <v>0.1</v>
      </c>
      <c r="D89" s="1624" t="s">
        <v>600</v>
      </c>
      <c r="E89" s="2061">
        <f>E14-E64</f>
        <v>0</v>
      </c>
      <c r="F89" s="932">
        <f t="shared" si="38"/>
        <v>0</v>
      </c>
      <c r="G89" s="886">
        <f t="shared" si="38"/>
        <v>4.75</v>
      </c>
      <c r="H89" s="886">
        <f t="shared" si="38"/>
        <v>9</v>
      </c>
      <c r="I89" s="886">
        <f t="shared" si="38"/>
        <v>12.75</v>
      </c>
      <c r="J89" s="886">
        <f t="shared" si="38"/>
        <v>16</v>
      </c>
      <c r="K89" s="985">
        <f t="shared" si="38"/>
        <v>18.75</v>
      </c>
      <c r="L89" s="2061">
        <f t="shared" si="38"/>
        <v>10.210537072669247</v>
      </c>
      <c r="M89" s="932">
        <f t="shared" si="39"/>
        <v>5.3863080652556121</v>
      </c>
      <c r="N89" s="886">
        <f t="shared" si="39"/>
        <v>0.5620790578419772</v>
      </c>
      <c r="O89" s="886">
        <f t="shared" si="39"/>
        <v>0.73785005042834229</v>
      </c>
      <c r="P89" s="886">
        <f t="shared" si="39"/>
        <v>0.91362104301470737</v>
      </c>
      <c r="Q89" s="886">
        <f t="shared" si="39"/>
        <v>1.0893920356010725</v>
      </c>
      <c r="R89" s="985">
        <f t="shared" si="39"/>
        <v>1.2651630281874375</v>
      </c>
      <c r="S89" s="2061">
        <f t="shared" si="39"/>
        <v>2.5802323698277867</v>
      </c>
      <c r="T89" s="885">
        <f t="shared" si="40"/>
        <v>1.3611356900155496</v>
      </c>
      <c r="U89" s="886">
        <f t="shared" si="40"/>
        <v>46.69203901020331</v>
      </c>
      <c r="V89" s="886">
        <f t="shared" si="40"/>
        <v>90.922942330391066</v>
      </c>
      <c r="W89" s="886">
        <f t="shared" si="40"/>
        <v>165.95384565057884</v>
      </c>
      <c r="X89" s="886">
        <f t="shared" si="40"/>
        <v>219.5347489707666</v>
      </c>
      <c r="Y89" s="887">
        <f t="shared" si="40"/>
        <v>236.81565229095435</v>
      </c>
      <c r="Z89" s="1671"/>
      <c r="AA89" s="1702"/>
    </row>
    <row r="90" spans="1:28">
      <c r="A90" s="1673"/>
      <c r="B90" s="1674">
        <v>20303</v>
      </c>
      <c r="C90" s="1679">
        <v>0.1</v>
      </c>
      <c r="D90" s="1624" t="s">
        <v>578</v>
      </c>
      <c r="E90" s="2061">
        <f>E15-E65</f>
        <v>95.634717254763018</v>
      </c>
      <c r="F90" s="932">
        <f t="shared" si="38"/>
        <v>-5.7731421567268626E-2</v>
      </c>
      <c r="G90" s="886">
        <f t="shared" si="38"/>
        <v>0.24981990210244476</v>
      </c>
      <c r="H90" s="886">
        <f t="shared" si="38"/>
        <v>52.807371225772158</v>
      </c>
      <c r="I90" s="886">
        <f t="shared" si="38"/>
        <v>76.114922549441872</v>
      </c>
      <c r="J90" s="886">
        <f t="shared" si="38"/>
        <v>68.922473873111585</v>
      </c>
      <c r="K90" s="985">
        <f t="shared" si="38"/>
        <v>62.730025196781298</v>
      </c>
      <c r="L90" s="2061">
        <f t="shared" si="38"/>
        <v>4.1518966409770002</v>
      </c>
      <c r="M90" s="932">
        <f t="shared" si="39"/>
        <v>3.8537268320984062</v>
      </c>
      <c r="N90" s="886">
        <f t="shared" si="39"/>
        <v>12.105557023219813</v>
      </c>
      <c r="O90" s="886">
        <f t="shared" si="39"/>
        <v>19.457387214341221</v>
      </c>
      <c r="P90" s="886">
        <f t="shared" si="39"/>
        <v>25.909217405462627</v>
      </c>
      <c r="Q90" s="886">
        <f t="shared" si="39"/>
        <v>31.461047596584031</v>
      </c>
      <c r="R90" s="985">
        <f t="shared" si="39"/>
        <v>36.112877787705436</v>
      </c>
      <c r="S90" s="2061">
        <f t="shared" si="39"/>
        <v>3.8384722285186967E-2</v>
      </c>
      <c r="T90" s="885">
        <f t="shared" si="40"/>
        <v>3.1654345691634944E-2</v>
      </c>
      <c r="U90" s="886">
        <f t="shared" si="40"/>
        <v>2.4923969098082921E-2</v>
      </c>
      <c r="V90" s="886">
        <f t="shared" si="40"/>
        <v>1.8193592504530898E-2</v>
      </c>
      <c r="W90" s="886">
        <f t="shared" si="40"/>
        <v>4.7614632159109753</v>
      </c>
      <c r="X90" s="886">
        <f t="shared" si="40"/>
        <v>13.754732839317423</v>
      </c>
      <c r="Y90" s="887">
        <f t="shared" si="40"/>
        <v>31.248002462723868</v>
      </c>
      <c r="Z90" s="1671"/>
      <c r="AA90" s="1702"/>
    </row>
    <row r="91" spans="1:28">
      <c r="A91" s="1673"/>
      <c r="B91" s="1674">
        <v>20306</v>
      </c>
      <c r="C91" s="1679">
        <v>0.1</v>
      </c>
      <c r="D91" s="1624" t="s">
        <v>581</v>
      </c>
      <c r="E91" s="2061">
        <f>E16-E66</f>
        <v>217.26844036406268</v>
      </c>
      <c r="F91" s="932">
        <f t="shared" si="38"/>
        <v>173.54323749871017</v>
      </c>
      <c r="G91" s="886">
        <f t="shared" si="38"/>
        <v>139.31803463335766</v>
      </c>
      <c r="H91" s="886">
        <f t="shared" si="38"/>
        <v>104.09283176800517</v>
      </c>
      <c r="I91" s="886">
        <f t="shared" si="38"/>
        <v>67.867628902652655</v>
      </c>
      <c r="J91" s="886">
        <f t="shared" si="38"/>
        <v>30.64242603730014</v>
      </c>
      <c r="K91" s="985">
        <f t="shared" si="38"/>
        <v>16.417223171947626</v>
      </c>
      <c r="L91" s="2061">
        <f t="shared" si="38"/>
        <v>24.817338386103629</v>
      </c>
      <c r="M91" s="932">
        <f t="shared" si="39"/>
        <v>26.323651645230555</v>
      </c>
      <c r="N91" s="886">
        <f t="shared" si="39"/>
        <v>27.329964904357482</v>
      </c>
      <c r="O91" s="886">
        <f t="shared" si="39"/>
        <v>23.086278163484408</v>
      </c>
      <c r="P91" s="886">
        <f t="shared" si="39"/>
        <v>18.842591422611335</v>
      </c>
      <c r="Q91" s="886">
        <f t="shared" si="39"/>
        <v>14.598904681738262</v>
      </c>
      <c r="R91" s="985">
        <f t="shared" si="39"/>
        <v>10.355217940865188</v>
      </c>
      <c r="S91" s="2061">
        <f t="shared" si="39"/>
        <v>8.4106934801191446</v>
      </c>
      <c r="T91" s="885">
        <f t="shared" si="40"/>
        <v>6.8364718633161816</v>
      </c>
      <c r="U91" s="886">
        <f t="shared" si="40"/>
        <v>10.962250246513218</v>
      </c>
      <c r="V91" s="886">
        <f t="shared" si="40"/>
        <v>18.288028629710254</v>
      </c>
      <c r="W91" s="886">
        <f t="shared" si="40"/>
        <v>24.613807012907291</v>
      </c>
      <c r="X91" s="886">
        <f t="shared" si="40"/>
        <v>29.939585396104327</v>
      </c>
      <c r="Y91" s="887">
        <f t="shared" si="40"/>
        <v>34.265363779301367</v>
      </c>
      <c r="Z91" s="1671"/>
      <c r="AA91" s="1702"/>
    </row>
    <row r="92" spans="1:28">
      <c r="A92" s="1673">
        <v>4</v>
      </c>
      <c r="B92" s="1674">
        <v>20403</v>
      </c>
      <c r="C92" s="1679">
        <v>0.04</v>
      </c>
      <c r="D92" s="1625" t="s">
        <v>606</v>
      </c>
      <c r="E92" s="2061">
        <f>E17-E67</f>
        <v>34.252969002154018</v>
      </c>
      <c r="F92" s="932">
        <f t="shared" si="38"/>
        <v>33.283347131056324</v>
      </c>
      <c r="G92" s="886">
        <f t="shared" si="38"/>
        <v>32.313725259958623</v>
      </c>
      <c r="H92" s="886">
        <f t="shared" si="38"/>
        <v>31.34410338886093</v>
      </c>
      <c r="I92" s="886">
        <f t="shared" si="38"/>
        <v>30.374481517763229</v>
      </c>
      <c r="J92" s="886">
        <f t="shared" si="38"/>
        <v>29.404859646665532</v>
      </c>
      <c r="K92" s="985">
        <f t="shared" si="38"/>
        <v>28.435237775567835</v>
      </c>
      <c r="L92" s="2061">
        <f t="shared" si="38"/>
        <v>11.267276536804058</v>
      </c>
      <c r="M92" s="932">
        <f t="shared" si="39"/>
        <v>11.267276536804058</v>
      </c>
      <c r="N92" s="886">
        <f t="shared" si="39"/>
        <v>11.267276536804058</v>
      </c>
      <c r="O92" s="886">
        <f t="shared" si="39"/>
        <v>11.267276536804058</v>
      </c>
      <c r="P92" s="886">
        <f t="shared" si="39"/>
        <v>11.267276536804058</v>
      </c>
      <c r="Q92" s="886">
        <f t="shared" si="39"/>
        <v>11.267276536804058</v>
      </c>
      <c r="R92" s="985">
        <f t="shared" si="39"/>
        <v>11.267276536804058</v>
      </c>
      <c r="S92" s="2061">
        <f t="shared" si="39"/>
        <v>10.320244461041876</v>
      </c>
      <c r="T92" s="885">
        <f t="shared" si="40"/>
        <v>10.258644461041875</v>
      </c>
      <c r="U92" s="886">
        <f t="shared" si="40"/>
        <v>10.197044461041875</v>
      </c>
      <c r="V92" s="886">
        <f t="shared" si="40"/>
        <v>10.135444461041875</v>
      </c>
      <c r="W92" s="886">
        <f t="shared" si="40"/>
        <v>10.073844461041876</v>
      </c>
      <c r="X92" s="886">
        <f t="shared" si="40"/>
        <v>10.012244461041876</v>
      </c>
      <c r="Y92" s="887">
        <f t="shared" si="40"/>
        <v>9.9506444610418754</v>
      </c>
      <c r="Z92" s="1671"/>
      <c r="AA92" s="1702"/>
    </row>
    <row r="93" spans="1:28">
      <c r="A93" s="1673">
        <v>5</v>
      </c>
      <c r="B93" s="1674">
        <v>205</v>
      </c>
      <c r="C93" s="1679"/>
      <c r="D93" s="1623" t="s">
        <v>275</v>
      </c>
      <c r="E93" s="1677">
        <f t="shared" ref="E93:Y93" si="41">SUM(E94:E97)</f>
        <v>210.08263068359707</v>
      </c>
      <c r="F93" s="962">
        <f t="shared" si="41"/>
        <v>155.3393548630973</v>
      </c>
      <c r="G93" s="958">
        <f t="shared" si="41"/>
        <v>121.09607904259755</v>
      </c>
      <c r="H93" s="958">
        <f t="shared" si="41"/>
        <v>85.852803222097791</v>
      </c>
      <c r="I93" s="958">
        <f t="shared" si="41"/>
        <v>85.609527401598029</v>
      </c>
      <c r="J93" s="958">
        <f t="shared" si="41"/>
        <v>113.16625158109827</v>
      </c>
      <c r="K93" s="959">
        <f t="shared" si="41"/>
        <v>110.3229757605985</v>
      </c>
      <c r="L93" s="1677">
        <f t="shared" si="41"/>
        <v>26.569863857090713</v>
      </c>
      <c r="M93" s="962">
        <f t="shared" si="41"/>
        <v>7.3719746339753911</v>
      </c>
      <c r="N93" s="958">
        <f t="shared" si="41"/>
        <v>14.674085410860068</v>
      </c>
      <c r="O93" s="958">
        <f t="shared" si="41"/>
        <v>11.476196187744746</v>
      </c>
      <c r="P93" s="958">
        <f t="shared" si="41"/>
        <v>8.2783069646294223</v>
      </c>
      <c r="Q93" s="958">
        <f t="shared" si="41"/>
        <v>6.0804177415140988</v>
      </c>
      <c r="R93" s="959">
        <f t="shared" si="41"/>
        <v>4.8825285183987761</v>
      </c>
      <c r="S93" s="1677">
        <f t="shared" si="41"/>
        <v>3.4502854593118646</v>
      </c>
      <c r="T93" s="957">
        <f t="shared" si="41"/>
        <v>0.6056943893098502</v>
      </c>
      <c r="U93" s="958">
        <f t="shared" si="41"/>
        <v>5.110331930783496E-2</v>
      </c>
      <c r="V93" s="958">
        <f t="shared" si="41"/>
        <v>0.49651224930582327</v>
      </c>
      <c r="W93" s="958">
        <f t="shared" si="41"/>
        <v>0.94192117930380803</v>
      </c>
      <c r="X93" s="958">
        <f t="shared" si="41"/>
        <v>1.3873301093017927</v>
      </c>
      <c r="Y93" s="961">
        <f t="shared" si="41"/>
        <v>1.8327390392997773</v>
      </c>
      <c r="Z93" s="1671"/>
      <c r="AA93" s="1702"/>
    </row>
    <row r="94" spans="1:28">
      <c r="A94" s="1686"/>
      <c r="B94" s="1687">
        <v>20501</v>
      </c>
      <c r="C94" s="1679">
        <v>0.08</v>
      </c>
      <c r="D94" s="1626" t="s">
        <v>582</v>
      </c>
      <c r="E94" s="2061">
        <f t="shared" ref="E94:E108" si="42">E19-E69</f>
        <v>40.815000000000012</v>
      </c>
      <c r="F94" s="932">
        <f t="shared" ref="F94:L96" si="43">F19-F69</f>
        <v>32.176798818865024</v>
      </c>
      <c r="G94" s="886">
        <f t="shared" si="43"/>
        <v>23.538597637730049</v>
      </c>
      <c r="H94" s="886">
        <f t="shared" si="43"/>
        <v>14.900396456595075</v>
      </c>
      <c r="I94" s="886">
        <f t="shared" si="43"/>
        <v>6.2621952754601011</v>
      </c>
      <c r="J94" s="886">
        <f t="shared" si="43"/>
        <v>26.423994094325124</v>
      </c>
      <c r="K94" s="985">
        <f t="shared" si="43"/>
        <v>16.185792913190141</v>
      </c>
      <c r="L94" s="2061">
        <f t="shared" si="43"/>
        <v>15.503250000000037</v>
      </c>
      <c r="M94" s="932">
        <f t="shared" ref="M94:S96" si="44">M19-M69</f>
        <v>-0.1620239820716165</v>
      </c>
      <c r="N94" s="886">
        <f t="shared" si="44"/>
        <v>0.17270203585673016</v>
      </c>
      <c r="O94" s="886">
        <f t="shared" si="44"/>
        <v>0.50742805378507683</v>
      </c>
      <c r="P94" s="886">
        <f t="shared" si="44"/>
        <v>0.84215407171342349</v>
      </c>
      <c r="Q94" s="886">
        <f t="shared" si="44"/>
        <v>1.1768800896417702</v>
      </c>
      <c r="R94" s="985">
        <f t="shared" si="44"/>
        <v>1.5116061075701168</v>
      </c>
      <c r="S94" s="2061">
        <f t="shared" si="44"/>
        <v>0</v>
      </c>
      <c r="T94" s="885">
        <f t="shared" ref="T94:Y98" si="45">T19-T69</f>
        <v>-8.0334956224311194E-2</v>
      </c>
      <c r="U94" s="886">
        <f t="shared" si="45"/>
        <v>-6.6991244862224519E-4</v>
      </c>
      <c r="V94" s="886">
        <f t="shared" si="45"/>
        <v>7.8995131327066703E-2</v>
      </c>
      <c r="W94" s="886">
        <f t="shared" si="45"/>
        <v>0.15866017510275565</v>
      </c>
      <c r="X94" s="886">
        <f t="shared" si="45"/>
        <v>0.2383252188784446</v>
      </c>
      <c r="Y94" s="887">
        <f t="shared" si="45"/>
        <v>0.31799026265413355</v>
      </c>
      <c r="Z94" s="1671"/>
      <c r="AA94" s="1702"/>
    </row>
    <row r="95" spans="1:28">
      <c r="A95" s="1686"/>
      <c r="B95" s="1687">
        <v>20502</v>
      </c>
      <c r="C95" s="1679">
        <v>0.1</v>
      </c>
      <c r="D95" s="1626" t="s">
        <v>583</v>
      </c>
      <c r="E95" s="2061">
        <f t="shared" si="42"/>
        <v>100.77775496537424</v>
      </c>
      <c r="F95" s="932">
        <f t="shared" si="43"/>
        <v>65.827521462984009</v>
      </c>
      <c r="G95" s="886">
        <f t="shared" si="43"/>
        <v>40.377287960593776</v>
      </c>
      <c r="H95" s="886">
        <f t="shared" si="43"/>
        <v>13.927054458203543</v>
      </c>
      <c r="I95" s="886">
        <f t="shared" si="43"/>
        <v>22.476820955813309</v>
      </c>
      <c r="J95" s="886">
        <f t="shared" si="43"/>
        <v>30.026587453423076</v>
      </c>
      <c r="K95" s="985">
        <f t="shared" si="43"/>
        <v>37.576353951032843</v>
      </c>
      <c r="L95" s="2061">
        <f t="shared" si="43"/>
        <v>9.5474234124325044</v>
      </c>
      <c r="M95" s="932">
        <f t="shared" si="44"/>
        <v>7.1229005182611544</v>
      </c>
      <c r="N95" s="886">
        <f t="shared" si="44"/>
        <v>14.198377624089805</v>
      </c>
      <c r="O95" s="886">
        <f t="shared" si="44"/>
        <v>10.773854729918455</v>
      </c>
      <c r="P95" s="886">
        <f t="shared" si="44"/>
        <v>7.3493318357471047</v>
      </c>
      <c r="Q95" s="886">
        <f t="shared" si="44"/>
        <v>4.9248089415757548</v>
      </c>
      <c r="R95" s="985">
        <f t="shared" si="44"/>
        <v>3.5002860474044049</v>
      </c>
      <c r="S95" s="2061">
        <f t="shared" si="44"/>
        <v>3.0663816221932017</v>
      </c>
      <c r="T95" s="885">
        <f t="shared" si="45"/>
        <v>0.58214366238817306</v>
      </c>
      <c r="U95" s="886">
        <f t="shared" si="45"/>
        <v>-2.0942974168569606E-3</v>
      </c>
      <c r="V95" s="886">
        <f t="shared" si="45"/>
        <v>0.41366774277811658</v>
      </c>
      <c r="W95" s="886">
        <f t="shared" si="45"/>
        <v>0.82942978297308656</v>
      </c>
      <c r="X95" s="886">
        <f t="shared" si="45"/>
        <v>1.2451918231680565</v>
      </c>
      <c r="Y95" s="887">
        <f t="shared" si="45"/>
        <v>1.6609538633630265</v>
      </c>
      <c r="Z95" s="1671"/>
      <c r="AA95" s="1702"/>
    </row>
    <row r="96" spans="1:28">
      <c r="A96" s="1686"/>
      <c r="B96" s="1687">
        <v>20503</v>
      </c>
      <c r="C96" s="1679">
        <v>0.1</v>
      </c>
      <c r="D96" s="1624" t="s">
        <v>584</v>
      </c>
      <c r="E96" s="2061">
        <f t="shared" si="42"/>
        <v>65.374333203062747</v>
      </c>
      <c r="F96" s="932">
        <f t="shared" si="43"/>
        <v>54.792483726618912</v>
      </c>
      <c r="G96" s="886">
        <f t="shared" si="43"/>
        <v>55.210634250175076</v>
      </c>
      <c r="H96" s="886">
        <f t="shared" si="43"/>
        <v>55.62878477373124</v>
      </c>
      <c r="I96" s="886">
        <f t="shared" si="43"/>
        <v>56.046935297287405</v>
      </c>
      <c r="J96" s="886">
        <f t="shared" si="43"/>
        <v>56.465085820843569</v>
      </c>
      <c r="K96" s="985">
        <f t="shared" si="43"/>
        <v>56.883236344399734</v>
      </c>
      <c r="L96" s="2061">
        <f t="shared" si="43"/>
        <v>1.1683271366616701</v>
      </c>
      <c r="M96" s="932">
        <f t="shared" si="44"/>
        <v>0.13026740491022792</v>
      </c>
      <c r="N96" s="886">
        <f t="shared" si="44"/>
        <v>9.2207673158785752E-2</v>
      </c>
      <c r="O96" s="886">
        <f t="shared" si="44"/>
        <v>5.4147941407343581E-2</v>
      </c>
      <c r="P96" s="886">
        <f t="shared" si="44"/>
        <v>1.6088209655901409E-2</v>
      </c>
      <c r="Q96" s="886">
        <f t="shared" si="44"/>
        <v>-2.1971522095540763E-2</v>
      </c>
      <c r="R96" s="985">
        <f t="shared" si="44"/>
        <v>-6.0031253846982935E-2</v>
      </c>
      <c r="S96" s="2061">
        <f t="shared" si="44"/>
        <v>0.29523966027524384</v>
      </c>
      <c r="T96" s="885">
        <f t="shared" si="45"/>
        <v>3.2918951519458339E-2</v>
      </c>
      <c r="U96" s="886">
        <f t="shared" si="45"/>
        <v>5.9824276367326235E-4</v>
      </c>
      <c r="V96" s="886">
        <f t="shared" si="45"/>
        <v>-3.1722465992111815E-2</v>
      </c>
      <c r="W96" s="886">
        <f t="shared" si="45"/>
        <v>-6.4043174747896892E-2</v>
      </c>
      <c r="X96" s="886">
        <f t="shared" si="45"/>
        <v>-9.6363883503681969E-2</v>
      </c>
      <c r="Y96" s="887">
        <f t="shared" si="45"/>
        <v>-0.12868459225946705</v>
      </c>
      <c r="Z96" s="1671"/>
      <c r="AA96" s="1702"/>
    </row>
    <row r="97" spans="1:28">
      <c r="A97" s="1686"/>
      <c r="B97" s="1687">
        <v>20504</v>
      </c>
      <c r="C97" s="1679">
        <v>0.1</v>
      </c>
      <c r="D97" s="1624" t="s">
        <v>759</v>
      </c>
      <c r="E97" s="2061">
        <f t="shared" si="42"/>
        <v>3.1155425151600786</v>
      </c>
      <c r="F97" s="932">
        <f t="shared" ref="F97:L97" si="46">F22-F72</f>
        <v>2.5425508546293618</v>
      </c>
      <c r="G97" s="886">
        <f t="shared" si="46"/>
        <v>1.969559194098645</v>
      </c>
      <c r="H97" s="886">
        <f t="shared" si="46"/>
        <v>1.3965675335679277</v>
      </c>
      <c r="I97" s="886">
        <f t="shared" si="46"/>
        <v>0.82357587303721047</v>
      </c>
      <c r="J97" s="886">
        <f t="shared" si="46"/>
        <v>0.25058421250649321</v>
      </c>
      <c r="K97" s="985">
        <f t="shared" si="46"/>
        <v>-0.32240744802422405</v>
      </c>
      <c r="L97" s="2061">
        <f t="shared" si="46"/>
        <v>0.35086330799650306</v>
      </c>
      <c r="M97" s="932">
        <f t="shared" ref="M97:S97" si="47">M22-M72</f>
        <v>0.2808306928756254</v>
      </c>
      <c r="N97" s="886">
        <f t="shared" si="47"/>
        <v>0.21079807775474774</v>
      </c>
      <c r="O97" s="886">
        <f t="shared" si="47"/>
        <v>0.14076546263387013</v>
      </c>
      <c r="P97" s="886">
        <f t="shared" si="47"/>
        <v>7.0732847512992469E-2</v>
      </c>
      <c r="Q97" s="886">
        <f t="shared" si="47"/>
        <v>7.0023239211480792E-4</v>
      </c>
      <c r="R97" s="985">
        <f t="shared" si="47"/>
        <v>-6.9332382728762854E-2</v>
      </c>
      <c r="S97" s="2061">
        <f t="shared" si="47"/>
        <v>8.8664176843419124E-2</v>
      </c>
      <c r="T97" s="885">
        <f t="shared" si="45"/>
        <v>7.0966731626530014E-2</v>
      </c>
      <c r="U97" s="886">
        <f t="shared" si="45"/>
        <v>5.3269286409640904E-2</v>
      </c>
      <c r="V97" s="886">
        <f t="shared" si="45"/>
        <v>3.557184119275178E-2</v>
      </c>
      <c r="W97" s="886">
        <f t="shared" si="45"/>
        <v>1.7874395975862656E-2</v>
      </c>
      <c r="X97" s="886">
        <f t="shared" si="45"/>
        <v>1.7695075897353196E-4</v>
      </c>
      <c r="Y97" s="887">
        <f t="shared" si="45"/>
        <v>-1.7520494457915592E-2</v>
      </c>
      <c r="Z97" s="1671"/>
      <c r="AA97" s="1702"/>
    </row>
    <row r="98" spans="1:28">
      <c r="A98" s="1686">
        <v>6</v>
      </c>
      <c r="B98" s="1687">
        <v>208</v>
      </c>
      <c r="C98" s="1679">
        <v>0.2</v>
      </c>
      <c r="D98" s="1625" t="s">
        <v>585</v>
      </c>
      <c r="E98" s="2061">
        <f t="shared" si="42"/>
        <v>32.894942326556361</v>
      </c>
      <c r="F98" s="932">
        <f t="shared" ref="F98:L98" si="48">F23-F73</f>
        <v>1.0296967744253038</v>
      </c>
      <c r="G98" s="886">
        <f t="shared" si="48"/>
        <v>4.5183357275886067</v>
      </c>
      <c r="H98" s="886">
        <f t="shared" si="48"/>
        <v>7.0335284254247483</v>
      </c>
      <c r="I98" s="886">
        <f t="shared" si="48"/>
        <v>8.8416987751670888</v>
      </c>
      <c r="J98" s="886">
        <f t="shared" si="48"/>
        <v>10.052544151787828</v>
      </c>
      <c r="K98" s="985">
        <f t="shared" si="48"/>
        <v>10.781588886391233</v>
      </c>
      <c r="L98" s="2061">
        <f t="shared" si="48"/>
        <v>3.2280101375031336</v>
      </c>
      <c r="M98" s="932">
        <f t="shared" ref="M98:S98" si="49">M23-M73</f>
        <v>1.74390719997578</v>
      </c>
      <c r="N98" s="886">
        <f t="shared" si="49"/>
        <v>0.47189058342995338</v>
      </c>
      <c r="O98" s="886">
        <f t="shared" si="49"/>
        <v>0.42882246592796136</v>
      </c>
      <c r="P98" s="886">
        <f t="shared" si="49"/>
        <v>0.85197268229542544</v>
      </c>
      <c r="Q98" s="886">
        <f t="shared" si="49"/>
        <v>1.1388137496454647</v>
      </c>
      <c r="R98" s="985">
        <f t="shared" si="49"/>
        <v>1.2656781317615078</v>
      </c>
      <c r="S98" s="2061">
        <f t="shared" si="49"/>
        <v>1.0025275359405219</v>
      </c>
      <c r="T98" s="885">
        <f t="shared" si="45"/>
        <v>-1.5415394263738946E-2</v>
      </c>
      <c r="U98" s="886">
        <f t="shared" si="45"/>
        <v>0.90067084925609819</v>
      </c>
      <c r="V98" s="886">
        <f t="shared" si="45"/>
        <v>1.5612548490592522</v>
      </c>
      <c r="W98" s="886">
        <f t="shared" si="45"/>
        <v>2.062642863086757</v>
      </c>
      <c r="X98" s="886">
        <f t="shared" si="45"/>
        <v>2.2976649992533114</v>
      </c>
      <c r="Y98" s="887">
        <f t="shared" si="45"/>
        <v>2.1744644626711729</v>
      </c>
      <c r="Z98" s="1671"/>
      <c r="AA98" s="1702"/>
    </row>
    <row r="99" spans="1:28">
      <c r="A99" s="1686">
        <v>7</v>
      </c>
      <c r="B99" s="1688">
        <v>20601</v>
      </c>
      <c r="C99" s="1679">
        <v>0.1</v>
      </c>
      <c r="D99" s="1625" t="s">
        <v>766</v>
      </c>
      <c r="E99" s="2061">
        <f t="shared" si="42"/>
        <v>6.2509697751125159</v>
      </c>
      <c r="F99" s="932">
        <f t="shared" ref="F99:L99" si="50">F24-F74</f>
        <v>3.4318484760413099</v>
      </c>
      <c r="G99" s="886">
        <f>G24-G74</f>
        <v>0.61272717697011103</v>
      </c>
      <c r="H99" s="886">
        <f t="shared" si="50"/>
        <v>7.6954905782975445</v>
      </c>
      <c r="I99" s="886">
        <f t="shared" si="50"/>
        <v>14.044826598782919</v>
      </c>
      <c r="J99" s="886">
        <f t="shared" si="50"/>
        <v>19.852972629772523</v>
      </c>
      <c r="K99" s="985">
        <f t="shared" si="50"/>
        <v>25.367670400677191</v>
      </c>
      <c r="L99" s="2061">
        <f t="shared" si="50"/>
        <v>0.70396597793480709</v>
      </c>
      <c r="M99" s="932">
        <f t="shared" ref="M99:S99" si="51">M24-M74</f>
        <v>0.27422957493133993</v>
      </c>
      <c r="N99" s="886">
        <f t="shared" si="51"/>
        <v>-0.15550682807212723</v>
      </c>
      <c r="O99" s="886">
        <f t="shared" si="51"/>
        <v>0.88643076213926442</v>
      </c>
      <c r="P99" s="886">
        <f t="shared" si="51"/>
        <v>1.7556602762222466</v>
      </c>
      <c r="Q99" s="886">
        <f t="shared" si="51"/>
        <v>2.4465386386073922</v>
      </c>
      <c r="R99" s="985">
        <f t="shared" si="51"/>
        <v>2.9064760954430353</v>
      </c>
      <c r="S99" s="2061">
        <f t="shared" si="51"/>
        <v>3.8340942469526738</v>
      </c>
      <c r="T99" s="885">
        <f t="shared" ref="T99:Y99" si="52">T24-T74</f>
        <v>2.8965064655056736</v>
      </c>
      <c r="U99" s="886">
        <f t="shared" si="52"/>
        <v>1.9589186840586734</v>
      </c>
      <c r="V99" s="886">
        <f t="shared" si="52"/>
        <v>2.647772208998175</v>
      </c>
      <c r="W99" s="886">
        <f t="shared" si="52"/>
        <v>3.2427611909081495</v>
      </c>
      <c r="X99" s="886">
        <f t="shared" si="52"/>
        <v>4.0572913140117315</v>
      </c>
      <c r="Y99" s="887">
        <f t="shared" si="52"/>
        <v>4.6962106027497459</v>
      </c>
      <c r="Z99" s="1671"/>
      <c r="AA99" s="1702"/>
    </row>
    <row r="100" spans="1:28">
      <c r="A100" s="1689">
        <v>8</v>
      </c>
      <c r="B100" s="1688">
        <v>20602</v>
      </c>
      <c r="C100" s="1679">
        <v>0.1</v>
      </c>
      <c r="D100" s="1625" t="s">
        <v>607</v>
      </c>
      <c r="E100" s="2061">
        <f t="shared" si="42"/>
        <v>0.29743862417486255</v>
      </c>
      <c r="F100" s="932">
        <f>F25-F75</f>
        <v>-0.11129468182150326</v>
      </c>
      <c r="G100" s="886">
        <f t="shared" ref="G100:L100" si="53">G25-G75</f>
        <v>0.27997201218212986</v>
      </c>
      <c r="H100" s="886">
        <f t="shared" si="53"/>
        <v>0.67123870618576298</v>
      </c>
      <c r="I100" s="886">
        <f t="shared" si="53"/>
        <v>1.0625054001893961</v>
      </c>
      <c r="J100" s="886">
        <f t="shared" si="53"/>
        <v>1.4537720941930292</v>
      </c>
      <c r="K100" s="985">
        <f t="shared" si="53"/>
        <v>1.8450387881966623</v>
      </c>
      <c r="L100" s="2061">
        <f t="shared" si="53"/>
        <v>3.3496670032942433E-2</v>
      </c>
      <c r="M100" s="932">
        <f t="shared" ref="M100:S100" si="54">M25-M75</f>
        <v>-0.12034917316314342</v>
      </c>
      <c r="N100" s="886">
        <f t="shared" si="54"/>
        <v>-7.4195016359229315E-2</v>
      </c>
      <c r="O100" s="886">
        <f t="shared" si="54"/>
        <v>-2.804085955531499E-2</v>
      </c>
      <c r="P100" s="886">
        <f t="shared" si="54"/>
        <v>1.8113297248599336E-2</v>
      </c>
      <c r="Q100" s="886">
        <f t="shared" si="54"/>
        <v>6.4267454052513662E-2</v>
      </c>
      <c r="R100" s="985">
        <f t="shared" si="54"/>
        <v>0.11042161085642799</v>
      </c>
      <c r="S100" s="2061">
        <f t="shared" si="54"/>
        <v>0.10846470579219991</v>
      </c>
      <c r="T100" s="885">
        <f t="shared" ref="T100:Y100" si="55">T25-T75</f>
        <v>-8.9125855542597776E-3</v>
      </c>
      <c r="U100" s="886">
        <f t="shared" si="55"/>
        <v>-0.12628987690071947</v>
      </c>
      <c r="V100" s="886">
        <f t="shared" si="55"/>
        <v>-0.24366716824717916</v>
      </c>
      <c r="W100" s="886">
        <f t="shared" si="55"/>
        <v>-0.36104445959363884</v>
      </c>
      <c r="X100" s="886">
        <f t="shared" si="55"/>
        <v>2.1578249059901466E-2</v>
      </c>
      <c r="Y100" s="887">
        <f t="shared" si="55"/>
        <v>0.40420095771344178</v>
      </c>
      <c r="Z100" s="1671"/>
      <c r="AA100" s="1702"/>
    </row>
    <row r="101" spans="1:28">
      <c r="A101" s="1689">
        <v>9</v>
      </c>
      <c r="B101" s="1687">
        <v>20603</v>
      </c>
      <c r="C101" s="1679">
        <v>0.5</v>
      </c>
      <c r="D101" s="1625" t="s">
        <v>1441</v>
      </c>
      <c r="E101" s="2061">
        <f t="shared" si="42"/>
        <v>0</v>
      </c>
      <c r="F101" s="932">
        <f t="shared" ref="F101:K101" si="56">F26-F76</f>
        <v>0</v>
      </c>
      <c r="G101" s="886">
        <f t="shared" si="56"/>
        <v>0</v>
      </c>
      <c r="H101" s="886">
        <f t="shared" si="56"/>
        <v>0</v>
      </c>
      <c r="I101" s="886">
        <f t="shared" si="56"/>
        <v>0</v>
      </c>
      <c r="J101" s="886">
        <f t="shared" si="56"/>
        <v>0</v>
      </c>
      <c r="K101" s="985">
        <f t="shared" si="56"/>
        <v>0</v>
      </c>
      <c r="L101" s="2061">
        <f t="shared" ref="L101:S101" si="57">L26-L76</f>
        <v>0</v>
      </c>
      <c r="M101" s="932">
        <f t="shared" si="57"/>
        <v>0</v>
      </c>
      <c r="N101" s="886">
        <f t="shared" si="57"/>
        <v>0</v>
      </c>
      <c r="O101" s="886">
        <f t="shared" si="57"/>
        <v>0</v>
      </c>
      <c r="P101" s="886">
        <f t="shared" si="57"/>
        <v>0</v>
      </c>
      <c r="Q101" s="886">
        <f t="shared" si="57"/>
        <v>0</v>
      </c>
      <c r="R101" s="985">
        <f t="shared" si="57"/>
        <v>0</v>
      </c>
      <c r="S101" s="2061">
        <f t="shared" si="57"/>
        <v>0</v>
      </c>
      <c r="T101" s="885">
        <f t="shared" ref="T101:Y101" si="58">T26-T76</f>
        <v>0</v>
      </c>
      <c r="U101" s="886">
        <f t="shared" si="58"/>
        <v>0</v>
      </c>
      <c r="V101" s="886">
        <f t="shared" si="58"/>
        <v>0</v>
      </c>
      <c r="W101" s="886">
        <f t="shared" si="58"/>
        <v>0</v>
      </c>
      <c r="X101" s="886">
        <f t="shared" si="58"/>
        <v>0</v>
      </c>
      <c r="Y101" s="887">
        <f t="shared" si="58"/>
        <v>0</v>
      </c>
      <c r="Z101" s="1671"/>
      <c r="AA101" s="1702"/>
    </row>
    <row r="102" spans="1:28">
      <c r="A102" s="1689">
        <v>10</v>
      </c>
      <c r="B102" s="1687">
        <v>209</v>
      </c>
      <c r="C102" s="1679">
        <v>0.1</v>
      </c>
      <c r="D102" s="1625" t="s">
        <v>276</v>
      </c>
      <c r="E102" s="2061">
        <f t="shared" si="42"/>
        <v>0</v>
      </c>
      <c r="F102" s="932">
        <f t="shared" ref="F102:L102" si="59">F27-F77</f>
        <v>0</v>
      </c>
      <c r="G102" s="886">
        <f>G27-G77</f>
        <v>0</v>
      </c>
      <c r="H102" s="886">
        <f t="shared" si="59"/>
        <v>0</v>
      </c>
      <c r="I102" s="886">
        <f t="shared" si="59"/>
        <v>0</v>
      </c>
      <c r="J102" s="886">
        <f t="shared" si="59"/>
        <v>0</v>
      </c>
      <c r="K102" s="985">
        <f t="shared" si="59"/>
        <v>0</v>
      </c>
      <c r="L102" s="2061">
        <f t="shared" si="59"/>
        <v>0</v>
      </c>
      <c r="M102" s="932">
        <f t="shared" ref="M102:S102" si="60">M27-M77</f>
        <v>0</v>
      </c>
      <c r="N102" s="886">
        <f t="shared" si="60"/>
        <v>0</v>
      </c>
      <c r="O102" s="886">
        <f t="shared" si="60"/>
        <v>0</v>
      </c>
      <c r="P102" s="886">
        <f t="shared" si="60"/>
        <v>0</v>
      </c>
      <c r="Q102" s="886">
        <f t="shared" si="60"/>
        <v>0</v>
      </c>
      <c r="R102" s="985">
        <f t="shared" si="60"/>
        <v>0</v>
      </c>
      <c r="S102" s="2061">
        <f t="shared" si="60"/>
        <v>0</v>
      </c>
      <c r="T102" s="885">
        <f t="shared" ref="T102:Y102" si="61">T27-T77</f>
        <v>0</v>
      </c>
      <c r="U102" s="886">
        <f t="shared" si="61"/>
        <v>0</v>
      </c>
      <c r="V102" s="886">
        <f t="shared" si="61"/>
        <v>0</v>
      </c>
      <c r="W102" s="886">
        <f t="shared" si="61"/>
        <v>0</v>
      </c>
      <c r="X102" s="886">
        <f t="shared" si="61"/>
        <v>0</v>
      </c>
      <c r="Y102" s="887">
        <f t="shared" si="61"/>
        <v>0</v>
      </c>
      <c r="Z102" s="1671"/>
      <c r="AA102" s="1702"/>
    </row>
    <row r="103" spans="1:28" ht="24">
      <c r="A103" s="1689">
        <v>11</v>
      </c>
      <c r="B103" s="1687">
        <v>207</v>
      </c>
      <c r="C103" s="1679" t="s">
        <v>380</v>
      </c>
      <c r="D103" s="1627" t="s">
        <v>586</v>
      </c>
      <c r="E103" s="2061">
        <f t="shared" si="42"/>
        <v>2456.1</v>
      </c>
      <c r="F103" s="932">
        <f t="shared" ref="F103:L103" si="62">F28-F78</f>
        <v>2456.1</v>
      </c>
      <c r="G103" s="886">
        <f t="shared" si="62"/>
        <v>2456.1</v>
      </c>
      <c r="H103" s="886">
        <f t="shared" si="62"/>
        <v>2456.1</v>
      </c>
      <c r="I103" s="886">
        <f t="shared" si="62"/>
        <v>2456.1</v>
      </c>
      <c r="J103" s="886">
        <f t="shared" si="62"/>
        <v>2456.1</v>
      </c>
      <c r="K103" s="985">
        <f t="shared" si="62"/>
        <v>2456.1</v>
      </c>
      <c r="L103" s="2061">
        <f t="shared" si="62"/>
        <v>272.90000000000003</v>
      </c>
      <c r="M103" s="932">
        <f t="shared" ref="M103:S103" si="63">M28-M78</f>
        <v>272.90000000000003</v>
      </c>
      <c r="N103" s="886">
        <f t="shared" si="63"/>
        <v>272.90000000000003</v>
      </c>
      <c r="O103" s="886">
        <f t="shared" si="63"/>
        <v>272.90000000000003</v>
      </c>
      <c r="P103" s="886">
        <f t="shared" si="63"/>
        <v>272.90000000000003</v>
      </c>
      <c r="Q103" s="886">
        <f t="shared" si="63"/>
        <v>272.90000000000003</v>
      </c>
      <c r="R103" s="985">
        <f t="shared" si="63"/>
        <v>272.90000000000003</v>
      </c>
      <c r="S103" s="2061">
        <f t="shared" si="63"/>
        <v>0</v>
      </c>
      <c r="T103" s="885">
        <f t="shared" ref="T103:Y103" si="64">T28-T78</f>
        <v>0</v>
      </c>
      <c r="U103" s="886">
        <f t="shared" si="64"/>
        <v>0</v>
      </c>
      <c r="V103" s="886">
        <f t="shared" si="64"/>
        <v>0</v>
      </c>
      <c r="W103" s="886">
        <f t="shared" si="64"/>
        <v>0</v>
      </c>
      <c r="X103" s="886">
        <f t="shared" si="64"/>
        <v>0</v>
      </c>
      <c r="Y103" s="887">
        <f t="shared" si="64"/>
        <v>0</v>
      </c>
      <c r="Z103" s="1671"/>
      <c r="AA103" s="1678"/>
      <c r="AB103" s="1641"/>
    </row>
    <row r="104" spans="1:28">
      <c r="A104" s="1689">
        <v>12</v>
      </c>
      <c r="B104" s="1687">
        <v>212</v>
      </c>
      <c r="C104" s="1679">
        <v>0.2</v>
      </c>
      <c r="D104" s="1628" t="s">
        <v>277</v>
      </c>
      <c r="E104" s="2061">
        <f t="shared" si="42"/>
        <v>70.325208230182156</v>
      </c>
      <c r="F104" s="932">
        <f t="shared" ref="F104:L104" si="65">F29-F79</f>
        <v>55.418125618864451</v>
      </c>
      <c r="G104" s="886">
        <f t="shared" si="65"/>
        <v>40.51104300754676</v>
      </c>
      <c r="H104" s="886">
        <f t="shared" si="65"/>
        <v>25.60396039622907</v>
      </c>
      <c r="I104" s="886">
        <f t="shared" si="65"/>
        <v>10.696877784911379</v>
      </c>
      <c r="J104" s="886">
        <f t="shared" si="65"/>
        <v>-0.21020482640631144</v>
      </c>
      <c r="K104" s="985">
        <f t="shared" si="65"/>
        <v>-0.11728743772400207</v>
      </c>
      <c r="L104" s="2061">
        <f t="shared" si="65"/>
        <v>7.6887016346201147</v>
      </c>
      <c r="M104" s="932">
        <f t="shared" ref="M104:S108" si="66">M29-M79</f>
        <v>3.6984608546939359</v>
      </c>
      <c r="N104" s="886">
        <f t="shared" si="66"/>
        <v>-0.29177992523224106</v>
      </c>
      <c r="O104" s="886">
        <f t="shared" si="66"/>
        <v>-0.28202070515841982</v>
      </c>
      <c r="P104" s="886">
        <f t="shared" si="66"/>
        <v>-0.27226148508459858</v>
      </c>
      <c r="Q104" s="886">
        <f t="shared" si="66"/>
        <v>-0.26250226501077734</v>
      </c>
      <c r="R104" s="985">
        <f t="shared" si="66"/>
        <v>-0.2527430449369561</v>
      </c>
      <c r="S104" s="2061">
        <f t="shared" si="66"/>
        <v>1.1956601351981204</v>
      </c>
      <c r="T104" s="885">
        <f t="shared" ref="T104:Y104" si="67">T29-T79</f>
        <v>0.18731470238722236</v>
      </c>
      <c r="U104" s="886">
        <f t="shared" si="67"/>
        <v>0.17896926957632431</v>
      </c>
      <c r="V104" s="886">
        <f t="shared" si="67"/>
        <v>0.17062383676542625</v>
      </c>
      <c r="W104" s="886">
        <f t="shared" si="67"/>
        <v>0.16227840395452819</v>
      </c>
      <c r="X104" s="886">
        <f t="shared" si="67"/>
        <v>0.15393297114363014</v>
      </c>
      <c r="Y104" s="887">
        <f t="shared" si="67"/>
        <v>0.14558753833273208</v>
      </c>
      <c r="Z104" s="1671"/>
      <c r="AA104" s="1702"/>
    </row>
    <row r="105" spans="1:28">
      <c r="A105" s="1689">
        <v>13</v>
      </c>
      <c r="B105" s="1686">
        <v>213</v>
      </c>
      <c r="C105" s="1690">
        <v>0.2</v>
      </c>
      <c r="D105" s="272" t="s">
        <v>278</v>
      </c>
      <c r="E105" s="2061">
        <f t="shared" si="42"/>
        <v>0</v>
      </c>
      <c r="F105" s="932">
        <f t="shared" ref="F105:L105" si="68">F30-F80</f>
        <v>0</v>
      </c>
      <c r="G105" s="886">
        <f t="shared" si="68"/>
        <v>0</v>
      </c>
      <c r="H105" s="886">
        <f t="shared" si="68"/>
        <v>0</v>
      </c>
      <c r="I105" s="886">
        <f t="shared" si="68"/>
        <v>0</v>
      </c>
      <c r="J105" s="886">
        <f t="shared" si="68"/>
        <v>0</v>
      </c>
      <c r="K105" s="985">
        <f t="shared" si="68"/>
        <v>0</v>
      </c>
      <c r="L105" s="2061">
        <f t="shared" si="68"/>
        <v>0</v>
      </c>
      <c r="M105" s="932">
        <f t="shared" si="66"/>
        <v>0</v>
      </c>
      <c r="N105" s="886">
        <f t="shared" si="66"/>
        <v>0</v>
      </c>
      <c r="O105" s="886">
        <f t="shared" si="66"/>
        <v>0</v>
      </c>
      <c r="P105" s="886">
        <f t="shared" si="66"/>
        <v>0</v>
      </c>
      <c r="Q105" s="886">
        <f t="shared" si="66"/>
        <v>0</v>
      </c>
      <c r="R105" s="985">
        <f t="shared" si="66"/>
        <v>0</v>
      </c>
      <c r="S105" s="2061">
        <f t="shared" si="66"/>
        <v>0</v>
      </c>
      <c r="T105" s="885">
        <f t="shared" ref="T105:Y105" si="69">T30-T80</f>
        <v>0</v>
      </c>
      <c r="U105" s="886">
        <f t="shared" si="69"/>
        <v>0</v>
      </c>
      <c r="V105" s="886">
        <f t="shared" si="69"/>
        <v>0</v>
      </c>
      <c r="W105" s="886">
        <f t="shared" si="69"/>
        <v>0</v>
      </c>
      <c r="X105" s="886">
        <f t="shared" si="69"/>
        <v>0</v>
      </c>
      <c r="Y105" s="887">
        <f t="shared" si="69"/>
        <v>0</v>
      </c>
      <c r="Z105" s="1671"/>
      <c r="AA105" s="1702"/>
    </row>
    <row r="106" spans="1:28">
      <c r="A106" s="1689">
        <v>14</v>
      </c>
      <c r="B106" s="1691"/>
      <c r="C106" s="1691"/>
      <c r="D106" s="526" t="s">
        <v>844</v>
      </c>
      <c r="E106" s="2061">
        <f t="shared" si="42"/>
        <v>0</v>
      </c>
      <c r="F106" s="932">
        <f t="shared" ref="F106:L108" si="70">F31-F81</f>
        <v>0</v>
      </c>
      <c r="G106" s="886">
        <f t="shared" si="70"/>
        <v>0</v>
      </c>
      <c r="H106" s="886">
        <f t="shared" si="70"/>
        <v>0</v>
      </c>
      <c r="I106" s="886">
        <f t="shared" si="70"/>
        <v>0</v>
      </c>
      <c r="J106" s="886">
        <f t="shared" si="70"/>
        <v>0</v>
      </c>
      <c r="K106" s="985">
        <f t="shared" si="70"/>
        <v>0</v>
      </c>
      <c r="L106" s="2061">
        <f t="shared" si="70"/>
        <v>0</v>
      </c>
      <c r="M106" s="932">
        <f t="shared" si="66"/>
        <v>0</v>
      </c>
      <c r="N106" s="886">
        <f t="shared" si="66"/>
        <v>0</v>
      </c>
      <c r="O106" s="886">
        <f t="shared" si="66"/>
        <v>0</v>
      </c>
      <c r="P106" s="886">
        <f t="shared" si="66"/>
        <v>0</v>
      </c>
      <c r="Q106" s="886">
        <f t="shared" si="66"/>
        <v>0</v>
      </c>
      <c r="R106" s="985">
        <f t="shared" si="66"/>
        <v>0</v>
      </c>
      <c r="S106" s="2061">
        <f t="shared" si="66"/>
        <v>0</v>
      </c>
      <c r="T106" s="885">
        <f t="shared" ref="T106:Y108" si="71">T31-T81</f>
        <v>0</v>
      </c>
      <c r="U106" s="886">
        <f t="shared" si="71"/>
        <v>0</v>
      </c>
      <c r="V106" s="886">
        <f t="shared" si="71"/>
        <v>0</v>
      </c>
      <c r="W106" s="886">
        <f t="shared" si="71"/>
        <v>0</v>
      </c>
      <c r="X106" s="886">
        <f t="shared" si="71"/>
        <v>0</v>
      </c>
      <c r="Y106" s="887">
        <f t="shared" si="71"/>
        <v>0</v>
      </c>
      <c r="Z106" s="1671"/>
      <c r="AA106" s="1702"/>
    </row>
    <row r="107" spans="1:28" ht="24">
      <c r="A107" s="1689">
        <v>15</v>
      </c>
      <c r="B107" s="1686">
        <v>207</v>
      </c>
      <c r="C107" s="1686" t="s">
        <v>380</v>
      </c>
      <c r="D107" s="272" t="s">
        <v>587</v>
      </c>
      <c r="E107" s="2061">
        <f t="shared" si="42"/>
        <v>0</v>
      </c>
      <c r="F107" s="932">
        <f t="shared" si="70"/>
        <v>0</v>
      </c>
      <c r="G107" s="886">
        <f t="shared" si="70"/>
        <v>0</v>
      </c>
      <c r="H107" s="886">
        <f t="shared" si="70"/>
        <v>0</v>
      </c>
      <c r="I107" s="886">
        <f t="shared" si="70"/>
        <v>0</v>
      </c>
      <c r="J107" s="886">
        <f t="shared" si="70"/>
        <v>0</v>
      </c>
      <c r="K107" s="985">
        <f t="shared" si="70"/>
        <v>0</v>
      </c>
      <c r="L107" s="2061">
        <f t="shared" si="70"/>
        <v>0</v>
      </c>
      <c r="M107" s="932">
        <f t="shared" si="66"/>
        <v>0</v>
      </c>
      <c r="N107" s="886">
        <f t="shared" si="66"/>
        <v>0</v>
      </c>
      <c r="O107" s="886">
        <f t="shared" si="66"/>
        <v>0</v>
      </c>
      <c r="P107" s="886">
        <f t="shared" si="66"/>
        <v>0</v>
      </c>
      <c r="Q107" s="886">
        <f t="shared" si="66"/>
        <v>0</v>
      </c>
      <c r="R107" s="985">
        <f t="shared" si="66"/>
        <v>0</v>
      </c>
      <c r="S107" s="2061">
        <f t="shared" si="66"/>
        <v>0</v>
      </c>
      <c r="T107" s="885">
        <f t="shared" si="71"/>
        <v>0</v>
      </c>
      <c r="U107" s="886">
        <f t="shared" si="71"/>
        <v>0</v>
      </c>
      <c r="V107" s="886">
        <f t="shared" si="71"/>
        <v>0</v>
      </c>
      <c r="W107" s="886">
        <f t="shared" si="71"/>
        <v>0</v>
      </c>
      <c r="X107" s="886">
        <f t="shared" si="71"/>
        <v>0</v>
      </c>
      <c r="Y107" s="887">
        <f t="shared" si="71"/>
        <v>0</v>
      </c>
      <c r="Z107" s="1671"/>
      <c r="AA107" s="1702"/>
    </row>
    <row r="108" spans="1:28" ht="13.5" thickBot="1">
      <c r="A108" s="1689">
        <v>16</v>
      </c>
      <c r="B108" s="1692">
        <v>219</v>
      </c>
      <c r="C108" s="1693">
        <v>0.1</v>
      </c>
      <c r="D108" s="277" t="s">
        <v>279</v>
      </c>
      <c r="E108" s="2063">
        <f t="shared" si="42"/>
        <v>0</v>
      </c>
      <c r="F108" s="932">
        <f t="shared" si="70"/>
        <v>0</v>
      </c>
      <c r="G108" s="886">
        <f t="shared" si="70"/>
        <v>0</v>
      </c>
      <c r="H108" s="886">
        <f t="shared" si="70"/>
        <v>0</v>
      </c>
      <c r="I108" s="886">
        <f t="shared" si="70"/>
        <v>0</v>
      </c>
      <c r="J108" s="886">
        <f t="shared" si="70"/>
        <v>0</v>
      </c>
      <c r="K108" s="985">
        <f t="shared" si="70"/>
        <v>0</v>
      </c>
      <c r="L108" s="2063">
        <f t="shared" si="70"/>
        <v>0</v>
      </c>
      <c r="M108" s="932">
        <f t="shared" si="66"/>
        <v>0</v>
      </c>
      <c r="N108" s="886">
        <f t="shared" si="66"/>
        <v>0</v>
      </c>
      <c r="O108" s="886">
        <f t="shared" si="66"/>
        <v>0</v>
      </c>
      <c r="P108" s="886">
        <f t="shared" si="66"/>
        <v>0</v>
      </c>
      <c r="Q108" s="886">
        <f t="shared" si="66"/>
        <v>0</v>
      </c>
      <c r="R108" s="985">
        <f t="shared" si="66"/>
        <v>0</v>
      </c>
      <c r="S108" s="2063">
        <f t="shared" si="66"/>
        <v>0</v>
      </c>
      <c r="T108" s="885">
        <f t="shared" si="71"/>
        <v>0</v>
      </c>
      <c r="U108" s="886">
        <f t="shared" si="71"/>
        <v>0</v>
      </c>
      <c r="V108" s="886">
        <f t="shared" si="71"/>
        <v>0</v>
      </c>
      <c r="W108" s="886">
        <f t="shared" si="71"/>
        <v>0</v>
      </c>
      <c r="X108" s="886">
        <f t="shared" si="71"/>
        <v>0</v>
      </c>
      <c r="Y108" s="887">
        <f t="shared" si="71"/>
        <v>0</v>
      </c>
      <c r="Z108" s="1712"/>
      <c r="AA108" s="1701"/>
      <c r="AB108" s="1641"/>
    </row>
    <row r="109" spans="1:28" ht="24.75" thickBot="1">
      <c r="A109" s="1713" t="s">
        <v>588</v>
      </c>
      <c r="B109" s="1713"/>
      <c r="C109" s="1713"/>
      <c r="D109" s="1714" t="s">
        <v>866</v>
      </c>
      <c r="E109" s="1654"/>
      <c r="F109" s="1715"/>
      <c r="G109" s="1657"/>
      <c r="H109" s="1657"/>
      <c r="I109" s="1657"/>
      <c r="J109" s="1657"/>
      <c r="K109" s="1716"/>
      <c r="L109" s="1654"/>
      <c r="M109" s="1660"/>
      <c r="N109" s="1656"/>
      <c r="O109" s="1656"/>
      <c r="P109" s="1656"/>
      <c r="Q109" s="1656"/>
      <c r="R109" s="1658"/>
      <c r="S109" s="1654"/>
      <c r="T109" s="1715"/>
      <c r="U109" s="1657"/>
      <c r="V109" s="1657"/>
      <c r="W109" s="1657"/>
      <c r="X109" s="1657"/>
      <c r="Y109" s="1716"/>
      <c r="Z109" s="1717"/>
      <c r="AA109" s="1701"/>
      <c r="AB109" s="1663"/>
    </row>
    <row r="110" spans="1:28" s="1642" customFormat="1" ht="13.5" thickBot="1">
      <c r="A110" s="1664" t="s">
        <v>268</v>
      </c>
      <c r="B110" s="1665"/>
      <c r="C110" s="1665"/>
      <c r="D110" s="1665" t="s">
        <v>483</v>
      </c>
      <c r="E110" s="1718">
        <f t="shared" ref="E110:Y110" si="72">SUM(E111:E129)</f>
        <v>0</v>
      </c>
      <c r="F110" s="1719">
        <f t="shared" si="72"/>
        <v>3638.0544821032627</v>
      </c>
      <c r="G110" s="1720">
        <f t="shared" si="72"/>
        <v>5077.8366977496562</v>
      </c>
      <c r="H110" s="1720">
        <f t="shared" si="72"/>
        <v>6572.8279161099244</v>
      </c>
      <c r="I110" s="1721">
        <f t="shared" si="72"/>
        <v>8244.2156591859421</v>
      </c>
      <c r="J110" s="1720">
        <f t="shared" si="72"/>
        <v>9981.1867240007541</v>
      </c>
      <c r="K110" s="1720">
        <f t="shared" si="72"/>
        <v>11989.766912679999</v>
      </c>
      <c r="L110" s="1718">
        <f t="shared" si="72"/>
        <v>0</v>
      </c>
      <c r="M110" s="1722">
        <f t="shared" si="72"/>
        <v>54.461197339246119</v>
      </c>
      <c r="N110" s="1723">
        <f t="shared" si="72"/>
        <v>115.5095702422427</v>
      </c>
      <c r="O110" s="1723">
        <f t="shared" si="72"/>
        <v>319.14051998764893</v>
      </c>
      <c r="P110" s="1724">
        <f t="shared" si="72"/>
        <v>515.59720826107264</v>
      </c>
      <c r="Q110" s="1723">
        <f t="shared" si="72"/>
        <v>690.45947677959123</v>
      </c>
      <c r="R110" s="1723">
        <f t="shared" si="72"/>
        <v>840.56272625548218</v>
      </c>
      <c r="S110" s="1718">
        <f t="shared" si="72"/>
        <v>0</v>
      </c>
      <c r="T110" s="1719">
        <f t="shared" si="72"/>
        <v>133.48432055749129</v>
      </c>
      <c r="U110" s="1720">
        <f t="shared" si="72"/>
        <v>450.57095200810136</v>
      </c>
      <c r="V110" s="1720">
        <f t="shared" si="72"/>
        <v>748.61545056909313</v>
      </c>
      <c r="W110" s="1721">
        <f t="shared" si="72"/>
        <v>1050.771019219653</v>
      </c>
      <c r="X110" s="1720">
        <f t="shared" si="72"/>
        <v>1347.9376858863197</v>
      </c>
      <c r="Y110" s="1725">
        <f t="shared" si="72"/>
        <v>1628.2542477311833</v>
      </c>
      <c r="Z110" s="1666"/>
      <c r="AA110" s="1702"/>
      <c r="AB110" s="1726"/>
    </row>
    <row r="111" spans="1:28" s="1642" customFormat="1">
      <c r="A111" s="1673">
        <v>1</v>
      </c>
      <c r="B111" s="1668">
        <v>20102</v>
      </c>
      <c r="C111" s="1690">
        <v>0</v>
      </c>
      <c r="D111" s="280" t="s">
        <v>760</v>
      </c>
      <c r="E111" s="2250"/>
      <c r="F111" s="900">
        <f>E111+SUMIF('11.1.Амортиз.нови активи'!$B$11:$B$58,$B111,'11.1.Амортиз.нови активи'!F$11:F$58)+('9.Инвестиционна програма'!F$77*SUMIF('11.1.Амортиз.нови активи'!$B$11:$B$58,$B111,'11.1.Амортиз.нови активи'!AA$11:AA$58))</f>
        <v>0</v>
      </c>
      <c r="G111" s="1493">
        <f>F111+SUMIF('11.1.Амортиз.нови активи'!$B$11:$B$58,$B111,'11.1.Амортиз.нови активи'!G$11:G$58)+('9.Инвестиционна програма'!G$77*SUMIF('11.1.Амортиз.нови активи'!$B$11:$B$58,$B111,'11.1.Амортиз.нови активи'!AB$11:AB$58))</f>
        <v>0</v>
      </c>
      <c r="H111" s="901">
        <f>G111+SUMIF('11.1.Амортиз.нови активи'!$B$11:$B$58,$B111,'11.1.Амортиз.нови активи'!H$11:H$58)+('9.Инвестиционна програма'!H$77*SUMIF('11.1.Амортиз.нови активи'!$B$11:$B$58,$B111,'11.1.Амортиз.нови активи'!AC$11:AC$58))</f>
        <v>0</v>
      </c>
      <c r="I111" s="901">
        <f>H111+SUMIF('11.1.Амортиз.нови активи'!$B$11:$B$58,$B111,'11.1.Амортиз.нови активи'!I$11:I$58)+('9.Инвестиционна програма'!I$77*SUMIF('11.1.Амортиз.нови активи'!$B$11:$B$58,$B111,'11.1.Амортиз.нови активи'!AD$11:AD$58))</f>
        <v>0</v>
      </c>
      <c r="J111" s="901">
        <f>I111+SUMIF('11.1.Амортиз.нови активи'!$B$11:$B$58,$B111,'11.1.Амортиз.нови активи'!J$11:J$58)+('9.Инвестиционна програма'!J$77*SUMIF('11.1.Амортиз.нови активи'!$B$11:$B$58,$B111,'11.1.Амортиз.нови активи'!AE$11:AE$58))</f>
        <v>0</v>
      </c>
      <c r="K111" s="902">
        <f>J111+SUMIF('11.1.Амортиз.нови активи'!$B$11:$B$58,$B111,'11.1.Амортиз.нови активи'!K$11:K$58)+('9.Инвестиционна програма'!K$77*SUMIF('11.1.Амортиз.нови активи'!$B$11:$B$58,$B111,'11.1.Амортиз.нови активи'!AF$11:AF$58))</f>
        <v>0</v>
      </c>
      <c r="L111" s="2250"/>
      <c r="M111" s="900">
        <f>L111+SUMIF('11.1.Амортиз.нови активи'!$B$11:$B$58,$B111,'11.1.Амортиз.нови активи'!M$11:M$58)+('9.Инвестиционна програма'!F$78*SUMIF('11.1.Амортиз.нови активи'!$B$11:$B$58,$B111,'11.1.Амортиз.нови активи'!AA$11:AA$58))</f>
        <v>0</v>
      </c>
      <c r="N111" s="901">
        <f>M111+SUMIF('11.1.Амортиз.нови активи'!$B$11:$B$58,$B111,'11.1.Амортиз.нови активи'!N$11:N$58)+('9.Инвестиционна програма'!G$78*SUMIF('11.1.Амортиз.нови активи'!$B$11:$B$58,$B111,'11.1.Амортиз.нови активи'!AB$11:AB$58))</f>
        <v>0</v>
      </c>
      <c r="O111" s="901">
        <f>N111+SUMIF('11.1.Амортиз.нови активи'!$B$11:$B$58,$B111,'11.1.Амортиз.нови активи'!O$11:O$58)+('9.Инвестиционна програма'!H$78*SUMIF('11.1.Амортиз.нови активи'!$B$11:$B$58,$B111,'11.1.Амортиз.нови активи'!AC$11:AC$58))</f>
        <v>0</v>
      </c>
      <c r="P111" s="901">
        <f>O111+SUMIF('11.1.Амортиз.нови активи'!$B$11:$B$58,$B111,'11.1.Амортиз.нови активи'!P$11:P$58)+('9.Инвестиционна програма'!I$78*SUMIF('11.1.Амортиз.нови активи'!$B$11:$B$58,$B111,'11.1.Амортиз.нови активи'!AD$11:AD$58))</f>
        <v>0</v>
      </c>
      <c r="Q111" s="901">
        <f>P111+SUMIF('11.1.Амортиз.нови активи'!$B$11:$B$58,$B111,'11.1.Амортиз.нови активи'!Q$11:Q$58)+('9.Инвестиционна програма'!J$78*SUMIF('11.1.Амортиз.нови активи'!$B$11:$B$58,$B111,'11.1.Амортиз.нови активи'!AE$11:AE$58))</f>
        <v>0</v>
      </c>
      <c r="R111" s="902">
        <f>Q111+SUMIF('11.1.Амортиз.нови активи'!$B$11:$B$58,$B111,'11.1.Амортиз.нови активи'!R$11:R$58)+('9.Инвестиционна програма'!K$78*SUMIF('11.1.Амортиз.нови активи'!$B$11:$B$58,$B111,'11.1.Амортиз.нови активи'!AF$11:AF$58))</f>
        <v>0</v>
      </c>
      <c r="S111" s="2250"/>
      <c r="T111" s="900">
        <f>S111+SUMIF('11.1.Амортиз.нови активи'!$B$11:$B$58,$B111,'11.1.Амортиз.нови активи'!T$11:T$58)+('9.Инвестиционна програма'!F$79*SUMIF('11.1.Амортиз.нови активи'!$B$11:$B$58,$B111,'11.1.Амортиз.нови активи'!AA$11:AA$58))</f>
        <v>0</v>
      </c>
      <c r="U111" s="901">
        <f>T111+SUMIF('11.1.Амортиз.нови активи'!$B$11:$B$58,$B111,'11.1.Амортиз.нови активи'!U$11:U$58)+('9.Инвестиционна програма'!G$79*SUMIF('11.1.Амортиз.нови активи'!$B$11:$B$58,$B111,'11.1.Амортиз.нови активи'!AB$11:AB$58))</f>
        <v>0</v>
      </c>
      <c r="V111" s="901">
        <f>U111+SUMIF('11.1.Амортиз.нови активи'!$B$11:$B$58,$B111,'11.1.Амортиз.нови активи'!V$11:V$58)+('9.Инвестиционна програма'!H$79*SUMIF('11.1.Амортиз.нови активи'!$B$11:$B$58,$B111,'11.1.Амортиз.нови активи'!AC$11:AC$58))</f>
        <v>0</v>
      </c>
      <c r="W111" s="901">
        <f>V111+SUMIF('11.1.Амортиз.нови активи'!$B$11:$B$58,$B111,'11.1.Амортиз.нови активи'!W$11:W$58)+('9.Инвестиционна програма'!I$79*SUMIF('11.1.Амортиз.нови активи'!$B$11:$B$58,$B111,'11.1.Амортиз.нови активи'!AD$11:AD$58))</f>
        <v>0</v>
      </c>
      <c r="X111" s="901">
        <f>W111+SUMIF('11.1.Амортиз.нови активи'!$B$11:$B$58,$B111,'11.1.Амортиз.нови активи'!X$11:X$58)+('9.Инвестиционна програма'!J$79*SUMIF('11.1.Амортиз.нови активи'!$B$11:$B$58,$B111,'11.1.Амортиз.нови активи'!AE$11:AE$58))</f>
        <v>0</v>
      </c>
      <c r="Y111" s="902">
        <f>X111+SUMIF('11.1.Амортиз.нови активи'!$B$11:$B$58,$B111,'11.1.Амортиз.нови активи'!Y$11:Y$58)+('9.Инвестиционна програма'!K$79*SUMIF('11.1.Амортиз.нови активи'!$B$11:$B$58,$B111,'11.1.Амортиз.нови активи'!AF$11:AF$58))</f>
        <v>0</v>
      </c>
      <c r="Z111" s="1671"/>
      <c r="AA111" s="1702"/>
      <c r="AB111" s="1726"/>
    </row>
    <row r="112" spans="1:28" s="1642" customFormat="1">
      <c r="A112" s="1673">
        <v>2</v>
      </c>
      <c r="B112" s="1674">
        <v>20202</v>
      </c>
      <c r="C112" s="1675">
        <v>0.03</v>
      </c>
      <c r="D112" s="1727" t="s">
        <v>598</v>
      </c>
      <c r="E112" s="2250"/>
      <c r="F112" s="897">
        <f>E112+SUMIF('11.1.Амортиз.нови активи'!$B$11:$B$58,$B112,'11.1.Амортиз.нови активи'!F$11:F$58)+('9.Инвестиционна програма'!F$77*SUMIF('11.1.Амортиз.нови активи'!$B$11:$B$58,$B112,'11.1.Амортиз.нови активи'!AA$11:AA$58))</f>
        <v>0</v>
      </c>
      <c r="G112" s="898">
        <f>F112+SUMIF('11.1.Амортиз.нови активи'!$B$11:$B$58,$B112,'11.1.Амортиз.нови активи'!G$11:G$58)+('9.Инвестиционна програма'!G$77*SUMIF('11.1.Амортиз.нови активи'!$B$11:$B$58,$B112,'11.1.Амортиз.нови активи'!AB$11:AB$58))</f>
        <v>10</v>
      </c>
      <c r="H112" s="898">
        <f>G112+SUMIF('11.1.Амортиз.нови активи'!$B$11:$B$58,$B112,'11.1.Амортиз.нови активи'!H$11:H$58)+('9.Инвестиционна програма'!H$77*SUMIF('11.1.Амортиз.нови активи'!$B$11:$B$58,$B112,'11.1.Амортиз.нови активи'!AC$11:AC$58))</f>
        <v>20</v>
      </c>
      <c r="I112" s="898">
        <f>H112+SUMIF('11.1.Амортиз.нови активи'!$B$11:$B$58,$B112,'11.1.Амортиз.нови активи'!I$11:I$58)+('9.Инвестиционна програма'!I$77*SUMIF('11.1.Амортиз.нови активи'!$B$11:$B$58,$B112,'11.1.Амортиз.нови активи'!AD$11:AD$58))</f>
        <v>30</v>
      </c>
      <c r="J112" s="898">
        <f>I112+SUMIF('11.1.Амортиз.нови активи'!$B$11:$B$58,$B112,'11.1.Амортиз.нови активи'!J$11:J$58)+('9.Инвестиционна програма'!J$77*SUMIF('11.1.Амортиз.нови активи'!$B$11:$B$58,$B112,'11.1.Амортиз.нови активи'!AE$11:AE$58))</f>
        <v>40</v>
      </c>
      <c r="K112" s="899">
        <f>J112+SUMIF('11.1.Амортиз.нови активи'!$B$11:$B$58,$B112,'11.1.Амортиз.нови активи'!K$11:K$58)+('9.Инвестиционна програма'!K$77*SUMIF('11.1.Амортиз.нови активи'!$B$11:$B$58,$B112,'11.1.Амортиз.нови активи'!AF$11:AF$58))</f>
        <v>50</v>
      </c>
      <c r="L112" s="2250"/>
      <c r="M112" s="897">
        <f>L112+SUMIF('11.1.Амортиз.нови активи'!$B$11:$B$58,$B112,'11.1.Амортиз.нови активи'!M$11:M$58)+('9.Инвестиционна програма'!F$78*SUMIF('11.1.Амортиз.нови активи'!$B$11:$B$58,$B112,'11.1.Амортиз.нови активи'!AA$11:AA$58))</f>
        <v>0</v>
      </c>
      <c r="N112" s="898">
        <f>M112+SUMIF('11.1.Амортиз.нови активи'!$B$11:$B$58,$B112,'11.1.Амортиз.нови активи'!N$11:N$58)+('9.Инвестиционна програма'!G$78*SUMIF('11.1.Амортиз.нови активи'!$B$11:$B$58,$B112,'11.1.Амортиз.нови активи'!AB$11:AB$58))</f>
        <v>0</v>
      </c>
      <c r="O112" s="898">
        <f>N112+SUMIF('11.1.Амортиз.нови активи'!$B$11:$B$58,$B112,'11.1.Амортиз.нови активи'!O$11:O$58)+('9.Инвестиционна програма'!H$78*SUMIF('11.1.Амортиз.нови активи'!$B$11:$B$58,$B112,'11.1.Амортиз.нови активи'!AC$11:AC$58))</f>
        <v>0</v>
      </c>
      <c r="P112" s="898">
        <f>O112+SUMIF('11.1.Амортиз.нови активи'!$B$11:$B$58,$B112,'11.1.Амортиз.нови активи'!P$11:P$58)+('9.Инвестиционна програма'!I$78*SUMIF('11.1.Амортиз.нови активи'!$B$11:$B$58,$B112,'11.1.Амортиз.нови активи'!AD$11:AD$58))</f>
        <v>0</v>
      </c>
      <c r="Q112" s="898">
        <f>P112+SUMIF('11.1.Амортиз.нови активи'!$B$11:$B$58,$B112,'11.1.Амортиз.нови активи'!Q$11:Q$58)+('9.Инвестиционна програма'!J$78*SUMIF('11.1.Амортиз.нови активи'!$B$11:$B$58,$B112,'11.1.Амортиз.нови активи'!AE$11:AE$58))</f>
        <v>0</v>
      </c>
      <c r="R112" s="899">
        <f>Q112+SUMIF('11.1.Амортиз.нови активи'!$B$11:$B$58,$B112,'11.1.Амортиз.нови активи'!R$11:R$58)+('9.Инвестиционна програма'!K$78*SUMIF('11.1.Амортиз.нови активи'!$B$11:$B$58,$B112,'11.1.Амортиз.нови активи'!AF$11:AF$58))</f>
        <v>0</v>
      </c>
      <c r="S112" s="2250"/>
      <c r="T112" s="897">
        <f>S112+SUMIF('11.1.Амортиз.нови активи'!$B$11:$B$58,$B112,'11.1.Амортиз.нови активи'!T$11:T$58)+('9.Инвестиционна програма'!F$79*SUMIF('11.1.Амортиз.нови активи'!$B$11:$B$58,$B112,'11.1.Амортиз.нови активи'!AA$11:AA$58))</f>
        <v>0</v>
      </c>
      <c r="U112" s="898">
        <f>T112+SUMIF('11.1.Амортиз.нови активи'!$B$11:$B$58,$B112,'11.1.Амортиз.нови активи'!U$11:U$58)+('9.Инвестиционна програма'!G$79*SUMIF('11.1.Амортиз.нови активи'!$B$11:$B$58,$B112,'11.1.Амортиз.нови активи'!AB$11:AB$58))</f>
        <v>0</v>
      </c>
      <c r="V112" s="898">
        <f>U112+SUMIF('11.1.Амортиз.нови активи'!$B$11:$B$58,$B112,'11.1.Амортиз.нови активи'!V$11:V$58)+('9.Инвестиционна програма'!H$79*SUMIF('11.1.Амортиз.нови активи'!$B$11:$B$58,$B112,'11.1.Амортиз.нови активи'!AC$11:AC$58))</f>
        <v>0</v>
      </c>
      <c r="W112" s="898">
        <f>V112+SUMIF('11.1.Амортиз.нови активи'!$B$11:$B$58,$B112,'11.1.Амортиз.нови активи'!W$11:W$58)+('9.Инвестиционна програма'!I$79*SUMIF('11.1.Амортиз.нови активи'!$B$11:$B$58,$B112,'11.1.Амортиз.нови активи'!AD$11:AD$58))</f>
        <v>0</v>
      </c>
      <c r="X112" s="898">
        <f>W112+SUMIF('11.1.Амортиз.нови активи'!$B$11:$B$58,$B112,'11.1.Амортиз.нови активи'!X$11:X$58)+('9.Инвестиционна програма'!J$79*SUMIF('11.1.Амортиз.нови активи'!$B$11:$B$58,$B112,'11.1.Амортиз.нови активи'!AE$11:AE$58))</f>
        <v>0</v>
      </c>
      <c r="Y112" s="899">
        <f>X112+SUMIF('11.1.Амортиз.нови активи'!$B$11:$B$58,$B112,'11.1.Амортиз.нови активи'!Y$11:Y$58)+('9.Инвестиционна програма'!K$79*SUMIF('11.1.Амортиз.нови активи'!$B$11:$B$58,$B112,'11.1.Амортиз.нови активи'!AF$11:AF$58))</f>
        <v>0</v>
      </c>
      <c r="Z112" s="1671"/>
      <c r="AA112" s="1702"/>
      <c r="AB112" s="1726"/>
    </row>
    <row r="113" spans="1:28" s="1642" customFormat="1">
      <c r="A113" s="1673">
        <v>3</v>
      </c>
      <c r="B113" s="1674">
        <v>2030401</v>
      </c>
      <c r="C113" s="1679">
        <v>0.1</v>
      </c>
      <c r="D113" s="1625" t="s">
        <v>1470</v>
      </c>
      <c r="E113" s="2250"/>
      <c r="F113" s="897">
        <f>E113+SUMIF('11.1.Амортиз.нови активи'!$B$11:$B$58,$B113,'11.1.Амортиз.нови активи'!F$11:F$58)+('9.Инвестиционна програма'!F$77*SUMIF('11.1.Амортиз.нови активи'!$B$11:$B$58,$B113,'11.1.Амортиз.нови активи'!AA$11:AA$58))</f>
        <v>80</v>
      </c>
      <c r="G113" s="898">
        <f>F113+SUMIF('11.1.Амортиз.нови активи'!$B$11:$B$58,$B113,'11.1.Амортиз.нови активи'!G$11:G$58)+('9.Инвестиционна програма'!G$77*SUMIF('11.1.Амортиз.нови активи'!$B$11:$B$58,$B113,'11.1.Амортиз.нови активи'!AB$11:AB$58))</f>
        <v>90</v>
      </c>
      <c r="H113" s="898">
        <f>G113+SUMIF('11.1.Амортиз.нови активи'!$B$11:$B$58,$B113,'11.1.Амортиз.нови активи'!H$11:H$58)+('9.Инвестиционна програма'!H$77*SUMIF('11.1.Амортиз.нови активи'!$B$11:$B$58,$B113,'11.1.Амортиз.нови активи'!AC$11:AC$58))</f>
        <v>100</v>
      </c>
      <c r="I113" s="898">
        <f>H113+SUMIF('11.1.Амортиз.нови активи'!$B$11:$B$58,$B113,'11.1.Амортиз.нови активи'!I$11:I$58)+('9.Инвестиционна програма'!I$77*SUMIF('11.1.Амортиз.нови активи'!$B$11:$B$58,$B113,'11.1.Амортиз.нови активи'!AD$11:AD$58))</f>
        <v>110</v>
      </c>
      <c r="J113" s="898">
        <f>I113+SUMIF('11.1.Амортиз.нови активи'!$B$11:$B$58,$B113,'11.1.Амортиз.нови активи'!J$11:J$58)+('9.Инвестиционна програма'!J$77*SUMIF('11.1.Амортиз.нови активи'!$B$11:$B$58,$B113,'11.1.Амортиз.нови активи'!AE$11:AE$58))</f>
        <v>110</v>
      </c>
      <c r="K113" s="899">
        <f>J113+SUMIF('11.1.Амортиз.нови активи'!$B$11:$B$58,$B113,'11.1.Амортиз.нови активи'!K$11:K$58)+('9.Инвестиционна програма'!K$77*SUMIF('11.1.Амортиз.нови активи'!$B$11:$B$58,$B113,'11.1.Амортиз.нови активи'!AF$11:AF$58))</f>
        <v>110</v>
      </c>
      <c r="L113" s="3187"/>
      <c r="M113" s="897">
        <f>L113+SUMIF('11.1.Амортиз.нови активи'!$B$11:$B$58,$B113,'11.1.Амортиз.нови активи'!M$11:M$58)+('9.Инвестиционна програма'!F$78*SUMIF('11.1.Амортиз.нови активи'!$B$11:$B$58,$B113,'11.1.Амортиз.нови активи'!AA$11:AA$58))</f>
        <v>0</v>
      </c>
      <c r="N113" s="898">
        <f>M113+SUMIF('11.1.Амортиз.нови активи'!$B$11:$B$58,$B113,'11.1.Амортиз.нови активи'!N$11:N$58)+('9.Инвестиционна програма'!G$78*SUMIF('11.1.Амортиз.нови активи'!$B$11:$B$58,$B113,'11.1.Амортиз.нови активи'!AB$11:AB$58))</f>
        <v>0</v>
      </c>
      <c r="O113" s="898">
        <f>N113+SUMIF('11.1.Амортиз.нови активи'!$B$11:$B$58,$B113,'11.1.Амортиз.нови активи'!O$11:O$58)+('9.Инвестиционна програма'!H$78*SUMIF('11.1.Амортиз.нови активи'!$B$11:$B$58,$B113,'11.1.Амортиз.нови активи'!AC$11:AC$58))</f>
        <v>0</v>
      </c>
      <c r="P113" s="898">
        <f>O113+SUMIF('11.1.Амортиз.нови активи'!$B$11:$B$58,$B113,'11.1.Амортиз.нови активи'!P$11:P$58)+('9.Инвестиционна програма'!I$78*SUMIF('11.1.Амортиз.нови активи'!$B$11:$B$58,$B113,'11.1.Амортиз.нови активи'!AD$11:AD$58))</f>
        <v>0</v>
      </c>
      <c r="Q113" s="898">
        <f>P113+SUMIF('11.1.Амортиз.нови активи'!$B$11:$B$58,$B113,'11.1.Амортиз.нови активи'!Q$11:Q$58)+('9.Инвестиционна програма'!J$78*SUMIF('11.1.Амортиз.нови активи'!$B$11:$B$58,$B113,'11.1.Амортиз.нови активи'!AE$11:AE$58))</f>
        <v>0</v>
      </c>
      <c r="R113" s="899">
        <f>Q113+SUMIF('11.1.Амортиз.нови активи'!$B$11:$B$58,$B113,'11.1.Амортиз.нови активи'!R$11:R$58)+('9.Инвестиционна програма'!K$78*SUMIF('11.1.Амортиз.нови активи'!$B$11:$B$58,$B113,'11.1.Амортиз.нови активи'!AF$11:AF$58))</f>
        <v>0</v>
      </c>
      <c r="S113" s="2250"/>
      <c r="T113" s="897">
        <f>S113+SUMIF('11.1.Амортиз.нови активи'!$B$11:$B$58,$B113,'11.1.Амортиз.нови активи'!T$11:T$58)+('9.Инвестиционна програма'!F$79*SUMIF('11.1.Амортиз.нови активи'!$B$11:$B$58,$B113,'11.1.Амортиз.нови активи'!AA$11:AA$58))</f>
        <v>0</v>
      </c>
      <c r="U113" s="898">
        <f>T113+SUMIF('11.1.Амортиз.нови активи'!$B$11:$B$58,$B113,'11.1.Амортиз.нови активи'!U$11:U$58)+('9.Инвестиционна програма'!G$79*SUMIF('11.1.Амортиз.нови активи'!$B$11:$B$58,$B113,'11.1.Амортиз.нови активи'!AB$11:AB$58))</f>
        <v>0</v>
      </c>
      <c r="V113" s="898">
        <f>U113+SUMIF('11.1.Амортиз.нови активи'!$B$11:$B$58,$B113,'11.1.Амортиз.нови активи'!V$11:V$58)+('9.Инвестиционна програма'!H$79*SUMIF('11.1.Амортиз.нови активи'!$B$11:$B$58,$B113,'11.1.Амортиз.нови активи'!AC$11:AC$58))</f>
        <v>0</v>
      </c>
      <c r="W113" s="898">
        <f>V113+SUMIF('11.1.Амортиз.нови активи'!$B$11:$B$58,$B113,'11.1.Амортиз.нови активи'!W$11:W$58)+('9.Инвестиционна програма'!I$79*SUMIF('11.1.Амортиз.нови активи'!$B$11:$B$58,$B113,'11.1.Амортиз.нови активи'!AD$11:AD$58))</f>
        <v>0</v>
      </c>
      <c r="X113" s="898">
        <f>W113+SUMIF('11.1.Амортиз.нови активи'!$B$11:$B$58,$B113,'11.1.Амортиз.нови активи'!X$11:X$58)+('9.Инвестиционна програма'!J$79*SUMIF('11.1.Амортиз.нови активи'!$B$11:$B$58,$B113,'11.1.Амортиз.нови активи'!AE$11:AE$58))</f>
        <v>0</v>
      </c>
      <c r="Y113" s="899">
        <f>X113+SUMIF('11.1.Амортиз.нови активи'!$B$11:$B$58,$B113,'11.1.Амортиз.нови активи'!Y$11:Y$58)+('9.Инвестиционна програма'!K$79*SUMIF('11.1.Амортиз.нови активи'!$B$11:$B$58,$B113,'11.1.Амортиз.нови активи'!AF$11:AF$58))</f>
        <v>0</v>
      </c>
      <c r="Z113" s="1671"/>
      <c r="AA113" s="1702"/>
      <c r="AB113" s="1726"/>
    </row>
    <row r="114" spans="1:28" s="1642" customFormat="1">
      <c r="A114" s="1673">
        <v>4</v>
      </c>
      <c r="B114" s="1674">
        <v>2030402</v>
      </c>
      <c r="C114" s="1679">
        <v>0.1</v>
      </c>
      <c r="D114" s="1625" t="s">
        <v>601</v>
      </c>
      <c r="E114" s="2250"/>
      <c r="F114" s="897">
        <f>E114+SUMIF('11.1.Амортиз.нови активи'!$B$11:$B$58,$B114,'11.1.Амортиз.нови активи'!F$11:F$58)+('9.Инвестиционна програма'!F$77*SUMIF('11.1.Амортиз.нови активи'!$B$11:$B$58,$B114,'11.1.Амортиз.нови активи'!AA$11:AA$58))</f>
        <v>0</v>
      </c>
      <c r="G114" s="898">
        <f>F114+SUMIF('11.1.Амортиз.нови активи'!$B$11:$B$58,$B114,'11.1.Амортиз.нови активи'!G$11:G$58)+('9.Инвестиционна програма'!G$77*SUMIF('11.1.Амортиз.нови активи'!$B$11:$B$58,$B114,'11.1.Амортиз.нови активи'!AB$11:AB$58))</f>
        <v>0</v>
      </c>
      <c r="H114" s="898">
        <f>G114+SUMIF('11.1.Амортиз.нови активи'!$B$11:$B$58,$B114,'11.1.Амортиз.нови активи'!H$11:H$58)+('9.Инвестиционна програма'!H$77*SUMIF('11.1.Амортиз.нови активи'!$B$11:$B$58,$B114,'11.1.Амортиз.нови активи'!AC$11:AC$58))</f>
        <v>0</v>
      </c>
      <c r="I114" s="898">
        <f>H114+SUMIF('11.1.Амортиз.нови активи'!$B$11:$B$58,$B114,'11.1.Амортиз.нови активи'!I$11:I$58)+('9.Инвестиционна програма'!I$77*SUMIF('11.1.Амортиз.нови активи'!$B$11:$B$58,$B114,'11.1.Амортиз.нови активи'!AD$11:AD$58))</f>
        <v>0</v>
      </c>
      <c r="J114" s="898">
        <f>I114+SUMIF('11.1.Амортиз.нови активи'!$B$11:$B$58,$B114,'11.1.Амортиз.нови активи'!J$11:J$58)+('9.Инвестиционна програма'!J$77*SUMIF('11.1.Амортиз.нови активи'!$B$11:$B$58,$B114,'11.1.Амортиз.нови активи'!AE$11:AE$58))</f>
        <v>0</v>
      </c>
      <c r="K114" s="899">
        <f>J114+SUMIF('11.1.Амортиз.нови активи'!$B$11:$B$58,$B114,'11.1.Амортиз.нови активи'!K$11:K$58)+('9.Инвестиционна програма'!K$77*SUMIF('11.1.Амортиз.нови активи'!$B$11:$B$58,$B114,'11.1.Амортиз.нови активи'!AF$11:AF$58))</f>
        <v>0</v>
      </c>
      <c r="L114" s="2250"/>
      <c r="M114" s="897">
        <f>L114+SUMIF('11.1.Амортиз.нови активи'!$B$11:$B$58,$B114,'11.1.Амортиз.нови активи'!M$11:M$58)+('9.Инвестиционна програма'!F$78*SUMIF('11.1.Амортиз.нови активи'!$B$11:$B$58,$B114,'11.1.Амортиз.нови активи'!AA$11:AA$58))</f>
        <v>0</v>
      </c>
      <c r="N114" s="898">
        <f>M114+SUMIF('11.1.Амортиз.нови активи'!$B$11:$B$58,$B114,'11.1.Амортиз.нови активи'!N$11:N$58)+('9.Инвестиционна програма'!G$78*SUMIF('11.1.Амортиз.нови активи'!$B$11:$B$58,$B114,'11.1.Амортиз.нови активи'!AB$11:AB$58))</f>
        <v>0</v>
      </c>
      <c r="O114" s="898">
        <f>N114+SUMIF('11.1.Амортиз.нови активи'!$B$11:$B$58,$B114,'11.1.Амортиз.нови активи'!O$11:O$58)+('9.Инвестиционна програма'!H$78*SUMIF('11.1.Амортиз.нови активи'!$B$11:$B$58,$B114,'11.1.Амортиз.нови активи'!AC$11:AC$58))</f>
        <v>0</v>
      </c>
      <c r="P114" s="898">
        <f>O114+SUMIF('11.1.Амортиз.нови активи'!$B$11:$B$58,$B114,'11.1.Амортиз.нови активи'!P$11:P$58)+('9.Инвестиционна програма'!I$78*SUMIF('11.1.Амортиз.нови активи'!$B$11:$B$58,$B114,'11.1.Амортиз.нови активи'!AD$11:AD$58))</f>
        <v>0</v>
      </c>
      <c r="Q114" s="898">
        <f>P114+SUMIF('11.1.Амортиз.нови активи'!$B$11:$B$58,$B114,'11.1.Амортиз.нови активи'!Q$11:Q$58)+('9.Инвестиционна програма'!J$78*SUMIF('11.1.Амортиз.нови активи'!$B$11:$B$58,$B114,'11.1.Амортиз.нови активи'!AE$11:AE$58))</f>
        <v>0</v>
      </c>
      <c r="R114" s="899">
        <f>Q114+SUMIF('11.1.Амортиз.нови активи'!$B$11:$B$58,$B114,'11.1.Амортиз.нови активи'!R$11:R$58)+('9.Инвестиционна програма'!K$78*SUMIF('11.1.Амортиз.нови активи'!$B$11:$B$58,$B114,'11.1.Амортиз.нови активи'!AF$11:AF$58))</f>
        <v>0</v>
      </c>
      <c r="S114" s="2250"/>
      <c r="T114" s="897">
        <f>S114+SUMIF('11.1.Амортиз.нови активи'!$B$11:$B$58,$B114,'11.1.Амортиз.нови активи'!T$11:T$58)+('9.Инвестиционна програма'!F$79*SUMIF('11.1.Амортиз.нови активи'!$B$11:$B$58,$B114,'11.1.Амортиз.нови активи'!AA$11:AA$58))</f>
        <v>0</v>
      </c>
      <c r="U114" s="898">
        <f>T114+SUMIF('11.1.Амортиз.нови активи'!$B$11:$B$58,$B114,'11.1.Амортиз.нови активи'!U$11:U$58)+('9.Инвестиционна програма'!G$79*SUMIF('11.1.Амортиз.нови активи'!$B$11:$B$58,$B114,'11.1.Амортиз.нови активи'!AB$11:AB$58))</f>
        <v>0</v>
      </c>
      <c r="V114" s="898">
        <f>U114+SUMIF('11.1.Амортиз.нови активи'!$B$11:$B$58,$B114,'11.1.Амортиз.нови активи'!V$11:V$58)+('9.Инвестиционна програма'!H$79*SUMIF('11.1.Амортиз.нови активи'!$B$11:$B$58,$B114,'11.1.Амортиз.нови активи'!AC$11:AC$58))</f>
        <v>0</v>
      </c>
      <c r="W114" s="898">
        <f>V114+SUMIF('11.1.Амортиз.нови активи'!$B$11:$B$58,$B114,'11.1.Амортиз.нови активи'!W$11:W$58)+('9.Инвестиционна програма'!I$79*SUMIF('11.1.Амортиз.нови активи'!$B$11:$B$58,$B114,'11.1.Амортиз.нови активи'!AD$11:AD$58))</f>
        <v>0</v>
      </c>
      <c r="X114" s="898">
        <f>W114+SUMIF('11.1.Амортиз.нови активи'!$B$11:$B$58,$B114,'11.1.Амортиз.нови активи'!X$11:X$58)+('9.Инвестиционна програма'!J$79*SUMIF('11.1.Амортиз.нови активи'!$B$11:$B$58,$B114,'11.1.Амортиз.нови активи'!AE$11:AE$58))</f>
        <v>0</v>
      </c>
      <c r="Y114" s="899">
        <f>X114+SUMIF('11.1.Амортиз.нови активи'!$B$11:$B$58,$B114,'11.1.Амортиз.нови активи'!Y$11:Y$58)+('9.Инвестиционна програма'!K$79*SUMIF('11.1.Амортиз.нови активи'!$B$11:$B$58,$B114,'11.1.Амортиз.нови активи'!AF$11:AF$58))</f>
        <v>0</v>
      </c>
      <c r="Z114" s="1671"/>
      <c r="AA114" s="1702"/>
      <c r="AB114" s="1726"/>
    </row>
    <row r="115" spans="1:28" s="1642" customFormat="1">
      <c r="A115" s="1673">
        <v>5</v>
      </c>
      <c r="B115" s="1674">
        <v>2030501</v>
      </c>
      <c r="C115" s="1679">
        <v>0.1</v>
      </c>
      <c r="D115" s="1625" t="s">
        <v>1391</v>
      </c>
      <c r="E115" s="2250"/>
      <c r="F115" s="897">
        <f>E115+SUMIF('11.1.Амортиз.нови активи'!$B$11:$B$58,$B115,'11.1.Амортиз.нови активи'!F$11:F$58)+('9.Инвестиционна програма'!F$77*SUMIF('11.1.Амортиз.нови активи'!$B$11:$B$58,$B115,'11.1.Амортиз.нови активи'!AA$11:AA$58))</f>
        <v>999.05448210326256</v>
      </c>
      <c r="G115" s="898">
        <f>F115+SUMIF('11.1.Амортиз.нови активи'!$B$11:$B$58,$B115,'11.1.Амортиз.нови активи'!G$11:G$58)+('9.Инвестиционна програма'!G$77*SUMIF('11.1.Амортиз.нови активи'!$B$11:$B$58,$B115,'11.1.Амортиз.нови активи'!AB$11:AB$58))</f>
        <v>1985.6765505267406</v>
      </c>
      <c r="H115" s="898">
        <f>G115+SUMIF('11.1.Амортиз.нови активи'!$B$11:$B$58,$B115,'11.1.Амортиз.нови активи'!H$11:H$58)+('9.Инвестиционна програма'!H$77*SUMIF('11.1.Амортиз.нови активи'!$B$11:$B$58,$B115,'11.1.Амортиз.нови активи'!AC$11:AC$58))</f>
        <v>2586.3409295393594</v>
      </c>
      <c r="I115" s="898">
        <f>H115+SUMIF('11.1.Амортиз.нови активи'!$B$11:$B$58,$B115,'11.1.Амортиз.нови активи'!I$11:I$58)+('9.Инвестиционна програма'!I$77*SUMIF('11.1.Амортиз.нови активи'!$B$11:$B$58,$B115,'11.1.Амортиз.нови активи'!AD$11:AD$58))</f>
        <v>3184.9732218198542</v>
      </c>
      <c r="J115" s="898">
        <f>I115+SUMIF('11.1.Амортиз.нови активи'!$B$11:$B$58,$B115,'11.1.Амортиз.нови активи'!J$11:J$58)+('9.Инвестиционна програма'!J$77*SUMIF('11.1.Амортиз.нови активи'!$B$11:$B$58,$B115,'11.1.Амортиз.нови активи'!AE$11:AE$58))</f>
        <v>3793.8285458939281</v>
      </c>
      <c r="K115" s="899">
        <f>J115+SUMIF('11.1.Амортиз.нови активи'!$B$11:$B$58,$B115,'11.1.Амортиз.нови активи'!K$11:K$58)+('9.Инвестиционна програма'!K$77*SUMIF('11.1.Амортиз.нови активи'!$B$11:$B$58,$B115,'11.1.Амортиз.нови активи'!AF$11:AF$58))</f>
        <v>4428.4653383467585</v>
      </c>
      <c r="L115" s="2250"/>
      <c r="M115" s="897">
        <f>L115+SUMIF('11.1.Амортиз.нови активи'!$B$11:$B$58,$B115,'11.1.Амортиз.нови активи'!M$11:M$58)+('9.Инвестиционна програма'!F$78*SUMIF('11.1.Амортиз.нови активи'!$B$11:$B$58,$B115,'11.1.Амортиз.нови активи'!AA$11:AA$58))</f>
        <v>10.461197339246119</v>
      </c>
      <c r="N115" s="898">
        <f>M115+SUMIF('11.1.Амортиз.нови активи'!$B$11:$B$58,$B115,'11.1.Амортиз.нови активи'!N$11:N$58)+('9.Инвестиционна програма'!G$78*SUMIF('11.1.Амортиз.нови активи'!$B$11:$B$58,$B115,'11.1.Амортиз.нови активи'!AB$11:AB$58))</f>
        <v>54.624533446506028</v>
      </c>
      <c r="O115" s="898">
        <f>N115+SUMIF('11.1.Амортиз.нови активи'!$B$11:$B$58,$B115,'11.1.Амортиз.нови активи'!O$11:O$58)+('9.Инвестиционна програма'!H$78*SUMIF('11.1.Амортиз.нови активи'!$B$11:$B$58,$B115,'11.1.Амортиз.нови активи'!AC$11:AC$58))</f>
        <v>116.27629346421691</v>
      </c>
      <c r="P115" s="898">
        <f>O115+SUMIF('11.1.Амортиз.нови активи'!$B$11:$B$58,$B115,'11.1.Амортиз.нови активи'!P$11:P$58)+('9.Инвестиционна програма'!I$78*SUMIF('11.1.Амортиз.нови активи'!$B$11:$B$58,$B115,'11.1.Амортиз.нови активи'!AD$11:AD$58))</f>
        <v>170.97694166692759</v>
      </c>
      <c r="Q115" s="898">
        <f>P115+SUMIF('11.1.Амортиз.нови активи'!$B$11:$B$58,$B115,'11.1.Амортиз.нови активи'!Q$11:Q$58)+('9.Инвестиционна програма'!J$78*SUMIF('11.1.Амортиз.нови активи'!$B$11:$B$58,$B115,'11.1.Амортиз.нови активи'!AE$11:AE$58))</f>
        <v>219.28828425952017</v>
      </c>
      <c r="R115" s="899">
        <f>Q115+SUMIF('11.1.Амортиз.нови активи'!$B$11:$B$58,$B115,'11.1.Амортиз.нови активи'!R$11:R$58)+('9.Инвестиционна програма'!K$78*SUMIF('11.1.Амортиз.нови активи'!$B$11:$B$58,$B115,'11.1.Амортиз.нови активи'!AF$11:AF$58))</f>
        <v>258.14415428048454</v>
      </c>
      <c r="S115" s="2250"/>
      <c r="T115" s="897">
        <f>S115+SUMIF('11.1.Амортиз.нови активи'!$B$11:$B$58,$B115,'11.1.Амортиз.нови активи'!T$11:T$58)+('9.Инвестиционна програма'!F$79*SUMIF('11.1.Амортиз.нови активи'!$B$11:$B$58,$B115,'11.1.Амортиз.нови активи'!AA$11:AA$58))</f>
        <v>23.484320557491287</v>
      </c>
      <c r="U115" s="898">
        <f>T115+SUMIF('11.1.Амортиз.нови активи'!$B$11:$B$58,$B115,'11.1.Амортиз.нови активи'!U$11:U$58)+('9.Инвестиционна програма'!G$79*SUMIF('11.1.Амортиз.нови активи'!$B$11:$B$58,$B115,'11.1.Амортиз.нови активи'!AB$11:AB$58))</f>
        <v>216.69891602675338</v>
      </c>
      <c r="V115" s="898">
        <f>U115+SUMIF('11.1.Амортиз.нови активи'!$B$11:$B$58,$B115,'11.1.Амортиз.нови активи'!V$11:V$58)+('9.Инвестиционна програма'!H$79*SUMIF('11.1.Амортиз.нови активи'!$B$11:$B$58,$B115,'11.1.Амортиз.нови активи'!AC$11:AC$58))</f>
        <v>321.38277699642356</v>
      </c>
      <c r="W115" s="898">
        <f>V115+SUMIF('11.1.Амортиз.нови активи'!$B$11:$B$58,$B115,'11.1.Амортиз.нови активи'!W$11:W$58)+('9.Инвестиционна програма'!I$79*SUMIF('11.1.Амортиз.нови активи'!$B$11:$B$58,$B115,'11.1.Амортиз.нови активи'!AD$11:AD$58))</f>
        <v>430.04983651321788</v>
      </c>
      <c r="X115" s="898">
        <f>W115+SUMIF('11.1.Амортиз.нови активи'!$B$11:$B$58,$B115,'11.1.Амортиз.нови активи'!X$11:X$58)+('9.Инвестиционна програма'!J$79*SUMIF('11.1.Амортиз.нови активи'!$B$11:$B$58,$B115,'11.1.Амортиз.нови активи'!AE$11:AE$58))</f>
        <v>533.88316984655125</v>
      </c>
      <c r="Y115" s="899">
        <f>X115+SUMIF('11.1.Амортиз.нови активи'!$B$11:$B$58,$B115,'11.1.Амортиз.нови активи'!Y$11:Y$58)+('9.Инвестиционна програма'!K$79*SUMIF('11.1.Амортиз.нови активи'!$B$11:$B$58,$B115,'11.1.Амортиз.нови активи'!AF$11:AF$58))</f>
        <v>621.3905073727567</v>
      </c>
      <c r="Z115" s="1680"/>
      <c r="AA115" s="1702"/>
      <c r="AB115" s="1726"/>
    </row>
    <row r="116" spans="1:28" s="1642" customFormat="1" ht="24">
      <c r="A116" s="1673">
        <v>6</v>
      </c>
      <c r="B116" s="1674">
        <v>2030502</v>
      </c>
      <c r="C116" s="1679">
        <v>0.1</v>
      </c>
      <c r="D116" s="1625" t="s">
        <v>948</v>
      </c>
      <c r="E116" s="2250"/>
      <c r="F116" s="897">
        <f>E116+SUMIF('11.1.Амортиз.нови активи'!$B$11:$B$58,$B116,'11.1.Амортиз.нови активи'!F$11:F$58)+('9.Инвестиционна програма'!F$77*SUMIF('11.1.Амортиз.нови активи'!$B$11:$B$58,$B116,'11.1.Амортиз.нови активи'!AA$11:AA$58))</f>
        <v>83</v>
      </c>
      <c r="G116" s="898">
        <f>F116+SUMIF('11.1.Амортиз.нови активи'!$B$11:$B$58,$B116,'11.1.Амортиз.нови активи'!G$11:G$58)+('9.Инвестиционна програма'!G$77*SUMIF('11.1.Амортиз.нови активи'!$B$11:$B$58,$B116,'11.1.Амортиз.нови активи'!AB$11:AB$58))</f>
        <v>288</v>
      </c>
      <c r="H116" s="898">
        <f>G116+SUMIF('11.1.Амортиз.нови активи'!$B$11:$B$58,$B116,'11.1.Амортиз.нови активи'!H$11:H$58)+('9.Инвестиционна програма'!H$77*SUMIF('11.1.Амортиз.нови активи'!$B$11:$B$58,$B116,'11.1.Амортиз.нови активи'!AC$11:AC$58))</f>
        <v>328</v>
      </c>
      <c r="I116" s="898">
        <f>H116+SUMIF('11.1.Амортиз.нови активи'!$B$11:$B$58,$B116,'11.1.Амортиз.нови активи'!I$11:I$58)+('9.Инвестиционна програма'!I$77*SUMIF('11.1.Амортиз.нови активи'!$B$11:$B$58,$B116,'11.1.Амортиз.нови активи'!AD$11:AD$58))</f>
        <v>348</v>
      </c>
      <c r="J116" s="898">
        <f>I116+SUMIF('11.1.Амортиз.нови активи'!$B$11:$B$58,$B116,'11.1.Амортиз.нови активи'!J$11:J$58)+('9.Инвестиционна програма'!J$77*SUMIF('11.1.Амортиз.нови активи'!$B$11:$B$58,$B116,'11.1.Амортиз.нови активи'!AE$11:AE$58))</f>
        <v>368</v>
      </c>
      <c r="K116" s="899">
        <f>J116+SUMIF('11.1.Амортиз.нови активи'!$B$11:$B$58,$B116,'11.1.Амортиз.нови активи'!K$11:K$58)+('9.Инвестиционна програма'!K$77*SUMIF('11.1.Амортиз.нови активи'!$B$11:$B$58,$B116,'11.1.Амортиз.нови активи'!AF$11:AF$58))</f>
        <v>388</v>
      </c>
      <c r="L116" s="2250"/>
      <c r="M116" s="897">
        <f>L116+SUMIF('11.1.Амортиз.нови активи'!$B$11:$B$58,$B116,'11.1.Амортиз.нови активи'!M$11:M$58)+('9.Инвестиционна програма'!F$78*SUMIF('11.1.Амортиз.нови активи'!$B$11:$B$58,$B116,'11.1.Амортиз.нови активи'!AA$11:AA$58))</f>
        <v>0</v>
      </c>
      <c r="N116" s="898">
        <f>M116+SUMIF('11.1.Амортиз.нови активи'!$B$11:$B$58,$B116,'11.1.Амортиз.нови активи'!N$11:N$58)+('9.Инвестиционна програма'!G$78*SUMIF('11.1.Амортиз.нови активи'!$B$11:$B$58,$B116,'11.1.Амортиз.нови активи'!AB$11:AB$58))</f>
        <v>0</v>
      </c>
      <c r="O116" s="898">
        <f>N116+SUMIF('11.1.Амортиз.нови активи'!$B$11:$B$58,$B116,'11.1.Амортиз.нови активи'!O$11:O$58)+('9.Инвестиционна програма'!H$78*SUMIF('11.1.Амортиз.нови активи'!$B$11:$B$58,$B116,'11.1.Амортиз.нови активи'!AC$11:AC$58))</f>
        <v>0</v>
      </c>
      <c r="P116" s="898">
        <f>O116+SUMIF('11.1.Амортиз.нови активи'!$B$11:$B$58,$B116,'11.1.Амортиз.нови активи'!P$11:P$58)+('9.Инвестиционна програма'!I$78*SUMIF('11.1.Амортиз.нови активи'!$B$11:$B$58,$B116,'11.1.Амортиз.нови активи'!AD$11:AD$58))</f>
        <v>0</v>
      </c>
      <c r="Q116" s="898">
        <f>P116+SUMIF('11.1.Амортиз.нови активи'!$B$11:$B$58,$B116,'11.1.Амортиз.нови активи'!Q$11:Q$58)+('9.Инвестиционна програма'!J$78*SUMIF('11.1.Амортиз.нови активи'!$B$11:$B$58,$B116,'11.1.Амортиз.нови активи'!AE$11:AE$58))</f>
        <v>0</v>
      </c>
      <c r="R116" s="899">
        <f>Q116+SUMIF('11.1.Амортиз.нови активи'!$B$11:$B$58,$B116,'11.1.Амортиз.нови активи'!R$11:R$58)+('9.Инвестиционна програма'!K$78*SUMIF('11.1.Амортиз.нови активи'!$B$11:$B$58,$B116,'11.1.Амортиз.нови активи'!AF$11:AF$58))</f>
        <v>0</v>
      </c>
      <c r="S116" s="2250"/>
      <c r="T116" s="897">
        <f>S116+SUMIF('11.1.Амортиз.нови активи'!$B$11:$B$58,$B116,'11.1.Амортиз.нови активи'!T$11:T$58)+('9.Инвестиционна програма'!F$79*SUMIF('11.1.Амортиз.нови активи'!$B$11:$B$58,$B116,'11.1.Амортиз.нови активи'!AA$11:AA$58))</f>
        <v>0</v>
      </c>
      <c r="U116" s="898">
        <f>T116+SUMIF('11.1.Амортиз.нови активи'!$B$11:$B$58,$B116,'11.1.Амортиз.нови активи'!U$11:U$58)+('9.Инвестиционна програма'!G$79*SUMIF('11.1.Амортиз.нови активи'!$B$11:$B$58,$B116,'11.1.Амортиз.нови активи'!AB$11:AB$58))</f>
        <v>0</v>
      </c>
      <c r="V116" s="898">
        <f>U116+SUMIF('11.1.Амортиз.нови активи'!$B$11:$B$58,$B116,'11.1.Амортиз.нови активи'!V$11:V$58)+('9.Инвестиционна програма'!H$79*SUMIF('11.1.Амортиз.нови активи'!$B$11:$B$58,$B116,'11.1.Амортиз.нови активи'!AC$11:AC$58))</f>
        <v>0</v>
      </c>
      <c r="W116" s="898">
        <f>V116+SUMIF('11.1.Амортиз.нови активи'!$B$11:$B$58,$B116,'11.1.Амортиз.нови активи'!W$11:W$58)+('9.Инвестиционна програма'!I$79*SUMIF('11.1.Амортиз.нови активи'!$B$11:$B$58,$B116,'11.1.Амортиз.нови активи'!AD$11:AD$58))</f>
        <v>0</v>
      </c>
      <c r="X116" s="898">
        <f>W116+SUMIF('11.1.Амортиз.нови активи'!$B$11:$B$58,$B116,'11.1.Амортиз.нови активи'!X$11:X$58)+('9.Инвестиционна програма'!J$79*SUMIF('11.1.Амортиз.нови активи'!$B$11:$B$58,$B116,'11.1.Амортиз.нови активи'!AE$11:AE$58))</f>
        <v>0</v>
      </c>
      <c r="Y116" s="899">
        <f>X116+SUMIF('11.1.Амортиз.нови активи'!$B$11:$B$58,$B116,'11.1.Амортиз.нови активи'!Y$11:Y$58)+('9.Инвестиционна програма'!K$79*SUMIF('11.1.Амортиз.нови активи'!$B$11:$B$58,$B116,'11.1.Амортиз.нови активи'!AF$11:AF$58))</f>
        <v>0</v>
      </c>
      <c r="Z116" s="1671"/>
      <c r="AA116" s="1702"/>
      <c r="AB116" s="1726"/>
    </row>
    <row r="117" spans="1:28" s="1642" customFormat="1">
      <c r="A117" s="1673">
        <v>7</v>
      </c>
      <c r="B117" s="1674">
        <v>2030503</v>
      </c>
      <c r="C117" s="1679">
        <v>0.1</v>
      </c>
      <c r="D117" s="1625" t="s">
        <v>966</v>
      </c>
      <c r="E117" s="2250"/>
      <c r="F117" s="897">
        <f>E117+SUMIF('11.1.Амортиз.нови активи'!$B$11:$B$58,$B117,'11.1.Амортиз.нови активи'!F$11:F$58)+('9.Инвестиционна програма'!F$77*SUMIF('11.1.Амортиз.нови активи'!$B$11:$B$58,$B117,'11.1.Амортиз.нови активи'!AA$11:AA$58))</f>
        <v>0</v>
      </c>
      <c r="G117" s="898">
        <f>F117+SUMIF('11.1.Амортиз.нови активи'!$B$11:$B$58,$B117,'11.1.Амортиз.нови активи'!G$11:G$58)+('9.Инвестиционна програма'!G$77*SUMIF('11.1.Амортиз.нови активи'!$B$11:$B$58,$B117,'11.1.Амортиз.нови активи'!AB$11:AB$58))</f>
        <v>5</v>
      </c>
      <c r="H117" s="898">
        <f>G117+SUMIF('11.1.Амортиз.нови активи'!$B$11:$B$58,$B117,'11.1.Амортиз.нови активи'!H$11:H$58)+('9.Инвестиционна програма'!H$77*SUMIF('11.1.Амортиз.нови активи'!$B$11:$B$58,$B117,'11.1.Амортиз.нови активи'!AC$11:AC$58))</f>
        <v>10</v>
      </c>
      <c r="I117" s="898">
        <f>H117+SUMIF('11.1.Амортиз.нови активи'!$B$11:$B$58,$B117,'11.1.Амортиз.нови активи'!I$11:I$58)+('9.Инвестиционна програма'!I$77*SUMIF('11.1.Амортиз.нови активи'!$B$11:$B$58,$B117,'11.1.Амортиз.нови активи'!AD$11:AD$58))</f>
        <v>15</v>
      </c>
      <c r="J117" s="898">
        <f>I117+SUMIF('11.1.Амортиз.нови активи'!$B$11:$B$58,$B117,'11.1.Амортиз.нови активи'!J$11:J$58)+('9.Инвестиционна програма'!J$77*SUMIF('11.1.Амортиз.нови активи'!$B$11:$B$58,$B117,'11.1.Амортиз.нови активи'!AE$11:AE$58))</f>
        <v>20</v>
      </c>
      <c r="K117" s="899">
        <f>J117+SUMIF('11.1.Амортиз.нови активи'!$B$11:$B$58,$B117,'11.1.Амортиз.нови активи'!K$11:K$58)+('9.Инвестиционна програма'!K$77*SUMIF('11.1.Амортиз.нови активи'!$B$11:$B$58,$B117,'11.1.Амортиз.нови активи'!AF$11:AF$58))</f>
        <v>25</v>
      </c>
      <c r="L117" s="2250"/>
      <c r="M117" s="897">
        <f>L117+SUMIF('11.1.Амортиз.нови активи'!$B$11:$B$58,$B117,'11.1.Амортиз.нови активи'!M$11:M$58)+('9.Инвестиционна програма'!F$78*SUMIF('11.1.Амортиз.нови активи'!$B$11:$B$58,$B117,'11.1.Амортиз.нови активи'!AA$11:AA$58))</f>
        <v>0</v>
      </c>
      <c r="N117" s="898">
        <f>M117+SUMIF('11.1.Амортиз.нови активи'!$B$11:$B$58,$B117,'11.1.Амортиз.нови активи'!N$11:N$58)+('9.Инвестиционна програма'!G$78*SUMIF('11.1.Амортиз.нови активи'!$B$11:$B$58,$B117,'11.1.Амортиз.нови активи'!AB$11:AB$58))</f>
        <v>0</v>
      </c>
      <c r="O117" s="898">
        <f>N117+SUMIF('11.1.Амортиз.нови активи'!$B$11:$B$58,$B117,'11.1.Амортиз.нови активи'!O$11:O$58)+('9.Инвестиционна програма'!H$78*SUMIF('11.1.Амортиз.нови активи'!$B$11:$B$58,$B117,'11.1.Амортиз.нови активи'!AC$11:AC$58))</f>
        <v>5</v>
      </c>
      <c r="P117" s="898">
        <f>O117+SUMIF('11.1.Амортиз.нови активи'!$B$11:$B$58,$B117,'11.1.Амортиз.нови активи'!P$11:P$58)+('9.Инвестиционна програма'!I$78*SUMIF('11.1.Амортиз.нови активи'!$B$11:$B$58,$B117,'11.1.Амортиз.нови активи'!AD$11:AD$58))</f>
        <v>10</v>
      </c>
      <c r="Q117" s="898">
        <f>P117+SUMIF('11.1.Амортиз.нови активи'!$B$11:$B$58,$B117,'11.1.Амортиз.нови активи'!Q$11:Q$58)+('9.Инвестиционна програма'!J$78*SUMIF('11.1.Амортиз.нови активи'!$B$11:$B$58,$B117,'11.1.Амортиз.нови активи'!AE$11:AE$58))</f>
        <v>15</v>
      </c>
      <c r="R117" s="899">
        <f>Q117+SUMIF('11.1.Амортиз.нови активи'!$B$11:$B$58,$B117,'11.1.Амортиз.нови активи'!R$11:R$58)+('9.Инвестиционна програма'!K$78*SUMIF('11.1.Амортиз.нови активи'!$B$11:$B$58,$B117,'11.1.Амортиз.нови активи'!AF$11:AF$58))</f>
        <v>20</v>
      </c>
      <c r="S117" s="2250"/>
      <c r="T117" s="897">
        <f>S117+SUMIF('11.1.Амортиз.нови активи'!$B$11:$B$58,$B117,'11.1.Амортиз.нови активи'!T$11:T$58)+('9.Инвестиционна програма'!F$79*SUMIF('11.1.Амортиз.нови активи'!$B$11:$B$58,$B117,'11.1.Амортиз.нови активи'!AA$11:AA$58))</f>
        <v>0</v>
      </c>
      <c r="U117" s="898">
        <f>T117+SUMIF('11.1.Амортиз.нови активи'!$B$11:$B$58,$B117,'11.1.Амортиз.нови активи'!U$11:U$58)+('9.Инвестиционна програма'!G$79*SUMIF('11.1.Амортиз.нови активи'!$B$11:$B$58,$B117,'11.1.Амортиз.нови активи'!AB$11:AB$58))</f>
        <v>20</v>
      </c>
      <c r="V117" s="898">
        <f>U117+SUMIF('11.1.Амортиз.нови активи'!$B$11:$B$58,$B117,'11.1.Амортиз.нови активи'!V$11:V$58)+('9.Инвестиционна програма'!H$79*SUMIF('11.1.Амортиз.нови активи'!$B$11:$B$58,$B117,'11.1.Амортиз.нови активи'!AC$11:AC$58))</f>
        <v>40</v>
      </c>
      <c r="W117" s="898">
        <f>V117+SUMIF('11.1.Амортиз.нови активи'!$B$11:$B$58,$B117,'11.1.Амортиз.нови активи'!W$11:W$58)+('9.Инвестиционна програма'!I$79*SUMIF('11.1.Амортиз.нови активи'!$B$11:$B$58,$B117,'11.1.Амортиз.нови активи'!AD$11:AD$58))</f>
        <v>60</v>
      </c>
      <c r="X117" s="898">
        <f>W117+SUMIF('11.1.Амортиз.нови активи'!$B$11:$B$58,$B117,'11.1.Амортиз.нови активи'!X$11:X$58)+('9.Инвестиционна програма'!J$79*SUMIF('11.1.Амортиз.нови активи'!$B$11:$B$58,$B117,'11.1.Амортиз.нови активи'!AE$11:AE$58))</f>
        <v>80</v>
      </c>
      <c r="Y117" s="899">
        <f>X117+SUMIF('11.1.Амортиз.нови активи'!$B$11:$B$58,$B117,'11.1.Амортиз.нови активи'!Y$11:Y$58)+('9.Инвестиционна програма'!K$79*SUMIF('11.1.Амортиз.нови активи'!$B$11:$B$58,$B117,'11.1.Амортиз.нови активи'!AF$11:AF$58))</f>
        <v>100</v>
      </c>
      <c r="Z117" s="1671"/>
      <c r="AA117" s="1702"/>
      <c r="AB117" s="1726"/>
    </row>
    <row r="118" spans="1:28" s="1642" customFormat="1">
      <c r="A118" s="1673">
        <v>8</v>
      </c>
      <c r="B118" s="1674">
        <v>2040101</v>
      </c>
      <c r="C118" s="1728">
        <v>0.1</v>
      </c>
      <c r="D118" s="1637" t="s">
        <v>1442</v>
      </c>
      <c r="E118" s="2250"/>
      <c r="F118" s="897">
        <f>E118+SUMIF('11.1.Амортиз.нови активи'!$B$11:$B$58,$B118,'11.1.Амортиз.нови активи'!F$11:F$58)+('9.Инвестиционна програма'!F$77*SUMIF('11.1.Амортиз.нови активи'!$B$11:$B$58,$B118,'11.1.Амортиз.нови активи'!AA$11:AA$58))</f>
        <v>0</v>
      </c>
      <c r="G118" s="898">
        <f>F118+SUMIF('11.1.Амортиз.нови активи'!$B$11:$B$58,$B118,'11.1.Амортиз.нови активи'!G$11:G$58)+('9.Инвестиционна програма'!G$77*SUMIF('11.1.Амортиз.нови активи'!$B$11:$B$58,$B118,'11.1.Амортиз.нови активи'!AB$11:AB$58))</f>
        <v>0</v>
      </c>
      <c r="H118" s="898">
        <f>G118+SUMIF('11.1.Амортиз.нови активи'!$B$11:$B$58,$B118,'11.1.Амортиз.нови активи'!H$11:H$58)+('9.Инвестиционна програма'!H$77*SUMIF('11.1.Амортиз.нови активи'!$B$11:$B$58,$B118,'11.1.Амортиз.нови активи'!AC$11:AC$58))</f>
        <v>0</v>
      </c>
      <c r="I118" s="898">
        <f>H118+SUMIF('11.1.Амортиз.нови активи'!$B$11:$B$58,$B118,'11.1.Амортиз.нови активи'!I$11:I$58)+('9.Инвестиционна програма'!I$77*SUMIF('11.1.Амортиз.нови активи'!$B$11:$B$58,$B118,'11.1.Амортиз.нови активи'!AD$11:AD$58))</f>
        <v>0</v>
      </c>
      <c r="J118" s="898">
        <f>I118+SUMIF('11.1.Амортиз.нови активи'!$B$11:$B$58,$B118,'11.1.Амортиз.нови активи'!J$11:J$58)+('9.Инвестиционна програма'!J$77*SUMIF('11.1.Амортиз.нови активи'!$B$11:$B$58,$B118,'11.1.Амортиз.нови активи'!AE$11:AE$58))</f>
        <v>0</v>
      </c>
      <c r="K118" s="899">
        <f>J118+SUMIF('11.1.Амортиз.нови активи'!$B$11:$B$58,$B118,'11.1.Амортиз.нови активи'!K$11:K$58)+('9.Инвестиционна програма'!K$77*SUMIF('11.1.Амортиз.нови активи'!$B$11:$B$58,$B118,'11.1.Амортиз.нови активи'!AF$11:AF$58))</f>
        <v>0</v>
      </c>
      <c r="L118" s="2250"/>
      <c r="M118" s="897">
        <f>L118+SUMIF('11.1.Амортиз.нови активи'!$B$11:$B$58,$B118,'11.1.Амортиз.нови активи'!M$11:M$58)+('9.Инвестиционна програма'!F$78*SUMIF('11.1.Амортиз.нови активи'!$B$11:$B$58,$B118,'11.1.Амортиз.нови активи'!AA$11:AA$58))</f>
        <v>0</v>
      </c>
      <c r="N118" s="898">
        <f>M118+SUMIF('11.1.Амортиз.нови активи'!$B$11:$B$58,$B118,'11.1.Амортиз.нови активи'!N$11:N$58)+('9.Инвестиционна програма'!G$78*SUMIF('11.1.Амортиз.нови активи'!$B$11:$B$58,$B118,'11.1.Амортиз.нови активи'!AB$11:AB$58))</f>
        <v>0</v>
      </c>
      <c r="O118" s="898">
        <f>N118+SUMIF('11.1.Амортиз.нови активи'!$B$11:$B$58,$B118,'11.1.Амортиз.нови активи'!O$11:O$58)+('9.Инвестиционна програма'!H$78*SUMIF('11.1.Амортиз.нови активи'!$B$11:$B$58,$B118,'11.1.Амортиз.нови активи'!AC$11:AC$58))</f>
        <v>0</v>
      </c>
      <c r="P118" s="898">
        <f>O118+SUMIF('11.1.Амортиз.нови активи'!$B$11:$B$58,$B118,'11.1.Амортиз.нови активи'!P$11:P$58)+('9.Инвестиционна програма'!I$78*SUMIF('11.1.Амортиз.нови активи'!$B$11:$B$58,$B118,'11.1.Амортиз.нови активи'!AD$11:AD$58))</f>
        <v>0</v>
      </c>
      <c r="Q118" s="898">
        <f>P118+SUMIF('11.1.Амортиз.нови активи'!$B$11:$B$58,$B118,'11.1.Амортиз.нови активи'!Q$11:Q$58)+('9.Инвестиционна програма'!J$78*SUMIF('11.1.Амортиз.нови активи'!$B$11:$B$58,$B118,'11.1.Амортиз.нови активи'!AE$11:AE$58))</f>
        <v>0</v>
      </c>
      <c r="R118" s="899">
        <f>Q118+SUMIF('11.1.Амортиз.нови активи'!$B$11:$B$58,$B118,'11.1.Амортиз.нови активи'!R$11:R$58)+('9.Инвестиционна програма'!K$78*SUMIF('11.1.Амортиз.нови активи'!$B$11:$B$58,$B118,'11.1.Амортиз.нови активи'!AF$11:AF$58))</f>
        <v>0</v>
      </c>
      <c r="S118" s="2250"/>
      <c r="T118" s="897">
        <f>S118+SUMIF('11.1.Амортиз.нови активи'!$B$11:$B$58,$B118,'11.1.Амортиз.нови активи'!T$11:T$58)+('9.Инвестиционна програма'!F$79*SUMIF('11.1.Амортиз.нови активи'!$B$11:$B$58,$B118,'11.1.Амортиз.нови активи'!AA$11:AA$58))</f>
        <v>0</v>
      </c>
      <c r="U118" s="898">
        <f>T118+SUMIF('11.1.Амортиз.нови активи'!$B$11:$B$58,$B118,'11.1.Амортиз.нови активи'!U$11:U$58)+('9.Инвестиционна програма'!G$79*SUMIF('11.1.Амортиз.нови активи'!$B$11:$B$58,$B118,'11.1.Амортиз.нови активи'!AB$11:AB$58))</f>
        <v>0</v>
      </c>
      <c r="V118" s="898">
        <f>U118+SUMIF('11.1.Амортиз.нови активи'!$B$11:$B$58,$B118,'11.1.Амортиз.нови активи'!V$11:V$58)+('9.Инвестиционна програма'!H$79*SUMIF('11.1.Амортиз.нови активи'!$B$11:$B$58,$B118,'11.1.Амортиз.нови активи'!AC$11:AC$58))</f>
        <v>0</v>
      </c>
      <c r="W118" s="898">
        <f>V118+SUMIF('11.1.Амортиз.нови активи'!$B$11:$B$58,$B118,'11.1.Амортиз.нови активи'!W$11:W$58)+('9.Инвестиционна програма'!I$79*SUMIF('11.1.Амортиз.нови активи'!$B$11:$B$58,$B118,'11.1.Амортиз.нови активи'!AD$11:AD$58))</f>
        <v>0</v>
      </c>
      <c r="X118" s="898">
        <f>W118+SUMIF('11.1.Амортиз.нови активи'!$B$11:$B$58,$B118,'11.1.Амортиз.нови активи'!X$11:X$58)+('9.Инвестиционна програма'!J$79*SUMIF('11.1.Амортиз.нови активи'!$B$11:$B$58,$B118,'11.1.Амортиз.нови активи'!AE$11:AE$58))</f>
        <v>0</v>
      </c>
      <c r="Y118" s="899">
        <f>X118+SUMIF('11.1.Амортиз.нови активи'!$B$11:$B$58,$B118,'11.1.Амортиз.нови активи'!Y$11:Y$58)+('9.Инвестиционна програма'!K$79*SUMIF('11.1.Амортиз.нови активи'!$B$11:$B$58,$B118,'11.1.Амортиз.нови активи'!AF$11:AF$58))</f>
        <v>0</v>
      </c>
      <c r="Z118" s="1671"/>
      <c r="AA118" s="1702"/>
      <c r="AB118" s="1726"/>
    </row>
    <row r="119" spans="1:28" s="1642" customFormat="1">
      <c r="A119" s="1729">
        <v>9</v>
      </c>
      <c r="B119" s="1674">
        <v>2040102</v>
      </c>
      <c r="C119" s="1728">
        <v>0.04</v>
      </c>
      <c r="D119" s="1637" t="s">
        <v>604</v>
      </c>
      <c r="E119" s="2250"/>
      <c r="F119" s="897">
        <f>E119+SUMIF('11.1.Амортиз.нови активи'!$B$11:$B$58,$B119,'11.1.Амортиз.нови активи'!F$11:F$58)+('9.Инвестиционна програма'!F$77*SUMIF('11.1.Амортиз.нови активи'!$B$11:$B$58,$B119,'11.1.Амортиз.нови активи'!AA$11:AA$58))</f>
        <v>0</v>
      </c>
      <c r="G119" s="898">
        <f>F119+SUMIF('11.1.Амортиз.нови активи'!$B$11:$B$58,$B119,'11.1.Амортиз.нови активи'!G$11:G$58)+('9.Инвестиционна програма'!G$77*SUMIF('11.1.Амортиз.нови активи'!$B$11:$B$58,$B119,'11.1.Амортиз.нови активи'!AB$11:AB$58))</f>
        <v>0</v>
      </c>
      <c r="H119" s="898">
        <f>G119+SUMIF('11.1.Амортиз.нови активи'!$B$11:$B$58,$B119,'11.1.Амортиз.нови активи'!H$11:H$58)+('9.Инвестиционна програма'!H$77*SUMIF('11.1.Амортиз.нови активи'!$B$11:$B$58,$B119,'11.1.Амортиз.нови активи'!AC$11:AC$58))</f>
        <v>0</v>
      </c>
      <c r="I119" s="898">
        <f>H119+SUMIF('11.1.Амортиз.нови активи'!$B$11:$B$58,$B119,'11.1.Амортиз.нови активи'!I$11:I$58)+('9.Инвестиционна програма'!I$77*SUMIF('11.1.Амортиз.нови активи'!$B$11:$B$58,$B119,'11.1.Амортиз.нови активи'!AD$11:AD$58))</f>
        <v>0</v>
      </c>
      <c r="J119" s="898">
        <f>I119+SUMIF('11.1.Амортиз.нови активи'!$B$11:$B$58,$B119,'11.1.Амортиз.нови активи'!J$11:J$58)+('9.Инвестиционна програма'!J$77*SUMIF('11.1.Амортиз.нови активи'!$B$11:$B$58,$B119,'11.1.Амортиз.нови активи'!AE$11:AE$58))</f>
        <v>0</v>
      </c>
      <c r="K119" s="899">
        <f>J119+SUMIF('11.1.Амортиз.нови активи'!$B$11:$B$58,$B119,'11.1.Амортиз.нови активи'!K$11:K$58)+('9.Инвестиционна програма'!K$77*SUMIF('11.1.Амортиз.нови активи'!$B$11:$B$58,$B119,'11.1.Амортиз.нови активи'!AF$11:AF$58))</f>
        <v>0</v>
      </c>
      <c r="L119" s="2250"/>
      <c r="M119" s="897">
        <f>L119+SUMIF('11.1.Амортиз.нови активи'!$B$11:$B$58,$B119,'11.1.Амортиз.нови активи'!M$11:M$58)+('9.Инвестиционна програма'!F$78*SUMIF('11.1.Амортиз.нови активи'!$B$11:$B$58,$B119,'11.1.Амортиз.нови активи'!AA$11:AA$58))</f>
        <v>0</v>
      </c>
      <c r="N119" s="898">
        <f>M119+SUMIF('11.1.Амортиз.нови активи'!$B$11:$B$58,$B119,'11.1.Амортиз.нови активи'!N$11:N$58)+('9.Инвестиционна програма'!G$78*SUMIF('11.1.Амортиз.нови активи'!$B$11:$B$58,$B119,'11.1.Амортиз.нови активи'!AB$11:AB$58))</f>
        <v>0</v>
      </c>
      <c r="O119" s="898">
        <f>N119+SUMIF('11.1.Амортиз.нови активи'!$B$11:$B$58,$B119,'11.1.Амортиз.нови активи'!O$11:O$58)+('9.Инвестиционна програма'!H$78*SUMIF('11.1.Амортиз.нови активи'!$B$11:$B$58,$B119,'11.1.Амортиз.нови активи'!AC$11:AC$58))</f>
        <v>0</v>
      </c>
      <c r="P119" s="898">
        <f>O119+SUMIF('11.1.Амортиз.нови активи'!$B$11:$B$58,$B119,'11.1.Амортиз.нови активи'!P$11:P$58)+('9.Инвестиционна програма'!I$78*SUMIF('11.1.Амортиз.нови активи'!$B$11:$B$58,$B119,'11.1.Амортиз.нови активи'!AD$11:AD$58))</f>
        <v>0</v>
      </c>
      <c r="Q119" s="898">
        <f>P119+SUMIF('11.1.Амортиз.нови активи'!$B$11:$B$58,$B119,'11.1.Амортиз.нови активи'!Q$11:Q$58)+('9.Инвестиционна програма'!J$78*SUMIF('11.1.Амортиз.нови активи'!$B$11:$B$58,$B119,'11.1.Амортиз.нови активи'!AE$11:AE$58))</f>
        <v>0</v>
      </c>
      <c r="R119" s="899">
        <f>Q119+SUMIF('11.1.Амортиз.нови активи'!$B$11:$B$58,$B119,'11.1.Амортиз.нови активи'!R$11:R$58)+('9.Инвестиционна програма'!K$78*SUMIF('11.1.Амортиз.нови активи'!$B$11:$B$58,$B119,'11.1.Амортиз.нови активи'!AF$11:AF$58))</f>
        <v>0</v>
      </c>
      <c r="S119" s="2250"/>
      <c r="T119" s="897">
        <f>S119+SUMIF('11.1.Амортиз.нови активи'!$B$11:$B$58,$B119,'11.1.Амортиз.нови активи'!T$11:T$58)+('9.Инвестиционна програма'!F$79*SUMIF('11.1.Амортиз.нови активи'!$B$11:$B$58,$B119,'11.1.Амортиз.нови активи'!AA$11:AA$58))</f>
        <v>0</v>
      </c>
      <c r="U119" s="898">
        <f>T119+SUMIF('11.1.Амортиз.нови активи'!$B$11:$B$58,$B119,'11.1.Амортиз.нови активи'!U$11:U$58)+('9.Инвестиционна програма'!G$79*SUMIF('11.1.Амортиз.нови активи'!$B$11:$B$58,$B119,'11.1.Амортиз.нови активи'!AB$11:AB$58))</f>
        <v>0</v>
      </c>
      <c r="V119" s="898">
        <f>U119+SUMIF('11.1.Амортиз.нови активи'!$B$11:$B$58,$B119,'11.1.Амортиз.нови активи'!V$11:V$58)+('9.Инвестиционна програма'!H$79*SUMIF('11.1.Амортиз.нови активи'!$B$11:$B$58,$B119,'11.1.Амортиз.нови активи'!AC$11:AC$58))</f>
        <v>0</v>
      </c>
      <c r="W119" s="898">
        <f>V119+SUMIF('11.1.Амортиз.нови активи'!$B$11:$B$58,$B119,'11.1.Амортиз.нови активи'!W$11:W$58)+('9.Инвестиционна програма'!I$79*SUMIF('11.1.Амортиз.нови активи'!$B$11:$B$58,$B119,'11.1.Амортиз.нови активи'!AD$11:AD$58))</f>
        <v>0</v>
      </c>
      <c r="X119" s="898">
        <f>W119+SUMIF('11.1.Амортиз.нови активи'!$B$11:$B$58,$B119,'11.1.Амортиз.нови активи'!X$11:X$58)+('9.Инвестиционна програма'!J$79*SUMIF('11.1.Амортиз.нови активи'!$B$11:$B$58,$B119,'11.1.Амортиз.нови активи'!AE$11:AE$58))</f>
        <v>0</v>
      </c>
      <c r="Y119" s="899">
        <f>X119+SUMIF('11.1.Амортиз.нови активи'!$B$11:$B$58,$B119,'11.1.Амортиз.нови активи'!Y$11:Y$58)+('9.Инвестиционна програма'!K$79*SUMIF('11.1.Амортиз.нови активи'!$B$11:$B$58,$B119,'11.1.Амортиз.нови активи'!AF$11:AF$58))</f>
        <v>0</v>
      </c>
      <c r="Z119" s="1671"/>
      <c r="AA119" s="1702"/>
      <c r="AB119" s="1726"/>
    </row>
    <row r="120" spans="1:28" s="1642" customFormat="1">
      <c r="A120" s="1729">
        <v>10</v>
      </c>
      <c r="B120" s="1674">
        <v>2040201</v>
      </c>
      <c r="C120" s="1675">
        <v>0.02</v>
      </c>
      <c r="D120" s="1623" t="s">
        <v>1007</v>
      </c>
      <c r="E120" s="2250"/>
      <c r="F120" s="897">
        <f>E120+SUMIF('11.1.Амортиз.нови активи'!$B$11:$B$58,$B120,'11.1.Амортиз.нови активи'!F$11:F$58)+('9.Инвестиционна програма'!F$77*SUMIF('11.1.Амортиз.нови активи'!$B$11:$B$58,$B120,'11.1.Амортиз.нови активи'!AA$11:AA$58))</f>
        <v>0</v>
      </c>
      <c r="G120" s="898">
        <f>F120+SUMIF('11.1.Амортиз.нови активи'!$B$11:$B$58,$B120,'11.1.Амортиз.нови активи'!G$11:G$58)+('9.Инвестиционна програма'!G$77*SUMIF('11.1.Амортиз.нови активи'!$B$11:$B$58,$B120,'11.1.Амортиз.нови активи'!AB$11:AB$58))</f>
        <v>0</v>
      </c>
      <c r="H120" s="898">
        <f>G120+SUMIF('11.1.Амортиз.нови активи'!$B$11:$B$58,$B120,'11.1.Амортиз.нови активи'!H$11:H$58)+('9.Инвестиционна програма'!H$77*SUMIF('11.1.Амортиз.нови активи'!$B$11:$B$58,$B120,'11.1.Амортиз.нови активи'!AC$11:AC$58))</f>
        <v>0</v>
      </c>
      <c r="I120" s="898">
        <f>H120+SUMIF('11.1.Амортиз.нови активи'!$B$11:$B$58,$B120,'11.1.Амортиз.нови активи'!I$11:I$58)+('9.Инвестиционна програма'!I$77*SUMIF('11.1.Амортиз.нови активи'!$B$11:$B$58,$B120,'11.1.Амортиз.нови активи'!AD$11:AD$58))</f>
        <v>0</v>
      </c>
      <c r="J120" s="898">
        <f>I120+SUMIF('11.1.Амортиз.нови активи'!$B$11:$B$58,$B120,'11.1.Амортиз.нови активи'!J$11:J$58)+('9.Инвестиционна програма'!J$77*SUMIF('11.1.Амортиз.нови активи'!$B$11:$B$58,$B120,'11.1.Амортиз.нови активи'!AE$11:AE$58))</f>
        <v>0</v>
      </c>
      <c r="K120" s="899">
        <f>J120+SUMIF('11.1.Амортиз.нови активи'!$B$11:$B$58,$B120,'11.1.Амортиз.нови активи'!K$11:K$58)+('9.Инвестиционна програма'!K$77*SUMIF('11.1.Амортиз.нови активи'!$B$11:$B$58,$B120,'11.1.Амортиз.нови активи'!AF$11:AF$58))</f>
        <v>0</v>
      </c>
      <c r="L120" s="2250"/>
      <c r="M120" s="897">
        <f>L120+SUMIF('11.1.Амортиз.нови активи'!$B$11:$B$58,$B120,'11.1.Амортиз.нови активи'!M$11:M$58)+('9.Инвестиционна програма'!F$78*SUMIF('11.1.Амортиз.нови активи'!$B$11:$B$58,$B120,'11.1.Амортиз.нови активи'!AA$11:AA$58))</f>
        <v>0</v>
      </c>
      <c r="N120" s="898">
        <f>M120+SUMIF('11.1.Амортиз.нови активи'!$B$11:$B$58,$B120,'11.1.Амортиз.нови активи'!N$11:N$58)+('9.Инвестиционна програма'!G$78*SUMIF('11.1.Амортиз.нови активи'!$B$11:$B$58,$B120,'11.1.Амортиз.нови активи'!AB$11:AB$58))</f>
        <v>0</v>
      </c>
      <c r="O120" s="898">
        <f>N120+SUMIF('11.1.Амортиз.нови активи'!$B$11:$B$58,$B120,'11.1.Амортиз.нови активи'!O$11:O$58)+('9.Инвестиционна програма'!H$78*SUMIF('11.1.Амортиз.нови активи'!$B$11:$B$58,$B120,'11.1.Амортиз.нови активи'!AC$11:AC$58))</f>
        <v>0</v>
      </c>
      <c r="P120" s="898">
        <f>O120+SUMIF('11.1.Амортиз.нови активи'!$B$11:$B$58,$B120,'11.1.Амортиз.нови активи'!P$11:P$58)+('9.Инвестиционна програма'!I$78*SUMIF('11.1.Амортиз.нови активи'!$B$11:$B$58,$B120,'11.1.Амортиз.нови активи'!AD$11:AD$58))</f>
        <v>0</v>
      </c>
      <c r="Q120" s="898">
        <f>P120+SUMIF('11.1.Амортиз.нови активи'!$B$11:$B$58,$B120,'11.1.Амортиз.нови активи'!Q$11:Q$58)+('9.Инвестиционна програма'!J$78*SUMIF('11.1.Амортиз.нови активи'!$B$11:$B$58,$B120,'11.1.Амортиз.нови активи'!AE$11:AE$58))</f>
        <v>0</v>
      </c>
      <c r="R120" s="899">
        <f>Q120+SUMIF('11.1.Амортиз.нови активи'!$B$11:$B$58,$B120,'11.1.Амортиз.нови активи'!R$11:R$58)+('9.Инвестиционна програма'!K$78*SUMIF('11.1.Амортиз.нови активи'!$B$11:$B$58,$B120,'11.1.Амортиз.нови активи'!AF$11:AF$58))</f>
        <v>0</v>
      </c>
      <c r="S120" s="2250"/>
      <c r="T120" s="897">
        <f>S120+SUMIF('11.1.Амортиз.нови активи'!$B$11:$B$58,$B120,'11.1.Амортиз.нови активи'!T$11:T$58)+('9.Инвестиционна програма'!F$79*SUMIF('11.1.Амортиз.нови активи'!$B$11:$B$58,$B120,'11.1.Амортиз.нови активи'!AA$11:AA$58))</f>
        <v>0</v>
      </c>
      <c r="U120" s="898">
        <f>T120+SUMIF('11.1.Амортиз.нови активи'!$B$11:$B$58,$B120,'11.1.Амортиз.нови активи'!U$11:U$58)+('9.Инвестиционна програма'!G$79*SUMIF('11.1.Амортиз.нови активи'!$B$11:$B$58,$B120,'11.1.Амортиз.нови активи'!AB$11:AB$58))</f>
        <v>0</v>
      </c>
      <c r="V120" s="898">
        <f>U120+SUMIF('11.1.Амортиз.нови активи'!$B$11:$B$58,$B120,'11.1.Амортиз.нови активи'!V$11:V$58)+('9.Инвестиционна програма'!H$79*SUMIF('11.1.Амортиз.нови активи'!$B$11:$B$58,$B120,'11.1.Амортиз.нови активи'!AC$11:AC$58))</f>
        <v>0</v>
      </c>
      <c r="W120" s="898">
        <f>V120+SUMIF('11.1.Амортиз.нови активи'!$B$11:$B$58,$B120,'11.1.Амортиз.нови активи'!W$11:W$58)+('9.Инвестиционна програма'!I$79*SUMIF('11.1.Амортиз.нови активи'!$B$11:$B$58,$B120,'11.1.Амортиз.нови активи'!AD$11:AD$58))</f>
        <v>0</v>
      </c>
      <c r="X120" s="898">
        <f>W120+SUMIF('11.1.Амортиз.нови активи'!$B$11:$B$58,$B120,'11.1.Амортиз.нови активи'!X$11:X$58)+('9.Инвестиционна програма'!J$79*SUMIF('11.1.Амортиз.нови активи'!$B$11:$B$58,$B120,'11.1.Амортиз.нови активи'!AE$11:AE$58))</f>
        <v>0</v>
      </c>
      <c r="Y120" s="899">
        <f>X120+SUMIF('11.1.Амортиз.нови активи'!$B$11:$B$58,$B120,'11.1.Амортиз.нови активи'!Y$11:Y$58)+('9.Инвестиционна програма'!K$79*SUMIF('11.1.Амортиз.нови активи'!$B$11:$B$58,$B120,'11.1.Амортиз.нови активи'!AF$11:AF$58))</f>
        <v>0</v>
      </c>
      <c r="Z120" s="1671"/>
      <c r="AA120" s="1702"/>
      <c r="AB120" s="1726"/>
    </row>
    <row r="121" spans="1:28" s="1642" customFormat="1">
      <c r="A121" s="1729">
        <v>11</v>
      </c>
      <c r="B121" s="1674">
        <v>2040202</v>
      </c>
      <c r="C121" s="1675">
        <v>0.02</v>
      </c>
      <c r="D121" s="1623" t="s">
        <v>1008</v>
      </c>
      <c r="E121" s="2250"/>
      <c r="F121" s="897">
        <f>E121+SUMIF('11.1.Амортиз.нови активи'!$B$11:$B$58,$B121,'11.1.Амортиз.нови активи'!F$11:F$58)+('9.Инвестиционна програма'!F$77*SUMIF('11.1.Амортиз.нови активи'!$B$11:$B$58,$B121,'11.1.Амортиз.нови активи'!AA$11:AA$58))</f>
        <v>0</v>
      </c>
      <c r="G121" s="898">
        <f>F121+SUMIF('11.1.Амортиз.нови активи'!$B$11:$B$58,$B121,'11.1.Амортиз.нови активи'!G$11:G$58)+('9.Инвестиционна програма'!G$77*SUMIF('11.1.Амортиз.нови активи'!$B$11:$B$58,$B121,'11.1.Амортиз.нови активи'!AB$11:AB$58))</f>
        <v>41</v>
      </c>
      <c r="H121" s="898">
        <f>G121+SUMIF('11.1.Амортиз.нови активи'!$B$11:$B$58,$B121,'11.1.Амортиз.нови активи'!H$11:H$58)+('9.Инвестиционна програма'!H$77*SUMIF('11.1.Амортиз.нови активи'!$B$11:$B$58,$B121,'11.1.Амортиз.нови активи'!AC$11:AC$58))</f>
        <v>101</v>
      </c>
      <c r="I121" s="898">
        <f>H121+SUMIF('11.1.Амортиз.нови активи'!$B$11:$B$58,$B121,'11.1.Амортиз.нови активи'!I$11:I$58)+('9.Инвестиционна програма'!I$77*SUMIF('11.1.Амортиз.нови активи'!$B$11:$B$58,$B121,'11.1.Амортиз.нови активи'!AD$11:AD$58))</f>
        <v>161</v>
      </c>
      <c r="J121" s="898">
        <f>I121+SUMIF('11.1.Амортиз.нови активи'!$B$11:$B$58,$B121,'11.1.Амортиз.нови активи'!J$11:J$58)+('9.Инвестиционна програма'!J$77*SUMIF('11.1.Амортиз.нови активи'!$B$11:$B$58,$B121,'11.1.Амортиз.нови активи'!AE$11:AE$58))</f>
        <v>211</v>
      </c>
      <c r="K121" s="899">
        <f>J121+SUMIF('11.1.Амортиз.нови активи'!$B$11:$B$58,$B121,'11.1.Амортиз.нови активи'!K$11:K$58)+('9.Инвестиционна програма'!K$77*SUMIF('11.1.Амортиз.нови активи'!$B$11:$B$58,$B121,'11.1.Амортиз.нови активи'!AF$11:AF$58))</f>
        <v>261</v>
      </c>
      <c r="L121" s="2250"/>
      <c r="M121" s="897">
        <f>L121+SUMIF('11.1.Амортиз.нови активи'!$B$11:$B$58,$B121,'11.1.Амортиз.нови активи'!M$11:M$58)+('9.Инвестиционна програма'!F$78*SUMIF('11.1.Амортиз.нови активи'!$B$11:$B$58,$B121,'11.1.Амортиз.нови активи'!AA$11:AA$58))</f>
        <v>0</v>
      </c>
      <c r="N121" s="898">
        <f>M121+SUMIF('11.1.Амортиз.нови активи'!$B$11:$B$58,$B121,'11.1.Амортиз.нови активи'!N$11:N$58)+('9.Инвестиционна програма'!G$78*SUMIF('11.1.Амортиз.нови активи'!$B$11:$B$58,$B121,'11.1.Амортиз.нови активи'!AB$11:AB$58))</f>
        <v>0</v>
      </c>
      <c r="O121" s="898">
        <f>N121+SUMIF('11.1.Амортиз.нови активи'!$B$11:$B$58,$B121,'11.1.Амортиз.нови активи'!O$11:O$58)+('9.Инвестиционна програма'!H$78*SUMIF('11.1.Амортиз.нови активи'!$B$11:$B$58,$B121,'11.1.Амортиз.нови активи'!AC$11:AC$58))</f>
        <v>0</v>
      </c>
      <c r="P121" s="898">
        <f>O121+SUMIF('11.1.Амортиз.нови активи'!$B$11:$B$58,$B121,'11.1.Амортиз.нови активи'!P$11:P$58)+('9.Инвестиционна програма'!I$78*SUMIF('11.1.Амортиз.нови активи'!$B$11:$B$58,$B121,'11.1.Амортиз.нови активи'!AD$11:AD$58))</f>
        <v>0</v>
      </c>
      <c r="Q121" s="898">
        <f>P121+SUMIF('11.1.Амортиз.нови активи'!$B$11:$B$58,$B121,'11.1.Амортиз.нови активи'!Q$11:Q$58)+('9.Инвестиционна програма'!J$78*SUMIF('11.1.Амортиз.нови активи'!$B$11:$B$58,$B121,'11.1.Амортиз.нови активи'!AE$11:AE$58))</f>
        <v>0</v>
      </c>
      <c r="R121" s="899">
        <f>Q121+SUMIF('11.1.Амортиз.нови активи'!$B$11:$B$58,$B121,'11.1.Амортиз.нови активи'!R$11:R$58)+('9.Инвестиционна програма'!K$78*SUMIF('11.1.Амортиз.нови активи'!$B$11:$B$58,$B121,'11.1.Амортиз.нови активи'!AF$11:AF$58))</f>
        <v>0</v>
      </c>
      <c r="S121" s="2250"/>
      <c r="T121" s="897">
        <f>S121+SUMIF('11.1.Амортиз.нови активи'!$B$11:$B$58,$B121,'11.1.Амортиз.нови активи'!T$11:T$58)+('9.Инвестиционна програма'!F$79*SUMIF('11.1.Амортиз.нови активи'!$B$11:$B$58,$B121,'11.1.Амортиз.нови активи'!AA$11:AA$58))</f>
        <v>0</v>
      </c>
      <c r="U121" s="898">
        <f>T121+SUMIF('11.1.Амортиз.нови активи'!$B$11:$B$58,$B121,'11.1.Амортиз.нови активи'!U$11:U$58)+('9.Инвестиционна програма'!G$79*SUMIF('11.1.Амортиз.нови активи'!$B$11:$B$58,$B121,'11.1.Амортиз.нови активи'!AB$11:AB$58))</f>
        <v>0</v>
      </c>
      <c r="V121" s="898">
        <f>U121+SUMIF('11.1.Амортиз.нови активи'!$B$11:$B$58,$B121,'11.1.Амортиз.нови активи'!V$11:V$58)+('9.Инвестиционна програма'!H$79*SUMIF('11.1.Амортиз.нови активи'!$B$11:$B$58,$B121,'11.1.Амортиз.нови активи'!AC$11:AC$58))</f>
        <v>0</v>
      </c>
      <c r="W121" s="898">
        <f>V121+SUMIF('11.1.Амортиз.нови активи'!$B$11:$B$58,$B121,'11.1.Амортиз.нови активи'!W$11:W$58)+('9.Инвестиционна програма'!I$79*SUMIF('11.1.Амортиз.нови активи'!$B$11:$B$58,$B121,'11.1.Амортиз.нови активи'!AD$11:AD$58))</f>
        <v>0</v>
      </c>
      <c r="X121" s="898">
        <f>W121+SUMIF('11.1.Амортиз.нови активи'!$B$11:$B$58,$B121,'11.1.Амортиз.нови активи'!X$11:X$58)+('9.Инвестиционна програма'!J$79*SUMIF('11.1.Амортиз.нови активи'!$B$11:$B$58,$B121,'11.1.Амортиз.нови активи'!AE$11:AE$58))</f>
        <v>0</v>
      </c>
      <c r="Y121" s="899">
        <f>X121+SUMIF('11.1.Амортиз.нови активи'!$B$11:$B$58,$B121,'11.1.Амортиз.нови активи'!Y$11:Y$58)+('9.Инвестиционна програма'!K$79*SUMIF('11.1.Амортиз.нови активи'!$B$11:$B$58,$B121,'11.1.Амортиз.нови активи'!AF$11:AF$58))</f>
        <v>0</v>
      </c>
      <c r="Z121" s="1671"/>
      <c r="AA121" s="1702"/>
      <c r="AB121" s="1726"/>
    </row>
    <row r="122" spans="1:28" s="1642" customFormat="1">
      <c r="A122" s="1729">
        <v>12</v>
      </c>
      <c r="B122" s="1674">
        <v>2040203</v>
      </c>
      <c r="C122" s="1675">
        <v>0.02</v>
      </c>
      <c r="D122" s="1623" t="s">
        <v>590</v>
      </c>
      <c r="E122" s="2250"/>
      <c r="F122" s="897">
        <f>E122+SUMIF('11.1.Амортиз.нови активи'!$B$11:$B$58,$B122,'11.1.Амортиз.нови активи'!F$11:F$58)+('9.Инвестиционна програма'!F$77*SUMIF('11.1.Амортиз.нови активи'!$B$11:$B$58,$B122,'11.1.Амортиз.нови активи'!AA$11:AA$58))</f>
        <v>0</v>
      </c>
      <c r="G122" s="898">
        <f>F122+SUMIF('11.1.Амортиз.нови активи'!$B$11:$B$58,$B122,'11.1.Амортиз.нови активи'!G$11:G$58)+('9.Инвестиционна програма'!G$77*SUMIF('11.1.Амортиз.нови активи'!$B$11:$B$58,$B122,'11.1.Амортиз.нови активи'!AB$11:AB$58))</f>
        <v>0</v>
      </c>
      <c r="H122" s="898">
        <f>G122+SUMIF('11.1.Амортиз.нови активи'!$B$11:$B$58,$B122,'11.1.Амортиз.нови активи'!H$11:H$58)+('9.Инвестиционна програма'!H$77*SUMIF('11.1.Амортиз.нови активи'!$B$11:$B$58,$B122,'11.1.Амортиз.нови активи'!AC$11:AC$58))</f>
        <v>0</v>
      </c>
      <c r="I122" s="898">
        <f>H122+SUMIF('11.1.Амортиз.нови активи'!$B$11:$B$58,$B122,'11.1.Амортиз.нови активи'!I$11:I$58)+('9.Инвестиционна програма'!I$77*SUMIF('11.1.Амортиз.нови активи'!$B$11:$B$58,$B122,'11.1.Амортиз.нови активи'!AD$11:AD$58))</f>
        <v>0</v>
      </c>
      <c r="J122" s="898">
        <f>I122+SUMIF('11.1.Амортиз.нови активи'!$B$11:$B$58,$B122,'11.1.Амортиз.нови активи'!J$11:J$58)+('9.Инвестиционна програма'!J$77*SUMIF('11.1.Амортиз.нови активи'!$B$11:$B$58,$B122,'11.1.Амортиз.нови активи'!AE$11:AE$58))</f>
        <v>0</v>
      </c>
      <c r="K122" s="899">
        <f>J122+SUMIF('11.1.Амортиз.нови активи'!$B$11:$B$58,$B122,'11.1.Амортиз.нови активи'!K$11:K$58)+('9.Инвестиционна програма'!K$77*SUMIF('11.1.Амортиз.нови активи'!$B$11:$B$58,$B122,'11.1.Амортиз.нови активи'!AF$11:AF$58))</f>
        <v>0</v>
      </c>
      <c r="L122" s="2250"/>
      <c r="M122" s="897">
        <f>L122+SUMIF('11.1.Амортиз.нови активи'!$B$11:$B$58,$B122,'11.1.Амортиз.нови активи'!M$11:M$58)+('9.Инвестиционна програма'!F$78*SUMIF('11.1.Амортиз.нови активи'!$B$11:$B$58,$B122,'11.1.Амортиз.нови активи'!AA$11:AA$58))</f>
        <v>0</v>
      </c>
      <c r="N122" s="898">
        <f>M122+SUMIF('11.1.Амортиз.нови активи'!$B$11:$B$58,$B122,'11.1.Амортиз.нови активи'!N$11:N$58)+('9.Инвестиционна програма'!G$78*SUMIF('11.1.Амортиз.нови активи'!$B$11:$B$58,$B122,'11.1.Амортиз.нови активи'!AB$11:AB$58))</f>
        <v>0</v>
      </c>
      <c r="O122" s="898">
        <f>N122+SUMIF('11.1.Амортиз.нови активи'!$B$11:$B$58,$B122,'11.1.Амортиз.нови активи'!O$11:O$58)+('9.Инвестиционна програма'!H$78*SUMIF('11.1.Амортиз.нови активи'!$B$11:$B$58,$B122,'11.1.Амортиз.нови активи'!AC$11:AC$58))</f>
        <v>0</v>
      </c>
      <c r="P122" s="898">
        <f>O122+SUMIF('11.1.Амортиз.нови активи'!$B$11:$B$58,$B122,'11.1.Амортиз.нови активи'!P$11:P$58)+('9.Инвестиционна програма'!I$78*SUMIF('11.1.Амортиз.нови активи'!$B$11:$B$58,$B122,'11.1.Амортиз.нови активи'!AD$11:AD$58))</f>
        <v>0</v>
      </c>
      <c r="Q122" s="898">
        <f>P122+SUMIF('11.1.Амортиз.нови активи'!$B$11:$B$58,$B122,'11.1.Амортиз.нови активи'!Q$11:Q$58)+('9.Инвестиционна програма'!J$78*SUMIF('11.1.Амортиз.нови активи'!$B$11:$B$58,$B122,'11.1.Амортиз.нови активи'!AE$11:AE$58))</f>
        <v>0</v>
      </c>
      <c r="R122" s="899">
        <f>Q122+SUMIF('11.1.Амортиз.нови активи'!$B$11:$B$58,$B122,'11.1.Амортиз.нови активи'!R$11:R$58)+('9.Инвестиционна програма'!K$78*SUMIF('11.1.Амортиз.нови активи'!$B$11:$B$58,$B122,'11.1.Амортиз.нови активи'!AF$11:AF$58))</f>
        <v>0</v>
      </c>
      <c r="S122" s="2250"/>
      <c r="T122" s="897">
        <f>S122+SUMIF('11.1.Амортиз.нови активи'!$B$11:$B$58,$B122,'11.1.Амортиз.нови активи'!T$11:T$58)+('9.Инвестиционна програма'!F$79*SUMIF('11.1.Амортиз.нови активи'!$B$11:$B$58,$B122,'11.1.Амортиз.нови активи'!AA$11:AA$58))</f>
        <v>0</v>
      </c>
      <c r="U122" s="898">
        <f>T122+SUMIF('11.1.Амортиз.нови активи'!$B$11:$B$58,$B122,'11.1.Амортиз.нови активи'!U$11:U$58)+('9.Инвестиционна програма'!G$79*SUMIF('11.1.Амортиз.нови активи'!$B$11:$B$58,$B122,'11.1.Амортиз.нови активи'!AB$11:AB$58))</f>
        <v>0</v>
      </c>
      <c r="V122" s="898">
        <f>U122+SUMIF('11.1.Амортиз.нови активи'!$B$11:$B$58,$B122,'11.1.Амортиз.нови активи'!V$11:V$58)+('9.Инвестиционна програма'!H$79*SUMIF('11.1.Амортиз.нови активи'!$B$11:$B$58,$B122,'11.1.Амортиз.нови активи'!AC$11:AC$58))</f>
        <v>0</v>
      </c>
      <c r="W122" s="898">
        <f>V122+SUMIF('11.1.Амортиз.нови активи'!$B$11:$B$58,$B122,'11.1.Амортиз.нови активи'!W$11:W$58)+('9.Инвестиционна програма'!I$79*SUMIF('11.1.Амортиз.нови активи'!$B$11:$B$58,$B122,'11.1.Амортиз.нови активи'!AD$11:AD$58))</f>
        <v>0</v>
      </c>
      <c r="X122" s="898">
        <f>W122+SUMIF('11.1.Амортиз.нови активи'!$B$11:$B$58,$B122,'11.1.Амортиз.нови активи'!X$11:X$58)+('9.Инвестиционна програма'!J$79*SUMIF('11.1.Амортиз.нови активи'!$B$11:$B$58,$B122,'11.1.Амортиз.нови активи'!AE$11:AE$58))</f>
        <v>0</v>
      </c>
      <c r="Y122" s="899">
        <f>X122+SUMIF('11.1.Амортиз.нови активи'!$B$11:$B$58,$B122,'11.1.Амортиз.нови активи'!Y$11:Y$58)+('9.Инвестиционна програма'!K$79*SUMIF('11.1.Амортиз.нови активи'!$B$11:$B$58,$B122,'11.1.Амортиз.нови активи'!AF$11:AF$58))</f>
        <v>0</v>
      </c>
      <c r="Z122" s="1671"/>
      <c r="AA122" s="1702"/>
      <c r="AB122" s="1726"/>
    </row>
    <row r="123" spans="1:28" s="1642" customFormat="1">
      <c r="A123" s="1729">
        <v>13</v>
      </c>
      <c r="B123" s="1674">
        <v>2040204</v>
      </c>
      <c r="C123" s="1675">
        <v>0.02</v>
      </c>
      <c r="D123" s="1637" t="s">
        <v>591</v>
      </c>
      <c r="E123" s="2250"/>
      <c r="F123" s="897">
        <f>E123+SUMIF('11.1.Амортиз.нови активи'!$B$11:$B$58,$B123,'11.1.Амортиз.нови активи'!F$11:F$58)+('9.Инвестиционна програма'!F$77*SUMIF('11.1.Амортиз.нови активи'!$B$11:$B$58,$B123,'11.1.Амортиз.нови активи'!AA$11:AA$58))</f>
        <v>172</v>
      </c>
      <c r="G123" s="898">
        <f>F123+SUMIF('11.1.Амортиз.нови активи'!$B$11:$B$58,$B123,'11.1.Амортиз.нови активи'!G$11:G$58)+('9.Инвестиционна програма'!G$77*SUMIF('11.1.Амортиз.нови активи'!$B$11:$B$58,$B123,'11.1.Амортиз.нови активи'!AB$11:AB$58))</f>
        <v>227</v>
      </c>
      <c r="H123" s="898">
        <f>G123+SUMIF('11.1.Амортиз.нови активи'!$B$11:$B$58,$B123,'11.1.Амортиз.нови активи'!H$11:H$58)+('9.Инвестиционна програма'!H$77*SUMIF('11.1.Амортиз.нови активи'!$B$11:$B$58,$B123,'11.1.Амортиз.нови активи'!AC$11:AC$58))</f>
        <v>267</v>
      </c>
      <c r="I123" s="898">
        <f>H123+SUMIF('11.1.Амортиз.нови активи'!$B$11:$B$58,$B123,'11.1.Амортиз.нови активи'!I$11:I$58)+('9.Инвестиционна програма'!I$77*SUMIF('11.1.Амортиз.нови активи'!$B$11:$B$58,$B123,'11.1.Амортиз.нови активи'!AD$11:AD$58))</f>
        <v>287</v>
      </c>
      <c r="J123" s="898">
        <f>I123+SUMIF('11.1.Амортиз.нови активи'!$B$11:$B$58,$B123,'11.1.Амортиз.нови активи'!J$11:J$58)+('9.Инвестиционна програма'!J$77*SUMIF('11.1.Амортиз.нови активи'!$B$11:$B$58,$B123,'11.1.Амортиз.нови активи'!AE$11:AE$58))</f>
        <v>302</v>
      </c>
      <c r="K123" s="899">
        <f>J123+SUMIF('11.1.Амортиз.нови активи'!$B$11:$B$58,$B123,'11.1.Амортиз.нови активи'!K$11:K$58)+('9.Инвестиционна програма'!K$77*SUMIF('11.1.Амортиз.нови активи'!$B$11:$B$58,$B123,'11.1.Амортиз.нови активи'!AF$11:AF$58))</f>
        <v>317</v>
      </c>
      <c r="L123" s="2250"/>
      <c r="M123" s="897">
        <f>L123+SUMIF('11.1.Амортиз.нови активи'!$B$11:$B$58,$B123,'11.1.Амортиз.нови активи'!M$11:M$58)+('9.Инвестиционна програма'!F$78*SUMIF('11.1.Амортиз.нови активи'!$B$11:$B$58,$B123,'11.1.Амортиз.нови активи'!AA$11:AA$58))</f>
        <v>0</v>
      </c>
      <c r="N123" s="898">
        <f>M123+SUMIF('11.1.Амортиз.нови активи'!$B$11:$B$58,$B123,'11.1.Амортиз.нови активи'!N$11:N$58)+('9.Инвестиционна програма'!G$78*SUMIF('11.1.Амортиз.нови активи'!$B$11:$B$58,$B123,'11.1.Амортиз.нови активи'!AB$11:AB$58))</f>
        <v>0</v>
      </c>
      <c r="O123" s="898">
        <f>N123+SUMIF('11.1.Амортиз.нови активи'!$B$11:$B$58,$B123,'11.1.Амортиз.нови активи'!O$11:O$58)+('9.Инвестиционна програма'!H$78*SUMIF('11.1.Амортиз.нови активи'!$B$11:$B$58,$B123,'11.1.Амортиз.нови активи'!AC$11:AC$58))</f>
        <v>0</v>
      </c>
      <c r="P123" s="898">
        <f>O123+SUMIF('11.1.Амортиз.нови активи'!$B$11:$B$58,$B123,'11.1.Амортиз.нови активи'!P$11:P$58)+('9.Инвестиционна програма'!I$78*SUMIF('11.1.Амортиз.нови активи'!$B$11:$B$58,$B123,'11.1.Амортиз.нови активи'!AD$11:AD$58))</f>
        <v>0</v>
      </c>
      <c r="Q123" s="898">
        <f>P123+SUMIF('11.1.Амортиз.нови активи'!$B$11:$B$58,$B123,'11.1.Амортиз.нови активи'!Q$11:Q$58)+('9.Инвестиционна програма'!J$78*SUMIF('11.1.Амортиз.нови активи'!$B$11:$B$58,$B123,'11.1.Амортиз.нови активи'!AE$11:AE$58))</f>
        <v>0</v>
      </c>
      <c r="R123" s="899">
        <f>Q123+SUMIF('11.1.Амортиз.нови активи'!$B$11:$B$58,$B123,'11.1.Амортиз.нови активи'!R$11:R$58)+('9.Инвестиционна програма'!K$78*SUMIF('11.1.Амортиз.нови активи'!$B$11:$B$58,$B123,'11.1.Амортиз.нови активи'!AF$11:AF$58))</f>
        <v>0</v>
      </c>
      <c r="S123" s="2250"/>
      <c r="T123" s="897">
        <f>S123+SUMIF('11.1.Амортиз.нови активи'!$B$11:$B$58,$B123,'11.1.Амортиз.нови активи'!T$11:T$58)+('9.Инвестиционна програма'!F$79*SUMIF('11.1.Амортиз.нови активи'!$B$11:$B$58,$B123,'11.1.Амортиз.нови активи'!AA$11:AA$58))</f>
        <v>0</v>
      </c>
      <c r="U123" s="898">
        <f>T123+SUMIF('11.1.Амортиз.нови активи'!$B$11:$B$58,$B123,'11.1.Амортиз.нови активи'!U$11:U$58)+('9.Инвестиционна програма'!G$79*SUMIF('11.1.Амортиз.нови активи'!$B$11:$B$58,$B123,'11.1.Амортиз.нови активи'!AB$11:AB$58))</f>
        <v>0</v>
      </c>
      <c r="V123" s="898">
        <f>U123+SUMIF('11.1.Амортиз.нови активи'!$B$11:$B$58,$B123,'11.1.Амортиз.нови активи'!V$11:V$58)+('9.Инвестиционна програма'!H$79*SUMIF('11.1.Амортиз.нови активи'!$B$11:$B$58,$B123,'11.1.Амортиз.нови активи'!AC$11:AC$58))</f>
        <v>0</v>
      </c>
      <c r="W123" s="898">
        <f>V123+SUMIF('11.1.Амортиз.нови активи'!$B$11:$B$58,$B123,'11.1.Амортиз.нови активи'!W$11:W$58)+('9.Инвестиционна програма'!I$79*SUMIF('11.1.Амортиз.нови активи'!$B$11:$B$58,$B123,'11.1.Амортиз.нови активи'!AD$11:AD$58))</f>
        <v>0</v>
      </c>
      <c r="X123" s="898">
        <f>W123+SUMIF('11.1.Амортиз.нови активи'!$B$11:$B$58,$B123,'11.1.Амортиз.нови активи'!X$11:X$58)+('9.Инвестиционна програма'!J$79*SUMIF('11.1.Амортиз.нови активи'!$B$11:$B$58,$B123,'11.1.Амортиз.нови активи'!AE$11:AE$58))</f>
        <v>0</v>
      </c>
      <c r="Y123" s="899">
        <f>X123+SUMIF('11.1.Амортиз.нови активи'!$B$11:$B$58,$B123,'11.1.Амортиз.нови активи'!Y$11:Y$58)+('9.Инвестиционна програма'!K$79*SUMIF('11.1.Амортиз.нови активи'!$B$11:$B$58,$B123,'11.1.Амортиз.нови активи'!AF$11:AF$58))</f>
        <v>0</v>
      </c>
      <c r="Z123" s="1671"/>
      <c r="AA123" s="1702"/>
      <c r="AB123" s="1726"/>
    </row>
    <row r="124" spans="1:28" s="1642" customFormat="1">
      <c r="A124" s="1729">
        <v>14</v>
      </c>
      <c r="B124" s="1674">
        <v>2040205</v>
      </c>
      <c r="C124" s="1675">
        <v>0.02</v>
      </c>
      <c r="D124" s="1623" t="s">
        <v>592</v>
      </c>
      <c r="E124" s="2250"/>
      <c r="F124" s="897">
        <f>E124+SUMIF('11.1.Амортиз.нови активи'!$B$11:$B$58,$B124,'11.1.Амортиз.нови активи'!F$11:F$58)+('9.Инвестиционна програма'!F$77*SUMIF('11.1.Амортиз.нови активи'!$B$11:$B$58,$B124,'11.1.Амортиз.нови активи'!AA$11:AA$58))</f>
        <v>1900</v>
      </c>
      <c r="G124" s="898">
        <f>F124+SUMIF('11.1.Амортиз.нови активи'!$B$11:$B$58,$B124,'11.1.Амортиз.нови активи'!G$11:G$58)+('9.Инвестиционна програма'!G$77*SUMIF('11.1.Амортиз.нови активи'!$B$11:$B$58,$B124,'11.1.Амортиз.нови активи'!AB$11:AB$58))</f>
        <v>1963.5</v>
      </c>
      <c r="H124" s="898">
        <f>G124+SUMIF('11.1.Амортиз.нови активи'!$B$11:$B$58,$B124,'11.1.Амортиз.нови активи'!H$11:H$58)+('9.Инвестиционна програма'!H$77*SUMIF('11.1.Амортиз.нови активи'!$B$11:$B$58,$B124,'11.1.Амортиз.нови активи'!AC$11:AC$58))</f>
        <v>2618.1666666666665</v>
      </c>
      <c r="I124" s="898">
        <f>H124+SUMIF('11.1.Амортиз.нови активи'!$B$11:$B$58,$B124,'11.1.Амортиз.нови активи'!I$11:I$58)+('9.Инвестиционна програма'!I$77*SUMIF('11.1.Амортиз.нови активи'!$B$11:$B$58,$B124,'11.1.Амортиз.нови активи'!AD$11:AD$58))</f>
        <v>3475.1666666666665</v>
      </c>
      <c r="J124" s="898">
        <f>I124+SUMIF('11.1.Амортиз.нови активи'!$B$11:$B$58,$B124,'11.1.Амортиз.нови активи'!J$11:J$58)+('9.Инвестиционна програма'!J$77*SUMIF('11.1.Амортиз.нови активи'!$B$11:$B$58,$B124,'11.1.Амортиз.нови активи'!AE$11:AE$58))</f>
        <v>4418.1666666666661</v>
      </c>
      <c r="K124" s="899">
        <f>J124+SUMIF('11.1.Амортиз.нови активи'!$B$11:$B$58,$B124,'11.1.Амортиз.нови активи'!K$11:K$58)+('9.Инвестиционна програма'!K$77*SUMIF('11.1.Амортиз.нови активи'!$B$11:$B$58,$B124,'11.1.Амортиз.нови активи'!AF$11:AF$58))</f>
        <v>5596.1666666666661</v>
      </c>
      <c r="L124" s="2250"/>
      <c r="M124" s="897">
        <f>L124+SUMIF('11.1.Амортиз.нови активи'!$B$11:$B$58,$B124,'11.1.Амортиз.нови активи'!M$11:M$58)+('9.Инвестиционна програма'!F$78*SUMIF('11.1.Амортиз.нови активи'!$B$11:$B$58,$B124,'11.1.Амортиз.нови активи'!AA$11:AA$58))</f>
        <v>0</v>
      </c>
      <c r="N124" s="898">
        <f>M124+SUMIF('11.1.Амортиз.нови активи'!$B$11:$B$58,$B124,'11.1.Амортиз.нови активи'!N$11:N$58)+('9.Инвестиционна програма'!G$78*SUMIF('11.1.Амортиз.нови активи'!$B$11:$B$58,$B124,'11.1.Амортиз.нови активи'!AB$11:AB$58))</f>
        <v>0</v>
      </c>
      <c r="O124" s="898">
        <f>N124+SUMIF('11.1.Амортиз.нови активи'!$B$11:$B$58,$B124,'11.1.Амортиз.нови активи'!O$11:O$58)+('9.Инвестиционна програма'!H$78*SUMIF('11.1.Амортиз.нови активи'!$B$11:$B$58,$B124,'11.1.Амортиз.нови активи'!AC$11:AC$58))</f>
        <v>0</v>
      </c>
      <c r="P124" s="898">
        <f>O124+SUMIF('11.1.Амортиз.нови активи'!$B$11:$B$58,$B124,'11.1.Амортиз.нови активи'!P$11:P$58)+('9.Инвестиционна програма'!I$78*SUMIF('11.1.Амортиз.нови активи'!$B$11:$B$58,$B124,'11.1.Амортиз.нови активи'!AD$11:AD$58))</f>
        <v>0</v>
      </c>
      <c r="Q124" s="898">
        <f>P124+SUMIF('11.1.Амортиз.нови активи'!$B$11:$B$58,$B124,'11.1.Амортиз.нови активи'!Q$11:Q$58)+('9.Инвестиционна програма'!J$78*SUMIF('11.1.Амортиз.нови активи'!$B$11:$B$58,$B124,'11.1.Амортиз.нови активи'!AE$11:AE$58))</f>
        <v>0</v>
      </c>
      <c r="R124" s="899">
        <f>Q124+SUMIF('11.1.Амортиз.нови активи'!$B$11:$B$58,$B124,'11.1.Амортиз.нови активи'!R$11:R$58)+('9.Инвестиционна програма'!K$78*SUMIF('11.1.Амортиз.нови активи'!$B$11:$B$58,$B124,'11.1.Амортиз.нови активи'!AF$11:AF$58))</f>
        <v>0</v>
      </c>
      <c r="S124" s="2250"/>
      <c r="T124" s="897">
        <f>S124+SUMIF('11.1.Амортиз.нови активи'!$B$11:$B$58,$B124,'11.1.Амортиз.нови активи'!T$11:T$58)+('9.Инвестиционна програма'!F$79*SUMIF('11.1.Амортиз.нови активи'!$B$11:$B$58,$B124,'11.1.Амортиз.нови активи'!AA$11:AA$58))</f>
        <v>0</v>
      </c>
      <c r="U124" s="898">
        <f>T124+SUMIF('11.1.Амортиз.нови активи'!$B$11:$B$58,$B124,'11.1.Амортиз.нови активи'!U$11:U$58)+('9.Инвестиционна програма'!G$79*SUMIF('11.1.Амортиз.нови активи'!$B$11:$B$58,$B124,'11.1.Амортиз.нови активи'!AB$11:AB$58))</f>
        <v>0</v>
      </c>
      <c r="V124" s="898">
        <f>U124+SUMIF('11.1.Амортиз.нови активи'!$B$11:$B$58,$B124,'11.1.Амортиз.нови активи'!V$11:V$58)+('9.Инвестиционна програма'!H$79*SUMIF('11.1.Амортиз.нови активи'!$B$11:$B$58,$B124,'11.1.Амортиз.нови активи'!AC$11:AC$58))</f>
        <v>0</v>
      </c>
      <c r="W124" s="898">
        <f>V124+SUMIF('11.1.Амортиз.нови активи'!$B$11:$B$58,$B124,'11.1.Амортиз.нови активи'!W$11:W$58)+('9.Инвестиционна програма'!I$79*SUMIF('11.1.Амортиз.нови активи'!$B$11:$B$58,$B124,'11.1.Амортиз.нови активи'!AD$11:AD$58))</f>
        <v>0</v>
      </c>
      <c r="X124" s="898">
        <f>W124+SUMIF('11.1.Амортиз.нови активи'!$B$11:$B$58,$B124,'11.1.Амортиз.нови активи'!X$11:X$58)+('9.Инвестиционна програма'!J$79*SUMIF('11.1.Амортиз.нови активи'!$B$11:$B$58,$B124,'11.1.Амортиз.нови активи'!AE$11:AE$58))</f>
        <v>0</v>
      </c>
      <c r="Y124" s="899">
        <f>X124+SUMIF('11.1.Амортиз.нови активи'!$B$11:$B$58,$B124,'11.1.Амортиз.нови активи'!Y$11:Y$58)+('9.Инвестиционна програма'!K$79*SUMIF('11.1.Амортиз.нови активи'!$B$11:$B$58,$B124,'11.1.Амортиз.нови активи'!AF$11:AF$58))</f>
        <v>0</v>
      </c>
      <c r="Z124" s="1671"/>
      <c r="AA124" s="1702"/>
      <c r="AB124" s="1726"/>
    </row>
    <row r="125" spans="1:28" s="1642" customFormat="1">
      <c r="A125" s="1729">
        <v>15</v>
      </c>
      <c r="B125" s="1674">
        <v>2040206</v>
      </c>
      <c r="C125" s="1675">
        <v>0.02</v>
      </c>
      <c r="D125" s="1625" t="s">
        <v>593</v>
      </c>
      <c r="E125" s="2250"/>
      <c r="F125" s="897">
        <f>E125+SUMIF('11.1.Амортиз.нови активи'!$B$11:$B$58,$B125,'11.1.Амортиз.нови активи'!F$11:F$58)+('9.Инвестиционна програма'!F$77*SUMIF('11.1.Амортиз.нови активи'!$B$11:$B$58,$B125,'11.1.Амортиз.нови активи'!AA$11:AA$58))</f>
        <v>0</v>
      </c>
      <c r="G125" s="898">
        <f>F125+SUMIF('11.1.Амортиз.нови активи'!$B$11:$B$58,$B125,'11.1.Амортиз.нови активи'!G$11:G$58)+('9.Инвестиционна програма'!G$77*SUMIF('11.1.Амортиз.нови активи'!$B$11:$B$58,$B125,'11.1.Амортиз.нови активи'!AB$11:AB$58))</f>
        <v>0</v>
      </c>
      <c r="H125" s="898">
        <f>G125+SUMIF('11.1.Амортиз.нови активи'!$B$11:$B$58,$B125,'11.1.Амортиз.нови активи'!H$11:H$58)+('9.Инвестиционна програма'!H$77*SUMIF('11.1.Амортиз.нови активи'!$B$11:$B$58,$B125,'11.1.Амортиз.нови активи'!AC$11:AC$58))</f>
        <v>0</v>
      </c>
      <c r="I125" s="898">
        <f>H125+SUMIF('11.1.Амортиз.нови активи'!$B$11:$B$58,$B125,'11.1.Амортиз.нови активи'!I$11:I$58)+('9.Инвестиционна програма'!I$77*SUMIF('11.1.Амортиз.нови активи'!$B$11:$B$58,$B125,'11.1.Амортиз.нови активи'!AD$11:AD$58))</f>
        <v>0</v>
      </c>
      <c r="J125" s="898">
        <f>I125+SUMIF('11.1.Амортиз.нови активи'!$B$11:$B$58,$B125,'11.1.Амортиз.нови активи'!J$11:J$58)+('9.Инвестиционна програма'!J$77*SUMIF('11.1.Амортиз.нови активи'!$B$11:$B$58,$B125,'11.1.Амортиз.нови активи'!AE$11:AE$58))</f>
        <v>0</v>
      </c>
      <c r="K125" s="899">
        <f>J125+SUMIF('11.1.Амортиз.нови активи'!$B$11:$B$58,$B125,'11.1.Амортиз.нови активи'!K$11:K$58)+('9.Инвестиционна програма'!K$77*SUMIF('11.1.Амортиз.нови активи'!$B$11:$B$58,$B125,'11.1.Амортиз.нови активи'!AF$11:AF$58))</f>
        <v>0</v>
      </c>
      <c r="L125" s="2250"/>
      <c r="M125" s="897">
        <f>L125+SUMIF('11.1.Амортиз.нови активи'!$B$11:$B$58,$B125,'11.1.Амортиз.нови активи'!M$11:M$58)+('9.Инвестиционна програма'!F$78*SUMIF('11.1.Амортиз.нови активи'!$B$11:$B$58,$B125,'11.1.Амортиз.нови активи'!AA$11:AA$58))</f>
        <v>44</v>
      </c>
      <c r="N125" s="898">
        <f>M125+SUMIF('11.1.Амортиз.нови активи'!$B$11:$B$58,$B125,'11.1.Амортиз.нови активи'!N$11:N$58)+('9.Инвестиционна програма'!G$78*SUMIF('11.1.Амортиз.нови активи'!$B$11:$B$58,$B125,'11.1.Амортиз.нови активи'!AB$11:AB$58))</f>
        <v>60</v>
      </c>
      <c r="O125" s="898">
        <f>N125+SUMIF('11.1.Амортиз.нови активи'!$B$11:$B$58,$B125,'11.1.Амортиз.нови активи'!O$11:O$58)+('9.Инвестиционна програма'!H$78*SUMIF('11.1.Амортиз.нови активи'!$B$11:$B$58,$B125,'11.1.Амортиз.нови активи'!AC$11:AC$58))</f>
        <v>150</v>
      </c>
      <c r="P125" s="898">
        <f>O125+SUMIF('11.1.Амортиз.нови активи'!$B$11:$B$58,$B125,'11.1.Амортиз.нови активи'!P$11:P$58)+('9.Инвестиционна програма'!I$78*SUMIF('11.1.Амортиз.нови активи'!$B$11:$B$58,$B125,'11.1.Амортиз.нови активи'!AD$11:AD$58))</f>
        <v>240</v>
      </c>
      <c r="Q125" s="898">
        <f>P125+SUMIF('11.1.Амортиз.нови активи'!$B$11:$B$58,$B125,'11.1.Амортиз.нови активи'!Q$11:Q$58)+('9.Инвестиционна програма'!J$78*SUMIF('11.1.Амортиз.нови активи'!$B$11:$B$58,$B125,'11.1.Амортиз.нови активи'!AE$11:AE$58))</f>
        <v>330</v>
      </c>
      <c r="R125" s="899">
        <f>Q125+SUMIF('11.1.Амортиз.нови активи'!$B$11:$B$58,$B125,'11.1.Амортиз.нови активи'!R$11:R$58)+('9.Инвестиционна програма'!K$78*SUMIF('11.1.Амортиз.нови активи'!$B$11:$B$58,$B125,'11.1.Амортиз.нови активи'!AF$11:AF$58))</f>
        <v>420</v>
      </c>
      <c r="S125" s="2250"/>
      <c r="T125" s="897">
        <f>S125+SUMIF('11.1.Амортиз.нови активи'!$B$11:$B$58,$B125,'11.1.Амортиз.нови активи'!T$11:T$58)+('9.Инвестиционна програма'!F$79*SUMIF('11.1.Амортиз.нови активи'!$B$11:$B$58,$B125,'11.1.Амортиз.нови активи'!AA$11:AA$58))</f>
        <v>0</v>
      </c>
      <c r="U125" s="898">
        <f>T125+SUMIF('11.1.Амортиз.нови активи'!$B$11:$B$58,$B125,'11.1.Амортиз.нови активи'!U$11:U$58)+('9.Инвестиционна програма'!G$79*SUMIF('11.1.Амортиз.нови активи'!$B$11:$B$58,$B125,'11.1.Амортиз.нови активи'!AB$11:AB$58))</f>
        <v>0</v>
      </c>
      <c r="V125" s="898">
        <f>U125+SUMIF('11.1.Амортиз.нови активи'!$B$11:$B$58,$B125,'11.1.Амортиз.нови активи'!V$11:V$58)+('9.Инвестиционна програма'!H$79*SUMIF('11.1.Амортиз.нови активи'!$B$11:$B$58,$B125,'11.1.Амортиз.нови активи'!AC$11:AC$58))</f>
        <v>0</v>
      </c>
      <c r="W125" s="898">
        <f>V125+SUMIF('11.1.Амортиз.нови активи'!$B$11:$B$58,$B125,'11.1.Амортиз.нови активи'!W$11:W$58)+('9.Инвестиционна програма'!I$79*SUMIF('11.1.Амортиз.нови активи'!$B$11:$B$58,$B125,'11.1.Амортиз.нови активи'!AD$11:AD$58))</f>
        <v>0</v>
      </c>
      <c r="X125" s="898">
        <f>W125+SUMIF('11.1.Амортиз.нови активи'!$B$11:$B$58,$B125,'11.1.Амортиз.нови активи'!X$11:X$58)+('9.Инвестиционна програма'!J$79*SUMIF('11.1.Амортиз.нови активи'!$B$11:$B$58,$B125,'11.1.Амортиз.нови активи'!AE$11:AE$58))</f>
        <v>0</v>
      </c>
      <c r="Y125" s="899">
        <f>X125+SUMIF('11.1.Амортиз.нови активи'!$B$11:$B$58,$B125,'11.1.Амортиз.нови активи'!Y$11:Y$58)+('9.Инвестиционна програма'!K$79*SUMIF('11.1.Амортиз.нови активи'!$B$11:$B$58,$B125,'11.1.Амортиз.нови активи'!AF$11:AF$58))</f>
        <v>0</v>
      </c>
      <c r="Z125" s="1671"/>
      <c r="AA125" s="1702"/>
      <c r="AB125" s="1726"/>
    </row>
    <row r="126" spans="1:28" s="1642" customFormat="1" ht="24">
      <c r="A126" s="1729">
        <v>16</v>
      </c>
      <c r="B126" s="1674">
        <v>2040207</v>
      </c>
      <c r="C126" s="1675">
        <v>0.04</v>
      </c>
      <c r="D126" s="1625" t="s">
        <v>594</v>
      </c>
      <c r="E126" s="2250"/>
      <c r="F126" s="897">
        <f>E126+SUMIF('11.1.Амортиз.нови активи'!$B$11:$B$58,$B126,'11.1.Амортиз.нови активи'!F$11:F$58)+('9.Инвестиционна програма'!F$77*SUMIF('11.1.Амортиз.нови активи'!$B$11:$B$58,$B126,'11.1.Амортиз.нови активи'!AA$11:AA$58))</f>
        <v>404</v>
      </c>
      <c r="G126" s="898">
        <f>F126+SUMIF('11.1.Амортиз.нови активи'!$B$11:$B$58,$B126,'11.1.Амортиз.нови активи'!G$11:G$58)+('9.Инвестиционна програма'!G$77*SUMIF('11.1.Амортиз.нови активи'!$B$11:$B$58,$B126,'11.1.Амортиз.нови активи'!AB$11:AB$58))</f>
        <v>447.41721999999999</v>
      </c>
      <c r="H126" s="898">
        <f>G126+SUMIF('11.1.Амортиз.нови активи'!$B$11:$B$58,$B126,'11.1.Амортиз.нови активи'!H$11:H$58)+('9.Инвестиционна програма'!H$77*SUMIF('11.1.Амортиз.нови активи'!$B$11:$B$58,$B126,'11.1.Амортиз.нови активи'!AC$11:AC$58))</f>
        <v>502.41721999999999</v>
      </c>
      <c r="I126" s="898">
        <f>H126+SUMIF('11.1.Амортиз.нови активи'!$B$11:$B$58,$B126,'11.1.Амортиз.нови активи'!I$11:I$58)+('9.Инвестиционна програма'!I$77*SUMIF('11.1.Амортиз.нови активи'!$B$11:$B$58,$B126,'11.1.Амортиз.нови активи'!AD$11:AD$58))</f>
        <v>573.41722000000004</v>
      </c>
      <c r="J126" s="898">
        <f>I126+SUMIF('11.1.Амортиз.нови активи'!$B$11:$B$58,$B126,'11.1.Амортиз.нови активи'!J$11:J$58)+('9.Инвестиционна програма'!J$77*SUMIF('11.1.Амортиз.нови активи'!$B$11:$B$58,$B126,'11.1.Амортиз.нови активи'!AE$11:AE$58))</f>
        <v>638.41722000000004</v>
      </c>
      <c r="K126" s="899">
        <f>J126+SUMIF('11.1.Амортиз.нови активи'!$B$11:$B$58,$B126,'11.1.Амортиз.нови активи'!K$11:K$58)+('9.Инвестиционна програма'!K$77*SUMIF('11.1.Амортиз.нови активи'!$B$11:$B$58,$B126,'11.1.Амортиз.нови активи'!AF$11:AF$58))</f>
        <v>713.41722000000004</v>
      </c>
      <c r="L126" s="2250"/>
      <c r="M126" s="897">
        <f>L126+SUMIF('11.1.Амортиз.нови активи'!$B$11:$B$58,$B126,'11.1.Амортиз.нови активи'!M$11:M$58)+('9.Инвестиционна програма'!F$78*SUMIF('11.1.Амортиз.нови активи'!$B$11:$B$58,$B126,'11.1.Амортиз.нови активи'!AA$11:AA$58))</f>
        <v>0</v>
      </c>
      <c r="N126" s="898">
        <f>M126+SUMIF('11.1.Амортиз.нови активи'!$B$11:$B$58,$B126,'11.1.Амортиз.нови активи'!N$11:N$58)+('9.Инвестиционна програма'!G$78*SUMIF('11.1.Амортиз.нови активи'!$B$11:$B$58,$B126,'11.1.Амортиз.нови активи'!AB$11:AB$58))</f>
        <v>0</v>
      </c>
      <c r="O126" s="898">
        <f>N126+SUMIF('11.1.Амортиз.нови активи'!$B$11:$B$58,$B126,'11.1.Амортиз.нови активи'!O$11:O$58)+('9.Инвестиционна програма'!H$78*SUMIF('11.1.Амортиз.нови активи'!$B$11:$B$58,$B126,'11.1.Амортиз.нови активи'!AC$11:AC$58))</f>
        <v>30</v>
      </c>
      <c r="P126" s="898">
        <f>O126+SUMIF('11.1.Амортиз.нови активи'!$B$11:$B$58,$B126,'11.1.Амортиз.нови активи'!P$11:P$58)+('9.Инвестиционна програма'!I$78*SUMIF('11.1.Амортиз.нови активи'!$B$11:$B$58,$B126,'11.1.Амортиз.нови активи'!AD$11:AD$58))</f>
        <v>60</v>
      </c>
      <c r="Q126" s="898">
        <f>P126+SUMIF('11.1.Амортиз.нови активи'!$B$11:$B$58,$B126,'11.1.Амортиз.нови активи'!Q$11:Q$58)+('9.Инвестиционна програма'!J$78*SUMIF('11.1.Амортиз.нови активи'!$B$11:$B$58,$B126,'11.1.Амортиз.нови активи'!AE$11:AE$58))</f>
        <v>75</v>
      </c>
      <c r="R126" s="899">
        <f>Q126+SUMIF('11.1.Амортиз.нови активи'!$B$11:$B$58,$B126,'11.1.Амортиз.нови активи'!R$11:R$58)+('9.Инвестиционна програма'!K$78*SUMIF('11.1.Амортиз.нови активи'!$B$11:$B$58,$B126,'11.1.Амортиз.нови активи'!AF$11:AF$58))</f>
        <v>75</v>
      </c>
      <c r="S126" s="2250"/>
      <c r="T126" s="897">
        <f>S126+SUMIF('11.1.Амортиз.нови активи'!$B$11:$B$58,$B126,'11.1.Амортиз.нови активи'!T$11:T$58)+('9.Инвестиционна програма'!F$79*SUMIF('11.1.Амортиз.нови активи'!$B$11:$B$58,$B126,'11.1.Амортиз.нови активи'!AA$11:AA$58))</f>
        <v>110</v>
      </c>
      <c r="U126" s="898">
        <f>T126+SUMIF('11.1.Амортиз.нови активи'!$B$11:$B$58,$B126,'11.1.Амортиз.нови активи'!U$11:U$58)+('9.Инвестиционна програма'!G$79*SUMIF('11.1.Амортиз.нови активи'!$B$11:$B$58,$B126,'11.1.Амортиз.нови активи'!AB$11:AB$58))</f>
        <v>210</v>
      </c>
      <c r="V126" s="898">
        <f>U126+SUMIF('11.1.Амортиз.нови активи'!$B$11:$B$58,$B126,'11.1.Амортиз.нови активи'!V$11:V$58)+('9.Инвестиционна програма'!H$79*SUMIF('11.1.Амортиз.нови активи'!$B$11:$B$58,$B126,'11.1.Амортиз.нови активи'!AC$11:AC$58))</f>
        <v>380</v>
      </c>
      <c r="W126" s="898">
        <f>V126+SUMIF('11.1.Амортиз.нови активи'!$B$11:$B$58,$B126,'11.1.Амортиз.нови активи'!W$11:W$58)+('9.Инвестиционна програма'!I$79*SUMIF('11.1.Амортиз.нови активи'!$B$11:$B$58,$B126,'11.1.Амортиз.нови активи'!AD$11:AD$58))</f>
        <v>550</v>
      </c>
      <c r="X126" s="898">
        <f>W126+SUMIF('11.1.Амортиз.нови активи'!$B$11:$B$58,$B126,'11.1.Амортиз.нови активи'!X$11:X$58)+('9.Инвестиционна програма'!J$79*SUMIF('11.1.Амортиз.нови активи'!$B$11:$B$58,$B126,'11.1.Амортиз.нови активи'!AE$11:AE$58))</f>
        <v>720</v>
      </c>
      <c r="Y126" s="899">
        <f>X126+SUMIF('11.1.Амортиз.нови активи'!$B$11:$B$58,$B126,'11.1.Амортиз.нови активи'!Y$11:Y$58)+('9.Инвестиционна програма'!K$79*SUMIF('11.1.Амортиз.нови активи'!$B$11:$B$58,$B126,'11.1.Амортиз.нови активи'!AF$11:AF$58))</f>
        <v>890</v>
      </c>
      <c r="Z126" s="1671"/>
      <c r="AA126" s="1702"/>
      <c r="AB126" s="1726"/>
    </row>
    <row r="127" spans="1:28" s="1642" customFormat="1">
      <c r="A127" s="1729">
        <v>17</v>
      </c>
      <c r="B127" s="1674">
        <v>2040208</v>
      </c>
      <c r="C127" s="1675">
        <v>0.04</v>
      </c>
      <c r="D127" s="1625" t="s">
        <v>595</v>
      </c>
      <c r="E127" s="2250"/>
      <c r="F127" s="897">
        <f>E127+SUMIF('11.1.Амортиз.нови активи'!$B$11:$B$58,$B127,'11.1.Амортиз.нови активи'!F$11:F$58)+('9.Инвестиционна програма'!F$77*SUMIF('11.1.Амортиз.нови активи'!$B$11:$B$58,$B127,'11.1.Амортиз.нови активи'!AA$11:AA$58))</f>
        <v>0</v>
      </c>
      <c r="G127" s="898">
        <f>F127+SUMIF('11.1.Амортиз.нови активи'!$B$11:$B$58,$B127,'11.1.Амортиз.нови активи'!G$11:G$58)+('9.Инвестиционна програма'!G$77*SUMIF('11.1.Амортиз.нови активи'!$B$11:$B$58,$B127,'11.1.Амортиз.нови активи'!AB$11:AB$58))</f>
        <v>0</v>
      </c>
      <c r="H127" s="898">
        <f>G127+SUMIF('11.1.Амортиз.нови активи'!$B$11:$B$58,$B127,'11.1.Амортиз.нови активи'!H$11:H$58)+('9.Инвестиционна програма'!H$77*SUMIF('11.1.Амортиз.нови активи'!$B$11:$B$58,$B127,'11.1.Амортиз.нови активи'!AC$11:AC$58))</f>
        <v>0</v>
      </c>
      <c r="I127" s="898">
        <f>H127+SUMIF('11.1.Амортиз.нови активи'!$B$11:$B$58,$B127,'11.1.Амортиз.нови активи'!I$11:I$58)+('9.Инвестиционна програма'!I$77*SUMIF('11.1.Амортиз.нови активи'!$B$11:$B$58,$B127,'11.1.Амортиз.нови активи'!AD$11:AD$58))</f>
        <v>0</v>
      </c>
      <c r="J127" s="898">
        <f>I127+SUMIF('11.1.Амортиз.нови активи'!$B$11:$B$58,$B127,'11.1.Амортиз.нови активи'!J$11:J$58)+('9.Инвестиционна програма'!J$77*SUMIF('11.1.Амортиз.нови активи'!$B$11:$B$58,$B127,'11.1.Амортиз.нови активи'!AE$11:AE$58))</f>
        <v>0</v>
      </c>
      <c r="K127" s="899">
        <f>J127+SUMIF('11.1.Амортиз.нови активи'!$B$11:$B$58,$B127,'11.1.Амортиз.нови активи'!K$11:K$58)+('9.Инвестиционна програма'!K$77*SUMIF('11.1.Амортиз.нови активи'!$B$11:$B$58,$B127,'11.1.Амортиз.нови активи'!AF$11:AF$58))</f>
        <v>0</v>
      </c>
      <c r="L127" s="2250"/>
      <c r="M127" s="897">
        <f>L127+SUMIF('11.1.Амортиз.нови активи'!$B$11:$B$58,$B127,'11.1.Амортиз.нови активи'!M$11:M$58)+('9.Инвестиционна програма'!F$78*SUMIF('11.1.Амортиз.нови активи'!$B$11:$B$58,$B127,'11.1.Амортиз.нови активи'!AA$11:AA$58))</f>
        <v>0</v>
      </c>
      <c r="N127" s="898">
        <f>M127+SUMIF('11.1.Амортиз.нови активи'!$B$11:$B$58,$B127,'11.1.Амортиз.нови активи'!N$11:N$58)+('9.Инвестиционна програма'!G$78*SUMIF('11.1.Амортиз.нови активи'!$B$11:$B$58,$B127,'11.1.Амортиз.нови активи'!AB$11:AB$58))</f>
        <v>0</v>
      </c>
      <c r="O127" s="898">
        <f>N127+SUMIF('11.1.Амортиз.нови активи'!$B$11:$B$58,$B127,'11.1.Амортиз.нови активи'!O$11:O$58)+('9.Инвестиционна програма'!H$78*SUMIF('11.1.Амортиз.нови активи'!$B$11:$B$58,$B127,'11.1.Амортиз.нови активи'!AC$11:AC$58))</f>
        <v>0</v>
      </c>
      <c r="P127" s="898">
        <f>O127+SUMIF('11.1.Амортиз.нови активи'!$B$11:$B$58,$B127,'11.1.Амортиз.нови активи'!P$11:P$58)+('9.Инвестиционна програма'!I$78*SUMIF('11.1.Амортиз.нови активи'!$B$11:$B$58,$B127,'11.1.Амортиз.нови активи'!AD$11:AD$58))</f>
        <v>0</v>
      </c>
      <c r="Q127" s="898">
        <f>P127+SUMIF('11.1.Амортиз.нови активи'!$B$11:$B$58,$B127,'11.1.Амортиз.нови активи'!Q$11:Q$58)+('9.Инвестиционна програма'!J$78*SUMIF('11.1.Амортиз.нови активи'!$B$11:$B$58,$B127,'11.1.Амортиз.нови активи'!AE$11:AE$58))</f>
        <v>0</v>
      </c>
      <c r="R127" s="899">
        <f>Q127+SUMIF('11.1.Амортиз.нови активи'!$B$11:$B$58,$B127,'11.1.Амортиз.нови активи'!R$11:R$58)+('9.Инвестиционна програма'!K$78*SUMIF('11.1.Амортиз.нови активи'!$B$11:$B$58,$B127,'11.1.Амортиз.нови активи'!AF$11:AF$58))</f>
        <v>0</v>
      </c>
      <c r="S127" s="2250"/>
      <c r="T127" s="897">
        <f>S127+SUMIF('11.1.Амортиз.нови активи'!$B$11:$B$58,$B127,'11.1.Амортиз.нови активи'!T$11:T$58)+('9.Инвестиционна програма'!F$79*SUMIF('11.1.Амортиз.нови активи'!$B$11:$B$58,$B127,'11.1.Амортиз.нови активи'!AA$11:AA$58))</f>
        <v>0</v>
      </c>
      <c r="U127" s="898">
        <f>T127+SUMIF('11.1.Амортиз.нови активи'!$B$11:$B$58,$B127,'11.1.Амортиз.нови активи'!U$11:U$58)+('9.Инвестиционна програма'!G$79*SUMIF('11.1.Амортиз.нови активи'!$B$11:$B$58,$B127,'11.1.Амортиз.нови активи'!AB$11:AB$58))</f>
        <v>0</v>
      </c>
      <c r="V127" s="898">
        <f>U127+SUMIF('11.1.Амортиз.нови активи'!$B$11:$B$58,$B127,'11.1.Амортиз.нови активи'!V$11:V$58)+('9.Инвестиционна програма'!H$79*SUMIF('11.1.Амортиз.нови активи'!$B$11:$B$58,$B127,'11.1.Амортиз.нови активи'!AC$11:AC$58))</f>
        <v>0</v>
      </c>
      <c r="W127" s="898">
        <f>V127+SUMIF('11.1.Амортиз.нови активи'!$B$11:$B$58,$B127,'11.1.Амортиз.нови активи'!W$11:W$58)+('9.Инвестиционна програма'!I$79*SUMIF('11.1.Амортиз.нови активи'!$B$11:$B$58,$B127,'11.1.Амортиз.нови активи'!AD$11:AD$58))</f>
        <v>0</v>
      </c>
      <c r="X127" s="898">
        <f>W127+SUMIF('11.1.Амортиз.нови активи'!$B$11:$B$58,$B127,'11.1.Амортиз.нови активи'!X$11:X$58)+('9.Инвестиционна програма'!J$79*SUMIF('11.1.Амортиз.нови активи'!$B$11:$B$58,$B127,'11.1.Амортиз.нови активи'!AE$11:AE$58))</f>
        <v>0</v>
      </c>
      <c r="Y127" s="899">
        <f>X127+SUMIF('11.1.Амортиз.нови активи'!$B$11:$B$58,$B127,'11.1.Амортиз.нови активи'!Y$11:Y$58)+('9.Инвестиционна програма'!K$79*SUMIF('11.1.Амортиз.нови активи'!$B$11:$B$58,$B127,'11.1.Амортиз.нови активи'!AF$11:AF$58))</f>
        <v>0</v>
      </c>
      <c r="Z127" s="1671"/>
      <c r="AA127" s="1702"/>
      <c r="AB127" s="1726"/>
    </row>
    <row r="128" spans="1:28" s="1642" customFormat="1">
      <c r="A128" s="1729">
        <v>18</v>
      </c>
      <c r="B128" s="1832" t="s">
        <v>1525</v>
      </c>
      <c r="C128" s="1675">
        <v>0.04</v>
      </c>
      <c r="D128" s="1727" t="s">
        <v>606</v>
      </c>
      <c r="E128" s="2250"/>
      <c r="F128" s="897">
        <f>E128+SUMIF('11.1.Амортиз.нови активи'!$B$11:$B$58,$B128,'11.1.Амортиз.нови активи'!F$11:F$58)+('9.Инвестиционна програма'!F$77*SUMIF('11.1.Амортиз.нови активи'!$B$11:$B$58,$B128,'11.1.Амортиз.нови активи'!AA$11:AA$58))</f>
        <v>0</v>
      </c>
      <c r="G128" s="898">
        <f>F128+SUMIF('11.1.Амортиз.нови активи'!$B$11:$B$58,$B128,'11.1.Амортиз.нови активи'!G$11:G$58)+('9.Инвестиционна програма'!G$77*SUMIF('11.1.Амортиз.нови активи'!$B$11:$B$58,$B128,'11.1.Амортиз.нови активи'!AB$11:AB$58))</f>
        <v>0</v>
      </c>
      <c r="H128" s="898">
        <f>G128+SUMIF('11.1.Амортиз.нови активи'!$B$11:$B$58,$B128,'11.1.Амортиз.нови активи'!H$11:H$58)+('9.Инвестиционна програма'!H$77*SUMIF('11.1.Амортиз.нови активи'!$B$11:$B$58,$B128,'11.1.Амортиз.нови активи'!AC$11:AC$58))</f>
        <v>0</v>
      </c>
      <c r="I128" s="898">
        <f>H128+SUMIF('11.1.Амортиз.нови активи'!$B$11:$B$58,$B128,'11.1.Амортиз.нови активи'!I$11:I$58)+('9.Инвестиционна програма'!I$77*SUMIF('11.1.Амортиз.нови активи'!$B$11:$B$58,$B128,'11.1.Амортиз.нови активи'!AD$11:AD$58))</f>
        <v>0</v>
      </c>
      <c r="J128" s="898">
        <f>I128+SUMIF('11.1.Амортиз.нови активи'!$B$11:$B$58,$B128,'11.1.Амортиз.нови активи'!J$11:J$58)+('9.Инвестиционна програма'!J$77*SUMIF('11.1.Амортиз.нови активи'!$B$11:$B$58,$B128,'11.1.Амортиз.нови активи'!AE$11:AE$58))</f>
        <v>0</v>
      </c>
      <c r="K128" s="899">
        <f>J128+SUMIF('11.1.Амортиз.нови активи'!$B$11:$B$58,$B128,'11.1.Амортиз.нови активи'!K$11:K$58)+('9.Инвестиционна програма'!K$77*SUMIF('11.1.Амортиз.нови активи'!$B$11:$B$58,$B128,'11.1.Амортиз.нови активи'!AF$11:AF$58))</f>
        <v>0</v>
      </c>
      <c r="L128" s="2250"/>
      <c r="M128" s="897">
        <f>L128+SUMIF('11.1.Амортиз.нови активи'!$B$11:$B$58,$B128,'11.1.Амортиз.нови активи'!M$11:M$58)+('9.Инвестиционна програма'!F$78*SUMIF('11.1.Амортиз.нови активи'!$B$11:$B$58,$B128,'11.1.Амортиз.нови активи'!AA$11:AA$58))</f>
        <v>0</v>
      </c>
      <c r="N128" s="898">
        <f>M128+SUMIF('11.1.Амортиз.нови активи'!$B$11:$B$58,$B128,'11.1.Амортиз.нови активи'!N$11:N$58)+('9.Инвестиционна програма'!G$78*SUMIF('11.1.Амортиз.нови активи'!$B$11:$B$58,$B128,'11.1.Амортиз.нови активи'!AB$11:AB$58))</f>
        <v>0</v>
      </c>
      <c r="O128" s="898">
        <f>N128+SUMIF('11.1.Амортиз.нови активи'!$B$11:$B$58,$B128,'11.1.Амортиз.нови активи'!O$11:O$58)+('9.Инвестиционна програма'!H$78*SUMIF('11.1.Амортиз.нови активи'!$B$11:$B$58,$B128,'11.1.Амортиз.нови активи'!AC$11:AC$58))</f>
        <v>0</v>
      </c>
      <c r="P128" s="898">
        <f>O128+SUMIF('11.1.Амортиз.нови активи'!$B$11:$B$58,$B128,'11.1.Амортиз.нови активи'!P$11:P$58)+('9.Инвестиционна програма'!I$78*SUMIF('11.1.Амортиз.нови активи'!$B$11:$B$58,$B128,'11.1.Амортиз.нови активи'!AD$11:AD$58))</f>
        <v>0</v>
      </c>
      <c r="Q128" s="898">
        <f>P128+SUMIF('11.1.Амортиз.нови активи'!$B$11:$B$58,$B128,'11.1.Амортиз.нови активи'!Q$11:Q$58)+('9.Инвестиционна програма'!J$78*SUMIF('11.1.Амортиз.нови активи'!$B$11:$B$58,$B128,'11.1.Амортиз.нови активи'!AE$11:AE$58))</f>
        <v>0</v>
      </c>
      <c r="R128" s="899">
        <f>Q128+SUMIF('11.1.Амортиз.нови активи'!$B$11:$B$58,$B128,'11.1.Амортиз.нови активи'!R$11:R$58)+('9.Инвестиционна програма'!K$78*SUMIF('11.1.Амортиз.нови активи'!$B$11:$B$58,$B128,'11.1.Амортиз.нови активи'!AF$11:AF$58))</f>
        <v>0</v>
      </c>
      <c r="S128" s="2250"/>
      <c r="T128" s="897">
        <f>S128+SUMIF('11.1.Амортиз.нови активи'!$B$11:$B$58,$B128,'11.1.Амортиз.нови активи'!T$11:T$58)+('9.Инвестиционна програма'!F$79*SUMIF('11.1.Амортиз.нови активи'!$B$11:$B$58,$B128,'11.1.Амортиз.нови активи'!AA$11:AA$58))</f>
        <v>0</v>
      </c>
      <c r="U128" s="898">
        <f>T128+SUMIF('11.1.Амортиз.нови активи'!$B$11:$B$58,$B128,'11.1.Амортиз.нови активи'!U$11:U$58)+('9.Инвестиционна програма'!G$79*SUMIF('11.1.Амортиз.нови активи'!$B$11:$B$58,$B128,'11.1.Амортиз.нови активи'!AB$11:AB$58))</f>
        <v>0</v>
      </c>
      <c r="V128" s="898">
        <f>U128+SUMIF('11.1.Амортиз.нови активи'!$B$11:$B$58,$B128,'11.1.Амортиз.нови активи'!V$11:V$58)+('9.Инвестиционна програма'!H$79*SUMIF('11.1.Амортиз.нови активи'!$B$11:$B$58,$B128,'11.1.Амортиз.нови активи'!AC$11:AC$58))</f>
        <v>0</v>
      </c>
      <c r="W128" s="898">
        <f>V128+SUMIF('11.1.Амортиз.нови активи'!$B$11:$B$58,$B128,'11.1.Амортиз.нови активи'!W$11:W$58)+('9.Инвестиционна програма'!I$79*SUMIF('11.1.Амортиз.нови активи'!$B$11:$B$58,$B128,'11.1.Амортиз.нови активи'!AD$11:AD$58))</f>
        <v>0</v>
      </c>
      <c r="X128" s="898">
        <f>W128+SUMIF('11.1.Амортиз.нови активи'!$B$11:$B$58,$B128,'11.1.Амортиз.нови активи'!X$11:X$58)+('9.Инвестиционна програма'!J$79*SUMIF('11.1.Амортиз.нови активи'!$B$11:$B$58,$B128,'11.1.Амортиз.нови активи'!AE$11:AE$58))</f>
        <v>0</v>
      </c>
      <c r="Y128" s="899">
        <f>X128+SUMIF('11.1.Амортиз.нови активи'!$B$11:$B$58,$B128,'11.1.Амортиз.нови активи'!Y$11:Y$58)+('9.Инвестиционна програма'!K$79*SUMIF('11.1.Амортиз.нови активи'!$B$11:$B$58,$B128,'11.1.Амортиз.нови активи'!AF$11:AF$58))</f>
        <v>0</v>
      </c>
      <c r="Z128" s="1671"/>
      <c r="AA128" s="1702"/>
      <c r="AB128" s="1726"/>
    </row>
    <row r="129" spans="1:28" s="1642" customFormat="1" ht="24.75" thickBot="1">
      <c r="A129" s="1729">
        <v>19</v>
      </c>
      <c r="B129" s="1674">
        <v>215</v>
      </c>
      <c r="C129" s="1679">
        <v>0.2</v>
      </c>
      <c r="D129" s="1625" t="s">
        <v>911</v>
      </c>
      <c r="E129" s="2250"/>
      <c r="F129" s="903">
        <f>E129+SUMIF('11.1.Амортиз.нови активи'!$B$11:$B$58,$B129,'11.1.Амортиз.нови активи'!F$11:F$58)+('9.Инвестиционна програма'!F$77*SUMIF('11.1.Амортиз.нови активи'!$B$11:$B$58,$B129,'11.1.Амортиз.нови активи'!AA$11:AA$58))</f>
        <v>0</v>
      </c>
      <c r="G129" s="904">
        <f>F129+SUMIF('11.1.Амортиз.нови активи'!$B$11:$B$58,$B129,'11.1.Амортиз.нови активи'!G$11:G$58)+('9.Инвестиционна програма'!G$77*SUMIF('11.1.Амортиз.нови активи'!$B$11:$B$58,$B129,'11.1.Амортиз.нови активи'!AB$11:AB$58))</f>
        <v>20.242927222915391</v>
      </c>
      <c r="H129" s="904">
        <f>G129+SUMIF('11.1.Амортиз.нови активи'!$B$11:$B$58,$B129,'11.1.Амортиз.нови активи'!H$11:H$58)+('9.Инвестиционна програма'!H$77*SUMIF('11.1.Амортиз.нови активи'!$B$11:$B$58,$B129,'11.1.Амортиз.нови активи'!AC$11:AC$58))</f>
        <v>39.903099903898344</v>
      </c>
      <c r="I129" s="904">
        <f>H129+SUMIF('11.1.Амортиз.нови активи'!$B$11:$B$58,$B129,'11.1.Амортиз.нови активи'!I$11:I$58)+('9.Инвестиционна програма'!I$77*SUMIF('11.1.Амортиз.нови активи'!$B$11:$B$58,$B129,'11.1.Амортиз.нови активи'!AD$11:AD$58))</f>
        <v>59.658550699419848</v>
      </c>
      <c r="J129" s="904">
        <f>I129+SUMIF('11.1.Амортиз.нови активи'!$B$11:$B$58,$B129,'11.1.Амортиз.нови активи'!J$11:J$58)+('9.Инвестиционна програма'!J$77*SUMIF('11.1.Амортиз.нови активи'!$B$11:$B$58,$B129,'11.1.Амортиз.нови активи'!AE$11:AE$58))</f>
        <v>79.774291440160596</v>
      </c>
      <c r="K129" s="905">
        <f>J129+SUMIF('11.1.Амортиз.нови активи'!$B$11:$B$58,$B129,'11.1.Амортиз.нови активи'!K$11:K$58)+('9.Инвестиционна програма'!K$77*SUMIF('11.1.Амортиз.нови активи'!$B$11:$B$58,$B129,'11.1.Амортиз.нови активи'!AF$11:AF$58))</f>
        <v>100.71768766657569</v>
      </c>
      <c r="L129" s="2250"/>
      <c r="M129" s="903">
        <f>L129+SUMIF('11.1.Амортиз.нови активи'!$B$11:$B$58,$B129,'11.1.Амортиз.нови активи'!M$11:M$58)+('9.Инвестиционна програма'!F$78*SUMIF('11.1.Амортиз.нови активи'!$B$11:$B$58,$B129,'11.1.Амортиз.нови активи'!AA$11:AA$58))</f>
        <v>0</v>
      </c>
      <c r="N129" s="904">
        <f>M129+SUMIF('11.1.Амортиз.нови активи'!$B$11:$B$58,$B129,'11.1.Амортиз.нови активи'!N$11:N$58)+('9.Инвестиционна програма'!G$78*SUMIF('11.1.Амортиз.нови активи'!$B$11:$B$58,$B129,'11.1.Амортиз.нови активи'!AB$11:AB$58))</f>
        <v>0.8850367957366716</v>
      </c>
      <c r="O129" s="904">
        <f>N129+SUMIF('11.1.Амортиз.нови активи'!$B$11:$B$58,$B129,'11.1.Амортиз.нови активи'!O$11:O$58)+('9.Инвестиционна програма'!H$78*SUMIF('11.1.Амортиз.нови активи'!$B$11:$B$58,$B129,'11.1.Амортиз.нови активи'!AC$11:AC$58))</f>
        <v>17.864226523432045</v>
      </c>
      <c r="P129" s="904">
        <f>O129+SUMIF('11.1.Амортиз.нови активи'!$B$11:$B$58,$B129,'11.1.Амортиз.нови активи'!P$11:P$58)+('9.Инвестиционна програма'!I$78*SUMIF('11.1.Амортиз.нови активи'!$B$11:$B$58,$B129,'11.1.Амортиз.нови активи'!AD$11:AD$58))</f>
        <v>34.620266594145065</v>
      </c>
      <c r="Q129" s="904">
        <f>P129+SUMIF('11.1.Амортиз.нови активи'!$B$11:$B$58,$B129,'11.1.Амортиз.нови активи'!Q$11:Q$58)+('9.Инвестиционна програма'!J$78*SUMIF('11.1.Амортиз.нови активи'!$B$11:$B$58,$B129,'11.1.Амортиз.нови активи'!AE$11:AE$58))</f>
        <v>51.171192520070989</v>
      </c>
      <c r="R129" s="905">
        <f>Q129+SUMIF('11.1.Амортиз.нови активи'!$B$11:$B$58,$B129,'11.1.Амортиз.нови активи'!R$11:R$58)+('9.Инвестиционна програма'!K$78*SUMIF('11.1.Амортиз.нови активи'!$B$11:$B$58,$B129,'11.1.Амортиз.нови активи'!AF$11:AF$58))</f>
        <v>67.418571974997619</v>
      </c>
      <c r="S129" s="2250"/>
      <c r="T129" s="903">
        <f>S129+SUMIF('11.1.Амортиз.нови активи'!$B$11:$B$58,$B129,'11.1.Амортиз.нови активи'!T$11:T$58)+('9.Инвестиционна програма'!F$79*SUMIF('11.1.Амортиз.нови активи'!$B$11:$B$58,$B129,'11.1.Амортиз.нови активи'!AA$11:AA$58))</f>
        <v>0</v>
      </c>
      <c r="U129" s="904">
        <f>T129+SUMIF('11.1.Амортиз.нови активи'!$B$11:$B$58,$B129,'11.1.Амортиз.нови активи'!U$11:U$58)+('9.Инвестиционна програма'!G$79*SUMIF('11.1.Амортиз.нови активи'!$B$11:$B$58,$B129,'11.1.Амортиз.нови активи'!AB$11:AB$58))</f>
        <v>3.8720359813479375</v>
      </c>
      <c r="V129" s="904">
        <f>U129+SUMIF('11.1.Амортиз.нови активи'!$B$11:$B$58,$B129,'11.1.Амортиз.нови активи'!V$11:V$58)+('9.Инвестиционна програма'!H$79*SUMIF('11.1.Амортиз.нови активи'!$B$11:$B$58,$B129,'11.1.Амортиз.нови активи'!AC$11:AC$58))</f>
        <v>7.2326735726696114</v>
      </c>
      <c r="W129" s="904">
        <f>V129+SUMIF('11.1.Амортиз.нови активи'!$B$11:$B$58,$B129,'11.1.Амортиз.нови активи'!W$11:W$58)+('9.Инвестиционна програма'!I$79*SUMIF('11.1.Амортиз.нови активи'!$B$11:$B$58,$B129,'11.1.Амортиз.нови активи'!AD$11:AD$58))</f>
        <v>10.72118270643508</v>
      </c>
      <c r="X129" s="904">
        <f>W129+SUMIF('11.1.Амортиз.нови активи'!$B$11:$B$58,$B129,'11.1.Амортиз.нови активи'!X$11:X$58)+('9.Инвестиционна програма'!J$79*SUMIF('11.1.Амортиз.нови активи'!$B$11:$B$58,$B129,'11.1.Амортиз.нови активи'!AE$11:AE$58))</f>
        <v>14.054516039768412</v>
      </c>
      <c r="Y129" s="905">
        <f>X129+SUMIF('11.1.Амортиз.нови активи'!$B$11:$B$58,$B129,'11.1.Амортиз.нови активи'!Y$11:Y$58)+('9.Инвестиционна програма'!K$79*SUMIF('11.1.Амортиз.нови активи'!$B$11:$B$58,$B129,'11.1.Амортиз.нови активи'!AF$11:AF$58))</f>
        <v>16.863740358426693</v>
      </c>
      <c r="Z129" s="1671"/>
      <c r="AA129" s="1702"/>
      <c r="AB129" s="1726"/>
    </row>
    <row r="130" spans="1:28" s="1642" customFormat="1" ht="13.5" thickBot="1">
      <c r="A130" s="1694" t="s">
        <v>269</v>
      </c>
      <c r="B130" s="1695"/>
      <c r="C130" s="1695"/>
      <c r="D130" s="1665" t="s">
        <v>281</v>
      </c>
      <c r="E130" s="1718">
        <f t="shared" ref="E130:Y130" si="73">SUM(E131:E149)</f>
        <v>0</v>
      </c>
      <c r="F130" s="1722">
        <f t="shared" si="73"/>
        <v>86.941375093730173</v>
      </c>
      <c r="G130" s="1723">
        <f t="shared" si="73"/>
        <v>244.24377695033178</v>
      </c>
      <c r="H130" s="1723">
        <f t="shared" si="73"/>
        <v>354.9060324392762</v>
      </c>
      <c r="I130" s="1724">
        <f t="shared" si="73"/>
        <v>437.47895904397365</v>
      </c>
      <c r="J130" s="1723">
        <f t="shared" si="73"/>
        <v>519.8133665729232</v>
      </c>
      <c r="K130" s="1723">
        <f t="shared" si="73"/>
        <v>606.43803856662055</v>
      </c>
      <c r="L130" s="1718">
        <f t="shared" si="73"/>
        <v>0</v>
      </c>
      <c r="M130" s="1722">
        <f t="shared" si="73"/>
        <v>0.84237065236200037</v>
      </c>
      <c r="N130" s="1723">
        <f t="shared" si="73"/>
        <v>3.2286486795002096</v>
      </c>
      <c r="O130" s="1723">
        <f t="shared" si="73"/>
        <v>11.774259827636662</v>
      </c>
      <c r="P130" s="1724">
        <f t="shared" si="73"/>
        <v>25.213998073195022</v>
      </c>
      <c r="Q130" s="1723">
        <f t="shared" si="73"/>
        <v>38.020440069070887</v>
      </c>
      <c r="R130" s="1723">
        <f t="shared" si="73"/>
        <v>49.711971034131281</v>
      </c>
      <c r="S130" s="1718">
        <f t="shared" si="73"/>
        <v>0</v>
      </c>
      <c r="T130" s="1719">
        <f t="shared" si="73"/>
        <v>3.4829209205744944</v>
      </c>
      <c r="U130" s="1720">
        <f t="shared" si="73"/>
        <v>15.507585436834718</v>
      </c>
      <c r="V130" s="1720">
        <f t="shared" si="73"/>
        <v>36.819729866420481</v>
      </c>
      <c r="W130" s="1721">
        <f t="shared" si="73"/>
        <v>61.793731682831407</v>
      </c>
      <c r="X130" s="1720">
        <f t="shared" si="73"/>
        <v>88.272882158005913</v>
      </c>
      <c r="Y130" s="1725">
        <f t="shared" si="73"/>
        <v>113.5666791992482</v>
      </c>
      <c r="Z130" s="1666"/>
      <c r="AA130" s="1702"/>
      <c r="AB130" s="1726"/>
    </row>
    <row r="131" spans="1:28" s="1642" customFormat="1">
      <c r="A131" s="1673">
        <v>1</v>
      </c>
      <c r="B131" s="1668">
        <v>20102</v>
      </c>
      <c r="C131" s="1690">
        <v>0</v>
      </c>
      <c r="D131" s="280" t="s">
        <v>760</v>
      </c>
      <c r="E131" s="2250"/>
      <c r="F131" s="897">
        <f>$E131-SUMIF('11.2. Нови активи отч.год.'!$B$61:$B$108,$B131,'11.2. Нови активи отч.год.'!$E$61:$E$108)+SUMIF('11.2. Нови активи отч.год.'!$B$61:$B$108,$B131,'11.2. Нови активи отч.год.'!F$61:F$108)+SUMIF('11.1.Амортиз.нови активи'!$B$60:$B$107,$B131,'11.1.Амортиз.нови активи'!F$60:F$107)+('11.1.Амортиз.нови активи'!F$109*SUMIF('11.1.Амортиз.нови активи'!$B$60:$B$107,$B131,'11.1.Амортиз.нови активи'!AA$60:AA$107))</f>
        <v>0</v>
      </c>
      <c r="G131" s="898">
        <f>$E131-SUMIF('11.2. Нови активи отч.год.'!$B$61:$B$108,$B131,'11.2. Нови активи отч.год.'!$E$61:$E$108)+SUMIF('11.2. Нови активи отч.год.'!$B$61:$B$108,$B131,'11.2. Нови активи отч.год.'!G$61:G$108)+SUMIF('11.1.Амортиз.нови активи'!$B$60:$B$107,$B131,'11.1.Амортиз.нови активи'!G$60:G$107)+('11.1.Амортиз.нови активи'!G$109*SUMIF('11.1.Амортиз.нови активи'!$B$60:$B$107,$B131,'11.1.Амортиз.нови активи'!AB$60:AB$107))</f>
        <v>0</v>
      </c>
      <c r="H131" s="898">
        <f>$E131-SUMIF('11.2. Нови активи отч.год.'!$B$61:$B$108,$B131,'11.2. Нови активи отч.год.'!$E$61:$E$108)+SUMIF('11.2. Нови активи отч.год.'!$B$61:$B$108,$B131,'11.2. Нови активи отч.год.'!H$61:H$108)+SUMIF('11.1.Амортиз.нови активи'!$B$60:$B$107,$B131,'11.1.Амортиз.нови активи'!H$60:H$107)+('11.1.Амортиз.нови активи'!H$109*SUMIF('11.1.Амортиз.нови активи'!$B$60:$B$107,$B131,'11.1.Амортиз.нови активи'!AC$60:AC$107))</f>
        <v>0</v>
      </c>
      <c r="I131" s="898">
        <f>$E131-SUMIF('11.2. Нови активи отч.год.'!$B$61:$B$108,$B131,'11.2. Нови активи отч.год.'!$E$61:$E$108)+SUMIF('11.2. Нови активи отч.год.'!$B$61:$B$108,$B131,'11.2. Нови активи отч.год.'!I$61:I$108)+SUMIF('11.1.Амортиз.нови активи'!$B$60:$B$107,$B131,'11.1.Амортиз.нови активи'!I$60:I$107)+('11.1.Амортиз.нови активи'!I$109*SUMIF('11.1.Амортиз.нови активи'!$B$60:$B$107,$B131,'11.1.Амортиз.нови активи'!AD$60:AD$107))</f>
        <v>0</v>
      </c>
      <c r="J131" s="898">
        <f>$E131-SUMIF('11.2. Нови активи отч.год.'!$B$61:$B$108,$B131,'11.2. Нови активи отч.год.'!$E$61:$E$108)+SUMIF('11.2. Нови активи отч.год.'!$B$61:$B$108,$B131,'11.2. Нови активи отч.год.'!J$61:J$108)+SUMIF('11.1.Амортиз.нови активи'!$B$60:$B$107,$B131,'11.1.Амортиз.нови активи'!J$60:J$107)+('11.1.Амортиз.нови активи'!J$109*SUMIF('11.1.Амортиз.нови активи'!$B$60:$B$107,$B131,'11.1.Амортиз.нови активи'!AE$60:AE$107))</f>
        <v>0</v>
      </c>
      <c r="K131" s="898">
        <f>$E131-SUMIF('11.2. Нови активи отч.год.'!$B$61:$B$108,$B131,'11.2. Нови активи отч.год.'!$E$61:$E$108)+SUMIF('11.2. Нови активи отч.год.'!$B$61:$B$108,$B131,'11.2. Нови активи отч.год.'!K$61:K$108)+SUMIF('11.1.Амортиз.нови активи'!$B$60:$B$107,$B131,'11.1.Амортиз.нови активи'!K$60:K$107)+('11.1.Амортиз.нови активи'!K$109*SUMIF('11.1.Амортиз.нови активи'!$B$60:$B$107,$B131,'11.1.Амортиз.нови активи'!AF$60:AF$107))</f>
        <v>0</v>
      </c>
      <c r="L131" s="2250"/>
      <c r="M131" s="900">
        <f>$L131-SUMIF('11.2. Нови активи отч.год.'!$B$61:$B$108,$B131,'11.2. Нови активи отч.год.'!$L$61:$L$108)+SUMIF('11.2. Нови активи отч.год.'!$B$61:$B$108,$B131,'11.2. Нови активи отч.год.'!M$61:M$108)+SUMIF('11.1.Амортиз.нови активи'!$B$60:$B$107,$B131,'11.1.Амортиз.нови активи'!M$60:M$107)+('11.1.Амортиз.нови активи'!F$110*SUMIF('11.1.Амортиз.нови активи'!$B$60:$B$107,$B131,'11.1.Амортиз.нови активи'!AA$60:AA$107))</f>
        <v>0</v>
      </c>
      <c r="N131" s="901">
        <f>$L131-SUMIF('11.2. Нови активи отч.год.'!$B$61:$B$108,$B131,'11.2. Нови активи отч.год.'!$L$61:$L$108)+SUMIF('11.2. Нови активи отч.год.'!$B$61:$B$108,$B131,'11.2. Нови активи отч.год.'!N$61:N$108)+SUMIF('11.1.Амортиз.нови активи'!$B$60:$B$107,$B131,'11.1.Амортиз.нови активи'!N$60:N$107)+('11.1.Амортиз.нови активи'!G$110*SUMIF('11.1.Амортиз.нови активи'!$B$60:$B$107,$B131,'11.1.Амортиз.нови активи'!AB$60:AB$107))</f>
        <v>0</v>
      </c>
      <c r="O131" s="901">
        <f>$L131-SUMIF('11.2. Нови активи отч.год.'!$B$61:$B$108,$B131,'11.2. Нови активи отч.год.'!$L$61:$L$108)+SUMIF('11.2. Нови активи отч.год.'!$B$61:$B$108,$B131,'11.2. Нови активи отч.год.'!O$61:O$108)+SUMIF('11.1.Амортиз.нови активи'!$B$60:$B$107,$B131,'11.1.Амортиз.нови активи'!O$60:O$107)+('11.1.Амортиз.нови активи'!H$110*SUMIF('11.1.Амортиз.нови активи'!$B$60:$B$107,$B131,'11.1.Амортиз.нови активи'!AC$60:AC$107))</f>
        <v>0</v>
      </c>
      <c r="P131" s="901">
        <f>$L131-SUMIF('11.2. Нови активи отч.год.'!$B$61:$B$108,$B131,'11.2. Нови активи отч.год.'!$L$61:$L$108)+SUMIF('11.2. Нови активи отч.год.'!$B$61:$B$108,$B131,'11.2. Нови активи отч.год.'!P$61:P$108)+SUMIF('11.1.Амортиз.нови активи'!$B$60:$B$107,$B131,'11.1.Амортиз.нови активи'!P$60:P$107)+('11.1.Амортиз.нови активи'!I$110*SUMIF('11.1.Амортиз.нови активи'!$B$60:$B$107,$B131,'11.1.Амортиз.нови активи'!AD$60:AD$107))</f>
        <v>0</v>
      </c>
      <c r="Q131" s="901">
        <f>$L131-SUMIF('11.2. Нови активи отч.год.'!$B$61:$B$108,$B131,'11.2. Нови активи отч.год.'!$L$61:$L$108)+SUMIF('11.2. Нови активи отч.год.'!$B$61:$B$108,$B131,'11.2. Нови активи отч.год.'!Q$61:Q$108)+SUMIF('11.1.Амортиз.нови активи'!$B$60:$B$107,$B131,'11.1.Амортиз.нови активи'!Q$60:Q$107)+('11.1.Амортиз.нови активи'!J$110*SUMIF('11.1.Амортиз.нови активи'!$B$60:$B$107,$B131,'11.1.Амортиз.нови активи'!AE$60:AE$107))</f>
        <v>0</v>
      </c>
      <c r="R131" s="902">
        <f>$L131-SUMIF('11.2. Нови активи отч.год.'!$B$61:$B$108,$B131,'11.2. Нови активи отч.год.'!$L$61:$L$108)+SUMIF('11.2. Нови активи отч.год.'!$B$61:$B$108,$B131,'11.2. Нови активи отч.год.'!R$61:R$108)+SUMIF('11.1.Амортиз.нови активи'!$B$60:$B$107,$B131,'11.1.Амортиз.нови активи'!R$60:R$107)+('11.1.Амортиз.нови активи'!K$110*SUMIF('11.1.Амортиз.нови активи'!$B$60:$B$107,$B131,'11.1.Амортиз.нови активи'!AF$60:AF$107))</f>
        <v>0</v>
      </c>
      <c r="S131" s="2250"/>
      <c r="T131" s="897">
        <f>$S131-SUMIF('11.2. Нови активи отч.год.'!$B$61:$B$108,$B131,'11.2. Нови активи отч.год.'!$S$61:$S$108)+SUMIF('11.2. Нови активи отч.год.'!$B$61:$B$108,$B131,'11.2. Нови активи отч.год.'!T$61:T$108)+SUMIF('11.1.Амортиз.нови активи'!$B$60:$B$107,$B131,'11.1.Амортиз.нови активи'!T$60:T$107)+('11.1.Амортиз.нови активи'!F$111*SUMIF('11.1.Амортиз.нови активи'!$B$60:$B$107,$B131,'11.1.Амортиз.нови активи'!AA$60:AA$107))</f>
        <v>0</v>
      </c>
      <c r="U131" s="898">
        <f>$S131-SUMIF('11.2. Нови активи отч.год.'!$B$61:$B$108,$B131,'11.2. Нови активи отч.год.'!$S$61:$S$108)+SUMIF('11.2. Нови активи отч.год.'!$B$61:$B$108,$B131,'11.2. Нови активи отч.год.'!U$61:U$108)+SUMIF('11.1.Амортиз.нови активи'!$B$60:$B$107,$B131,'11.1.Амортиз.нови активи'!U$60:U$107)+('11.1.Амортиз.нови активи'!G$111*SUMIF('11.1.Амортиз.нови активи'!$B$60:$B$107,$B131,'11.1.Амортиз.нови активи'!AB$60:AB$107))</f>
        <v>0</v>
      </c>
      <c r="V131" s="898">
        <f>$S131-SUMIF('11.2. Нови активи отч.год.'!$B$61:$B$108,$B131,'11.2. Нови активи отч.год.'!$S$61:$S$108)+SUMIF('11.2. Нови активи отч.год.'!$B$61:$B$108,$B131,'11.2. Нови активи отч.год.'!V$61:V$108)+SUMIF('11.1.Амортиз.нови активи'!$B$60:$B$107,$B131,'11.1.Амортиз.нови активи'!V$60:V$107)+('11.1.Амортиз.нови активи'!H$111*SUMIF('11.1.Амортиз.нови активи'!$B$60:$B$107,$B131,'11.1.Амортиз.нови активи'!AC$60:AC$107))</f>
        <v>0</v>
      </c>
      <c r="W131" s="898">
        <f>$S131-SUMIF('11.2. Нови активи отч.год.'!$B$61:$B$108,$B131,'11.2. Нови активи отч.год.'!$S$61:$S$108)+SUMIF('11.2. Нови активи отч.год.'!$B$61:$B$108,$B131,'11.2. Нови активи отч.год.'!W$61:W$108)+SUMIF('11.1.Амортиз.нови активи'!$B$60:$B$107,$B131,'11.1.Амортиз.нови активи'!W$60:W$107)+('11.1.Амортиз.нови активи'!I$111*SUMIF('11.1.Амортиз.нови активи'!$B$60:$B$107,$B131,'11.1.Амортиз.нови активи'!AD$60:AD$107))</f>
        <v>0</v>
      </c>
      <c r="X131" s="898">
        <f>$S131-SUMIF('11.2. Нови активи отч.год.'!$B$61:$B$108,$B131,'11.2. Нови активи отч.год.'!$S$61:$S$108)+SUMIF('11.2. Нови активи отч.год.'!$B$61:$B$108,$B131,'11.2. Нови активи отч.год.'!X$61:X$108)+SUMIF('11.1.Амортиз.нови активи'!$B$60:$B$107,$B131,'11.1.Амортиз.нови активи'!X$60:X$107)+('11.1.Амортиз.нови активи'!J$111*SUMIF('11.1.Амортиз.нови активи'!$B$60:$B$107,$B131,'11.1.Амортиз.нови активи'!AE$60:AE$107))</f>
        <v>0</v>
      </c>
      <c r="Y131" s="899">
        <f>$S131-SUMIF('11.2. Нови активи отч.год.'!$B$61:$B$108,$B131,'11.2. Нови активи отч.год.'!$S$61:$S$108)+SUMIF('11.2. Нови активи отч.год.'!$B$61:$B$108,$B131,'11.2. Нови активи отч.год.'!Y$61:Y$108)+SUMIF('11.1.Амортиз.нови активи'!$B$60:$B$107,$B131,'11.1.Амортиз.нови активи'!Y$60:Y$107)+('11.1.Амортиз.нови активи'!K$111*SUMIF('11.1.Амортиз.нови активи'!$B$60:$B$107,$B131,'11.1.Амортиз.нови активи'!AF$60:AF$107))</f>
        <v>0</v>
      </c>
      <c r="Z131" s="1697"/>
      <c r="AA131" s="1702"/>
      <c r="AB131" s="1726"/>
    </row>
    <row r="132" spans="1:28" s="1642" customFormat="1">
      <c r="A132" s="1673">
        <v>2</v>
      </c>
      <c r="B132" s="1674">
        <v>20202</v>
      </c>
      <c r="C132" s="1675">
        <v>0.03</v>
      </c>
      <c r="D132" s="1727" t="s">
        <v>598</v>
      </c>
      <c r="E132" s="2250"/>
      <c r="F132" s="897">
        <f>$E132-SUMIF('11.2. Нови активи отч.год.'!$B$61:$B$108,$B132,'11.2. Нови активи отч.год.'!$E$61:$E$108)+SUMIF('11.2. Нови активи отч.год.'!$B$61:$B$108,$B132,'11.2. Нови активи отч.год.'!F$61:F$108)+SUMIF('11.1.Амортиз.нови активи'!$B$60:$B$107,$B132,'11.1.Амортиз.нови активи'!F$60:F$107)+('11.1.Амортиз.нови активи'!F$109*SUMIF('11.1.Амортиз.нови активи'!$B$60:$B$107,$B132,'11.1.Амортиз.нови активи'!AA$60:AA$107))</f>
        <v>0</v>
      </c>
      <c r="G132" s="898">
        <f>$E132-SUMIF('11.2. Нови активи отч.год.'!$B$61:$B$108,$B132,'11.2. Нови активи отч.год.'!$E$61:$E$108)+SUMIF('11.2. Нови активи отч.год.'!$B$61:$B$108,$B132,'11.2. Нови активи отч.год.'!G$61:G$108)+SUMIF('11.1.Амортиз.нови активи'!$B$60:$B$107,$B132,'11.1.Амортиз.нови активи'!G$60:G$107)+('11.1.Амортиз.нови активи'!G$109*SUMIF('11.1.Амортиз.нови активи'!$B$60:$B$107,$B132,'11.1.Амортиз.нови активи'!AB$60:AB$107))</f>
        <v>0.15</v>
      </c>
      <c r="H132" s="898">
        <f>$E132-SUMIF('11.2. Нови активи отч.год.'!$B$61:$B$108,$B132,'11.2. Нови активи отч.год.'!$E$61:$E$108)+SUMIF('11.2. Нови активи отч.год.'!$B$61:$B$108,$B132,'11.2. Нови активи отч.год.'!H$61:H$108)+SUMIF('11.1.Амортиз.нови активи'!$B$60:$B$107,$B132,'11.1.Амортиз.нови активи'!H$60:H$107)+('11.1.Амортиз.нови активи'!H$109*SUMIF('11.1.Амортиз.нови активи'!$B$60:$B$107,$B132,'11.1.Амортиз.нови активи'!AC$60:AC$107))</f>
        <v>0.44999999999999996</v>
      </c>
      <c r="I132" s="898">
        <f>$E132-SUMIF('11.2. Нови активи отч.год.'!$B$61:$B$108,$B132,'11.2. Нови активи отч.год.'!$E$61:$E$108)+SUMIF('11.2. Нови активи отч.год.'!$B$61:$B$108,$B132,'11.2. Нови активи отч.год.'!I$61:I$108)+SUMIF('11.1.Амортиз.нови активи'!$B$60:$B$107,$B132,'11.1.Амортиз.нови активи'!I$60:I$107)+('11.1.Амортиз.нови активи'!I$109*SUMIF('11.1.Амортиз.нови активи'!$B$60:$B$107,$B132,'11.1.Амортиз.нови активи'!AD$60:AD$107))</f>
        <v>0.75</v>
      </c>
      <c r="J132" s="898">
        <f>$E132-SUMIF('11.2. Нови активи отч.год.'!$B$61:$B$108,$B132,'11.2. Нови активи отч.год.'!$E$61:$E$108)+SUMIF('11.2. Нови активи отч.год.'!$B$61:$B$108,$B132,'11.2. Нови активи отч.год.'!J$61:J$108)+SUMIF('11.1.Амортиз.нови активи'!$B$60:$B$107,$B132,'11.1.Амортиз.нови активи'!J$60:J$107)+('11.1.Амортиз.нови активи'!J$109*SUMIF('11.1.Амортиз.нови активи'!$B$60:$B$107,$B132,'11.1.Амортиз.нови активи'!AE$60:AE$107))</f>
        <v>1.0499999999999998</v>
      </c>
      <c r="K132" s="898">
        <f>$E132-SUMIF('11.2. Нови активи отч.год.'!$B$61:$B$108,$B132,'11.2. Нови активи отч.год.'!$E$61:$E$108)+SUMIF('11.2. Нови активи отч.год.'!$B$61:$B$108,$B132,'11.2. Нови активи отч.год.'!K$61:K$108)+SUMIF('11.1.Амортиз.нови активи'!$B$60:$B$107,$B132,'11.1.Амортиз.нови активи'!K$60:K$107)+('11.1.Амортиз.нови активи'!K$109*SUMIF('11.1.Амортиз.нови активи'!$B$60:$B$107,$B132,'11.1.Амортиз.нови активи'!AF$60:AF$107))</f>
        <v>1.3499999999999999</v>
      </c>
      <c r="L132" s="2250"/>
      <c r="M132" s="897">
        <f>$L132-SUMIF('11.2. Нови активи отч.год.'!$B$61:$B$108,$B132,'11.2. Нови активи отч.год.'!$L$61:$L$108)+SUMIF('11.2. Нови активи отч.год.'!$B$61:$B$108,$B132,'11.2. Нови активи отч.год.'!M$61:M$108)+SUMIF('11.1.Амортиз.нови активи'!$B$60:$B$107,$B132,'11.1.Амортиз.нови активи'!M$60:M$107)+('11.1.Амортиз.нови активи'!F$110*SUMIF('11.1.Амортиз.нови активи'!$B$60:$B$107,$B132,'11.1.Амортиз.нови активи'!AA$60:AA$107))</f>
        <v>0</v>
      </c>
      <c r="N132" s="898">
        <f>$L132-SUMIF('11.2. Нови активи отч.год.'!$B$61:$B$108,$B132,'11.2. Нови активи отч.год.'!$L$61:$L$108)+SUMIF('11.2. Нови активи отч.год.'!$B$61:$B$108,$B132,'11.2. Нови активи отч.год.'!N$61:N$108)+SUMIF('11.1.Амортиз.нови активи'!$B$60:$B$107,$B132,'11.1.Амортиз.нови активи'!N$60:N$107)+('11.1.Амортиз.нови активи'!G$110*SUMIF('11.1.Амортиз.нови активи'!$B$60:$B$107,$B132,'11.1.Амортиз.нови активи'!AB$60:AB$107))</f>
        <v>0</v>
      </c>
      <c r="O132" s="898">
        <f>$L132-SUMIF('11.2. Нови активи отч.год.'!$B$61:$B$108,$B132,'11.2. Нови активи отч.год.'!$L$61:$L$108)+SUMIF('11.2. Нови активи отч.год.'!$B$61:$B$108,$B132,'11.2. Нови активи отч.год.'!O$61:O$108)+SUMIF('11.1.Амортиз.нови активи'!$B$60:$B$107,$B132,'11.1.Амортиз.нови активи'!O$60:O$107)+('11.1.Амортиз.нови активи'!H$110*SUMIF('11.1.Амортиз.нови активи'!$B$60:$B$107,$B132,'11.1.Амортиз.нови активи'!AC$60:AC$107))</f>
        <v>0</v>
      </c>
      <c r="P132" s="898">
        <f>$L132-SUMIF('11.2. Нови активи отч.год.'!$B$61:$B$108,$B132,'11.2. Нови активи отч.год.'!$L$61:$L$108)+SUMIF('11.2. Нови активи отч.год.'!$B$61:$B$108,$B132,'11.2. Нови активи отч.год.'!P$61:P$108)+SUMIF('11.1.Амортиз.нови активи'!$B$60:$B$107,$B132,'11.1.Амортиз.нови активи'!P$60:P$107)+('11.1.Амортиз.нови активи'!I$110*SUMIF('11.1.Амортиз.нови активи'!$B$60:$B$107,$B132,'11.1.Амортиз.нови активи'!AD$60:AD$107))</f>
        <v>0</v>
      </c>
      <c r="Q132" s="898">
        <f>$L132-SUMIF('11.2. Нови активи отч.год.'!$B$61:$B$108,$B132,'11.2. Нови активи отч.год.'!$L$61:$L$108)+SUMIF('11.2. Нови активи отч.год.'!$B$61:$B$108,$B132,'11.2. Нови активи отч.год.'!Q$61:Q$108)+SUMIF('11.1.Амортиз.нови активи'!$B$60:$B$107,$B132,'11.1.Амортиз.нови активи'!Q$60:Q$107)+('11.1.Амортиз.нови активи'!J$110*SUMIF('11.1.Амортиз.нови активи'!$B$60:$B$107,$B132,'11.1.Амортиз.нови активи'!AE$60:AE$107))</f>
        <v>0</v>
      </c>
      <c r="R132" s="899">
        <f>$L132-SUMIF('11.2. Нови активи отч.год.'!$B$61:$B$108,$B132,'11.2. Нови активи отч.год.'!$L$61:$L$108)+SUMIF('11.2. Нови активи отч.год.'!$B$61:$B$108,$B132,'11.2. Нови активи отч.год.'!R$61:R$108)+SUMIF('11.1.Амортиз.нови активи'!$B$60:$B$107,$B132,'11.1.Амортиз.нови активи'!R$60:R$107)+('11.1.Амортиз.нови активи'!K$110*SUMIF('11.1.Амортиз.нови активи'!$B$60:$B$107,$B132,'11.1.Амортиз.нови активи'!AF$60:AF$107))</f>
        <v>0</v>
      </c>
      <c r="S132" s="2250"/>
      <c r="T132" s="897">
        <f>$S132-SUMIF('11.2. Нови активи отч.год.'!$B$61:$B$108,$B132,'11.2. Нови активи отч.год.'!$S$61:$S$108)+SUMIF('11.2. Нови активи отч.год.'!$B$61:$B$108,$B132,'11.2. Нови активи отч.год.'!T$61:T$108)+SUMIF('11.1.Амортиз.нови активи'!$B$60:$B$107,$B132,'11.1.Амортиз.нови активи'!T$60:T$107)+('11.1.Амортиз.нови активи'!F$111*SUMIF('11.1.Амортиз.нови активи'!$B$60:$B$107,$B132,'11.1.Амортиз.нови активи'!AA$60:AA$107))</f>
        <v>0</v>
      </c>
      <c r="U132" s="898">
        <f>$S132-SUMIF('11.2. Нови активи отч.год.'!$B$61:$B$108,$B132,'11.2. Нови активи отч.год.'!$S$61:$S$108)+SUMIF('11.2. Нови активи отч.год.'!$B$61:$B$108,$B132,'11.2. Нови активи отч.год.'!U$61:U$108)+SUMIF('11.1.Амортиз.нови активи'!$B$60:$B$107,$B132,'11.1.Амортиз.нови активи'!U$60:U$107)+('11.1.Амортиз.нови активи'!G$111*SUMIF('11.1.Амортиз.нови активи'!$B$60:$B$107,$B132,'11.1.Амортиз.нови активи'!AB$60:AB$107))</f>
        <v>0</v>
      </c>
      <c r="V132" s="898">
        <f>$S132-SUMIF('11.2. Нови активи отч.год.'!$B$61:$B$108,$B132,'11.2. Нови активи отч.год.'!$S$61:$S$108)+SUMIF('11.2. Нови активи отч.год.'!$B$61:$B$108,$B132,'11.2. Нови активи отч.год.'!V$61:V$108)+SUMIF('11.1.Амортиз.нови активи'!$B$60:$B$107,$B132,'11.1.Амортиз.нови активи'!V$60:V$107)+('11.1.Амортиз.нови активи'!H$111*SUMIF('11.1.Амортиз.нови активи'!$B$60:$B$107,$B132,'11.1.Амортиз.нови активи'!AC$60:AC$107))</f>
        <v>0</v>
      </c>
      <c r="W132" s="898">
        <f>$S132-SUMIF('11.2. Нови активи отч.год.'!$B$61:$B$108,$B132,'11.2. Нови активи отч.год.'!$S$61:$S$108)+SUMIF('11.2. Нови активи отч.год.'!$B$61:$B$108,$B132,'11.2. Нови активи отч.год.'!W$61:W$108)+SUMIF('11.1.Амортиз.нови активи'!$B$60:$B$107,$B132,'11.1.Амортиз.нови активи'!W$60:W$107)+('11.1.Амортиз.нови активи'!I$111*SUMIF('11.1.Амортиз.нови активи'!$B$60:$B$107,$B132,'11.1.Амортиз.нови активи'!AD$60:AD$107))</f>
        <v>0</v>
      </c>
      <c r="X132" s="898">
        <f>$S132-SUMIF('11.2. Нови активи отч.год.'!$B$61:$B$108,$B132,'11.2. Нови активи отч.год.'!$S$61:$S$108)+SUMIF('11.2. Нови активи отч.год.'!$B$61:$B$108,$B132,'11.2. Нови активи отч.год.'!X$61:X$108)+SUMIF('11.1.Амортиз.нови активи'!$B$60:$B$107,$B132,'11.1.Амортиз.нови активи'!X$60:X$107)+('11.1.Амортиз.нови активи'!J$111*SUMIF('11.1.Амортиз.нови активи'!$B$60:$B$107,$B132,'11.1.Амортиз.нови активи'!AE$60:AE$107))</f>
        <v>0</v>
      </c>
      <c r="Y132" s="899">
        <f>$S132-SUMIF('11.2. Нови активи отч.год.'!$B$61:$B$108,$B132,'11.2. Нови активи отч.год.'!$S$61:$S$108)+SUMIF('11.2. Нови активи отч.год.'!$B$61:$B$108,$B132,'11.2. Нови активи отч.год.'!Y$61:Y$108)+SUMIF('11.1.Амортиз.нови активи'!$B$60:$B$107,$B132,'11.1.Амортиз.нови активи'!Y$60:Y$107)+('11.1.Амортиз.нови активи'!K$111*SUMIF('11.1.Амортиз.нови активи'!$B$60:$B$107,$B132,'11.1.Амортиз.нови активи'!AF$60:AF$107))</f>
        <v>0</v>
      </c>
      <c r="Z132" s="1671"/>
      <c r="AA132" s="1702"/>
      <c r="AB132" s="1726"/>
    </row>
    <row r="133" spans="1:28" s="1642" customFormat="1">
      <c r="A133" s="1673">
        <v>3</v>
      </c>
      <c r="B133" s="1674">
        <v>2030401</v>
      </c>
      <c r="C133" s="1679">
        <v>0.1</v>
      </c>
      <c r="D133" s="1625" t="s">
        <v>1470</v>
      </c>
      <c r="E133" s="2250"/>
      <c r="F133" s="897">
        <f>$E133-SUMIF('11.2. Нови активи отч.год.'!$B$61:$B$108,$B133,'11.2. Нови активи отч.год.'!$E$61:$E$108)+SUMIF('11.2. Нови активи отч.год.'!$B$61:$B$108,$B133,'11.2. Нови активи отч.год.'!F$61:F$108)+SUMIF('11.1.Амортиз.нови активи'!$B$60:$B$107,$B133,'11.1.Амортиз.нови активи'!F$60:F$107)+('11.1.Амортиз.нови активи'!F$109*SUMIF('11.1.Амортиз.нови активи'!$B$60:$B$107,$B133,'11.1.Амортиз.нови активи'!AA$60:AA$107))</f>
        <v>4</v>
      </c>
      <c r="G133" s="898">
        <f>$E133-SUMIF('11.2. Нови активи отч.год.'!$B$61:$B$108,$B133,'11.2. Нови активи отч.год.'!$E$61:$E$108)+SUMIF('11.2. Нови активи отч.год.'!$B$61:$B$108,$B133,'11.2. Нови активи отч.год.'!G$61:G$108)+SUMIF('11.1.Амортиз.нови активи'!$B$60:$B$107,$B133,'11.1.Амортиз.нови активи'!G$60:G$107)+('11.1.Амортиз.нови активи'!G$109*SUMIF('11.1.Амортиз.нови активи'!$B$60:$B$107,$B133,'11.1.Амортиз.нови активи'!AB$60:AB$107))</f>
        <v>8.5</v>
      </c>
      <c r="H133" s="898">
        <f>$E133-SUMIF('11.2. Нови активи отч.год.'!$B$61:$B$108,$B133,'11.2. Нови активи отч.год.'!$E$61:$E$108)+SUMIF('11.2. Нови активи отч.год.'!$B$61:$B$108,$B133,'11.2. Нови активи отч.год.'!H$61:H$108)+SUMIF('11.1.Амортиз.нови активи'!$B$60:$B$107,$B133,'11.1.Амортиз.нови активи'!H$60:H$107)+('11.1.Амортиз.нови активи'!H$109*SUMIF('11.1.Амортиз.нови активи'!$B$60:$B$107,$B133,'11.1.Амортиз.нови активи'!AC$60:AC$107))</f>
        <v>9.5</v>
      </c>
      <c r="I133" s="898">
        <f>$E133-SUMIF('11.2. Нови активи отч.год.'!$B$61:$B$108,$B133,'11.2. Нови активи отч.год.'!$E$61:$E$108)+SUMIF('11.2. Нови активи отч.год.'!$B$61:$B$108,$B133,'11.2. Нови активи отч.год.'!I$61:I$108)+SUMIF('11.1.Амортиз.нови активи'!$B$60:$B$107,$B133,'11.1.Амортиз.нови активи'!I$60:I$107)+('11.1.Амортиз.нови активи'!I$109*SUMIF('11.1.Амортиз.нови активи'!$B$60:$B$107,$B133,'11.1.Амортиз.нови активи'!AD$60:AD$107))</f>
        <v>10.5</v>
      </c>
      <c r="J133" s="898">
        <f>$E133-SUMIF('11.2. Нови активи отч.год.'!$B$61:$B$108,$B133,'11.2. Нови активи отч.год.'!$E$61:$E$108)+SUMIF('11.2. Нови активи отч.год.'!$B$61:$B$108,$B133,'11.2. Нови активи отч.год.'!J$61:J$108)+SUMIF('11.1.Амортиз.нови активи'!$B$60:$B$107,$B133,'11.1.Амортиз.нови активи'!J$60:J$107)+('11.1.Амортиз.нови активи'!J$109*SUMIF('11.1.Амортиз.нови активи'!$B$60:$B$107,$B133,'11.1.Амортиз.нови активи'!AE$60:AE$107))</f>
        <v>11</v>
      </c>
      <c r="K133" s="898">
        <f>$E133-SUMIF('11.2. Нови активи отч.год.'!$B$61:$B$108,$B133,'11.2. Нови активи отч.год.'!$E$61:$E$108)+SUMIF('11.2. Нови активи отч.год.'!$B$61:$B$108,$B133,'11.2. Нови активи отч.год.'!K$61:K$108)+SUMIF('11.1.Амортиз.нови активи'!$B$60:$B$107,$B133,'11.1.Амортиз.нови активи'!K$60:K$107)+('11.1.Амортиз.нови активи'!K$109*SUMIF('11.1.Амортиз.нови активи'!$B$60:$B$107,$B133,'11.1.Амортиз.нови активи'!AF$60:AF$107))</f>
        <v>11</v>
      </c>
      <c r="L133" s="2250"/>
      <c r="M133" s="897">
        <f>$L133-SUMIF('11.2. Нови активи отч.год.'!$B$61:$B$108,$B133,'11.2. Нови активи отч.год.'!$L$61:$L$108)+SUMIF('11.2. Нови активи отч.год.'!$B$61:$B$108,$B133,'11.2. Нови активи отч.год.'!M$61:M$108)+SUMIF('11.1.Амортиз.нови активи'!$B$60:$B$107,$B133,'11.1.Амортиз.нови активи'!M$60:M$107)+('11.1.Амортиз.нови активи'!F$110*SUMIF('11.1.Амортиз.нови активи'!$B$60:$B$107,$B133,'11.1.Амортиз.нови активи'!AA$60:AA$107))</f>
        <v>0</v>
      </c>
      <c r="N133" s="898">
        <f>$L133-SUMIF('11.2. Нови активи отч.год.'!$B$61:$B$108,$B133,'11.2. Нови активи отч.год.'!$L$61:$L$108)+SUMIF('11.2. Нови активи отч.год.'!$B$61:$B$108,$B133,'11.2. Нови активи отч.год.'!N$61:N$108)+SUMIF('11.1.Амортиз.нови активи'!$B$60:$B$107,$B133,'11.1.Амортиз.нови активи'!N$60:N$107)+('11.1.Амортиз.нови активи'!G$110*SUMIF('11.1.Амортиз.нови активи'!$B$60:$B$107,$B133,'11.1.Амортиз.нови активи'!AB$60:AB$107))</f>
        <v>0</v>
      </c>
      <c r="O133" s="898">
        <f>$L133-SUMIF('11.2. Нови активи отч.год.'!$B$61:$B$108,$B133,'11.2. Нови активи отч.год.'!$L$61:$L$108)+SUMIF('11.2. Нови активи отч.год.'!$B$61:$B$108,$B133,'11.2. Нови активи отч.год.'!O$61:O$108)+SUMIF('11.1.Амортиз.нови активи'!$B$60:$B$107,$B133,'11.1.Амортиз.нови активи'!O$60:O$107)+('11.1.Амортиз.нови активи'!H$110*SUMIF('11.1.Амортиз.нови активи'!$B$60:$B$107,$B133,'11.1.Амортиз.нови активи'!AC$60:AC$107))</f>
        <v>0</v>
      </c>
      <c r="P133" s="898">
        <f>$L133-SUMIF('11.2. Нови активи отч.год.'!$B$61:$B$108,$B133,'11.2. Нови активи отч.год.'!$L$61:$L$108)+SUMIF('11.2. Нови активи отч.год.'!$B$61:$B$108,$B133,'11.2. Нови активи отч.год.'!P$61:P$108)+SUMIF('11.1.Амортиз.нови активи'!$B$60:$B$107,$B133,'11.1.Амортиз.нови активи'!P$60:P$107)+('11.1.Амортиз.нови активи'!I$110*SUMIF('11.1.Амортиз.нови активи'!$B$60:$B$107,$B133,'11.1.Амортиз.нови активи'!AD$60:AD$107))</f>
        <v>0</v>
      </c>
      <c r="Q133" s="898">
        <f>$L133-SUMIF('11.2. Нови активи отч.год.'!$B$61:$B$108,$B133,'11.2. Нови активи отч.год.'!$L$61:$L$108)+SUMIF('11.2. Нови активи отч.год.'!$B$61:$B$108,$B133,'11.2. Нови активи отч.год.'!Q$61:Q$108)+SUMIF('11.1.Амортиз.нови активи'!$B$60:$B$107,$B133,'11.1.Амортиз.нови активи'!Q$60:Q$107)+('11.1.Амортиз.нови активи'!J$110*SUMIF('11.1.Амортиз.нови активи'!$B$60:$B$107,$B133,'11.1.Амортиз.нови активи'!AE$60:AE$107))</f>
        <v>0</v>
      </c>
      <c r="R133" s="899">
        <f>$L133-SUMIF('11.2. Нови активи отч.год.'!$B$61:$B$108,$B133,'11.2. Нови активи отч.год.'!$L$61:$L$108)+SUMIF('11.2. Нови активи отч.год.'!$B$61:$B$108,$B133,'11.2. Нови активи отч.год.'!R$61:R$108)+SUMIF('11.1.Амортиз.нови активи'!$B$60:$B$107,$B133,'11.1.Амортиз.нови активи'!R$60:R$107)+('11.1.Амортиз.нови активи'!K$110*SUMIF('11.1.Амортиз.нови активи'!$B$60:$B$107,$B133,'11.1.Амортиз.нови активи'!AF$60:AF$107))</f>
        <v>0</v>
      </c>
      <c r="S133" s="2250"/>
      <c r="T133" s="3186">
        <f>$S133-SUMIF('11.2. Нови активи отч.год.'!$B$61:$B$108,$B133,'11.2. Нови активи отч.год.'!$S$61:$S$108)+SUMIF('11.2. Нови активи отч.год.'!$B$61:$B$108,$B133,'11.2. Нови активи отч.год.'!T$61:T$108)+SUMIF('11.1.Амортиз.нови активи'!$B$60:$B$107,$B133,'11.1.Амортиз.нови активи'!T$60:T$107)+('11.1.Амортиз.нови активи'!F$111*SUMIF('11.1.Амортиз.нови активи'!$B$60:$B$107,$B133,'11.1.Амортиз.нови активи'!AA$60:AA$107))</f>
        <v>0</v>
      </c>
      <c r="U133" s="898">
        <f>$S133-SUMIF('11.2. Нови активи отч.год.'!$B$61:$B$108,$B133,'11.2. Нови активи отч.год.'!$S$61:$S$108)+SUMIF('11.2. Нови активи отч.год.'!$B$61:$B$108,$B133,'11.2. Нови активи отч.год.'!U$61:U$108)+SUMIF('11.1.Амортиз.нови активи'!$B$60:$B$107,$B133,'11.1.Амортиз.нови активи'!U$60:U$107)+('11.1.Амортиз.нови активи'!G$111*SUMIF('11.1.Амортиз.нови активи'!$B$60:$B$107,$B133,'11.1.Амортиз.нови активи'!AB$60:AB$107))</f>
        <v>0</v>
      </c>
      <c r="V133" s="898">
        <f>$S133-SUMIF('11.2. Нови активи отч.год.'!$B$61:$B$108,$B133,'11.2. Нови активи отч.год.'!$S$61:$S$108)+SUMIF('11.2. Нови активи отч.год.'!$B$61:$B$108,$B133,'11.2. Нови активи отч.год.'!V$61:V$108)+SUMIF('11.1.Амортиз.нови активи'!$B$60:$B$107,$B133,'11.1.Амортиз.нови активи'!V$60:V$107)+('11.1.Амортиз.нови активи'!H$111*SUMIF('11.1.Амортиз.нови активи'!$B$60:$B$107,$B133,'11.1.Амортиз.нови активи'!AC$60:AC$107))</f>
        <v>0</v>
      </c>
      <c r="W133" s="898">
        <f>$S133-SUMIF('11.2. Нови активи отч.год.'!$B$61:$B$108,$B133,'11.2. Нови активи отч.год.'!$S$61:$S$108)+SUMIF('11.2. Нови активи отч.год.'!$B$61:$B$108,$B133,'11.2. Нови активи отч.год.'!W$61:W$108)+SUMIF('11.1.Амортиз.нови активи'!$B$60:$B$107,$B133,'11.1.Амортиз.нови активи'!W$60:W$107)+('11.1.Амортиз.нови активи'!I$111*SUMIF('11.1.Амортиз.нови активи'!$B$60:$B$107,$B133,'11.1.Амортиз.нови активи'!AD$60:AD$107))</f>
        <v>0</v>
      </c>
      <c r="X133" s="898">
        <f>$S133-SUMIF('11.2. Нови активи отч.год.'!$B$61:$B$108,$B133,'11.2. Нови активи отч.год.'!$S$61:$S$108)+SUMIF('11.2. Нови активи отч.год.'!$B$61:$B$108,$B133,'11.2. Нови активи отч.год.'!X$61:X$108)+SUMIF('11.1.Амортиз.нови активи'!$B$60:$B$107,$B133,'11.1.Амортиз.нови активи'!X$60:X$107)+('11.1.Амортиз.нови активи'!J$111*SUMIF('11.1.Амортиз.нови активи'!$B$60:$B$107,$B133,'11.1.Амортиз.нови активи'!AE$60:AE$107))</f>
        <v>0</v>
      </c>
      <c r="Y133" s="899">
        <f>$S133-SUMIF('11.2. Нови активи отч.год.'!$B$61:$B$108,$B133,'11.2. Нови активи отч.год.'!$S$61:$S$108)+SUMIF('11.2. Нови активи отч.год.'!$B$61:$B$108,$B133,'11.2. Нови активи отч.год.'!Y$61:Y$108)+SUMIF('11.1.Амортиз.нови активи'!$B$60:$B$107,$B133,'11.1.Амортиз.нови активи'!Y$60:Y$107)+('11.1.Амортиз.нови активи'!K$111*SUMIF('11.1.Амортиз.нови активи'!$B$60:$B$107,$B133,'11.1.Амортиз.нови активи'!AF$60:AF$107))</f>
        <v>0</v>
      </c>
      <c r="Z133" s="1671"/>
      <c r="AA133" s="1702"/>
      <c r="AB133" s="1726"/>
    </row>
    <row r="134" spans="1:28" s="1642" customFormat="1">
      <c r="A134" s="1673">
        <v>4</v>
      </c>
      <c r="B134" s="1674">
        <v>2030402</v>
      </c>
      <c r="C134" s="1679">
        <v>0.1</v>
      </c>
      <c r="D134" s="1625" t="s">
        <v>601</v>
      </c>
      <c r="E134" s="2250"/>
      <c r="F134" s="897">
        <f>$E134-SUMIF('11.2. Нови активи отч.год.'!$B$61:$B$108,$B134,'11.2. Нови активи отч.год.'!$E$61:$E$108)+SUMIF('11.2. Нови активи отч.год.'!$B$61:$B$108,$B134,'11.2. Нови активи отч.год.'!F$61:F$108)+SUMIF('11.1.Амортиз.нови активи'!$B$60:$B$107,$B134,'11.1.Амортиз.нови активи'!F$60:F$107)+('11.1.Амортиз.нови активи'!F$109*SUMIF('11.1.Амортиз.нови активи'!$B$60:$B$107,$B134,'11.1.Амортиз.нови активи'!AA$60:AA$107))</f>
        <v>0</v>
      </c>
      <c r="G134" s="898">
        <f>$E134-SUMIF('11.2. Нови активи отч.год.'!$B$61:$B$108,$B134,'11.2. Нови активи отч.год.'!$E$61:$E$108)+SUMIF('11.2. Нови активи отч.год.'!$B$61:$B$108,$B134,'11.2. Нови активи отч.год.'!G$61:G$108)+SUMIF('11.1.Амортиз.нови активи'!$B$60:$B$107,$B134,'11.1.Амортиз.нови активи'!G$60:G$107)+('11.1.Амортиз.нови активи'!G$109*SUMIF('11.1.Амортиз.нови активи'!$B$60:$B$107,$B134,'11.1.Амортиз.нови активи'!AB$60:AB$107))</f>
        <v>0</v>
      </c>
      <c r="H134" s="898">
        <f>$E134-SUMIF('11.2. Нови активи отч.год.'!$B$61:$B$108,$B134,'11.2. Нови активи отч.год.'!$E$61:$E$108)+SUMIF('11.2. Нови активи отч.год.'!$B$61:$B$108,$B134,'11.2. Нови активи отч.год.'!H$61:H$108)+SUMIF('11.1.Амортиз.нови активи'!$B$60:$B$107,$B134,'11.1.Амортиз.нови активи'!H$60:H$107)+('11.1.Амортиз.нови активи'!H$109*SUMIF('11.1.Амортиз.нови активи'!$B$60:$B$107,$B134,'11.1.Амортиз.нови активи'!AC$60:AC$107))</f>
        <v>0</v>
      </c>
      <c r="I134" s="898">
        <f>$E134-SUMIF('11.2. Нови активи отч.год.'!$B$61:$B$108,$B134,'11.2. Нови активи отч.год.'!$E$61:$E$108)+SUMIF('11.2. Нови активи отч.год.'!$B$61:$B$108,$B134,'11.2. Нови активи отч.год.'!I$61:I$108)+SUMIF('11.1.Амортиз.нови активи'!$B$60:$B$107,$B134,'11.1.Амортиз.нови активи'!I$60:I$107)+('11.1.Амортиз.нови активи'!I$109*SUMIF('11.1.Амортиз.нови активи'!$B$60:$B$107,$B134,'11.1.Амортиз.нови активи'!AD$60:AD$107))</f>
        <v>0</v>
      </c>
      <c r="J134" s="898">
        <f>$E134-SUMIF('11.2. Нови активи отч.год.'!$B$61:$B$108,$B134,'11.2. Нови активи отч.год.'!$E$61:$E$108)+SUMIF('11.2. Нови активи отч.год.'!$B$61:$B$108,$B134,'11.2. Нови активи отч.год.'!J$61:J$108)+SUMIF('11.1.Амортиз.нови активи'!$B$60:$B$107,$B134,'11.1.Амортиз.нови активи'!J$60:J$107)+('11.1.Амортиз.нови активи'!J$109*SUMIF('11.1.Амортиз.нови активи'!$B$60:$B$107,$B134,'11.1.Амортиз.нови активи'!AE$60:AE$107))</f>
        <v>0</v>
      </c>
      <c r="K134" s="898">
        <f>$E134-SUMIF('11.2. Нови активи отч.год.'!$B$61:$B$108,$B134,'11.2. Нови активи отч.год.'!$E$61:$E$108)+SUMIF('11.2. Нови активи отч.год.'!$B$61:$B$108,$B134,'11.2. Нови активи отч.год.'!K$61:K$108)+SUMIF('11.1.Амортиз.нови активи'!$B$60:$B$107,$B134,'11.1.Амортиз.нови активи'!K$60:K$107)+('11.1.Амортиз.нови активи'!K$109*SUMIF('11.1.Амортиз.нови активи'!$B$60:$B$107,$B134,'11.1.Амортиз.нови активи'!AF$60:AF$107))</f>
        <v>0</v>
      </c>
      <c r="L134" s="2250"/>
      <c r="M134" s="897">
        <f>$L134-SUMIF('11.2. Нови активи отч.год.'!$B$61:$B$108,$B134,'11.2. Нови активи отч.год.'!$L$61:$L$108)+SUMIF('11.2. Нови активи отч.год.'!$B$61:$B$108,$B134,'11.2. Нови активи отч.год.'!M$61:M$108)+SUMIF('11.1.Амортиз.нови активи'!$B$60:$B$107,$B134,'11.1.Амортиз.нови активи'!M$60:M$107)+('11.1.Амортиз.нови активи'!F$110*SUMIF('11.1.Амортиз.нови активи'!$B$60:$B$107,$B134,'11.1.Амортиз.нови активи'!AA$60:AA$107))</f>
        <v>0</v>
      </c>
      <c r="N134" s="898">
        <f>$L134-SUMIF('11.2. Нови активи отч.год.'!$B$61:$B$108,$B134,'11.2. Нови активи отч.год.'!$L$61:$L$108)+SUMIF('11.2. Нови активи отч.год.'!$B$61:$B$108,$B134,'11.2. Нови активи отч.год.'!N$61:N$108)+SUMIF('11.1.Амортиз.нови активи'!$B$60:$B$107,$B134,'11.1.Амортиз.нови активи'!N$60:N$107)+('11.1.Амортиз.нови активи'!G$110*SUMIF('11.1.Амортиз.нови активи'!$B$60:$B$107,$B134,'11.1.Амортиз.нови активи'!AB$60:AB$107))</f>
        <v>0</v>
      </c>
      <c r="O134" s="898">
        <f>$L134-SUMIF('11.2. Нови активи отч.год.'!$B$61:$B$108,$B134,'11.2. Нови активи отч.год.'!$L$61:$L$108)+SUMIF('11.2. Нови активи отч.год.'!$B$61:$B$108,$B134,'11.2. Нови активи отч.год.'!O$61:O$108)+SUMIF('11.1.Амортиз.нови активи'!$B$60:$B$107,$B134,'11.1.Амортиз.нови активи'!O$60:O$107)+('11.1.Амортиз.нови активи'!H$110*SUMIF('11.1.Амортиз.нови активи'!$B$60:$B$107,$B134,'11.1.Амортиз.нови активи'!AC$60:AC$107))</f>
        <v>0</v>
      </c>
      <c r="P134" s="898">
        <f>$L134-SUMIF('11.2. Нови активи отч.год.'!$B$61:$B$108,$B134,'11.2. Нови активи отч.год.'!$L$61:$L$108)+SUMIF('11.2. Нови активи отч.год.'!$B$61:$B$108,$B134,'11.2. Нови активи отч.год.'!P$61:P$108)+SUMIF('11.1.Амортиз.нови активи'!$B$60:$B$107,$B134,'11.1.Амортиз.нови активи'!P$60:P$107)+('11.1.Амортиз.нови активи'!I$110*SUMIF('11.1.Амортиз.нови активи'!$B$60:$B$107,$B134,'11.1.Амортиз.нови активи'!AD$60:AD$107))</f>
        <v>0</v>
      </c>
      <c r="Q134" s="898">
        <f>$L134-SUMIF('11.2. Нови активи отч.год.'!$B$61:$B$108,$B134,'11.2. Нови активи отч.год.'!$L$61:$L$108)+SUMIF('11.2. Нови активи отч.год.'!$B$61:$B$108,$B134,'11.2. Нови активи отч.год.'!Q$61:Q$108)+SUMIF('11.1.Амортиз.нови активи'!$B$60:$B$107,$B134,'11.1.Амортиз.нови активи'!Q$60:Q$107)+('11.1.Амортиз.нови активи'!J$110*SUMIF('11.1.Амортиз.нови активи'!$B$60:$B$107,$B134,'11.1.Амортиз.нови активи'!AE$60:AE$107))</f>
        <v>0</v>
      </c>
      <c r="R134" s="899">
        <f>$L134-SUMIF('11.2. Нови активи отч.год.'!$B$61:$B$108,$B134,'11.2. Нови активи отч.год.'!$L$61:$L$108)+SUMIF('11.2. Нови активи отч.год.'!$B$61:$B$108,$B134,'11.2. Нови активи отч.год.'!R$61:R$108)+SUMIF('11.1.Амортиз.нови активи'!$B$60:$B$107,$B134,'11.1.Амортиз.нови активи'!R$60:R$107)+('11.1.Амортиз.нови активи'!K$110*SUMIF('11.1.Амортиз.нови активи'!$B$60:$B$107,$B134,'11.1.Амортиз.нови активи'!AF$60:AF$107))</f>
        <v>0</v>
      </c>
      <c r="S134" s="2250"/>
      <c r="T134" s="897">
        <f>$S134-SUMIF('11.2. Нови активи отч.год.'!$B$61:$B$108,$B134,'11.2. Нови активи отч.год.'!$S$61:$S$108)+SUMIF('11.2. Нови активи отч.год.'!$B$61:$B$108,$B134,'11.2. Нови активи отч.год.'!T$61:T$108)+SUMIF('11.1.Амортиз.нови активи'!$B$60:$B$107,$B134,'11.1.Амортиз.нови активи'!T$60:T$107)+('11.1.Амортиз.нови активи'!F$111*SUMIF('11.1.Амортиз.нови активи'!$B$60:$B$107,$B134,'11.1.Амортиз.нови активи'!AA$60:AA$107))</f>
        <v>0</v>
      </c>
      <c r="U134" s="898">
        <f>$S134-SUMIF('11.2. Нови активи отч.год.'!$B$61:$B$108,$B134,'11.2. Нови активи отч.год.'!$S$61:$S$108)+SUMIF('11.2. Нови активи отч.год.'!$B$61:$B$108,$B134,'11.2. Нови активи отч.год.'!U$61:U$108)+SUMIF('11.1.Амортиз.нови активи'!$B$60:$B$107,$B134,'11.1.Амортиз.нови активи'!U$60:U$107)+('11.1.Амортиз.нови активи'!G$111*SUMIF('11.1.Амортиз.нови активи'!$B$60:$B$107,$B134,'11.1.Амортиз.нови активи'!AB$60:AB$107))</f>
        <v>0</v>
      </c>
      <c r="V134" s="898">
        <f>$S134-SUMIF('11.2. Нови активи отч.год.'!$B$61:$B$108,$B134,'11.2. Нови активи отч.год.'!$S$61:$S$108)+SUMIF('11.2. Нови активи отч.год.'!$B$61:$B$108,$B134,'11.2. Нови активи отч.год.'!V$61:V$108)+SUMIF('11.1.Амортиз.нови активи'!$B$60:$B$107,$B134,'11.1.Амортиз.нови активи'!V$60:V$107)+('11.1.Амортиз.нови активи'!H$111*SUMIF('11.1.Амортиз.нови активи'!$B$60:$B$107,$B134,'11.1.Амортиз.нови активи'!AC$60:AC$107))</f>
        <v>0</v>
      </c>
      <c r="W134" s="898">
        <f>$S134-SUMIF('11.2. Нови активи отч.год.'!$B$61:$B$108,$B134,'11.2. Нови активи отч.год.'!$S$61:$S$108)+SUMIF('11.2. Нови активи отч.год.'!$B$61:$B$108,$B134,'11.2. Нови активи отч.год.'!W$61:W$108)+SUMIF('11.1.Амортиз.нови активи'!$B$60:$B$107,$B134,'11.1.Амортиз.нови активи'!W$60:W$107)+('11.1.Амортиз.нови активи'!I$111*SUMIF('11.1.Амортиз.нови активи'!$B$60:$B$107,$B134,'11.1.Амортиз.нови активи'!AD$60:AD$107))</f>
        <v>0</v>
      </c>
      <c r="X134" s="898">
        <f>$S134-SUMIF('11.2. Нови активи отч.год.'!$B$61:$B$108,$B134,'11.2. Нови активи отч.год.'!$S$61:$S$108)+SUMIF('11.2. Нови активи отч.год.'!$B$61:$B$108,$B134,'11.2. Нови активи отч.год.'!X$61:X$108)+SUMIF('11.1.Амортиз.нови активи'!$B$60:$B$107,$B134,'11.1.Амортиз.нови активи'!X$60:X$107)+('11.1.Амортиз.нови активи'!J$111*SUMIF('11.1.Амортиз.нови активи'!$B$60:$B$107,$B134,'11.1.Амортиз.нови активи'!AE$60:AE$107))</f>
        <v>0</v>
      </c>
      <c r="Y134" s="899">
        <f>$S134-SUMIF('11.2. Нови активи отч.год.'!$B$61:$B$108,$B134,'11.2. Нови активи отч.год.'!$S$61:$S$108)+SUMIF('11.2. Нови активи отч.год.'!$B$61:$B$108,$B134,'11.2. Нови активи отч.год.'!Y$61:Y$108)+SUMIF('11.1.Амортиз.нови активи'!$B$60:$B$107,$B134,'11.1.Амортиз.нови активи'!Y$60:Y$107)+('11.1.Амортиз.нови активи'!K$111*SUMIF('11.1.Амортиз.нови активи'!$B$60:$B$107,$B134,'11.1.Амортиз.нови активи'!AF$60:AF$107))</f>
        <v>0</v>
      </c>
      <c r="Z134" s="1671"/>
      <c r="AA134" s="1702"/>
      <c r="AB134" s="1726"/>
    </row>
    <row r="135" spans="1:28" s="1642" customFormat="1">
      <c r="A135" s="1673">
        <v>5</v>
      </c>
      <c r="B135" s="1674">
        <v>2030501</v>
      </c>
      <c r="C135" s="1679">
        <v>0.1</v>
      </c>
      <c r="D135" s="1625" t="s">
        <v>580</v>
      </c>
      <c r="E135" s="2250"/>
      <c r="F135" s="897">
        <f>$E135-SUMIF('11.2. Нови активи отч.год.'!$B$61:$B$108,$B135,'11.2. Нови активи отч.год.'!$E$61:$E$108)+SUMIF('11.2. Нови активи отч.год.'!$B$61:$B$108,$B135,'11.2. Нови активи отч.год.'!F$61:F$108)+SUMIF('11.1.Амортиз.нови активи'!$B$60:$B$107,$B135,'11.1.Амортиз.нови активи'!F$60:F$107)+('11.1.Амортиз.нови активи'!F$109*SUMIF('11.1.Амортиз.нови активи'!$B$60:$B$107,$B135,'11.1.Амортиз.нови активи'!AA$60:AA$107))</f>
        <v>49.964708427063513</v>
      </c>
      <c r="G135" s="898">
        <f>$E135-SUMIF('11.2. Нови активи отч.год.'!$B$61:$B$108,$B135,'11.2. Нови активи отч.год.'!$E$61:$E$108)+SUMIF('11.2. Нови активи отч.год.'!$B$61:$B$108,$B135,'11.2. Нови активи отч.год.'!G$61:G$108)+SUMIF('11.1.Амортиз.нови активи'!$B$60:$B$107,$B135,'11.1.Амортиз.нови активи'!G$60:G$107)+('11.1.Амортиз.нови активи'!G$109*SUMIF('11.1.Амортиз.нови активи'!$B$60:$B$107,$B135,'11.1.Амортиз.нови активи'!AB$60:AB$107))</f>
        <v>154.37637668192718</v>
      </c>
      <c r="H135" s="898">
        <f>$E135-SUMIF('11.2. Нови активи отч.год.'!$B$61:$B$108,$B135,'11.2. Нови активи отч.год.'!$E$61:$E$108)+SUMIF('11.2. Нови активи отч.год.'!$B$61:$B$108,$B135,'11.2. Нови активи отч.год.'!H$61:H$108)+SUMIF('11.1.Амортиз.нови активи'!$B$60:$B$107,$B135,'11.1.Амортиз.нови активи'!H$60:H$107)+('11.1.Амортиз.нови активи'!H$109*SUMIF('11.1.Амортиз.нови активи'!$B$60:$B$107,$B135,'11.1.Амортиз.нови активи'!AC$60:AC$107))</f>
        <v>235.56759062482882</v>
      </c>
      <c r="I135" s="898">
        <f>$E135-SUMIF('11.2. Нови активи отч.год.'!$B$61:$B$108,$B135,'11.2. Нови активи отч.год.'!$E$61:$E$108)+SUMIF('11.2. Нови активи отч.год.'!$B$61:$B$108,$B135,'11.2. Нови активи отч.год.'!I$61:I$108)+SUMIF('11.1.Амортиз.нови активи'!$B$60:$B$107,$B135,'11.1.Амортиз.нови активи'!I$60:I$107)+('11.1.Амортиз.нови активи'!I$109*SUMIF('11.1.Амортиз.нови активи'!$B$60:$B$107,$B135,'11.1.Амортиз.нови активи'!AD$60:AD$107))</f>
        <v>289.9804830559458</v>
      </c>
      <c r="J135" s="898">
        <f>$E135-SUMIF('11.2. Нови активи отч.год.'!$B$61:$B$108,$B135,'11.2. Нови активи отч.год.'!$E$61:$E$108)+SUMIF('11.2. Нови активи отч.год.'!$B$61:$B$108,$B135,'11.2. Нови активи отч.год.'!J$61:J$108)+SUMIF('11.1.Амортиз.нови активи'!$B$60:$B$107,$B135,'11.1.Амортиз.нови активи'!J$60:J$107)+('11.1.Амортиз.нови активи'!J$109*SUMIF('11.1.Амортиз.нови активи'!$B$60:$B$107,$B135,'11.1.Амортиз.нови активи'!AE$60:AE$107))</f>
        <v>343.09530074718964</v>
      </c>
      <c r="K135" s="898">
        <f>$E135-SUMIF('11.2. Нови активи отч.год.'!$B$61:$B$108,$B135,'11.2. Нови активи отч.год.'!$E$61:$E$108)+SUMIF('11.2. Нови активи отч.год.'!$B$61:$B$108,$B135,'11.2. Нови активи отч.год.'!K$61:K$108)+SUMIF('11.1.Амортиз.нови активи'!$B$60:$B$107,$B135,'11.1.Амортиз.нови активи'!K$60:K$107)+('11.1.Амортиз.нови активи'!K$109*SUMIF('11.1.Амортиз.нови активи'!$B$60:$B$107,$B135,'11.1.Амортиз.нови активи'!AF$60:AF$107))</f>
        <v>397.85511468714333</v>
      </c>
      <c r="L135" s="2250"/>
      <c r="M135" s="897">
        <f>$L135-SUMIF('11.2. Нови активи отч.год.'!$B$61:$B$108,$B135,'11.2. Нови активи отч.год.'!$L$61:$L$108)+SUMIF('11.2. Нови активи отч.год.'!$B$61:$B$108,$B135,'11.2. Нови активи отч.год.'!M$61:M$108)+SUMIF('11.1.Амортиз.нови активи'!$B$60:$B$107,$B135,'11.1.Амортиз.нови активи'!M$60:M$107)+('11.1.Амортиз.нови активи'!F$110*SUMIF('11.1.Амортиз.нови активи'!$B$60:$B$107,$B135,'11.1.Амортиз.нови активи'!AA$60:AA$107))</f>
        <v>0.40237065236200037</v>
      </c>
      <c r="N135" s="898">
        <f>$L135-SUMIF('11.2. Нови активи отч.год.'!$B$61:$B$108,$B135,'11.2. Нови активи отч.год.'!$L$61:$L$108)+SUMIF('11.2. Нови активи отч.год.'!$B$61:$B$108,$B135,'11.2. Нови активи отч.год.'!N$61:N$108)+SUMIF('11.1.Амортиз.нови активи'!$B$60:$B$107,$B135,'11.1.Амортиз.нови активи'!N$60:N$107)+('11.1.Амортиз.нови активи'!G$110*SUMIF('11.1.Амортиз.нови активи'!$B$60:$B$107,$B135,'11.1.Амортиз.нови активи'!AB$60:AB$107))</f>
        <v>2.1519571676896443</v>
      </c>
      <c r="O135" s="898">
        <f>$L135-SUMIF('11.2. Нови активи отч.год.'!$B$61:$B$108,$B135,'11.2. Нови активи отч.год.'!$L$61:$L$108)+SUMIF('11.2. Нови активи отч.год.'!$B$61:$B$108,$B135,'11.2. Нови активи отч.год.'!O$61:O$108)+SUMIF('11.1.Амортиз.нови активи'!$B$60:$B$107,$B135,'11.1.Амортиз.нови активи'!O$60:O$107)+('11.1.Амортиз.нови активи'!H$110*SUMIF('11.1.Амортиз.нови активи'!$B$60:$B$107,$B135,'11.1.Амортиз.нови активи'!AC$60:AC$107))</f>
        <v>7.1092093800427305</v>
      </c>
      <c r="P135" s="898">
        <f>$L135-SUMIF('11.2. Нови активи отч.год.'!$B$61:$B$108,$B135,'11.2. Нови активи отч.год.'!$L$61:$L$108)+SUMIF('11.2. Нови активи отч.год.'!$B$61:$B$108,$B135,'11.2. Нови активи отч.год.'!P$61:P$108)+SUMIF('11.1.Амортиз.нови активи'!$B$60:$B$107,$B135,'11.1.Амортиз.нови активи'!P$60:P$107)+('11.1.Амортиз.нови активи'!I$110*SUMIF('11.1.Амортиз.нови активи'!$B$60:$B$107,$B135,'11.1.Амортиз.нови активи'!AD$60:AD$107))</f>
        <v>13.736970618061271</v>
      </c>
      <c r="Q135" s="898">
        <f>$L135-SUMIF('11.2. Нови активи отч.год.'!$B$61:$B$108,$B135,'11.2. Нови активи отч.год.'!$L$61:$L$108)+SUMIF('11.2. Нови активи отч.год.'!$B$61:$B$108,$B135,'11.2. Нови активи отч.год.'!Q$61:Q$108)+SUMIF('11.1.Амортиз.нови активи'!$B$60:$B$107,$B135,'11.1.Амортиз.нови активи'!Q$60:Q$107)+('11.1.Амортиз.нови активи'!J$110*SUMIF('11.1.Амортиз.нови активи'!$B$60:$B$107,$B135,'11.1.Амортиз.нови активи'!AE$60:AE$107))</f>
        <v>20.00329016265453</v>
      </c>
      <c r="R135" s="899">
        <f>$L135-SUMIF('11.2. Нови активи отч.год.'!$B$61:$B$108,$B135,'11.2. Нови активи отч.год.'!$L$61:$L$108)+SUMIF('11.2. Нови активи отч.год.'!$B$61:$B$108,$B135,'11.2. Нови активи отч.год.'!R$61:R$108)+SUMIF('11.1.Амортиз.нови активи'!$B$60:$B$107,$B135,'11.1.Амортиз.нови активи'!R$60:R$107)+('11.1.Амортиз.нови активи'!K$110*SUMIF('11.1.Амортиз.нови активи'!$B$60:$B$107,$B135,'11.1.Амортиз.нови активи'!AF$60:AF$107))</f>
        <v>25.758460857778243</v>
      </c>
      <c r="S135" s="2250"/>
      <c r="T135" s="897">
        <f>$S135-SUMIF('11.2. Нови активи отч.год.'!$B$61:$B$108,$B135,'11.2. Нови активи отч.год.'!$S$61:$S$108)+SUMIF('11.2. Нови активи отч.год.'!$B$61:$B$108,$B135,'11.2. Нови активи отч.год.'!T$61:T$108)+SUMIF('11.1.Амортиз.нови активи'!$B$60:$B$107,$B135,'11.1.Амортиз.нови активи'!T$60:T$107)+('11.1.Амортиз.нови активи'!F$111*SUMIF('11.1.Амортиз.нови активи'!$B$60:$B$107,$B135,'11.1.Амортиз.нови активи'!AA$60:AA$107))</f>
        <v>1.2829209205744943</v>
      </c>
      <c r="U135" s="898">
        <f>$S135-SUMIF('11.2. Нови активи отч.год.'!$B$61:$B$108,$B135,'11.2. Нови активи отч.год.'!$S$61:$S$108)+SUMIF('11.2. Нови активи отч.год.'!$B$61:$B$108,$B135,'11.2. Нови активи отч.год.'!U$61:U$108)+SUMIF('11.1.Амортиз.нови активи'!$B$60:$B$107,$B135,'11.1.Амортиз.нови активи'!U$60:U$107)+('11.1.Амортиз.нови активи'!G$111*SUMIF('11.1.Амортиз.нови активи'!$B$60:$B$107,$B135,'11.1.Амортиз.нови активи'!AB$60:AB$107))</f>
        <v>7.9716661503831716</v>
      </c>
      <c r="V135" s="898">
        <f>$S135-SUMIF('11.2. Нови активи отч.год.'!$B$61:$B$108,$B135,'11.2. Нови активи отч.год.'!$S$61:$S$108)+SUMIF('11.2. Нови активи отч.год.'!$B$61:$B$108,$B135,'11.2. Нови активи отч.год.'!V$61:V$108)+SUMIF('11.1.Амортиз.нови активи'!$B$60:$B$107,$B135,'11.1.Амортиз.нови активи'!V$60:V$107)+('11.1.Амортиз.нови активи'!H$111*SUMIF('11.1.Амортиз.нови активи'!$B$60:$B$107,$B135,'11.1.Амортиз.нови активи'!AC$60:AC$107))</f>
        <v>21.37319999512847</v>
      </c>
      <c r="W135" s="898">
        <f>$S135-SUMIF('11.2. Нови активи отч.год.'!$B$61:$B$108,$B135,'11.2. Нови активи отч.год.'!$S$61:$S$108)+SUMIF('11.2. Нови активи отч.год.'!$B$61:$B$108,$B135,'11.2. Нови активи отч.год.'!W$61:W$108)+SUMIF('11.1.Амортиз.нови активи'!$B$60:$B$107,$B135,'11.1.Амортиз.нови активи'!W$60:W$107)+('11.1.Амортиз.нови активи'!I$111*SUMIF('11.1.Амортиз.нови активи'!$B$60:$B$107,$B135,'11.1.Амортиз.нови активи'!AD$60:AD$107))</f>
        <v>36.78254632599301</v>
      </c>
      <c r="X135" s="898">
        <f>$S135-SUMIF('11.2. Нови активи отч.год.'!$B$61:$B$108,$B135,'11.2. Нови активи отч.год.'!$S$61:$S$108)+SUMIF('11.2. Нови активи отч.год.'!$B$61:$B$108,$B135,'11.2. Нови активи отч.год.'!X$61:X$108)+SUMIF('11.1.Амортиз.нови активи'!$B$60:$B$107,$B135,'11.1.Амортиз.нови активи'!X$60:X$107)+('11.1.Амортиз.нови активи'!J$111*SUMIF('11.1.Амортиз.нови активи'!$B$60:$B$107,$B135,'11.1.Амортиз.нови активи'!AE$60:AE$107))</f>
        <v>53.551409090155843</v>
      </c>
      <c r="Y135" s="899">
        <f>$S135-SUMIF('11.2. Нови активи отч.год.'!$B$61:$B$108,$B135,'11.2. Нови активи отч.год.'!$S$61:$S$108)+SUMIF('11.2. Нови активи отч.год.'!$B$61:$B$108,$B135,'11.2. Нови активи отч.год.'!Y$61:Y$108)+SUMIF('11.1.Амортиз.нови активи'!$B$60:$B$107,$B135,'11.1.Амортиз.нови активи'!Y$60:Y$107)+('11.1.Амортиз.нови активи'!K$111*SUMIF('11.1.Амортиз.нови активи'!$B$60:$B$107,$B135,'11.1.Амортиз.нови активи'!AF$60:AF$107))</f>
        <v>69.136424455078412</v>
      </c>
      <c r="Z135" s="1680"/>
      <c r="AA135" s="1702"/>
      <c r="AB135" s="1726"/>
    </row>
    <row r="136" spans="1:28" s="1642" customFormat="1" ht="24">
      <c r="A136" s="1673">
        <v>6</v>
      </c>
      <c r="B136" s="1674">
        <v>2030502</v>
      </c>
      <c r="C136" s="1679">
        <v>0.1</v>
      </c>
      <c r="D136" s="1625" t="s">
        <v>948</v>
      </c>
      <c r="E136" s="2250"/>
      <c r="F136" s="897">
        <f>$E136-SUMIF('11.2. Нови активи отч.год.'!$B$61:$B$108,$B136,'11.2. Нови активи отч.год.'!$E$61:$E$108)+SUMIF('11.2. Нови активи отч.год.'!$B$61:$B$108,$B136,'11.2. Нови активи отч.год.'!F$61:F$108)+SUMIF('11.1.Амортиз.нови активи'!$B$60:$B$107,$B136,'11.1.Амортиз.нови активи'!F$60:F$107)+('11.1.Амортиз.нови активи'!F$109*SUMIF('11.1.Амортиз.нови активи'!$B$60:$B$107,$B136,'11.1.Амортиз.нови активи'!AA$60:AA$107))</f>
        <v>4.1500000000000004</v>
      </c>
      <c r="G136" s="898">
        <f>$E136-SUMIF('11.2. Нови активи отч.год.'!$B$61:$B$108,$B136,'11.2. Нови активи отч.год.'!$E$61:$E$108)+SUMIF('11.2. Нови активи отч.год.'!$B$61:$B$108,$B136,'11.2. Нови активи отч.год.'!G$61:G$108)+SUMIF('11.1.Амортиз.нови активи'!$B$60:$B$107,$B136,'11.1.Амортиз.нови активи'!G$60:G$107)+('11.1.Амортиз.нови активи'!G$109*SUMIF('11.1.Амортиз.нови активи'!$B$60:$B$107,$B136,'11.1.Амортиз.нови активи'!AB$60:AB$107))</f>
        <v>18.55</v>
      </c>
      <c r="H136" s="898">
        <f>$E136-SUMIF('11.2. Нови активи отч.год.'!$B$61:$B$108,$B136,'11.2. Нови активи отч.год.'!$E$61:$E$108)+SUMIF('11.2. Нови активи отч.год.'!$B$61:$B$108,$B136,'11.2. Нови активи отч.год.'!H$61:H$108)+SUMIF('11.1.Амортиз.нови активи'!$B$60:$B$107,$B136,'11.1.Амортиз.нови активи'!H$60:H$107)+('11.1.Амортиз.нови активи'!H$109*SUMIF('11.1.Амортиз.нови активи'!$B$60:$B$107,$B136,'11.1.Амортиз.нови активи'!AC$60:AC$107))</f>
        <v>30.8</v>
      </c>
      <c r="I136" s="898">
        <f>$E136-SUMIF('11.2. Нови активи отч.год.'!$B$61:$B$108,$B136,'11.2. Нови активи отч.год.'!$E$61:$E$108)+SUMIF('11.2. Нови активи отч.год.'!$B$61:$B$108,$B136,'11.2. Нови активи отч.год.'!I$61:I$108)+SUMIF('11.1.Амортиз.нови активи'!$B$60:$B$107,$B136,'11.1.Амортиз.нови активи'!I$60:I$107)+('11.1.Амортиз.нови активи'!I$109*SUMIF('11.1.Амортиз.нови активи'!$B$60:$B$107,$B136,'11.1.Амортиз.нови активи'!AD$60:AD$107))</f>
        <v>33.799999999999997</v>
      </c>
      <c r="J136" s="898">
        <f>$E136-SUMIF('11.2. Нови активи отч.год.'!$B$61:$B$108,$B136,'11.2. Нови активи отч.год.'!$E$61:$E$108)+SUMIF('11.2. Нови активи отч.год.'!$B$61:$B$108,$B136,'11.2. Нови активи отч.год.'!J$61:J$108)+SUMIF('11.1.Амортиз.нови активи'!$B$60:$B$107,$B136,'11.1.Амортиз.нови активи'!J$60:J$107)+('11.1.Амортиз.нови активи'!J$109*SUMIF('11.1.Амортиз.нови активи'!$B$60:$B$107,$B136,'11.1.Амортиз.нови активи'!AE$60:AE$107))</f>
        <v>35.799999999999997</v>
      </c>
      <c r="K136" s="898">
        <f>$E136-SUMIF('11.2. Нови активи отч.год.'!$B$61:$B$108,$B136,'11.2. Нови активи отч.год.'!$E$61:$E$108)+SUMIF('11.2. Нови активи отч.год.'!$B$61:$B$108,$B136,'11.2. Нови активи отч.год.'!K$61:K$108)+SUMIF('11.1.Амортиз.нови активи'!$B$60:$B$107,$B136,'11.1.Амортиз.нови активи'!K$60:K$107)+('11.1.Амортиз.нови активи'!K$109*SUMIF('11.1.Амортиз.нови активи'!$B$60:$B$107,$B136,'11.1.Амортиз.нови активи'!AF$60:AF$107))</f>
        <v>37.799999999999997</v>
      </c>
      <c r="L136" s="2250"/>
      <c r="M136" s="897">
        <f>$L136-SUMIF('11.2. Нови активи отч.год.'!$B$61:$B$108,$B136,'11.2. Нови активи отч.год.'!$L$61:$L$108)+SUMIF('11.2. Нови активи отч.год.'!$B$61:$B$108,$B136,'11.2. Нови активи отч.год.'!M$61:M$108)+SUMIF('11.1.Амортиз.нови активи'!$B$60:$B$107,$B136,'11.1.Амортиз.нови активи'!M$60:M$107)+('11.1.Амортиз.нови активи'!F$110*SUMIF('11.1.Амортиз.нови активи'!$B$60:$B$107,$B136,'11.1.Амортиз.нови активи'!AA$60:AA$107))</f>
        <v>0</v>
      </c>
      <c r="N136" s="898">
        <f>$L136-SUMIF('11.2. Нови активи отч.год.'!$B$61:$B$108,$B136,'11.2. Нови активи отч.год.'!$L$61:$L$108)+SUMIF('11.2. Нови активи отч.год.'!$B$61:$B$108,$B136,'11.2. Нови активи отч.год.'!N$61:N$108)+SUMIF('11.1.Амортиз.нови активи'!$B$60:$B$107,$B136,'11.1.Амортиз.нови активи'!N$60:N$107)+('11.1.Амортиз.нови активи'!G$110*SUMIF('11.1.Амортиз.нови активи'!$B$60:$B$107,$B136,'11.1.Амортиз.нови активи'!AB$60:AB$107))</f>
        <v>0</v>
      </c>
      <c r="O136" s="898">
        <f>$L136-SUMIF('11.2. Нови активи отч.год.'!$B$61:$B$108,$B136,'11.2. Нови активи отч.год.'!$L$61:$L$108)+SUMIF('11.2. Нови активи отч.год.'!$B$61:$B$108,$B136,'11.2. Нови активи отч.год.'!O$61:O$108)+SUMIF('11.1.Амортиз.нови активи'!$B$60:$B$107,$B136,'11.1.Амортиз.нови активи'!O$60:O$107)+('11.1.Амортиз.нови активи'!H$110*SUMIF('11.1.Амортиз.нови активи'!$B$60:$B$107,$B136,'11.1.Амортиз.нови активи'!AC$60:AC$107))</f>
        <v>0</v>
      </c>
      <c r="P136" s="898">
        <f>$L136-SUMIF('11.2. Нови активи отч.год.'!$B$61:$B$108,$B136,'11.2. Нови активи отч.год.'!$L$61:$L$108)+SUMIF('11.2. Нови активи отч.год.'!$B$61:$B$108,$B136,'11.2. Нови активи отч.год.'!P$61:P$108)+SUMIF('11.1.Амортиз.нови активи'!$B$60:$B$107,$B136,'11.1.Амортиз.нови активи'!P$60:P$107)+('11.1.Амортиз.нови активи'!I$110*SUMIF('11.1.Амортиз.нови активи'!$B$60:$B$107,$B136,'11.1.Амортиз.нови активи'!AD$60:AD$107))</f>
        <v>0</v>
      </c>
      <c r="Q136" s="898">
        <f>$L136-SUMIF('11.2. Нови активи отч.год.'!$B$61:$B$108,$B136,'11.2. Нови активи отч.год.'!$L$61:$L$108)+SUMIF('11.2. Нови активи отч.год.'!$B$61:$B$108,$B136,'11.2. Нови активи отч.год.'!Q$61:Q$108)+SUMIF('11.1.Амортиз.нови активи'!$B$60:$B$107,$B136,'11.1.Амортиз.нови активи'!Q$60:Q$107)+('11.1.Амортиз.нови активи'!J$110*SUMIF('11.1.Амортиз.нови активи'!$B$60:$B$107,$B136,'11.1.Амортиз.нови активи'!AE$60:AE$107))</f>
        <v>0</v>
      </c>
      <c r="R136" s="899">
        <f>$L136-SUMIF('11.2. Нови активи отч.год.'!$B$61:$B$108,$B136,'11.2. Нови активи отч.год.'!$L$61:$L$108)+SUMIF('11.2. Нови активи отч.год.'!$B$61:$B$108,$B136,'11.2. Нови активи отч.год.'!R$61:R$108)+SUMIF('11.1.Амортиз.нови активи'!$B$60:$B$107,$B136,'11.1.Амортиз.нови активи'!R$60:R$107)+('11.1.Амортиз.нови активи'!K$110*SUMIF('11.1.Амортиз.нови активи'!$B$60:$B$107,$B136,'11.1.Амортиз.нови активи'!AF$60:AF$107))</f>
        <v>0</v>
      </c>
      <c r="S136" s="2250"/>
      <c r="T136" s="897">
        <f>$S136-SUMIF('11.2. Нови активи отч.год.'!$B$61:$B$108,$B136,'11.2. Нови активи отч.год.'!$S$61:$S$108)+SUMIF('11.2. Нови активи отч.год.'!$B$61:$B$108,$B136,'11.2. Нови активи отч.год.'!T$61:T$108)+SUMIF('11.1.Амортиз.нови активи'!$B$60:$B$107,$B136,'11.1.Амортиз.нови активи'!T$60:T$107)+('11.1.Амортиз.нови активи'!F$111*SUMIF('11.1.Амортиз.нови активи'!$B$60:$B$107,$B136,'11.1.Амортиз.нови активи'!AA$60:AA$107))</f>
        <v>0</v>
      </c>
      <c r="U136" s="898">
        <f>$S136-SUMIF('11.2. Нови активи отч.год.'!$B$61:$B$108,$B136,'11.2. Нови активи отч.год.'!$S$61:$S$108)+SUMIF('11.2. Нови активи отч.год.'!$B$61:$B$108,$B136,'11.2. Нови активи отч.год.'!U$61:U$108)+SUMIF('11.1.Амортиз.нови активи'!$B$60:$B$107,$B136,'11.1.Амортиз.нови активи'!U$60:U$107)+('11.1.Амортиз.нови активи'!G$111*SUMIF('11.1.Амортиз.нови активи'!$B$60:$B$107,$B136,'11.1.Амортиз.нови активи'!AB$60:AB$107))</f>
        <v>0</v>
      </c>
      <c r="V136" s="898">
        <f>$S136-SUMIF('11.2. Нови активи отч.год.'!$B$61:$B$108,$B136,'11.2. Нови активи отч.год.'!$S$61:$S$108)+SUMIF('11.2. Нови активи отч.год.'!$B$61:$B$108,$B136,'11.2. Нови активи отч.год.'!V$61:V$108)+SUMIF('11.1.Амортиз.нови активи'!$B$60:$B$107,$B136,'11.1.Амортиз.нови активи'!V$60:V$107)+('11.1.Амортиз.нови активи'!H$111*SUMIF('11.1.Амортиз.нови активи'!$B$60:$B$107,$B136,'11.1.Амортиз.нови активи'!AC$60:AC$107))</f>
        <v>0</v>
      </c>
      <c r="W136" s="898">
        <f>$S136-SUMIF('11.2. Нови активи отч.год.'!$B$61:$B$108,$B136,'11.2. Нови активи отч.год.'!$S$61:$S$108)+SUMIF('11.2. Нови активи отч.год.'!$B$61:$B$108,$B136,'11.2. Нови активи отч.год.'!W$61:W$108)+SUMIF('11.1.Амортиз.нови активи'!$B$60:$B$107,$B136,'11.1.Амортиз.нови активи'!W$60:W$107)+('11.1.Амортиз.нови активи'!I$111*SUMIF('11.1.Амортиз.нови активи'!$B$60:$B$107,$B136,'11.1.Амортиз.нови активи'!AD$60:AD$107))</f>
        <v>0</v>
      </c>
      <c r="X136" s="898">
        <f>$S136-SUMIF('11.2. Нови активи отч.год.'!$B$61:$B$108,$B136,'11.2. Нови активи отч.год.'!$S$61:$S$108)+SUMIF('11.2. Нови активи отч.год.'!$B$61:$B$108,$B136,'11.2. Нови активи отч.год.'!X$61:X$108)+SUMIF('11.1.Амортиз.нови активи'!$B$60:$B$107,$B136,'11.1.Амортиз.нови активи'!X$60:X$107)+('11.1.Амортиз.нови активи'!J$111*SUMIF('11.1.Амортиз.нови активи'!$B$60:$B$107,$B136,'11.1.Амортиз.нови активи'!AE$60:AE$107))</f>
        <v>0</v>
      </c>
      <c r="Y136" s="899">
        <f>$S136-SUMIF('11.2. Нови активи отч.год.'!$B$61:$B$108,$B136,'11.2. Нови активи отч.год.'!$S$61:$S$108)+SUMIF('11.2. Нови активи отч.год.'!$B$61:$B$108,$B136,'11.2. Нови активи отч.год.'!Y$61:Y$108)+SUMIF('11.1.Амортиз.нови активи'!$B$60:$B$107,$B136,'11.1.Амортиз.нови активи'!Y$60:Y$107)+('11.1.Амортиз.нови активи'!K$111*SUMIF('11.1.Амортиз.нови активи'!$B$60:$B$107,$B136,'11.1.Амортиз.нови активи'!AF$60:AF$107))</f>
        <v>0</v>
      </c>
      <c r="Z136" s="1671"/>
      <c r="AA136" s="1702"/>
      <c r="AB136" s="1726"/>
    </row>
    <row r="137" spans="1:28" s="1642" customFormat="1">
      <c r="A137" s="1673">
        <v>7</v>
      </c>
      <c r="B137" s="1674">
        <v>2030503</v>
      </c>
      <c r="C137" s="1679">
        <v>0.1</v>
      </c>
      <c r="D137" s="1625" t="s">
        <v>966</v>
      </c>
      <c r="E137" s="2250"/>
      <c r="F137" s="897">
        <f>$E137-SUMIF('11.2. Нови активи отч.год.'!$B$61:$B$108,$B137,'11.2. Нови активи отч.год.'!$E$61:$E$108)+SUMIF('11.2. Нови активи отч.год.'!$B$61:$B$108,$B137,'11.2. Нови активи отч.год.'!F$61:F$108)+SUMIF('11.1.Амортиз.нови активи'!$B$60:$B$107,$B137,'11.1.Амортиз.нови активи'!F$60:F$107)+('11.1.Амортиз.нови активи'!F$109*SUMIF('11.1.Амортиз.нови активи'!$B$60:$B$107,$B137,'11.1.Амортиз.нови активи'!AA$60:AA$107))</f>
        <v>0</v>
      </c>
      <c r="G137" s="898">
        <f>$E137-SUMIF('11.2. Нови активи отч.год.'!$B$61:$B$108,$B137,'11.2. Нови активи отч.год.'!$E$61:$E$108)+SUMIF('11.2. Нови активи отч.год.'!$B$61:$B$108,$B137,'11.2. Нови активи отч.год.'!G$61:G$108)+SUMIF('11.1.Амортиз.нови активи'!$B$60:$B$107,$B137,'11.1.Амортиз.нови активи'!G$60:G$107)+('11.1.Амортиз.нови активи'!G$109*SUMIF('11.1.Амортиз.нови активи'!$B$60:$B$107,$B137,'11.1.Амортиз.нови активи'!AB$60:AB$107))</f>
        <v>0.25</v>
      </c>
      <c r="H137" s="898">
        <f>$E137-SUMIF('11.2. Нови активи отч.год.'!$B$61:$B$108,$B137,'11.2. Нови активи отч.год.'!$E$61:$E$108)+SUMIF('11.2. Нови активи отч.год.'!$B$61:$B$108,$B137,'11.2. Нови активи отч.год.'!H$61:H$108)+SUMIF('11.1.Амортиз.нови активи'!$B$60:$B$107,$B137,'11.1.Амортиз.нови активи'!H$60:H$107)+('11.1.Амортиз.нови активи'!H$109*SUMIF('11.1.Амортиз.нови активи'!$B$60:$B$107,$B137,'11.1.Амортиз.нови активи'!AC$60:AC$107))</f>
        <v>0.75</v>
      </c>
      <c r="I137" s="898">
        <f>$E137-SUMIF('11.2. Нови активи отч.год.'!$B$61:$B$108,$B137,'11.2. Нови активи отч.год.'!$E$61:$E$108)+SUMIF('11.2. Нови активи отч.год.'!$B$61:$B$108,$B137,'11.2. Нови активи отч.год.'!I$61:I$108)+SUMIF('11.1.Амортиз.нови активи'!$B$60:$B$107,$B137,'11.1.Амортиз.нови активи'!I$60:I$107)+('11.1.Амортиз.нови активи'!I$109*SUMIF('11.1.Амортиз.нови активи'!$B$60:$B$107,$B137,'11.1.Амортиз.нови активи'!AD$60:AD$107))</f>
        <v>1.25</v>
      </c>
      <c r="J137" s="898">
        <f>$E137-SUMIF('11.2. Нови активи отч.год.'!$B$61:$B$108,$B137,'11.2. Нови активи отч.год.'!$E$61:$E$108)+SUMIF('11.2. Нови активи отч.год.'!$B$61:$B$108,$B137,'11.2. Нови активи отч.год.'!J$61:J$108)+SUMIF('11.1.Амортиз.нови активи'!$B$60:$B$107,$B137,'11.1.Амортиз.нови активи'!J$60:J$107)+('11.1.Амортиз.нови активи'!J$109*SUMIF('11.1.Амортиз.нови активи'!$B$60:$B$107,$B137,'11.1.Амортиз.нови активи'!AE$60:AE$107))</f>
        <v>1.75</v>
      </c>
      <c r="K137" s="898">
        <f>$E137-SUMIF('11.2. Нови активи отч.год.'!$B$61:$B$108,$B137,'11.2. Нови активи отч.год.'!$E$61:$E$108)+SUMIF('11.2. Нови активи отч.год.'!$B$61:$B$108,$B137,'11.2. Нови активи отч.год.'!K$61:K$108)+SUMIF('11.1.Амортиз.нови активи'!$B$60:$B$107,$B137,'11.1.Амортиз.нови активи'!K$60:K$107)+('11.1.Амортиз.нови активи'!K$109*SUMIF('11.1.Амортиз.нови активи'!$B$60:$B$107,$B137,'11.1.Амортиз.нови активи'!AF$60:AF$107))</f>
        <v>2.25</v>
      </c>
      <c r="L137" s="2250"/>
      <c r="M137" s="897">
        <f>$L137-SUMIF('11.2. Нови активи отч.год.'!$B$61:$B$108,$B137,'11.2. Нови активи отч.год.'!$L$61:$L$108)+SUMIF('11.2. Нови активи отч.год.'!$B$61:$B$108,$B137,'11.2. Нови активи отч.год.'!M$61:M$108)+SUMIF('11.1.Амортиз.нови активи'!$B$60:$B$107,$B137,'11.1.Амортиз.нови активи'!M$60:M$107)+('11.1.Амортиз.нови активи'!F$110*SUMIF('11.1.Амортиз.нови активи'!$B$60:$B$107,$B137,'11.1.Амортиз.нови активи'!AA$60:AA$107))</f>
        <v>0</v>
      </c>
      <c r="N137" s="898">
        <f>$L137-SUMIF('11.2. Нови активи отч.год.'!$B$61:$B$108,$B137,'11.2. Нови активи отч.год.'!$L$61:$L$108)+SUMIF('11.2. Нови активи отч.год.'!$B$61:$B$108,$B137,'11.2. Нови активи отч.год.'!N$61:N$108)+SUMIF('11.1.Амортиз.нови активи'!$B$60:$B$107,$B137,'11.1.Амортиз.нови активи'!N$60:N$107)+('11.1.Амортиз.нови активи'!G$110*SUMIF('11.1.Амортиз.нови активи'!$B$60:$B$107,$B137,'11.1.Амортиз.нови активи'!AB$60:AB$107))</f>
        <v>0</v>
      </c>
      <c r="O137" s="898">
        <f>$L137-SUMIF('11.2. Нови активи отч.год.'!$B$61:$B$108,$B137,'11.2. Нови активи отч.год.'!$L$61:$L$108)+SUMIF('11.2. Нови активи отч.год.'!$B$61:$B$108,$B137,'11.2. Нови активи отч.год.'!O$61:O$108)+SUMIF('11.1.Амортиз.нови активи'!$B$60:$B$107,$B137,'11.1.Амортиз.нови активи'!O$60:O$107)+('11.1.Амортиз.нови активи'!H$110*SUMIF('11.1.Амортиз.нови активи'!$B$60:$B$107,$B137,'11.1.Амортиз.нови активи'!AC$60:AC$107))</f>
        <v>0.25</v>
      </c>
      <c r="P137" s="898">
        <f>$L137-SUMIF('11.2. Нови активи отч.год.'!$B$61:$B$108,$B137,'11.2. Нови активи отч.год.'!$L$61:$L$108)+SUMIF('11.2. Нови активи отч.год.'!$B$61:$B$108,$B137,'11.2. Нови активи отч.год.'!P$61:P$108)+SUMIF('11.1.Амортиз.нови активи'!$B$60:$B$107,$B137,'11.1.Амортиз.нови активи'!P$60:P$107)+('11.1.Амортиз.нови активи'!I$110*SUMIF('11.1.Амортиз.нови активи'!$B$60:$B$107,$B137,'11.1.Амортиз.нови активи'!AD$60:AD$107))</f>
        <v>0.75</v>
      </c>
      <c r="Q137" s="898">
        <f>$L137-SUMIF('11.2. Нови активи отч.год.'!$B$61:$B$108,$B137,'11.2. Нови активи отч.год.'!$L$61:$L$108)+SUMIF('11.2. Нови активи отч.год.'!$B$61:$B$108,$B137,'11.2. Нови активи отч.год.'!Q$61:Q$108)+SUMIF('11.1.Амортиз.нови активи'!$B$60:$B$107,$B137,'11.1.Амортиз.нови активи'!Q$60:Q$107)+('11.1.Амортиз.нови активи'!J$110*SUMIF('11.1.Амортиз.нови активи'!$B$60:$B$107,$B137,'11.1.Амортиз.нови активи'!AE$60:AE$107))</f>
        <v>1.25</v>
      </c>
      <c r="R137" s="899">
        <f>$L137-SUMIF('11.2. Нови активи отч.год.'!$B$61:$B$108,$B137,'11.2. Нови активи отч.год.'!$L$61:$L$108)+SUMIF('11.2. Нови активи отч.год.'!$B$61:$B$108,$B137,'11.2. Нови активи отч.год.'!R$61:R$108)+SUMIF('11.1.Амортиз.нови активи'!$B$60:$B$107,$B137,'11.1.Амортиз.нови активи'!R$60:R$107)+('11.1.Амортиз.нови активи'!K$110*SUMIF('11.1.Амортиз.нови активи'!$B$60:$B$107,$B137,'11.1.Амортиз.нови активи'!AF$60:AF$107))</f>
        <v>1.75</v>
      </c>
      <c r="S137" s="2250"/>
      <c r="T137" s="897">
        <f>$S137-SUMIF('11.2. Нови активи отч.год.'!$B$61:$B$108,$B137,'11.2. Нови активи отч.год.'!$S$61:$S$108)+SUMIF('11.2. Нови активи отч.год.'!$B$61:$B$108,$B137,'11.2. Нови активи отч.год.'!T$61:T$108)+SUMIF('11.1.Амортиз.нови активи'!$B$60:$B$107,$B137,'11.1.Амортиз.нови активи'!T$60:T$107)+('11.1.Амортиз.нови активи'!F$111*SUMIF('11.1.Амортиз.нови активи'!$B$60:$B$107,$B137,'11.1.Амортиз.нови активи'!AA$60:AA$107))</f>
        <v>0</v>
      </c>
      <c r="U137" s="898">
        <f>$S137-SUMIF('11.2. Нови активи отч.год.'!$B$61:$B$108,$B137,'11.2. Нови активи отч.год.'!$S$61:$S$108)+SUMIF('11.2. Нови активи отч.год.'!$B$61:$B$108,$B137,'11.2. Нови активи отч.год.'!U$61:U$108)+SUMIF('11.1.Амортиз.нови активи'!$B$60:$B$107,$B137,'11.1.Амортиз.нови активи'!U$60:U$107)+('11.1.Амортиз.нови активи'!G$111*SUMIF('11.1.Амортиз.нови активи'!$B$60:$B$107,$B137,'11.1.Амортиз.нови активи'!AB$60:AB$107))</f>
        <v>1</v>
      </c>
      <c r="V137" s="898">
        <f>$S137-SUMIF('11.2. Нови активи отч.год.'!$B$61:$B$108,$B137,'11.2. Нови активи отч.год.'!$S$61:$S$108)+SUMIF('11.2. Нови активи отч.год.'!$B$61:$B$108,$B137,'11.2. Нови активи отч.год.'!V$61:V$108)+SUMIF('11.1.Амортиз.нови активи'!$B$60:$B$107,$B137,'11.1.Амортиз.нови активи'!V$60:V$107)+('11.1.Амортиз.нови активи'!H$111*SUMIF('11.1.Амортиз.нови активи'!$B$60:$B$107,$B137,'11.1.Амортиз.нови активи'!AC$60:AC$107))</f>
        <v>3</v>
      </c>
      <c r="W137" s="898">
        <f>$S137-SUMIF('11.2. Нови активи отч.год.'!$B$61:$B$108,$B137,'11.2. Нови активи отч.год.'!$S$61:$S$108)+SUMIF('11.2. Нови активи отч.год.'!$B$61:$B$108,$B137,'11.2. Нови активи отч.год.'!W$61:W$108)+SUMIF('11.1.Амортиз.нови активи'!$B$60:$B$107,$B137,'11.1.Амортиз.нови активи'!W$60:W$107)+('11.1.Амортиз.нови активи'!I$111*SUMIF('11.1.Амортиз.нови активи'!$B$60:$B$107,$B137,'11.1.Амортиз.нови активи'!AD$60:AD$107))</f>
        <v>5</v>
      </c>
      <c r="X137" s="898">
        <f>$S137-SUMIF('11.2. Нови активи отч.год.'!$B$61:$B$108,$B137,'11.2. Нови активи отч.год.'!$S$61:$S$108)+SUMIF('11.2. Нови активи отч.год.'!$B$61:$B$108,$B137,'11.2. Нови активи отч.год.'!X$61:X$108)+SUMIF('11.1.Амортиз.нови активи'!$B$60:$B$107,$B137,'11.1.Амортиз.нови активи'!X$60:X$107)+('11.1.Амортиз.нови активи'!J$111*SUMIF('11.1.Амортиз.нови активи'!$B$60:$B$107,$B137,'11.1.Амортиз.нови активи'!AE$60:AE$107))</f>
        <v>7</v>
      </c>
      <c r="Y137" s="899">
        <f>$S137-SUMIF('11.2. Нови активи отч.год.'!$B$61:$B$108,$B137,'11.2. Нови активи отч.год.'!$S$61:$S$108)+SUMIF('11.2. Нови активи отч.год.'!$B$61:$B$108,$B137,'11.2. Нови активи отч.год.'!Y$61:Y$108)+SUMIF('11.1.Амортиз.нови активи'!$B$60:$B$107,$B137,'11.1.Амортиз.нови активи'!Y$60:Y$107)+('11.1.Амортиз.нови активи'!K$111*SUMIF('11.1.Амортиз.нови активи'!$B$60:$B$107,$B137,'11.1.Амортиз.нови активи'!AF$60:AF$107))</f>
        <v>9</v>
      </c>
      <c r="Z137" s="1671"/>
      <c r="AA137" s="1702"/>
      <c r="AB137" s="1726"/>
    </row>
    <row r="138" spans="1:28" s="1642" customFormat="1">
      <c r="A138" s="1673">
        <v>8</v>
      </c>
      <c r="B138" s="1674">
        <v>2040101</v>
      </c>
      <c r="C138" s="1728">
        <v>0.1</v>
      </c>
      <c r="D138" s="1637" t="s">
        <v>1442</v>
      </c>
      <c r="E138" s="2250"/>
      <c r="F138" s="897">
        <f>$E138-SUMIF('11.2. Нови активи отч.год.'!$B$61:$B$108,$B138,'11.2. Нови активи отч.год.'!$E$61:$E$108)+SUMIF('11.2. Нови активи отч.год.'!$B$61:$B$108,$B138,'11.2. Нови активи отч.год.'!F$61:F$108)+SUMIF('11.1.Амортиз.нови активи'!$B$60:$B$107,$B138,'11.1.Амортиз.нови активи'!F$60:F$107)+('11.1.Амортиз.нови активи'!F$109*SUMIF('11.1.Амортиз.нови активи'!$B$60:$B$107,$B138,'11.1.Амортиз.нови активи'!AA$60:AA$107))</f>
        <v>0</v>
      </c>
      <c r="G138" s="898">
        <f>$E138-SUMIF('11.2. Нови активи отч.год.'!$B$61:$B$108,$B138,'11.2. Нови активи отч.год.'!$E$61:$E$108)+SUMIF('11.2. Нови активи отч.год.'!$B$61:$B$108,$B138,'11.2. Нови активи отч.год.'!G$61:G$108)+SUMIF('11.1.Амортиз.нови активи'!$B$60:$B$107,$B138,'11.1.Амортиз.нови активи'!G$60:G$107)+('11.1.Амортиз.нови активи'!G$109*SUMIF('11.1.Амортиз.нови активи'!$B$60:$B$107,$B138,'11.1.Амортиз.нови активи'!AB$60:AB$107))</f>
        <v>0</v>
      </c>
      <c r="H138" s="898">
        <f>$E138-SUMIF('11.2. Нови активи отч.год.'!$B$61:$B$108,$B138,'11.2. Нови активи отч.год.'!$E$61:$E$108)+SUMIF('11.2. Нови активи отч.год.'!$B$61:$B$108,$B138,'11.2. Нови активи отч.год.'!H$61:H$108)+SUMIF('11.1.Амортиз.нови активи'!$B$60:$B$107,$B138,'11.1.Амортиз.нови активи'!H$60:H$107)+('11.1.Амортиз.нови активи'!H$109*SUMIF('11.1.Амортиз.нови активи'!$B$60:$B$107,$B138,'11.1.Амортиз.нови активи'!AC$60:AC$107))</f>
        <v>0</v>
      </c>
      <c r="I138" s="898">
        <f>$E138-SUMIF('11.2. Нови активи отч.год.'!$B$61:$B$108,$B138,'11.2. Нови активи отч.год.'!$E$61:$E$108)+SUMIF('11.2. Нови активи отч.год.'!$B$61:$B$108,$B138,'11.2. Нови активи отч.год.'!I$61:I$108)+SUMIF('11.1.Амортиз.нови активи'!$B$60:$B$107,$B138,'11.1.Амортиз.нови активи'!I$60:I$107)+('11.1.Амортиз.нови активи'!I$109*SUMIF('11.1.Амортиз.нови активи'!$B$60:$B$107,$B138,'11.1.Амортиз.нови активи'!AD$60:AD$107))</f>
        <v>0</v>
      </c>
      <c r="J138" s="898">
        <f>$E138-SUMIF('11.2. Нови активи отч.год.'!$B$61:$B$108,$B138,'11.2. Нови активи отч.год.'!$E$61:$E$108)+SUMIF('11.2. Нови активи отч.год.'!$B$61:$B$108,$B138,'11.2. Нови активи отч.год.'!J$61:J$108)+SUMIF('11.1.Амортиз.нови активи'!$B$60:$B$107,$B138,'11.1.Амортиз.нови активи'!J$60:J$107)+('11.1.Амортиз.нови активи'!J$109*SUMIF('11.1.Амортиз.нови активи'!$B$60:$B$107,$B138,'11.1.Амортиз.нови активи'!AE$60:AE$107))</f>
        <v>0</v>
      </c>
      <c r="K138" s="898">
        <f>$E138-SUMIF('11.2. Нови активи отч.год.'!$B$61:$B$108,$B138,'11.2. Нови активи отч.год.'!$E$61:$E$108)+SUMIF('11.2. Нови активи отч.год.'!$B$61:$B$108,$B138,'11.2. Нови активи отч.год.'!K$61:K$108)+SUMIF('11.1.Амортиз.нови активи'!$B$60:$B$107,$B138,'11.1.Амортиз.нови активи'!K$60:K$107)+('11.1.Амортиз.нови активи'!K$109*SUMIF('11.1.Амортиз.нови активи'!$B$60:$B$107,$B138,'11.1.Амортиз.нови активи'!AF$60:AF$107))</f>
        <v>0</v>
      </c>
      <c r="L138" s="2250"/>
      <c r="M138" s="897">
        <f>$L138-SUMIF('11.2. Нови активи отч.год.'!$B$61:$B$108,$B138,'11.2. Нови активи отч.год.'!$L$61:$L$108)+SUMIF('11.2. Нови активи отч.год.'!$B$61:$B$108,$B138,'11.2. Нови активи отч.год.'!M$61:M$108)+SUMIF('11.1.Амортиз.нови активи'!$B$60:$B$107,$B138,'11.1.Амортиз.нови активи'!M$60:M$107)+('11.1.Амортиз.нови активи'!F$110*SUMIF('11.1.Амортиз.нови активи'!$B$60:$B$107,$B138,'11.1.Амортиз.нови активи'!AA$60:AA$107))</f>
        <v>0</v>
      </c>
      <c r="N138" s="898">
        <f>$L138-SUMIF('11.2. Нови активи отч.год.'!$B$61:$B$108,$B138,'11.2. Нови активи отч.год.'!$L$61:$L$108)+SUMIF('11.2. Нови активи отч.год.'!$B$61:$B$108,$B138,'11.2. Нови активи отч.год.'!N$61:N$108)+SUMIF('11.1.Амортиз.нови активи'!$B$60:$B$107,$B138,'11.1.Амортиз.нови активи'!N$60:N$107)+('11.1.Амортиз.нови активи'!G$110*SUMIF('11.1.Амортиз.нови активи'!$B$60:$B$107,$B138,'11.1.Амортиз.нови активи'!AB$60:AB$107))</f>
        <v>0</v>
      </c>
      <c r="O138" s="898">
        <f>$L138-SUMIF('11.2. Нови активи отч.год.'!$B$61:$B$108,$B138,'11.2. Нови активи отч.год.'!$L$61:$L$108)+SUMIF('11.2. Нови активи отч.год.'!$B$61:$B$108,$B138,'11.2. Нови активи отч.год.'!O$61:O$108)+SUMIF('11.1.Амортиз.нови активи'!$B$60:$B$107,$B138,'11.1.Амортиз.нови активи'!O$60:O$107)+('11.1.Амортиз.нови активи'!H$110*SUMIF('11.1.Амортиз.нови активи'!$B$60:$B$107,$B138,'11.1.Амортиз.нови активи'!AC$60:AC$107))</f>
        <v>0</v>
      </c>
      <c r="P138" s="898">
        <f>$L138-SUMIF('11.2. Нови активи отч.год.'!$B$61:$B$108,$B138,'11.2. Нови активи отч.год.'!$L$61:$L$108)+SUMIF('11.2. Нови активи отч.год.'!$B$61:$B$108,$B138,'11.2. Нови активи отч.год.'!P$61:P$108)+SUMIF('11.1.Амортиз.нови активи'!$B$60:$B$107,$B138,'11.1.Амортиз.нови активи'!P$60:P$107)+('11.1.Амортиз.нови активи'!I$110*SUMIF('11.1.Амортиз.нови активи'!$B$60:$B$107,$B138,'11.1.Амортиз.нови активи'!AD$60:AD$107))</f>
        <v>0</v>
      </c>
      <c r="Q138" s="898">
        <f>$L138-SUMIF('11.2. Нови активи отч.год.'!$B$61:$B$108,$B138,'11.2. Нови активи отч.год.'!$L$61:$L$108)+SUMIF('11.2. Нови активи отч.год.'!$B$61:$B$108,$B138,'11.2. Нови активи отч.год.'!Q$61:Q$108)+SUMIF('11.1.Амортиз.нови активи'!$B$60:$B$107,$B138,'11.1.Амортиз.нови активи'!Q$60:Q$107)+('11.1.Амортиз.нови активи'!J$110*SUMIF('11.1.Амортиз.нови активи'!$B$60:$B$107,$B138,'11.1.Амортиз.нови активи'!AE$60:AE$107))</f>
        <v>0</v>
      </c>
      <c r="R138" s="899">
        <f>$L138-SUMIF('11.2. Нови активи отч.год.'!$B$61:$B$108,$B138,'11.2. Нови активи отч.год.'!$L$61:$L$108)+SUMIF('11.2. Нови активи отч.год.'!$B$61:$B$108,$B138,'11.2. Нови активи отч.год.'!R$61:R$108)+SUMIF('11.1.Амортиз.нови активи'!$B$60:$B$107,$B138,'11.1.Амортиз.нови активи'!R$60:R$107)+('11.1.Амортиз.нови активи'!K$110*SUMIF('11.1.Амортиз.нови активи'!$B$60:$B$107,$B138,'11.1.Амортиз.нови активи'!AF$60:AF$107))</f>
        <v>0</v>
      </c>
      <c r="S138" s="2250"/>
      <c r="T138" s="897">
        <f>$S138-SUMIF('11.2. Нови активи отч.год.'!$B$61:$B$108,$B138,'11.2. Нови активи отч.год.'!$S$61:$S$108)+SUMIF('11.2. Нови активи отч.год.'!$B$61:$B$108,$B138,'11.2. Нови активи отч.год.'!T$61:T$108)+SUMIF('11.1.Амортиз.нови активи'!$B$60:$B$107,$B138,'11.1.Амортиз.нови активи'!T$60:T$107)+('11.1.Амортиз.нови активи'!F$111*SUMIF('11.1.Амортиз.нови активи'!$B$60:$B$107,$B138,'11.1.Амортиз.нови активи'!AA$60:AA$107))</f>
        <v>0</v>
      </c>
      <c r="U138" s="898">
        <f>$S138-SUMIF('11.2. Нови активи отч.год.'!$B$61:$B$108,$B138,'11.2. Нови активи отч.год.'!$S$61:$S$108)+SUMIF('11.2. Нови активи отч.год.'!$B$61:$B$108,$B138,'11.2. Нови активи отч.год.'!U$61:U$108)+SUMIF('11.1.Амортиз.нови активи'!$B$60:$B$107,$B138,'11.1.Амортиз.нови активи'!U$60:U$107)+('11.1.Амортиз.нови активи'!G$111*SUMIF('11.1.Амортиз.нови активи'!$B$60:$B$107,$B138,'11.1.Амортиз.нови активи'!AB$60:AB$107))</f>
        <v>0</v>
      </c>
      <c r="V138" s="898">
        <f>$S138-SUMIF('11.2. Нови активи отч.год.'!$B$61:$B$108,$B138,'11.2. Нови активи отч.год.'!$S$61:$S$108)+SUMIF('11.2. Нови активи отч.год.'!$B$61:$B$108,$B138,'11.2. Нови активи отч.год.'!V$61:V$108)+SUMIF('11.1.Амортиз.нови активи'!$B$60:$B$107,$B138,'11.1.Амортиз.нови активи'!V$60:V$107)+('11.1.Амортиз.нови активи'!H$111*SUMIF('11.1.Амортиз.нови активи'!$B$60:$B$107,$B138,'11.1.Амортиз.нови активи'!AC$60:AC$107))</f>
        <v>0</v>
      </c>
      <c r="W138" s="898">
        <f>$S138-SUMIF('11.2. Нови активи отч.год.'!$B$61:$B$108,$B138,'11.2. Нови активи отч.год.'!$S$61:$S$108)+SUMIF('11.2. Нови активи отч.год.'!$B$61:$B$108,$B138,'11.2. Нови активи отч.год.'!W$61:W$108)+SUMIF('11.1.Амортиз.нови активи'!$B$60:$B$107,$B138,'11.1.Амортиз.нови активи'!W$60:W$107)+('11.1.Амортиз.нови активи'!I$111*SUMIF('11.1.Амортиз.нови активи'!$B$60:$B$107,$B138,'11.1.Амортиз.нови активи'!AD$60:AD$107))</f>
        <v>0</v>
      </c>
      <c r="X138" s="898">
        <f>$S138-SUMIF('11.2. Нови активи отч.год.'!$B$61:$B$108,$B138,'11.2. Нови активи отч.год.'!$S$61:$S$108)+SUMIF('11.2. Нови активи отч.год.'!$B$61:$B$108,$B138,'11.2. Нови активи отч.год.'!X$61:X$108)+SUMIF('11.1.Амортиз.нови активи'!$B$60:$B$107,$B138,'11.1.Амортиз.нови активи'!X$60:X$107)+('11.1.Амортиз.нови активи'!J$111*SUMIF('11.1.Амортиз.нови активи'!$B$60:$B$107,$B138,'11.1.Амортиз.нови активи'!AE$60:AE$107))</f>
        <v>0</v>
      </c>
      <c r="Y138" s="899">
        <f>$S138-SUMIF('11.2. Нови активи отч.год.'!$B$61:$B$108,$B138,'11.2. Нови активи отч.год.'!$S$61:$S$108)+SUMIF('11.2. Нови активи отч.год.'!$B$61:$B$108,$B138,'11.2. Нови активи отч.год.'!Y$61:Y$108)+SUMIF('11.1.Амортиз.нови активи'!$B$60:$B$107,$B138,'11.1.Амортиз.нови активи'!Y$60:Y$107)+('11.1.Амортиз.нови активи'!K$111*SUMIF('11.1.Амортиз.нови активи'!$B$60:$B$107,$B138,'11.1.Амортиз.нови активи'!AF$60:AF$107))</f>
        <v>0</v>
      </c>
      <c r="Z138" s="1671"/>
      <c r="AA138" s="1702"/>
      <c r="AB138" s="1726"/>
    </row>
    <row r="139" spans="1:28" s="1642" customFormat="1">
      <c r="A139" s="1729">
        <v>9</v>
      </c>
      <c r="B139" s="1674">
        <v>2040102</v>
      </c>
      <c r="C139" s="1728">
        <v>0.04</v>
      </c>
      <c r="D139" s="1637" t="s">
        <v>604</v>
      </c>
      <c r="E139" s="2250"/>
      <c r="F139" s="897">
        <f>$E139-SUMIF('11.2. Нови активи отч.год.'!$B$61:$B$108,$B139,'11.2. Нови активи отч.год.'!$E$61:$E$108)+SUMIF('11.2. Нови активи отч.год.'!$B$61:$B$108,$B139,'11.2. Нови активи отч.год.'!F$61:F$108)+SUMIF('11.1.Амортиз.нови активи'!$B$60:$B$107,$B139,'11.1.Амортиз.нови активи'!F$60:F$107)+('11.1.Амортиз.нови активи'!F$109*SUMIF('11.1.Амортиз.нови активи'!$B$60:$B$107,$B139,'11.1.Амортиз.нови активи'!AA$60:AA$107))</f>
        <v>0</v>
      </c>
      <c r="G139" s="898">
        <f>$E139-SUMIF('11.2. Нови активи отч.год.'!$B$61:$B$108,$B139,'11.2. Нови активи отч.год.'!$E$61:$E$108)+SUMIF('11.2. Нови активи отч.год.'!$B$61:$B$108,$B139,'11.2. Нови активи отч.год.'!G$61:G$108)+SUMIF('11.1.Амортиз.нови активи'!$B$60:$B$107,$B139,'11.1.Амортиз.нови активи'!G$60:G$107)+('11.1.Амортиз.нови активи'!G$109*SUMIF('11.1.Амортиз.нови активи'!$B$60:$B$107,$B139,'11.1.Амортиз.нови активи'!AB$60:AB$107))</f>
        <v>0</v>
      </c>
      <c r="H139" s="898">
        <f>$E139-SUMIF('11.2. Нови активи отч.год.'!$B$61:$B$108,$B139,'11.2. Нови активи отч.год.'!$E$61:$E$108)+SUMIF('11.2. Нови активи отч.год.'!$B$61:$B$108,$B139,'11.2. Нови активи отч.год.'!H$61:H$108)+SUMIF('11.1.Амортиз.нови активи'!$B$60:$B$107,$B139,'11.1.Амортиз.нови активи'!H$60:H$107)+('11.1.Амортиз.нови активи'!H$109*SUMIF('11.1.Амортиз.нови активи'!$B$60:$B$107,$B139,'11.1.Амортиз.нови активи'!AC$60:AC$107))</f>
        <v>0</v>
      </c>
      <c r="I139" s="898">
        <f>$E139-SUMIF('11.2. Нови активи отч.год.'!$B$61:$B$108,$B139,'11.2. Нови активи отч.год.'!$E$61:$E$108)+SUMIF('11.2. Нови активи отч.год.'!$B$61:$B$108,$B139,'11.2. Нови активи отч.год.'!I$61:I$108)+SUMIF('11.1.Амортиз.нови активи'!$B$60:$B$107,$B139,'11.1.Амортиз.нови активи'!I$60:I$107)+('11.1.Амортиз.нови активи'!I$109*SUMIF('11.1.Амортиз.нови активи'!$B$60:$B$107,$B139,'11.1.Амортиз.нови активи'!AD$60:AD$107))</f>
        <v>0</v>
      </c>
      <c r="J139" s="898">
        <f>$E139-SUMIF('11.2. Нови активи отч.год.'!$B$61:$B$108,$B139,'11.2. Нови активи отч.год.'!$E$61:$E$108)+SUMIF('11.2. Нови активи отч.год.'!$B$61:$B$108,$B139,'11.2. Нови активи отч.год.'!J$61:J$108)+SUMIF('11.1.Амортиз.нови активи'!$B$60:$B$107,$B139,'11.1.Амортиз.нови активи'!J$60:J$107)+('11.1.Амортиз.нови активи'!J$109*SUMIF('11.1.Амортиз.нови активи'!$B$60:$B$107,$B139,'11.1.Амортиз.нови активи'!AE$60:AE$107))</f>
        <v>0</v>
      </c>
      <c r="K139" s="898">
        <f>$E139-SUMIF('11.2. Нови активи отч.год.'!$B$61:$B$108,$B139,'11.2. Нови активи отч.год.'!$E$61:$E$108)+SUMIF('11.2. Нови активи отч.год.'!$B$61:$B$108,$B139,'11.2. Нови активи отч.год.'!K$61:K$108)+SUMIF('11.1.Амортиз.нови активи'!$B$60:$B$107,$B139,'11.1.Амортиз.нови активи'!K$60:K$107)+('11.1.Амортиз.нови активи'!K$109*SUMIF('11.1.Амортиз.нови активи'!$B$60:$B$107,$B139,'11.1.Амортиз.нови активи'!AF$60:AF$107))</f>
        <v>0</v>
      </c>
      <c r="L139" s="2250"/>
      <c r="M139" s="897">
        <f>$L139-SUMIF('11.2. Нови активи отч.год.'!$B$61:$B$108,$B139,'11.2. Нови активи отч.год.'!$L$61:$L$108)+SUMIF('11.2. Нови активи отч.год.'!$B$61:$B$108,$B139,'11.2. Нови активи отч.год.'!M$61:M$108)+SUMIF('11.1.Амортиз.нови активи'!$B$60:$B$107,$B139,'11.1.Амортиз.нови активи'!M$60:M$107)+('11.1.Амортиз.нови активи'!F$110*SUMIF('11.1.Амортиз.нови активи'!$B$60:$B$107,$B139,'11.1.Амортиз.нови активи'!AA$60:AA$107))</f>
        <v>0</v>
      </c>
      <c r="N139" s="898">
        <f>$L139-SUMIF('11.2. Нови активи отч.год.'!$B$61:$B$108,$B139,'11.2. Нови активи отч.год.'!$L$61:$L$108)+SUMIF('11.2. Нови активи отч.год.'!$B$61:$B$108,$B139,'11.2. Нови активи отч.год.'!N$61:N$108)+SUMIF('11.1.Амортиз.нови активи'!$B$60:$B$107,$B139,'11.1.Амортиз.нови активи'!N$60:N$107)+('11.1.Амортиз.нови активи'!G$110*SUMIF('11.1.Амортиз.нови активи'!$B$60:$B$107,$B139,'11.1.Амортиз.нови активи'!AB$60:AB$107))</f>
        <v>0</v>
      </c>
      <c r="O139" s="898">
        <f>$L139-SUMIF('11.2. Нови активи отч.год.'!$B$61:$B$108,$B139,'11.2. Нови активи отч.год.'!$L$61:$L$108)+SUMIF('11.2. Нови активи отч.год.'!$B$61:$B$108,$B139,'11.2. Нови активи отч.год.'!O$61:O$108)+SUMIF('11.1.Амортиз.нови активи'!$B$60:$B$107,$B139,'11.1.Амортиз.нови активи'!O$60:O$107)+('11.1.Амортиз.нови активи'!H$110*SUMIF('11.1.Амортиз.нови активи'!$B$60:$B$107,$B139,'11.1.Амортиз.нови активи'!AC$60:AC$107))</f>
        <v>0</v>
      </c>
      <c r="P139" s="898">
        <f>$L139-SUMIF('11.2. Нови активи отч.год.'!$B$61:$B$108,$B139,'11.2. Нови активи отч.год.'!$L$61:$L$108)+SUMIF('11.2. Нови активи отч.год.'!$B$61:$B$108,$B139,'11.2. Нови активи отч.год.'!P$61:P$108)+SUMIF('11.1.Амортиз.нови активи'!$B$60:$B$107,$B139,'11.1.Амортиз.нови активи'!P$60:P$107)+('11.1.Амортиз.нови активи'!I$110*SUMIF('11.1.Амортиз.нови активи'!$B$60:$B$107,$B139,'11.1.Амортиз.нови активи'!AD$60:AD$107))</f>
        <v>0</v>
      </c>
      <c r="Q139" s="898">
        <f>$L139-SUMIF('11.2. Нови активи отч.год.'!$B$61:$B$108,$B139,'11.2. Нови активи отч.год.'!$L$61:$L$108)+SUMIF('11.2. Нови активи отч.год.'!$B$61:$B$108,$B139,'11.2. Нови активи отч.год.'!Q$61:Q$108)+SUMIF('11.1.Амортиз.нови активи'!$B$60:$B$107,$B139,'11.1.Амортиз.нови активи'!Q$60:Q$107)+('11.1.Амортиз.нови активи'!J$110*SUMIF('11.1.Амортиз.нови активи'!$B$60:$B$107,$B139,'11.1.Амортиз.нови активи'!AE$60:AE$107))</f>
        <v>0</v>
      </c>
      <c r="R139" s="899">
        <f>$L139-SUMIF('11.2. Нови активи отч.год.'!$B$61:$B$108,$B139,'11.2. Нови активи отч.год.'!$L$61:$L$108)+SUMIF('11.2. Нови активи отч.год.'!$B$61:$B$108,$B139,'11.2. Нови активи отч.год.'!R$61:R$108)+SUMIF('11.1.Амортиз.нови активи'!$B$60:$B$107,$B139,'11.1.Амортиз.нови активи'!R$60:R$107)+('11.1.Амортиз.нови активи'!K$110*SUMIF('11.1.Амортиз.нови активи'!$B$60:$B$107,$B139,'11.1.Амортиз.нови активи'!AF$60:AF$107))</f>
        <v>0</v>
      </c>
      <c r="S139" s="2250"/>
      <c r="T139" s="897">
        <f>$S139-SUMIF('11.2. Нови активи отч.год.'!$B$61:$B$108,$B139,'11.2. Нови активи отч.год.'!$S$61:$S$108)+SUMIF('11.2. Нови активи отч.год.'!$B$61:$B$108,$B139,'11.2. Нови активи отч.год.'!T$61:T$108)+SUMIF('11.1.Амортиз.нови активи'!$B$60:$B$107,$B139,'11.1.Амортиз.нови активи'!T$60:T$107)+('11.1.Амортиз.нови активи'!F$111*SUMIF('11.1.Амортиз.нови активи'!$B$60:$B$107,$B139,'11.1.Амортиз.нови активи'!AA$60:AA$107))</f>
        <v>0</v>
      </c>
      <c r="U139" s="898">
        <f>$S139-SUMIF('11.2. Нови активи отч.год.'!$B$61:$B$108,$B139,'11.2. Нови активи отч.год.'!$S$61:$S$108)+SUMIF('11.2. Нови активи отч.год.'!$B$61:$B$108,$B139,'11.2. Нови активи отч.год.'!U$61:U$108)+SUMIF('11.1.Амортиз.нови активи'!$B$60:$B$107,$B139,'11.1.Амортиз.нови активи'!U$60:U$107)+('11.1.Амортиз.нови активи'!G$111*SUMIF('11.1.Амортиз.нови активи'!$B$60:$B$107,$B139,'11.1.Амортиз.нови активи'!AB$60:AB$107))</f>
        <v>0</v>
      </c>
      <c r="V139" s="898">
        <f>$S139-SUMIF('11.2. Нови активи отч.год.'!$B$61:$B$108,$B139,'11.2. Нови активи отч.год.'!$S$61:$S$108)+SUMIF('11.2. Нови активи отч.год.'!$B$61:$B$108,$B139,'11.2. Нови активи отч.год.'!V$61:V$108)+SUMIF('11.1.Амортиз.нови активи'!$B$60:$B$107,$B139,'11.1.Амортиз.нови активи'!V$60:V$107)+('11.1.Амортиз.нови активи'!H$111*SUMIF('11.1.Амортиз.нови активи'!$B$60:$B$107,$B139,'11.1.Амортиз.нови активи'!AC$60:AC$107))</f>
        <v>0</v>
      </c>
      <c r="W139" s="898">
        <f>$S139-SUMIF('11.2. Нови активи отч.год.'!$B$61:$B$108,$B139,'11.2. Нови активи отч.год.'!$S$61:$S$108)+SUMIF('11.2. Нови активи отч.год.'!$B$61:$B$108,$B139,'11.2. Нови активи отч.год.'!W$61:W$108)+SUMIF('11.1.Амортиз.нови активи'!$B$60:$B$107,$B139,'11.1.Амортиз.нови активи'!W$60:W$107)+('11.1.Амортиз.нови активи'!I$111*SUMIF('11.1.Амортиз.нови активи'!$B$60:$B$107,$B139,'11.1.Амортиз.нови активи'!AD$60:AD$107))</f>
        <v>0</v>
      </c>
      <c r="X139" s="898">
        <f>$S139-SUMIF('11.2. Нови активи отч.год.'!$B$61:$B$108,$B139,'11.2. Нови активи отч.год.'!$S$61:$S$108)+SUMIF('11.2. Нови активи отч.год.'!$B$61:$B$108,$B139,'11.2. Нови активи отч.год.'!X$61:X$108)+SUMIF('11.1.Амортиз.нови активи'!$B$60:$B$107,$B139,'11.1.Амортиз.нови активи'!X$60:X$107)+('11.1.Амортиз.нови активи'!J$111*SUMIF('11.1.Амортиз.нови активи'!$B$60:$B$107,$B139,'11.1.Амортиз.нови активи'!AE$60:AE$107))</f>
        <v>0</v>
      </c>
      <c r="Y139" s="899">
        <f>$S139-SUMIF('11.2. Нови активи отч.год.'!$B$61:$B$108,$B139,'11.2. Нови активи отч.год.'!$S$61:$S$108)+SUMIF('11.2. Нови активи отч.год.'!$B$61:$B$108,$B139,'11.2. Нови активи отч.год.'!Y$61:Y$108)+SUMIF('11.1.Амортиз.нови активи'!$B$60:$B$107,$B139,'11.1.Амортиз.нови активи'!Y$60:Y$107)+('11.1.Амортиз.нови активи'!K$111*SUMIF('11.1.Амортиз.нови активи'!$B$60:$B$107,$B139,'11.1.Амортиз.нови активи'!AF$60:AF$107))</f>
        <v>0</v>
      </c>
      <c r="Z139" s="1671"/>
      <c r="AA139" s="1702"/>
      <c r="AB139" s="1726"/>
    </row>
    <row r="140" spans="1:28" s="1642" customFormat="1">
      <c r="A140" s="1729">
        <v>10</v>
      </c>
      <c r="B140" s="1674">
        <v>2040201</v>
      </c>
      <c r="C140" s="1675">
        <v>0.02</v>
      </c>
      <c r="D140" s="1623" t="s">
        <v>1007</v>
      </c>
      <c r="E140" s="2250"/>
      <c r="F140" s="897">
        <f>$E140-SUMIF('11.2. Нови активи отч.год.'!$B$61:$B$108,$B140,'11.2. Нови активи отч.год.'!$E$61:$E$108)+SUMIF('11.2. Нови активи отч.год.'!$B$61:$B$108,$B140,'11.2. Нови активи отч.год.'!F$61:F$108)+SUMIF('11.1.Амортиз.нови активи'!$B$60:$B$107,$B140,'11.1.Амортиз.нови активи'!F$60:F$107)+('11.1.Амортиз.нови активи'!F$109*SUMIF('11.1.Амортиз.нови активи'!$B$60:$B$107,$B140,'11.1.Амортиз.нови активи'!AA$60:AA$107))</f>
        <v>0</v>
      </c>
      <c r="G140" s="898">
        <f>$E140-SUMIF('11.2. Нови активи отч.год.'!$B$61:$B$108,$B140,'11.2. Нови активи отч.год.'!$E$61:$E$108)+SUMIF('11.2. Нови активи отч.год.'!$B$61:$B$108,$B140,'11.2. Нови активи отч.год.'!G$61:G$108)+SUMIF('11.1.Амортиз.нови активи'!$B$60:$B$107,$B140,'11.1.Амортиз.нови активи'!G$60:G$107)+('11.1.Амортиз.нови активи'!G$109*SUMIF('11.1.Амортиз.нови активи'!$B$60:$B$107,$B140,'11.1.Амортиз.нови активи'!AB$60:AB$107))</f>
        <v>0</v>
      </c>
      <c r="H140" s="898">
        <f>$E140-SUMIF('11.2. Нови активи отч.год.'!$B$61:$B$108,$B140,'11.2. Нови активи отч.год.'!$E$61:$E$108)+SUMIF('11.2. Нови активи отч.год.'!$B$61:$B$108,$B140,'11.2. Нови активи отч.год.'!H$61:H$108)+SUMIF('11.1.Амортиз.нови активи'!$B$60:$B$107,$B140,'11.1.Амортиз.нови активи'!H$60:H$107)+('11.1.Амортиз.нови активи'!H$109*SUMIF('11.1.Амортиз.нови активи'!$B$60:$B$107,$B140,'11.1.Амортиз.нови активи'!AC$60:AC$107))</f>
        <v>0</v>
      </c>
      <c r="I140" s="898">
        <f>$E140-SUMIF('11.2. Нови активи отч.год.'!$B$61:$B$108,$B140,'11.2. Нови активи отч.год.'!$E$61:$E$108)+SUMIF('11.2. Нови активи отч.год.'!$B$61:$B$108,$B140,'11.2. Нови активи отч.год.'!I$61:I$108)+SUMIF('11.1.Амортиз.нови активи'!$B$60:$B$107,$B140,'11.1.Амортиз.нови активи'!I$60:I$107)+('11.1.Амортиз.нови активи'!I$109*SUMIF('11.1.Амортиз.нови активи'!$B$60:$B$107,$B140,'11.1.Амортиз.нови активи'!AD$60:AD$107))</f>
        <v>0</v>
      </c>
      <c r="J140" s="898">
        <f>$E140-SUMIF('11.2. Нови активи отч.год.'!$B$61:$B$108,$B140,'11.2. Нови активи отч.год.'!$E$61:$E$108)+SUMIF('11.2. Нови активи отч.год.'!$B$61:$B$108,$B140,'11.2. Нови активи отч.год.'!J$61:J$108)+SUMIF('11.1.Амортиз.нови активи'!$B$60:$B$107,$B140,'11.1.Амортиз.нови активи'!J$60:J$107)+('11.1.Амортиз.нови активи'!J$109*SUMIF('11.1.Амортиз.нови активи'!$B$60:$B$107,$B140,'11.1.Амортиз.нови активи'!AE$60:AE$107))</f>
        <v>0</v>
      </c>
      <c r="K140" s="898">
        <f>$E140-SUMIF('11.2. Нови активи отч.год.'!$B$61:$B$108,$B140,'11.2. Нови активи отч.год.'!$E$61:$E$108)+SUMIF('11.2. Нови активи отч.год.'!$B$61:$B$108,$B140,'11.2. Нови активи отч.год.'!K$61:K$108)+SUMIF('11.1.Амортиз.нови активи'!$B$60:$B$107,$B140,'11.1.Амортиз.нови активи'!K$60:K$107)+('11.1.Амортиз.нови активи'!K$109*SUMIF('11.1.Амортиз.нови активи'!$B$60:$B$107,$B140,'11.1.Амортиз.нови активи'!AF$60:AF$107))</f>
        <v>0</v>
      </c>
      <c r="L140" s="2250"/>
      <c r="M140" s="897">
        <f>$L140-SUMIF('11.2. Нови активи отч.год.'!$B$61:$B$108,$B140,'11.2. Нови активи отч.год.'!$L$61:$L$108)+SUMIF('11.2. Нови активи отч.год.'!$B$61:$B$108,$B140,'11.2. Нови активи отч.год.'!M$61:M$108)+SUMIF('11.1.Амортиз.нови активи'!$B$60:$B$107,$B140,'11.1.Амортиз.нови активи'!M$60:M$107)+('11.1.Амортиз.нови активи'!F$110*SUMIF('11.1.Амортиз.нови активи'!$B$60:$B$107,$B140,'11.1.Амортиз.нови активи'!AA$60:AA$107))</f>
        <v>0</v>
      </c>
      <c r="N140" s="898">
        <f>$L140-SUMIF('11.2. Нови активи отч.год.'!$B$61:$B$108,$B140,'11.2. Нови активи отч.год.'!$L$61:$L$108)+SUMIF('11.2. Нови активи отч.год.'!$B$61:$B$108,$B140,'11.2. Нови активи отч.год.'!N$61:N$108)+SUMIF('11.1.Амортиз.нови активи'!$B$60:$B$107,$B140,'11.1.Амортиз.нови активи'!N$60:N$107)+('11.1.Амортиз.нови активи'!G$110*SUMIF('11.1.Амортиз.нови активи'!$B$60:$B$107,$B140,'11.1.Амортиз.нови активи'!AB$60:AB$107))</f>
        <v>0</v>
      </c>
      <c r="O140" s="898">
        <f>$L140-SUMIF('11.2. Нови активи отч.год.'!$B$61:$B$108,$B140,'11.2. Нови активи отч.год.'!$L$61:$L$108)+SUMIF('11.2. Нови активи отч.год.'!$B$61:$B$108,$B140,'11.2. Нови активи отч.год.'!O$61:O$108)+SUMIF('11.1.Амортиз.нови активи'!$B$60:$B$107,$B140,'11.1.Амортиз.нови активи'!O$60:O$107)+('11.1.Амортиз.нови активи'!H$110*SUMIF('11.1.Амортиз.нови активи'!$B$60:$B$107,$B140,'11.1.Амортиз.нови активи'!AC$60:AC$107))</f>
        <v>0</v>
      </c>
      <c r="P140" s="898">
        <f>$L140-SUMIF('11.2. Нови активи отч.год.'!$B$61:$B$108,$B140,'11.2. Нови активи отч.год.'!$L$61:$L$108)+SUMIF('11.2. Нови активи отч.год.'!$B$61:$B$108,$B140,'11.2. Нови активи отч.год.'!P$61:P$108)+SUMIF('11.1.Амортиз.нови активи'!$B$60:$B$107,$B140,'11.1.Амортиз.нови активи'!P$60:P$107)+('11.1.Амортиз.нови активи'!I$110*SUMIF('11.1.Амортиз.нови активи'!$B$60:$B$107,$B140,'11.1.Амортиз.нови активи'!AD$60:AD$107))</f>
        <v>0</v>
      </c>
      <c r="Q140" s="898">
        <f>$L140-SUMIF('11.2. Нови активи отч.год.'!$B$61:$B$108,$B140,'11.2. Нови активи отч.год.'!$L$61:$L$108)+SUMIF('11.2. Нови активи отч.год.'!$B$61:$B$108,$B140,'11.2. Нови активи отч.год.'!Q$61:Q$108)+SUMIF('11.1.Амортиз.нови активи'!$B$60:$B$107,$B140,'11.1.Амортиз.нови активи'!Q$60:Q$107)+('11.1.Амортиз.нови активи'!J$110*SUMIF('11.1.Амортиз.нови активи'!$B$60:$B$107,$B140,'11.1.Амортиз.нови активи'!AE$60:AE$107))</f>
        <v>0</v>
      </c>
      <c r="R140" s="899">
        <f>$L140-SUMIF('11.2. Нови активи отч.год.'!$B$61:$B$108,$B140,'11.2. Нови активи отч.год.'!$L$61:$L$108)+SUMIF('11.2. Нови активи отч.год.'!$B$61:$B$108,$B140,'11.2. Нови активи отч.год.'!R$61:R$108)+SUMIF('11.1.Амортиз.нови активи'!$B$60:$B$107,$B140,'11.1.Амортиз.нови активи'!R$60:R$107)+('11.1.Амортиз.нови активи'!K$110*SUMIF('11.1.Амортиз.нови активи'!$B$60:$B$107,$B140,'11.1.Амортиз.нови активи'!AF$60:AF$107))</f>
        <v>0</v>
      </c>
      <c r="S140" s="2250"/>
      <c r="T140" s="897">
        <f>$S140-SUMIF('11.2. Нови активи отч.год.'!$B$61:$B$108,$B140,'11.2. Нови активи отч.год.'!$S$61:$S$108)+SUMIF('11.2. Нови активи отч.год.'!$B$61:$B$108,$B140,'11.2. Нови активи отч.год.'!T$61:T$108)+SUMIF('11.1.Амортиз.нови активи'!$B$60:$B$107,$B140,'11.1.Амортиз.нови активи'!T$60:T$107)+('11.1.Амортиз.нови активи'!F$111*SUMIF('11.1.Амортиз.нови активи'!$B$60:$B$107,$B140,'11.1.Амортиз.нови активи'!AA$60:AA$107))</f>
        <v>0</v>
      </c>
      <c r="U140" s="898">
        <f>$S140-SUMIF('11.2. Нови активи отч.год.'!$B$61:$B$108,$B140,'11.2. Нови активи отч.год.'!$S$61:$S$108)+SUMIF('11.2. Нови активи отч.год.'!$B$61:$B$108,$B140,'11.2. Нови активи отч.год.'!U$61:U$108)+SUMIF('11.1.Амортиз.нови активи'!$B$60:$B$107,$B140,'11.1.Амортиз.нови активи'!U$60:U$107)+('11.1.Амортиз.нови активи'!G$111*SUMIF('11.1.Амортиз.нови активи'!$B$60:$B$107,$B140,'11.1.Амортиз.нови активи'!AB$60:AB$107))</f>
        <v>0</v>
      </c>
      <c r="V140" s="898">
        <f>$S140-SUMIF('11.2. Нови активи отч.год.'!$B$61:$B$108,$B140,'11.2. Нови активи отч.год.'!$S$61:$S$108)+SUMIF('11.2. Нови активи отч.год.'!$B$61:$B$108,$B140,'11.2. Нови активи отч.год.'!V$61:V$108)+SUMIF('11.1.Амортиз.нови активи'!$B$60:$B$107,$B140,'11.1.Амортиз.нови активи'!V$60:V$107)+('11.1.Амортиз.нови активи'!H$111*SUMIF('11.1.Амортиз.нови активи'!$B$60:$B$107,$B140,'11.1.Амортиз.нови активи'!AC$60:AC$107))</f>
        <v>0</v>
      </c>
      <c r="W140" s="898">
        <f>$S140-SUMIF('11.2. Нови активи отч.год.'!$B$61:$B$108,$B140,'11.2. Нови активи отч.год.'!$S$61:$S$108)+SUMIF('11.2. Нови активи отч.год.'!$B$61:$B$108,$B140,'11.2. Нови активи отч.год.'!W$61:W$108)+SUMIF('11.1.Амортиз.нови активи'!$B$60:$B$107,$B140,'11.1.Амортиз.нови активи'!W$60:W$107)+('11.1.Амортиз.нови активи'!I$111*SUMIF('11.1.Амортиз.нови активи'!$B$60:$B$107,$B140,'11.1.Амортиз.нови активи'!AD$60:AD$107))</f>
        <v>0</v>
      </c>
      <c r="X140" s="898">
        <f>$S140-SUMIF('11.2. Нови активи отч.год.'!$B$61:$B$108,$B140,'11.2. Нови активи отч.год.'!$S$61:$S$108)+SUMIF('11.2. Нови активи отч.год.'!$B$61:$B$108,$B140,'11.2. Нови активи отч.год.'!X$61:X$108)+SUMIF('11.1.Амортиз.нови активи'!$B$60:$B$107,$B140,'11.1.Амортиз.нови активи'!X$60:X$107)+('11.1.Амортиз.нови активи'!J$111*SUMIF('11.1.Амортиз.нови активи'!$B$60:$B$107,$B140,'11.1.Амортиз.нови активи'!AE$60:AE$107))</f>
        <v>0</v>
      </c>
      <c r="Y140" s="899">
        <f>$S140-SUMIF('11.2. Нови активи отч.год.'!$B$61:$B$108,$B140,'11.2. Нови активи отч.год.'!$S$61:$S$108)+SUMIF('11.2. Нови активи отч.год.'!$B$61:$B$108,$B140,'11.2. Нови активи отч.год.'!Y$61:Y$108)+SUMIF('11.1.Амортиз.нови активи'!$B$60:$B$107,$B140,'11.1.Амортиз.нови активи'!Y$60:Y$107)+('11.1.Амортиз.нови активи'!K$111*SUMIF('11.1.Амортиз.нови активи'!$B$60:$B$107,$B140,'11.1.Амортиз.нови активи'!AF$60:AF$107))</f>
        <v>0</v>
      </c>
      <c r="Z140" s="1671"/>
      <c r="AA140" s="1702"/>
      <c r="AB140" s="1726"/>
    </row>
    <row r="141" spans="1:28" s="1642" customFormat="1">
      <c r="A141" s="1729">
        <v>11</v>
      </c>
      <c r="B141" s="1674">
        <v>2040202</v>
      </c>
      <c r="C141" s="1675">
        <v>0.02</v>
      </c>
      <c r="D141" s="1623" t="s">
        <v>1008</v>
      </c>
      <c r="E141" s="2250"/>
      <c r="F141" s="897">
        <f>$E141-SUMIF('11.2. Нови активи отч.год.'!$B$61:$B$108,$B141,'11.2. Нови активи отч.год.'!$E$61:$E$108)+SUMIF('11.2. Нови активи отч.год.'!$B$61:$B$108,$B141,'11.2. Нови активи отч.год.'!F$61:F$108)+SUMIF('11.1.Амортиз.нови активи'!$B$60:$B$107,$B141,'11.1.Амортиз.нови активи'!F$60:F$107)+('11.1.Амортиз.нови активи'!F$109*SUMIF('11.1.Амортиз.нови активи'!$B$60:$B$107,$B141,'11.1.Амортиз.нови активи'!AA$60:AA$107))</f>
        <v>0</v>
      </c>
      <c r="G141" s="898">
        <f>$E141-SUMIF('11.2. Нови активи отч.год.'!$B$61:$B$108,$B141,'11.2. Нови активи отч.год.'!$E$61:$E$108)+SUMIF('11.2. Нови активи отч.год.'!$B$61:$B$108,$B141,'11.2. Нови активи отч.год.'!G$61:G$108)+SUMIF('11.1.Амортиз.нови активи'!$B$60:$B$107,$B141,'11.1.Амортиз.нови активи'!G$60:G$107)+('11.1.Амортиз.нови активи'!G$109*SUMIF('11.1.Амортиз.нови активи'!$B$60:$B$107,$B141,'11.1.Амортиз.нови активи'!AB$60:AB$107))</f>
        <v>0.41000000000000003</v>
      </c>
      <c r="H141" s="898">
        <f>$E141-SUMIF('11.2. Нови активи отч.год.'!$B$61:$B$108,$B141,'11.2. Нови активи отч.год.'!$E$61:$E$108)+SUMIF('11.2. Нови активи отч.год.'!$B$61:$B$108,$B141,'11.2. Нови активи отч.год.'!H$61:H$108)+SUMIF('11.1.Амортиз.нови активи'!$B$60:$B$107,$B141,'11.1.Амортиз.нови активи'!H$60:H$107)+('11.1.Амортиз.нови активи'!H$109*SUMIF('11.1.Амортиз.нови активи'!$B$60:$B$107,$B141,'11.1.Амортиз.нови активи'!AC$60:AC$107))</f>
        <v>1.42</v>
      </c>
      <c r="I141" s="898">
        <f>$E141-SUMIF('11.2. Нови активи отч.год.'!$B$61:$B$108,$B141,'11.2. Нови активи отч.год.'!$E$61:$E$108)+SUMIF('11.2. Нови активи отч.год.'!$B$61:$B$108,$B141,'11.2. Нови активи отч.год.'!I$61:I$108)+SUMIF('11.1.Амортиз.нови активи'!$B$60:$B$107,$B141,'11.1.Амортиз.нови активи'!I$60:I$107)+('11.1.Амортиз.нови активи'!I$109*SUMIF('11.1.Амортиз.нови активи'!$B$60:$B$107,$B141,'11.1.Амортиз.нови активи'!AD$60:AD$107))</f>
        <v>2.62</v>
      </c>
      <c r="J141" s="898">
        <f>$E141-SUMIF('11.2. Нови активи отч.год.'!$B$61:$B$108,$B141,'11.2. Нови активи отч.год.'!$E$61:$E$108)+SUMIF('11.2. Нови активи отч.год.'!$B$61:$B$108,$B141,'11.2. Нови активи отч.год.'!J$61:J$108)+SUMIF('11.1.Амортиз.нови активи'!$B$60:$B$107,$B141,'11.1.Амортиз.нови активи'!J$60:J$107)+('11.1.Амортиз.нови активи'!J$109*SUMIF('11.1.Амортиз.нови активи'!$B$60:$B$107,$B141,'11.1.Амортиз.нови активи'!AE$60:AE$107))</f>
        <v>3.7199999999999998</v>
      </c>
      <c r="K141" s="898">
        <f>$E141-SUMIF('11.2. Нови активи отч.год.'!$B$61:$B$108,$B141,'11.2. Нови активи отч.год.'!$E$61:$E$108)+SUMIF('11.2. Нови активи отч.год.'!$B$61:$B$108,$B141,'11.2. Нови активи отч.год.'!K$61:K$108)+SUMIF('11.1.Амортиз.нови активи'!$B$60:$B$107,$B141,'11.1.Амортиз.нови активи'!K$60:K$107)+('11.1.Амортиз.нови активи'!K$109*SUMIF('11.1.Амортиз.нови активи'!$B$60:$B$107,$B141,'11.1.Амортиз.нови активи'!AF$60:AF$107))</f>
        <v>4.72</v>
      </c>
      <c r="L141" s="2250"/>
      <c r="M141" s="897">
        <f>$L141-SUMIF('11.2. Нови активи отч.год.'!$B$61:$B$108,$B141,'11.2. Нови активи отч.год.'!$L$61:$L$108)+SUMIF('11.2. Нови активи отч.год.'!$B$61:$B$108,$B141,'11.2. Нови активи отч.год.'!M$61:M$108)+SUMIF('11.1.Амортиз.нови активи'!$B$60:$B$107,$B141,'11.1.Амортиз.нови активи'!M$60:M$107)+('11.1.Амортиз.нови активи'!F$110*SUMIF('11.1.Амортиз.нови активи'!$B$60:$B$107,$B141,'11.1.Амортиз.нови активи'!AA$60:AA$107))</f>
        <v>0</v>
      </c>
      <c r="N141" s="898">
        <f>$L141-SUMIF('11.2. Нови активи отч.год.'!$B$61:$B$108,$B141,'11.2. Нови активи отч.год.'!$L$61:$L$108)+SUMIF('11.2. Нови активи отч.год.'!$B$61:$B$108,$B141,'11.2. Нови активи отч.год.'!N$61:N$108)+SUMIF('11.1.Амортиз.нови активи'!$B$60:$B$107,$B141,'11.1.Амортиз.нови активи'!N$60:N$107)+('11.1.Амортиз.нови активи'!G$110*SUMIF('11.1.Амортиз.нови активи'!$B$60:$B$107,$B141,'11.1.Амортиз.нови активи'!AB$60:AB$107))</f>
        <v>0</v>
      </c>
      <c r="O141" s="898">
        <f>$L141-SUMIF('11.2. Нови активи отч.год.'!$B$61:$B$108,$B141,'11.2. Нови активи отч.год.'!$L$61:$L$108)+SUMIF('11.2. Нови активи отч.год.'!$B$61:$B$108,$B141,'11.2. Нови активи отч.год.'!O$61:O$108)+SUMIF('11.1.Амортиз.нови активи'!$B$60:$B$107,$B141,'11.1.Амортиз.нови активи'!O$60:O$107)+('11.1.Амортиз.нови активи'!H$110*SUMIF('11.1.Амортиз.нови активи'!$B$60:$B$107,$B141,'11.1.Амортиз.нови активи'!AC$60:AC$107))</f>
        <v>0</v>
      </c>
      <c r="P141" s="898">
        <f>$L141-SUMIF('11.2. Нови активи отч.год.'!$B$61:$B$108,$B141,'11.2. Нови активи отч.год.'!$L$61:$L$108)+SUMIF('11.2. Нови активи отч.год.'!$B$61:$B$108,$B141,'11.2. Нови активи отч.год.'!P$61:P$108)+SUMIF('11.1.Амортиз.нови активи'!$B$60:$B$107,$B141,'11.1.Амортиз.нови активи'!P$60:P$107)+('11.1.Амортиз.нови активи'!I$110*SUMIF('11.1.Амортиз.нови активи'!$B$60:$B$107,$B141,'11.1.Амортиз.нови активи'!AD$60:AD$107))</f>
        <v>0</v>
      </c>
      <c r="Q141" s="898">
        <f>$L141-SUMIF('11.2. Нови активи отч.год.'!$B$61:$B$108,$B141,'11.2. Нови активи отч.год.'!$L$61:$L$108)+SUMIF('11.2. Нови активи отч.год.'!$B$61:$B$108,$B141,'11.2. Нови активи отч.год.'!Q$61:Q$108)+SUMIF('11.1.Амортиз.нови активи'!$B$60:$B$107,$B141,'11.1.Амортиз.нови активи'!Q$60:Q$107)+('11.1.Амортиз.нови активи'!J$110*SUMIF('11.1.Амортиз.нови активи'!$B$60:$B$107,$B141,'11.1.Амортиз.нови активи'!AE$60:AE$107))</f>
        <v>0</v>
      </c>
      <c r="R141" s="899">
        <f>$L141-SUMIF('11.2. Нови активи отч.год.'!$B$61:$B$108,$B141,'11.2. Нови активи отч.год.'!$L$61:$L$108)+SUMIF('11.2. Нови активи отч.год.'!$B$61:$B$108,$B141,'11.2. Нови активи отч.год.'!R$61:R$108)+SUMIF('11.1.Амортиз.нови активи'!$B$60:$B$107,$B141,'11.1.Амортиз.нови активи'!R$60:R$107)+('11.1.Амортиз.нови активи'!K$110*SUMIF('11.1.Амортиз.нови активи'!$B$60:$B$107,$B141,'11.1.Амортиз.нови активи'!AF$60:AF$107))</f>
        <v>0</v>
      </c>
      <c r="S141" s="2250"/>
      <c r="T141" s="897">
        <f>$S141-SUMIF('11.2. Нови активи отч.год.'!$B$61:$B$108,$B141,'11.2. Нови активи отч.год.'!$S$61:$S$108)+SUMIF('11.2. Нови активи отч.год.'!$B$61:$B$108,$B141,'11.2. Нови активи отч.год.'!T$61:T$108)+SUMIF('11.1.Амортиз.нови активи'!$B$60:$B$107,$B141,'11.1.Амортиз.нови активи'!T$60:T$107)+('11.1.Амортиз.нови активи'!F$111*SUMIF('11.1.Амортиз.нови активи'!$B$60:$B$107,$B141,'11.1.Амортиз.нови активи'!AA$60:AA$107))</f>
        <v>0</v>
      </c>
      <c r="U141" s="898">
        <f>$S141-SUMIF('11.2. Нови активи отч.год.'!$B$61:$B$108,$B141,'11.2. Нови активи отч.год.'!$S$61:$S$108)+SUMIF('11.2. Нови активи отч.год.'!$B$61:$B$108,$B141,'11.2. Нови активи отч.год.'!U$61:U$108)+SUMIF('11.1.Амортиз.нови активи'!$B$60:$B$107,$B141,'11.1.Амортиз.нови активи'!U$60:U$107)+('11.1.Амортиз.нови активи'!G$111*SUMIF('11.1.Амортиз.нови активи'!$B$60:$B$107,$B141,'11.1.Амортиз.нови активи'!AB$60:AB$107))</f>
        <v>0</v>
      </c>
      <c r="V141" s="898">
        <f>$S141-SUMIF('11.2. Нови активи отч.год.'!$B$61:$B$108,$B141,'11.2. Нови активи отч.год.'!$S$61:$S$108)+SUMIF('11.2. Нови активи отч.год.'!$B$61:$B$108,$B141,'11.2. Нови активи отч.год.'!V$61:V$108)+SUMIF('11.1.Амортиз.нови активи'!$B$60:$B$107,$B141,'11.1.Амортиз.нови активи'!V$60:V$107)+('11.1.Амортиз.нови активи'!H$111*SUMIF('11.1.Амортиз.нови активи'!$B$60:$B$107,$B141,'11.1.Амортиз.нови активи'!AC$60:AC$107))</f>
        <v>0</v>
      </c>
      <c r="W141" s="898">
        <f>$S141-SUMIF('11.2. Нови активи отч.год.'!$B$61:$B$108,$B141,'11.2. Нови активи отч.год.'!$S$61:$S$108)+SUMIF('11.2. Нови активи отч.год.'!$B$61:$B$108,$B141,'11.2. Нови активи отч.год.'!W$61:W$108)+SUMIF('11.1.Амортиз.нови активи'!$B$60:$B$107,$B141,'11.1.Амортиз.нови активи'!W$60:W$107)+('11.1.Амортиз.нови активи'!I$111*SUMIF('11.1.Амортиз.нови активи'!$B$60:$B$107,$B141,'11.1.Амортиз.нови активи'!AD$60:AD$107))</f>
        <v>0</v>
      </c>
      <c r="X141" s="898">
        <f>$S141-SUMIF('11.2. Нови активи отч.год.'!$B$61:$B$108,$B141,'11.2. Нови активи отч.год.'!$S$61:$S$108)+SUMIF('11.2. Нови активи отч.год.'!$B$61:$B$108,$B141,'11.2. Нови активи отч.год.'!X$61:X$108)+SUMIF('11.1.Амортиз.нови активи'!$B$60:$B$107,$B141,'11.1.Амортиз.нови активи'!X$60:X$107)+('11.1.Амортиз.нови активи'!J$111*SUMIF('11.1.Амортиз.нови активи'!$B$60:$B$107,$B141,'11.1.Амортиз.нови активи'!AE$60:AE$107))</f>
        <v>0</v>
      </c>
      <c r="Y141" s="899">
        <f>$S141-SUMIF('11.2. Нови активи отч.год.'!$B$61:$B$108,$B141,'11.2. Нови активи отч.год.'!$S$61:$S$108)+SUMIF('11.2. Нови активи отч.год.'!$B$61:$B$108,$B141,'11.2. Нови активи отч.год.'!Y$61:Y$108)+SUMIF('11.1.Амортиз.нови активи'!$B$60:$B$107,$B141,'11.1.Амортиз.нови активи'!Y$60:Y$107)+('11.1.Амортиз.нови активи'!K$111*SUMIF('11.1.Амортиз.нови активи'!$B$60:$B$107,$B141,'11.1.Амортиз.нови активи'!AF$60:AF$107))</f>
        <v>0</v>
      </c>
      <c r="Z141" s="1671"/>
      <c r="AA141" s="1702"/>
      <c r="AB141" s="1726"/>
    </row>
    <row r="142" spans="1:28" s="1642" customFormat="1">
      <c r="A142" s="1729">
        <v>12</v>
      </c>
      <c r="B142" s="1674">
        <v>2040203</v>
      </c>
      <c r="C142" s="1675">
        <v>0.02</v>
      </c>
      <c r="D142" s="1623" t="s">
        <v>590</v>
      </c>
      <c r="E142" s="2250"/>
      <c r="F142" s="897">
        <f>$E142-SUMIF('11.2. Нови активи отч.год.'!$B$61:$B$108,$B142,'11.2. Нови активи отч.год.'!$E$61:$E$108)+SUMIF('11.2. Нови активи отч.год.'!$B$61:$B$108,$B142,'11.2. Нови активи отч.год.'!F$61:F$108)+SUMIF('11.1.Амортиз.нови активи'!$B$60:$B$107,$B142,'11.1.Амортиз.нови активи'!F$60:F$107)+('11.1.Амортиз.нови активи'!F$109*SUMIF('11.1.Амортиз.нови активи'!$B$60:$B$107,$B142,'11.1.Амортиз.нови активи'!AA$60:AA$107))</f>
        <v>0</v>
      </c>
      <c r="G142" s="898">
        <f>$E142-SUMIF('11.2. Нови активи отч.год.'!$B$61:$B$108,$B142,'11.2. Нови активи отч.год.'!$E$61:$E$108)+SUMIF('11.2. Нови активи отч.год.'!$B$61:$B$108,$B142,'11.2. Нови активи отч.год.'!G$61:G$108)+SUMIF('11.1.Амортиз.нови активи'!$B$60:$B$107,$B142,'11.1.Амортиз.нови активи'!G$60:G$107)+('11.1.Амортиз.нови активи'!G$109*SUMIF('11.1.Амортиз.нови активи'!$B$60:$B$107,$B142,'11.1.Амортиз.нови активи'!AB$60:AB$107))</f>
        <v>0</v>
      </c>
      <c r="H142" s="898">
        <f>$E142-SUMIF('11.2. Нови активи отч.год.'!$B$61:$B$108,$B142,'11.2. Нови активи отч.год.'!$E$61:$E$108)+SUMIF('11.2. Нови активи отч.год.'!$B$61:$B$108,$B142,'11.2. Нови активи отч.год.'!H$61:H$108)+SUMIF('11.1.Амортиз.нови активи'!$B$60:$B$107,$B142,'11.1.Амортиз.нови активи'!H$60:H$107)+('11.1.Амортиз.нови активи'!H$109*SUMIF('11.1.Амортиз.нови активи'!$B$60:$B$107,$B142,'11.1.Амортиз.нови активи'!AC$60:AC$107))</f>
        <v>0</v>
      </c>
      <c r="I142" s="898">
        <f>$E142-SUMIF('11.2. Нови активи отч.год.'!$B$61:$B$108,$B142,'11.2. Нови активи отч.год.'!$E$61:$E$108)+SUMIF('11.2. Нови активи отч.год.'!$B$61:$B$108,$B142,'11.2. Нови активи отч.год.'!I$61:I$108)+SUMIF('11.1.Амортиз.нови активи'!$B$60:$B$107,$B142,'11.1.Амортиз.нови активи'!I$60:I$107)+('11.1.Амортиз.нови активи'!I$109*SUMIF('11.1.Амортиз.нови активи'!$B$60:$B$107,$B142,'11.1.Амортиз.нови активи'!AD$60:AD$107))</f>
        <v>0</v>
      </c>
      <c r="J142" s="898">
        <f>$E142-SUMIF('11.2. Нови активи отч.год.'!$B$61:$B$108,$B142,'11.2. Нови активи отч.год.'!$E$61:$E$108)+SUMIF('11.2. Нови активи отч.год.'!$B$61:$B$108,$B142,'11.2. Нови активи отч.год.'!J$61:J$108)+SUMIF('11.1.Амортиз.нови активи'!$B$60:$B$107,$B142,'11.1.Амортиз.нови активи'!J$60:J$107)+('11.1.Амортиз.нови активи'!J$109*SUMIF('11.1.Амортиз.нови активи'!$B$60:$B$107,$B142,'11.1.Амортиз.нови активи'!AE$60:AE$107))</f>
        <v>0</v>
      </c>
      <c r="K142" s="898">
        <f>$E142-SUMIF('11.2. Нови активи отч.год.'!$B$61:$B$108,$B142,'11.2. Нови активи отч.год.'!$E$61:$E$108)+SUMIF('11.2. Нови активи отч.год.'!$B$61:$B$108,$B142,'11.2. Нови активи отч.год.'!K$61:K$108)+SUMIF('11.1.Амортиз.нови активи'!$B$60:$B$107,$B142,'11.1.Амортиз.нови активи'!K$60:K$107)+('11.1.Амортиз.нови активи'!K$109*SUMIF('11.1.Амортиз.нови активи'!$B$60:$B$107,$B142,'11.1.Амортиз.нови активи'!AF$60:AF$107))</f>
        <v>0</v>
      </c>
      <c r="L142" s="2250"/>
      <c r="M142" s="897">
        <f>$L142-SUMIF('11.2. Нови активи отч.год.'!$B$61:$B$108,$B142,'11.2. Нови активи отч.год.'!$L$61:$L$108)+SUMIF('11.2. Нови активи отч.год.'!$B$61:$B$108,$B142,'11.2. Нови активи отч.год.'!M$61:M$108)+SUMIF('11.1.Амортиз.нови активи'!$B$60:$B$107,$B142,'11.1.Амортиз.нови активи'!M$60:M$107)+('11.1.Амортиз.нови активи'!F$110*SUMIF('11.1.Амортиз.нови активи'!$B$60:$B$107,$B142,'11.1.Амортиз.нови активи'!AA$60:AA$107))</f>
        <v>0</v>
      </c>
      <c r="N142" s="898">
        <f>$L142-SUMIF('11.2. Нови активи отч.год.'!$B$61:$B$108,$B142,'11.2. Нови активи отч.год.'!$L$61:$L$108)+SUMIF('11.2. Нови активи отч.год.'!$B$61:$B$108,$B142,'11.2. Нови активи отч.год.'!N$61:N$108)+SUMIF('11.1.Амортиз.нови активи'!$B$60:$B$107,$B142,'11.1.Амортиз.нови активи'!N$60:N$107)+('11.1.Амортиз.нови активи'!G$110*SUMIF('11.1.Амортиз.нови активи'!$B$60:$B$107,$B142,'11.1.Амортиз.нови активи'!AB$60:AB$107))</f>
        <v>0</v>
      </c>
      <c r="O142" s="898">
        <f>$L142-SUMIF('11.2. Нови активи отч.год.'!$B$61:$B$108,$B142,'11.2. Нови активи отч.год.'!$L$61:$L$108)+SUMIF('11.2. Нови активи отч.год.'!$B$61:$B$108,$B142,'11.2. Нови активи отч.год.'!O$61:O$108)+SUMIF('11.1.Амортиз.нови активи'!$B$60:$B$107,$B142,'11.1.Амортиз.нови активи'!O$60:O$107)+('11.1.Амортиз.нови активи'!H$110*SUMIF('11.1.Амортиз.нови активи'!$B$60:$B$107,$B142,'11.1.Амортиз.нови активи'!AC$60:AC$107))</f>
        <v>0</v>
      </c>
      <c r="P142" s="898">
        <f>$L142-SUMIF('11.2. Нови активи отч.год.'!$B$61:$B$108,$B142,'11.2. Нови активи отч.год.'!$L$61:$L$108)+SUMIF('11.2. Нови активи отч.год.'!$B$61:$B$108,$B142,'11.2. Нови активи отч.год.'!P$61:P$108)+SUMIF('11.1.Амортиз.нови активи'!$B$60:$B$107,$B142,'11.1.Амортиз.нови активи'!P$60:P$107)+('11.1.Амортиз.нови активи'!I$110*SUMIF('11.1.Амортиз.нови активи'!$B$60:$B$107,$B142,'11.1.Амортиз.нови активи'!AD$60:AD$107))</f>
        <v>0</v>
      </c>
      <c r="Q142" s="898">
        <f>$L142-SUMIF('11.2. Нови активи отч.год.'!$B$61:$B$108,$B142,'11.2. Нови активи отч.год.'!$L$61:$L$108)+SUMIF('11.2. Нови активи отч.год.'!$B$61:$B$108,$B142,'11.2. Нови активи отч.год.'!Q$61:Q$108)+SUMIF('11.1.Амортиз.нови активи'!$B$60:$B$107,$B142,'11.1.Амортиз.нови активи'!Q$60:Q$107)+('11.1.Амортиз.нови активи'!J$110*SUMIF('11.1.Амортиз.нови активи'!$B$60:$B$107,$B142,'11.1.Амортиз.нови активи'!AE$60:AE$107))</f>
        <v>0</v>
      </c>
      <c r="R142" s="899">
        <f>$L142-SUMIF('11.2. Нови активи отч.год.'!$B$61:$B$108,$B142,'11.2. Нови активи отч.год.'!$L$61:$L$108)+SUMIF('11.2. Нови активи отч.год.'!$B$61:$B$108,$B142,'11.2. Нови активи отч.год.'!R$61:R$108)+SUMIF('11.1.Амортиз.нови активи'!$B$60:$B$107,$B142,'11.1.Амортиз.нови активи'!R$60:R$107)+('11.1.Амортиз.нови активи'!K$110*SUMIF('11.1.Амортиз.нови активи'!$B$60:$B$107,$B142,'11.1.Амортиз.нови активи'!AF$60:AF$107))</f>
        <v>0</v>
      </c>
      <c r="S142" s="2250"/>
      <c r="T142" s="897">
        <f>$S142-SUMIF('11.2. Нови активи отч.год.'!$B$61:$B$108,$B142,'11.2. Нови активи отч.год.'!$S$61:$S$108)+SUMIF('11.2. Нови активи отч.год.'!$B$61:$B$108,$B142,'11.2. Нови активи отч.год.'!T$61:T$108)+SUMIF('11.1.Амортиз.нови активи'!$B$60:$B$107,$B142,'11.1.Амортиз.нови активи'!T$60:T$107)+('11.1.Амортиз.нови активи'!F$111*SUMIF('11.1.Амортиз.нови активи'!$B$60:$B$107,$B142,'11.1.Амортиз.нови активи'!AA$60:AA$107))</f>
        <v>0</v>
      </c>
      <c r="U142" s="898">
        <f>$S142-SUMIF('11.2. Нови активи отч.год.'!$B$61:$B$108,$B142,'11.2. Нови активи отч.год.'!$S$61:$S$108)+SUMIF('11.2. Нови активи отч.год.'!$B$61:$B$108,$B142,'11.2. Нови активи отч.год.'!U$61:U$108)+SUMIF('11.1.Амортиз.нови активи'!$B$60:$B$107,$B142,'11.1.Амортиз.нови активи'!U$60:U$107)+('11.1.Амортиз.нови активи'!G$111*SUMIF('11.1.Амортиз.нови активи'!$B$60:$B$107,$B142,'11.1.Амортиз.нови активи'!AB$60:AB$107))</f>
        <v>0</v>
      </c>
      <c r="V142" s="898">
        <f>$S142-SUMIF('11.2. Нови активи отч.год.'!$B$61:$B$108,$B142,'11.2. Нови активи отч.год.'!$S$61:$S$108)+SUMIF('11.2. Нови активи отч.год.'!$B$61:$B$108,$B142,'11.2. Нови активи отч.год.'!V$61:V$108)+SUMIF('11.1.Амортиз.нови активи'!$B$60:$B$107,$B142,'11.1.Амортиз.нови активи'!V$60:V$107)+('11.1.Амортиз.нови активи'!H$111*SUMIF('11.1.Амортиз.нови активи'!$B$60:$B$107,$B142,'11.1.Амортиз.нови активи'!AC$60:AC$107))</f>
        <v>0</v>
      </c>
      <c r="W142" s="898">
        <f>$S142-SUMIF('11.2. Нови активи отч.год.'!$B$61:$B$108,$B142,'11.2. Нови активи отч.год.'!$S$61:$S$108)+SUMIF('11.2. Нови активи отч.год.'!$B$61:$B$108,$B142,'11.2. Нови активи отч.год.'!W$61:W$108)+SUMIF('11.1.Амортиз.нови активи'!$B$60:$B$107,$B142,'11.1.Амортиз.нови активи'!W$60:W$107)+('11.1.Амортиз.нови активи'!I$111*SUMIF('11.1.Амортиз.нови активи'!$B$60:$B$107,$B142,'11.1.Амортиз.нови активи'!AD$60:AD$107))</f>
        <v>0</v>
      </c>
      <c r="X142" s="898">
        <f>$S142-SUMIF('11.2. Нови активи отч.год.'!$B$61:$B$108,$B142,'11.2. Нови активи отч.год.'!$S$61:$S$108)+SUMIF('11.2. Нови активи отч.год.'!$B$61:$B$108,$B142,'11.2. Нови активи отч.год.'!X$61:X$108)+SUMIF('11.1.Амортиз.нови активи'!$B$60:$B$107,$B142,'11.1.Амортиз.нови активи'!X$60:X$107)+('11.1.Амортиз.нови активи'!J$111*SUMIF('11.1.Амортиз.нови активи'!$B$60:$B$107,$B142,'11.1.Амортиз.нови активи'!AE$60:AE$107))</f>
        <v>0</v>
      </c>
      <c r="Y142" s="899">
        <f>$S142-SUMIF('11.2. Нови активи отч.год.'!$B$61:$B$108,$B142,'11.2. Нови активи отч.год.'!$S$61:$S$108)+SUMIF('11.2. Нови активи отч.год.'!$B$61:$B$108,$B142,'11.2. Нови активи отч.год.'!Y$61:Y$108)+SUMIF('11.1.Амортиз.нови активи'!$B$60:$B$107,$B142,'11.1.Амортиз.нови активи'!Y$60:Y$107)+('11.1.Амортиз.нови активи'!K$111*SUMIF('11.1.Амортиз.нови активи'!$B$60:$B$107,$B142,'11.1.Амортиз.нови активи'!AF$60:AF$107))</f>
        <v>0</v>
      </c>
      <c r="Z142" s="1671"/>
      <c r="AA142" s="1702"/>
      <c r="AB142" s="1726"/>
    </row>
    <row r="143" spans="1:28" s="1642" customFormat="1">
      <c r="A143" s="1729">
        <v>13</v>
      </c>
      <c r="B143" s="1674">
        <v>2040204</v>
      </c>
      <c r="C143" s="1675">
        <v>0.02</v>
      </c>
      <c r="D143" s="1637" t="s">
        <v>591</v>
      </c>
      <c r="E143" s="2250"/>
      <c r="F143" s="897">
        <f>$E143-SUMIF('11.2. Нови активи отч.год.'!$B$61:$B$108,$B143,'11.2. Нови активи отч.год.'!$E$61:$E$108)+SUMIF('11.2. Нови активи отч.год.'!$B$61:$B$108,$B143,'11.2. Нови активи отч.год.'!F$61:F$108)+SUMIF('11.1.Амортиз.нови активи'!$B$60:$B$107,$B143,'11.1.Амортиз.нови активи'!F$60:F$107)+('11.1.Амортиз.нови активи'!F$109*SUMIF('11.1.Амортиз.нови активи'!$B$60:$B$107,$B143,'11.1.Амортиз.нови активи'!AA$60:AA$107))</f>
        <v>1.72</v>
      </c>
      <c r="G143" s="898">
        <f>$E143-SUMIF('11.2. Нови активи отч.год.'!$B$61:$B$108,$B143,'11.2. Нови активи отч.год.'!$E$61:$E$108)+SUMIF('11.2. Нови активи отч.год.'!$B$61:$B$108,$B143,'11.2. Нови активи отч.год.'!G$61:G$108)+SUMIF('11.1.Амортиз.нови активи'!$B$60:$B$107,$B143,'11.1.Амортиз.нови активи'!G$60:G$107)+('11.1.Амортиз.нови активи'!G$109*SUMIF('11.1.Амортиз.нови активи'!$B$60:$B$107,$B143,'11.1.Амортиз.нови активи'!AB$60:AB$107))</f>
        <v>3.99</v>
      </c>
      <c r="H143" s="898">
        <f>$E143-SUMIF('11.2. Нови активи отч.год.'!$B$61:$B$108,$B143,'11.2. Нови активи отч.год.'!$E$61:$E$108)+SUMIF('11.2. Нови активи отч.год.'!$B$61:$B$108,$B143,'11.2. Нови активи отч.год.'!H$61:H$108)+SUMIF('11.1.Амортиз.нови активи'!$B$60:$B$107,$B143,'11.1.Амортиз.нови активи'!H$60:H$107)+('11.1.Амортиз.нови активи'!H$109*SUMIF('11.1.Амортиз.нови активи'!$B$60:$B$107,$B143,'11.1.Амортиз.нови активи'!AC$60:AC$107))</f>
        <v>4.9400000000000004</v>
      </c>
      <c r="I143" s="898">
        <f>$E143-SUMIF('11.2. Нови активи отч.год.'!$B$61:$B$108,$B143,'11.2. Нови активи отч.год.'!$E$61:$E$108)+SUMIF('11.2. Нови активи отч.год.'!$B$61:$B$108,$B143,'11.2. Нови активи отч.год.'!I$61:I$108)+SUMIF('11.1.Амортиз.нови активи'!$B$60:$B$107,$B143,'11.1.Амортиз.нови активи'!I$60:I$107)+('11.1.Амортиз.нови активи'!I$109*SUMIF('11.1.Амортиз.нови активи'!$B$60:$B$107,$B143,'11.1.Амортиз.нови активи'!AD$60:AD$107))</f>
        <v>5.54</v>
      </c>
      <c r="J143" s="898">
        <f>$E143-SUMIF('11.2. Нови активи отч.год.'!$B$61:$B$108,$B143,'11.2. Нови активи отч.год.'!$E$61:$E$108)+SUMIF('11.2. Нови активи отч.год.'!$B$61:$B$108,$B143,'11.2. Нови активи отч.год.'!J$61:J$108)+SUMIF('11.1.Амортиз.нови активи'!$B$60:$B$107,$B143,'11.1.Амортиз.нови активи'!J$60:J$107)+('11.1.Амортиз.нови активи'!J$109*SUMIF('11.1.Амортиз.нови активи'!$B$60:$B$107,$B143,'11.1.Амортиз.нови активи'!AE$60:AE$107))</f>
        <v>5.8900000000000006</v>
      </c>
      <c r="K143" s="898">
        <f>$E143-SUMIF('11.2. Нови активи отч.год.'!$B$61:$B$108,$B143,'11.2. Нови активи отч.год.'!$E$61:$E$108)+SUMIF('11.2. Нови активи отч.год.'!$B$61:$B$108,$B143,'11.2. Нови активи отч.год.'!K$61:K$108)+SUMIF('11.1.Амортиз.нови активи'!$B$60:$B$107,$B143,'11.1.Амортиз.нови активи'!K$60:K$107)+('11.1.Амортиз.нови активи'!K$109*SUMIF('11.1.Амортиз.нови активи'!$B$60:$B$107,$B143,'11.1.Амортиз.нови активи'!AF$60:AF$107))</f>
        <v>6.19</v>
      </c>
      <c r="L143" s="2250"/>
      <c r="M143" s="897">
        <f>$L143-SUMIF('11.2. Нови активи отч.год.'!$B$61:$B$108,$B143,'11.2. Нови активи отч.год.'!$L$61:$L$108)+SUMIF('11.2. Нови активи отч.год.'!$B$61:$B$108,$B143,'11.2. Нови активи отч.год.'!M$61:M$108)+SUMIF('11.1.Амортиз.нови активи'!$B$60:$B$107,$B143,'11.1.Амортиз.нови активи'!M$60:M$107)+('11.1.Амортиз.нови активи'!F$110*SUMIF('11.1.Амортиз.нови активи'!$B$60:$B$107,$B143,'11.1.Амортиз.нови активи'!AA$60:AA$107))</f>
        <v>0</v>
      </c>
      <c r="N143" s="898">
        <f>$L143-SUMIF('11.2. Нови активи отч.год.'!$B$61:$B$108,$B143,'11.2. Нови активи отч.год.'!$L$61:$L$108)+SUMIF('11.2. Нови активи отч.год.'!$B$61:$B$108,$B143,'11.2. Нови активи отч.год.'!N$61:N$108)+SUMIF('11.1.Амортиз.нови активи'!$B$60:$B$107,$B143,'11.1.Амортиз.нови активи'!N$60:N$107)+('11.1.Амортиз.нови активи'!G$110*SUMIF('11.1.Амортиз.нови активи'!$B$60:$B$107,$B143,'11.1.Амортиз.нови активи'!AB$60:AB$107))</f>
        <v>0</v>
      </c>
      <c r="O143" s="898">
        <f>$L143-SUMIF('11.2. Нови активи отч.год.'!$B$61:$B$108,$B143,'11.2. Нови активи отч.год.'!$L$61:$L$108)+SUMIF('11.2. Нови активи отч.год.'!$B$61:$B$108,$B143,'11.2. Нови активи отч.год.'!O$61:O$108)+SUMIF('11.1.Амортиз.нови активи'!$B$60:$B$107,$B143,'11.1.Амортиз.нови активи'!O$60:O$107)+('11.1.Амортиз.нови активи'!H$110*SUMIF('11.1.Амортиз.нови активи'!$B$60:$B$107,$B143,'11.1.Амортиз.нови активи'!AC$60:AC$107))</f>
        <v>0</v>
      </c>
      <c r="P143" s="898">
        <f>$L143-SUMIF('11.2. Нови активи отч.год.'!$B$61:$B$108,$B143,'11.2. Нови активи отч.год.'!$L$61:$L$108)+SUMIF('11.2. Нови активи отч.год.'!$B$61:$B$108,$B143,'11.2. Нови активи отч.год.'!P$61:P$108)+SUMIF('11.1.Амортиз.нови активи'!$B$60:$B$107,$B143,'11.1.Амортиз.нови активи'!P$60:P$107)+('11.1.Амортиз.нови активи'!I$110*SUMIF('11.1.Амортиз.нови активи'!$B$60:$B$107,$B143,'11.1.Амортиз.нови активи'!AD$60:AD$107))</f>
        <v>0</v>
      </c>
      <c r="Q143" s="898">
        <f>$L143-SUMIF('11.2. Нови активи отч.год.'!$B$61:$B$108,$B143,'11.2. Нови активи отч.год.'!$L$61:$L$108)+SUMIF('11.2. Нови активи отч.год.'!$B$61:$B$108,$B143,'11.2. Нови активи отч.год.'!Q$61:Q$108)+SUMIF('11.1.Амортиз.нови активи'!$B$60:$B$107,$B143,'11.1.Амортиз.нови активи'!Q$60:Q$107)+('11.1.Амортиз.нови активи'!J$110*SUMIF('11.1.Амортиз.нови активи'!$B$60:$B$107,$B143,'11.1.Амортиз.нови активи'!AE$60:AE$107))</f>
        <v>0</v>
      </c>
      <c r="R143" s="899">
        <f>$L143-SUMIF('11.2. Нови активи отч.год.'!$B$61:$B$108,$B143,'11.2. Нови активи отч.год.'!$L$61:$L$108)+SUMIF('11.2. Нови активи отч.год.'!$B$61:$B$108,$B143,'11.2. Нови активи отч.год.'!R$61:R$108)+SUMIF('11.1.Амортиз.нови активи'!$B$60:$B$107,$B143,'11.1.Амортиз.нови активи'!R$60:R$107)+('11.1.Амортиз.нови активи'!K$110*SUMIF('11.1.Амортиз.нови активи'!$B$60:$B$107,$B143,'11.1.Амортиз.нови активи'!AF$60:AF$107))</f>
        <v>0</v>
      </c>
      <c r="S143" s="2250"/>
      <c r="T143" s="897">
        <f>$S143-SUMIF('11.2. Нови активи отч.год.'!$B$61:$B$108,$B143,'11.2. Нови активи отч.год.'!$S$61:$S$108)+SUMIF('11.2. Нови активи отч.год.'!$B$61:$B$108,$B143,'11.2. Нови активи отч.год.'!T$61:T$108)+SUMIF('11.1.Амортиз.нови активи'!$B$60:$B$107,$B143,'11.1.Амортиз.нови активи'!T$60:T$107)+('11.1.Амортиз.нови активи'!F$111*SUMIF('11.1.Амортиз.нови активи'!$B$60:$B$107,$B143,'11.1.Амортиз.нови активи'!AA$60:AA$107))</f>
        <v>0</v>
      </c>
      <c r="U143" s="898">
        <f>$S143-SUMIF('11.2. Нови активи отч.год.'!$B$61:$B$108,$B143,'11.2. Нови активи отч.год.'!$S$61:$S$108)+SUMIF('11.2. Нови активи отч.год.'!$B$61:$B$108,$B143,'11.2. Нови активи отч.год.'!U$61:U$108)+SUMIF('11.1.Амортиз.нови активи'!$B$60:$B$107,$B143,'11.1.Амортиз.нови активи'!U$60:U$107)+('11.1.Амортиз.нови активи'!G$111*SUMIF('11.1.Амортиз.нови активи'!$B$60:$B$107,$B143,'11.1.Амортиз.нови активи'!AB$60:AB$107))</f>
        <v>0</v>
      </c>
      <c r="V143" s="898">
        <f>$S143-SUMIF('11.2. Нови активи отч.год.'!$B$61:$B$108,$B143,'11.2. Нови активи отч.год.'!$S$61:$S$108)+SUMIF('11.2. Нови активи отч.год.'!$B$61:$B$108,$B143,'11.2. Нови активи отч.год.'!V$61:V$108)+SUMIF('11.1.Амортиз.нови активи'!$B$60:$B$107,$B143,'11.1.Амортиз.нови активи'!V$60:V$107)+('11.1.Амортиз.нови активи'!H$111*SUMIF('11.1.Амортиз.нови активи'!$B$60:$B$107,$B143,'11.1.Амортиз.нови активи'!AC$60:AC$107))</f>
        <v>0</v>
      </c>
      <c r="W143" s="898">
        <f>$S143-SUMIF('11.2. Нови активи отч.год.'!$B$61:$B$108,$B143,'11.2. Нови активи отч.год.'!$S$61:$S$108)+SUMIF('11.2. Нови активи отч.год.'!$B$61:$B$108,$B143,'11.2. Нови активи отч.год.'!W$61:W$108)+SUMIF('11.1.Амортиз.нови активи'!$B$60:$B$107,$B143,'11.1.Амортиз.нови активи'!W$60:W$107)+('11.1.Амортиз.нови активи'!I$111*SUMIF('11.1.Амортиз.нови активи'!$B$60:$B$107,$B143,'11.1.Амортиз.нови активи'!AD$60:AD$107))</f>
        <v>0</v>
      </c>
      <c r="X143" s="898">
        <f>$S143-SUMIF('11.2. Нови активи отч.год.'!$B$61:$B$108,$B143,'11.2. Нови активи отч.год.'!$S$61:$S$108)+SUMIF('11.2. Нови активи отч.год.'!$B$61:$B$108,$B143,'11.2. Нови активи отч.год.'!X$61:X$108)+SUMIF('11.1.Амортиз.нови активи'!$B$60:$B$107,$B143,'11.1.Амортиз.нови активи'!X$60:X$107)+('11.1.Амортиз.нови активи'!J$111*SUMIF('11.1.Амортиз.нови активи'!$B$60:$B$107,$B143,'11.1.Амортиз.нови активи'!AE$60:AE$107))</f>
        <v>0</v>
      </c>
      <c r="Y143" s="899">
        <f>$S143-SUMIF('11.2. Нови активи отч.год.'!$B$61:$B$108,$B143,'11.2. Нови активи отч.год.'!$S$61:$S$108)+SUMIF('11.2. Нови активи отч.год.'!$B$61:$B$108,$B143,'11.2. Нови активи отч.год.'!Y$61:Y$108)+SUMIF('11.1.Амортиз.нови активи'!$B$60:$B$107,$B143,'11.1.Амортиз.нови активи'!Y$60:Y$107)+('11.1.Амортиз.нови активи'!K$111*SUMIF('11.1.Амортиз.нови активи'!$B$60:$B$107,$B143,'11.1.Амортиз.нови активи'!AF$60:AF$107))</f>
        <v>0</v>
      </c>
      <c r="Z143" s="1671"/>
      <c r="AA143" s="1702"/>
      <c r="AB143" s="1726"/>
    </row>
    <row r="144" spans="1:28" s="1642" customFormat="1">
      <c r="A144" s="1729">
        <v>14</v>
      </c>
      <c r="B144" s="1674">
        <v>2040205</v>
      </c>
      <c r="C144" s="1675">
        <v>0.02</v>
      </c>
      <c r="D144" s="1623" t="s">
        <v>592</v>
      </c>
      <c r="E144" s="2250"/>
      <c r="F144" s="897">
        <f>$E144-SUMIF('11.2. Нови активи отч.год.'!$B$61:$B$108,$B144,'11.2. Нови активи отч.год.'!$E$61:$E$108)+SUMIF('11.2. Нови активи отч.год.'!$B$61:$B$108,$B144,'11.2. Нови активи отч.год.'!F$61:F$108)+SUMIF('11.1.Амортиз.нови активи'!$B$60:$B$107,$B144,'11.1.Амортиз.нови активи'!F$60:F$107)+('11.1.Амортиз.нови активи'!F$109*SUMIF('11.1.Амортиз.нови активи'!$B$60:$B$107,$B144,'11.1.Амортиз.нови активи'!AA$60:AA$107))</f>
        <v>19</v>
      </c>
      <c r="G144" s="898">
        <f>$E144-SUMIF('11.2. Нови активи отч.год.'!$B$61:$B$108,$B144,'11.2. Нови активи отч.год.'!$E$61:$E$108)+SUMIF('11.2. Нови активи отч.год.'!$B$61:$B$108,$B144,'11.2. Нови активи отч.год.'!G$61:G$108)+SUMIF('11.1.Амортиз.нови активи'!$B$60:$B$107,$B144,'11.1.Амортиз.нови активи'!G$60:G$107)+('11.1.Амортиз.нови активи'!G$109*SUMIF('11.1.Амортиз.нови активи'!$B$60:$B$107,$B144,'11.1.Амортиз.нови активи'!AB$60:AB$107))</f>
        <v>38.634999999999998</v>
      </c>
      <c r="H144" s="898">
        <f>$E144-SUMIF('11.2. Нови активи отч.год.'!$B$61:$B$108,$B144,'11.2. Нови активи отч.год.'!$E$61:$E$108)+SUMIF('11.2. Нови активи отч.год.'!$B$61:$B$108,$B144,'11.2. Нови активи отч.год.'!H$61:H$108)+SUMIF('11.1.Амортиз.нови активи'!$B$60:$B$107,$B144,'11.1.Амортиз.нови активи'!H$60:H$107)+('11.1.Амортиз.нови активи'!H$109*SUMIF('11.1.Амортиз.нови активи'!$B$60:$B$107,$B144,'11.1.Амортиз.нови активи'!AC$60:AC$107))</f>
        <v>45.81666666666667</v>
      </c>
      <c r="I144" s="898">
        <f>$E144-SUMIF('11.2. Нови активи отч.год.'!$B$61:$B$108,$B144,'11.2. Нови активи отч.год.'!$E$61:$E$108)+SUMIF('11.2. Нови активи отч.год.'!$B$61:$B$108,$B144,'11.2. Нови активи отч.год.'!I$61:I$108)+SUMIF('11.1.Амортиз.нови активи'!$B$60:$B$107,$B144,'11.1.Амортиз.нови активи'!I$60:I$107)+('11.1.Амортиз.нови активи'!I$109*SUMIF('11.1.Амортиз.нови активи'!$B$60:$B$107,$B144,'11.1.Амортиз.нови активи'!AD$60:AD$107))</f>
        <v>60.933333333333337</v>
      </c>
      <c r="J144" s="898">
        <f>$E144-SUMIF('11.2. Нови активи отч.год.'!$B$61:$B$108,$B144,'11.2. Нови активи отч.год.'!$E$61:$E$108)+SUMIF('11.2. Нови активи отч.год.'!$B$61:$B$108,$B144,'11.2. Нови активи отч.год.'!J$61:J$108)+SUMIF('11.1.Амортиз.нови активи'!$B$60:$B$107,$B144,'11.1.Амортиз.нови активи'!J$60:J$107)+('11.1.Амортиз.нови активи'!J$109*SUMIF('11.1.Амортиз.нови активи'!$B$60:$B$107,$B144,'11.1.Амортиз.нови активи'!AE$60:AE$107))</f>
        <v>78.933333333333337</v>
      </c>
      <c r="K144" s="898">
        <f>$E144-SUMIF('11.2. Нови активи отч.год.'!$B$61:$B$108,$B144,'11.2. Нови активи отч.год.'!$E$61:$E$108)+SUMIF('11.2. Нови активи отч.год.'!$B$61:$B$108,$B144,'11.2. Нови активи отч.год.'!K$61:K$108)+SUMIF('11.1.Амортиз.нови активи'!$B$60:$B$107,$B144,'11.1.Амортиз.нови активи'!K$60:K$107)+('11.1.Амортиз.нови активи'!K$109*SUMIF('11.1.Амортиз.нови активи'!$B$60:$B$107,$B144,'11.1.Амортиз.нови активи'!AF$60:AF$107))</f>
        <v>100.14333333333333</v>
      </c>
      <c r="L144" s="2250"/>
      <c r="M144" s="897">
        <f>$L144-SUMIF('11.2. Нови активи отч.год.'!$B$61:$B$108,$B144,'11.2. Нови активи отч.год.'!$L$61:$L$108)+SUMIF('11.2. Нови активи отч.год.'!$B$61:$B$108,$B144,'11.2. Нови активи отч.год.'!M$61:M$108)+SUMIF('11.1.Амортиз.нови активи'!$B$60:$B$107,$B144,'11.1.Амортиз.нови активи'!M$60:M$107)+('11.1.Амортиз.нови активи'!F$110*SUMIF('11.1.Амортиз.нови активи'!$B$60:$B$107,$B144,'11.1.Амортиз.нови активи'!AA$60:AA$107))</f>
        <v>0</v>
      </c>
      <c r="N144" s="898">
        <f>$L144-SUMIF('11.2. Нови активи отч.год.'!$B$61:$B$108,$B144,'11.2. Нови активи отч.год.'!$L$61:$L$108)+SUMIF('11.2. Нови активи отч.год.'!$B$61:$B$108,$B144,'11.2. Нови активи отч.год.'!N$61:N$108)+SUMIF('11.1.Амортиз.нови активи'!$B$60:$B$107,$B144,'11.1.Амортиз.нови активи'!N$60:N$107)+('11.1.Амортиз.нови активи'!G$110*SUMIF('11.1.Амортиз.нови активи'!$B$60:$B$107,$B144,'11.1.Амортиз.нови активи'!AB$60:AB$107))</f>
        <v>0</v>
      </c>
      <c r="O144" s="898">
        <f>$L144-SUMIF('11.2. Нови активи отч.год.'!$B$61:$B$108,$B144,'11.2. Нови активи отч.год.'!$L$61:$L$108)+SUMIF('11.2. Нови активи отч.год.'!$B$61:$B$108,$B144,'11.2. Нови активи отч.год.'!O$61:O$108)+SUMIF('11.1.Амортиз.нови активи'!$B$60:$B$107,$B144,'11.1.Амортиз.нови активи'!O$60:O$107)+('11.1.Амортиз.нови активи'!H$110*SUMIF('11.1.Амортиз.нови активи'!$B$60:$B$107,$B144,'11.1.Амортиз.нови активи'!AC$60:AC$107))</f>
        <v>0</v>
      </c>
      <c r="P144" s="898">
        <f>$L144-SUMIF('11.2. Нови активи отч.год.'!$B$61:$B$108,$B144,'11.2. Нови активи отч.год.'!$L$61:$L$108)+SUMIF('11.2. Нови активи отч.год.'!$B$61:$B$108,$B144,'11.2. Нови активи отч.год.'!P$61:P$108)+SUMIF('11.1.Амортиз.нови активи'!$B$60:$B$107,$B144,'11.1.Амортиз.нови активи'!P$60:P$107)+('11.1.Амортиз.нови активи'!I$110*SUMIF('11.1.Амортиз.нови активи'!$B$60:$B$107,$B144,'11.1.Амортиз.нови активи'!AD$60:AD$107))</f>
        <v>0</v>
      </c>
      <c r="Q144" s="898">
        <f>$L144-SUMIF('11.2. Нови активи отч.год.'!$B$61:$B$108,$B144,'11.2. Нови активи отч.год.'!$L$61:$L$108)+SUMIF('11.2. Нови активи отч.год.'!$B$61:$B$108,$B144,'11.2. Нови активи отч.год.'!Q$61:Q$108)+SUMIF('11.1.Амортиз.нови активи'!$B$60:$B$107,$B144,'11.1.Амортиз.нови активи'!Q$60:Q$107)+('11.1.Амортиз.нови активи'!J$110*SUMIF('11.1.Амортиз.нови активи'!$B$60:$B$107,$B144,'11.1.Амортиз.нови активи'!AE$60:AE$107))</f>
        <v>0</v>
      </c>
      <c r="R144" s="899">
        <f>$L144-SUMIF('11.2. Нови активи отч.год.'!$B$61:$B$108,$B144,'11.2. Нови активи отч.год.'!$L$61:$L$108)+SUMIF('11.2. Нови активи отч.год.'!$B$61:$B$108,$B144,'11.2. Нови активи отч.год.'!R$61:R$108)+SUMIF('11.1.Амортиз.нови активи'!$B$60:$B$107,$B144,'11.1.Амортиз.нови активи'!R$60:R$107)+('11.1.Амортиз.нови активи'!K$110*SUMIF('11.1.Амортиз.нови активи'!$B$60:$B$107,$B144,'11.1.Амортиз.нови активи'!AF$60:AF$107))</f>
        <v>0</v>
      </c>
      <c r="S144" s="2250"/>
      <c r="T144" s="897">
        <f>$S144-SUMIF('11.2. Нови активи отч.год.'!$B$61:$B$108,$B144,'11.2. Нови активи отч.год.'!$S$61:$S$108)+SUMIF('11.2. Нови активи отч.год.'!$B$61:$B$108,$B144,'11.2. Нови активи отч.год.'!T$61:T$108)+SUMIF('11.1.Амортиз.нови активи'!$B$60:$B$107,$B144,'11.1.Амортиз.нови активи'!T$60:T$107)+('11.1.Амортиз.нови активи'!F$111*SUMIF('11.1.Амортиз.нови активи'!$B$60:$B$107,$B144,'11.1.Амортиз.нови активи'!AA$60:AA$107))</f>
        <v>0</v>
      </c>
      <c r="U144" s="898">
        <f>$S144-SUMIF('11.2. Нови активи отч.год.'!$B$61:$B$108,$B144,'11.2. Нови активи отч.год.'!$S$61:$S$108)+SUMIF('11.2. Нови активи отч.год.'!$B$61:$B$108,$B144,'11.2. Нови активи отч.год.'!U$61:U$108)+SUMIF('11.1.Амортиз.нови активи'!$B$60:$B$107,$B144,'11.1.Амортиз.нови активи'!U$60:U$107)+('11.1.Амортиз.нови активи'!G$111*SUMIF('11.1.Амортиз.нови активи'!$B$60:$B$107,$B144,'11.1.Амортиз.нови активи'!AB$60:AB$107))</f>
        <v>0</v>
      </c>
      <c r="V144" s="898">
        <f>$S144-SUMIF('11.2. Нови активи отч.год.'!$B$61:$B$108,$B144,'11.2. Нови активи отч.год.'!$S$61:$S$108)+SUMIF('11.2. Нови активи отч.год.'!$B$61:$B$108,$B144,'11.2. Нови активи отч.год.'!V$61:V$108)+SUMIF('11.1.Амортиз.нови активи'!$B$60:$B$107,$B144,'11.1.Амортиз.нови активи'!V$60:V$107)+('11.1.Амортиз.нови активи'!H$111*SUMIF('11.1.Амортиз.нови активи'!$B$60:$B$107,$B144,'11.1.Амортиз.нови активи'!AC$60:AC$107))</f>
        <v>0</v>
      </c>
      <c r="W144" s="898">
        <f>$S144-SUMIF('11.2. Нови активи отч.год.'!$B$61:$B$108,$B144,'11.2. Нови активи отч.год.'!$S$61:$S$108)+SUMIF('11.2. Нови активи отч.год.'!$B$61:$B$108,$B144,'11.2. Нови активи отч.год.'!W$61:W$108)+SUMIF('11.1.Амортиз.нови активи'!$B$60:$B$107,$B144,'11.1.Амортиз.нови активи'!W$60:W$107)+('11.1.Амортиз.нови активи'!I$111*SUMIF('11.1.Амортиз.нови активи'!$B$60:$B$107,$B144,'11.1.Амортиз.нови активи'!AD$60:AD$107))</f>
        <v>0</v>
      </c>
      <c r="X144" s="898">
        <f>$S144-SUMIF('11.2. Нови активи отч.год.'!$B$61:$B$108,$B144,'11.2. Нови активи отч.год.'!$S$61:$S$108)+SUMIF('11.2. Нови активи отч.год.'!$B$61:$B$108,$B144,'11.2. Нови активи отч.год.'!X$61:X$108)+SUMIF('11.1.Амортиз.нови активи'!$B$60:$B$107,$B144,'11.1.Амортиз.нови активи'!X$60:X$107)+('11.1.Амортиз.нови активи'!J$111*SUMIF('11.1.Амортиз.нови активи'!$B$60:$B$107,$B144,'11.1.Амортиз.нови активи'!AE$60:AE$107))</f>
        <v>0</v>
      </c>
      <c r="Y144" s="899">
        <f>$S144-SUMIF('11.2. Нови активи отч.год.'!$B$61:$B$108,$B144,'11.2. Нови активи отч.год.'!$S$61:$S$108)+SUMIF('11.2. Нови активи отч.год.'!$B$61:$B$108,$B144,'11.2. Нови активи отч.год.'!Y$61:Y$108)+SUMIF('11.1.Амортиз.нови активи'!$B$60:$B$107,$B144,'11.1.Амортиз.нови активи'!Y$60:Y$107)+('11.1.Амортиз.нови активи'!K$111*SUMIF('11.1.Амортиз.нови активи'!$B$60:$B$107,$B144,'11.1.Амортиз.нови активи'!AF$60:AF$107))</f>
        <v>0</v>
      </c>
      <c r="Z144" s="1671"/>
      <c r="AA144" s="1702"/>
      <c r="AB144" s="1726"/>
    </row>
    <row r="145" spans="1:28" s="1642" customFormat="1">
      <c r="A145" s="1729">
        <v>15</v>
      </c>
      <c r="B145" s="1674">
        <v>2040206</v>
      </c>
      <c r="C145" s="1675">
        <v>0.02</v>
      </c>
      <c r="D145" s="1625" t="s">
        <v>593</v>
      </c>
      <c r="E145" s="2250"/>
      <c r="F145" s="897">
        <f>$E145-SUMIF('11.2. Нови активи отч.год.'!$B$61:$B$108,$B145,'11.2. Нови активи отч.год.'!$E$61:$E$108)+SUMIF('11.2. Нови активи отч.год.'!$B$61:$B$108,$B145,'11.2. Нови активи отч.год.'!F$61:F$108)+SUMIF('11.1.Амортиз.нови активи'!$B$60:$B$107,$B145,'11.1.Амортиз.нови активи'!F$60:F$107)+('11.1.Амортиз.нови активи'!F$109*SUMIF('11.1.Амортиз.нови активи'!$B$60:$B$107,$B145,'11.1.Амортиз.нови активи'!AA$60:AA$107))</f>
        <v>0</v>
      </c>
      <c r="G145" s="898">
        <f>$E145-SUMIF('11.2. Нови активи отч.год.'!$B$61:$B$108,$B145,'11.2. Нови активи отч.год.'!$E$61:$E$108)+SUMIF('11.2. Нови активи отч.год.'!$B$61:$B$108,$B145,'11.2. Нови активи отч.год.'!G$61:G$108)+SUMIF('11.1.Амортиз.нови активи'!$B$60:$B$107,$B145,'11.1.Амортиз.нови активи'!G$60:G$107)+('11.1.Амортиз.нови активи'!G$109*SUMIF('11.1.Амортиз.нови активи'!$B$60:$B$107,$B145,'11.1.Амортиз.нови активи'!AB$60:AB$107))</f>
        <v>0</v>
      </c>
      <c r="H145" s="898">
        <f>$E145-SUMIF('11.2. Нови активи отч.год.'!$B$61:$B$108,$B145,'11.2. Нови активи отч.год.'!$E$61:$E$108)+SUMIF('11.2. Нови активи отч.год.'!$B$61:$B$108,$B145,'11.2. Нови активи отч.год.'!H$61:H$108)+SUMIF('11.1.Амортиз.нови активи'!$B$60:$B$107,$B145,'11.1.Амортиз.нови активи'!H$60:H$107)+('11.1.Амортиз.нови активи'!H$109*SUMIF('11.1.Амортиз.нови активи'!$B$60:$B$107,$B145,'11.1.Амортиз.нови активи'!AC$60:AC$107))</f>
        <v>0</v>
      </c>
      <c r="I145" s="898">
        <f>$E145-SUMIF('11.2. Нови активи отч.год.'!$B$61:$B$108,$B145,'11.2. Нови активи отч.год.'!$E$61:$E$108)+SUMIF('11.2. Нови активи отч.год.'!$B$61:$B$108,$B145,'11.2. Нови активи отч.год.'!I$61:I$108)+SUMIF('11.1.Амортиз.нови активи'!$B$60:$B$107,$B145,'11.1.Амортиз.нови активи'!I$60:I$107)+('11.1.Амортиз.нови активи'!I$109*SUMIF('11.1.Амортиз.нови активи'!$B$60:$B$107,$B145,'11.1.Амортиз.нови активи'!AD$60:AD$107))</f>
        <v>0</v>
      </c>
      <c r="J145" s="898">
        <f>$E145-SUMIF('11.2. Нови активи отч.год.'!$B$61:$B$108,$B145,'11.2. Нови активи отч.год.'!$E$61:$E$108)+SUMIF('11.2. Нови активи отч.год.'!$B$61:$B$108,$B145,'11.2. Нови активи отч.год.'!J$61:J$108)+SUMIF('11.1.Амортиз.нови активи'!$B$60:$B$107,$B145,'11.1.Амортиз.нови активи'!J$60:J$107)+('11.1.Амортиз.нови активи'!J$109*SUMIF('11.1.Амортиз.нови активи'!$B$60:$B$107,$B145,'11.1.Амортиз.нови активи'!AE$60:AE$107))</f>
        <v>0</v>
      </c>
      <c r="K145" s="898">
        <f>$E145-SUMIF('11.2. Нови активи отч.год.'!$B$61:$B$108,$B145,'11.2. Нови активи отч.год.'!$E$61:$E$108)+SUMIF('11.2. Нови активи отч.год.'!$B$61:$B$108,$B145,'11.2. Нови активи отч.год.'!K$61:K$108)+SUMIF('11.1.Амортиз.нови активи'!$B$60:$B$107,$B145,'11.1.Амортиз.нови активи'!K$60:K$107)+('11.1.Амортиз.нови активи'!K$109*SUMIF('11.1.Амортиз.нови активи'!$B$60:$B$107,$B145,'11.1.Амортиз.нови активи'!AF$60:AF$107))</f>
        <v>0</v>
      </c>
      <c r="L145" s="2250"/>
      <c r="M145" s="897">
        <f>$L145-SUMIF('11.2. Нови активи отч.год.'!$B$61:$B$108,$B145,'11.2. Нови активи отч.год.'!$L$61:$L$108)+SUMIF('11.2. Нови активи отч.год.'!$B$61:$B$108,$B145,'11.2. Нови активи отч.год.'!M$61:M$108)+SUMIF('11.1.Амортиз.нови активи'!$B$60:$B$107,$B145,'11.1.Амортиз.нови активи'!M$60:M$107)+('11.1.Амортиз.нови активи'!F$110*SUMIF('11.1.Амортиз.нови активи'!$B$60:$B$107,$B145,'11.1.Амортиз.нови активи'!AA$60:AA$107))</f>
        <v>0.44</v>
      </c>
      <c r="N145" s="898">
        <f>$L145-SUMIF('11.2. Нови активи отч.год.'!$B$61:$B$108,$B145,'11.2. Нови активи отч.год.'!$L$61:$L$108)+SUMIF('11.2. Нови активи отч.год.'!$B$61:$B$108,$B145,'11.2. Нови активи отч.год.'!N$61:N$108)+SUMIF('11.1.Амортиз.нови активи'!$B$60:$B$107,$B145,'11.1.Амортиз.нови активи'!N$60:N$107)+('11.1.Амортиз.нови активи'!G$110*SUMIF('11.1.Амортиз.нови активи'!$B$60:$B$107,$B145,'11.1.Амортиз.нови активи'!AB$60:AB$107))</f>
        <v>1.04</v>
      </c>
      <c r="O145" s="898">
        <f>$L145-SUMIF('11.2. Нови активи отч.год.'!$B$61:$B$108,$B145,'11.2. Нови активи отч.год.'!$L$61:$L$108)+SUMIF('11.2. Нови активи отч.год.'!$B$61:$B$108,$B145,'11.2. Нови активи отч.год.'!O$61:O$108)+SUMIF('11.1.Амортиз.нови активи'!$B$60:$B$107,$B145,'11.1.Амортиз.нови активи'!O$60:O$107)+('11.1.Амортиз.нови активи'!H$110*SUMIF('11.1.Амортиз.нови активи'!$B$60:$B$107,$B145,'11.1.Амортиз.нови активи'!AC$60:AC$107))</f>
        <v>2.1</v>
      </c>
      <c r="P145" s="898">
        <f>$L145-SUMIF('11.2. Нови активи отч.год.'!$B$61:$B$108,$B145,'11.2. Нови активи отч.год.'!$L$61:$L$108)+SUMIF('11.2. Нови активи отч.год.'!$B$61:$B$108,$B145,'11.2. Нови активи отч.год.'!P$61:P$108)+SUMIF('11.1.Амортиз.нови активи'!$B$60:$B$107,$B145,'11.1.Амортиз.нови активи'!P$60:P$107)+('11.1.Амортиз.нови активи'!I$110*SUMIF('11.1.Амортиз.нови активи'!$B$60:$B$107,$B145,'11.1.Амортиз.нови активи'!AD$60:AD$107))</f>
        <v>3.9</v>
      </c>
      <c r="Q145" s="898">
        <f>$L145-SUMIF('11.2. Нови активи отч.год.'!$B$61:$B$108,$B145,'11.2. Нови активи отч.год.'!$L$61:$L$108)+SUMIF('11.2. Нови активи отч.год.'!$B$61:$B$108,$B145,'11.2. Нови активи отч.год.'!Q$61:Q$108)+SUMIF('11.1.Амортиз.нови активи'!$B$60:$B$107,$B145,'11.1.Амортиз.нови активи'!Q$60:Q$107)+('11.1.Амортиз.нови активи'!J$110*SUMIF('11.1.Амортиз.нови активи'!$B$60:$B$107,$B145,'11.1.Амортиз.нови активи'!AE$60:AE$107))</f>
        <v>5.7</v>
      </c>
      <c r="R145" s="899">
        <f>$L145-SUMIF('11.2. Нови активи отч.год.'!$B$61:$B$108,$B145,'11.2. Нови активи отч.год.'!$L$61:$L$108)+SUMIF('11.2. Нови активи отч.год.'!$B$61:$B$108,$B145,'11.2. Нови активи отч.год.'!R$61:R$108)+SUMIF('11.1.Амортиз.нови активи'!$B$60:$B$107,$B145,'11.1.Амортиз.нови активи'!R$60:R$107)+('11.1.Амортиз.нови активи'!K$110*SUMIF('11.1.Амортиз.нови активи'!$B$60:$B$107,$B145,'11.1.Амортиз.нови активи'!AF$60:AF$107))</f>
        <v>7.5</v>
      </c>
      <c r="S145" s="2250"/>
      <c r="T145" s="897">
        <f>$S145-SUMIF('11.2. Нови активи отч.год.'!$B$61:$B$108,$B145,'11.2. Нови активи отч.год.'!$S$61:$S$108)+SUMIF('11.2. Нови активи отч.год.'!$B$61:$B$108,$B145,'11.2. Нови активи отч.год.'!T$61:T$108)+SUMIF('11.1.Амортиз.нови активи'!$B$60:$B$107,$B145,'11.1.Амортиз.нови активи'!T$60:T$107)+('11.1.Амортиз.нови активи'!F$111*SUMIF('11.1.Амортиз.нови активи'!$B$60:$B$107,$B145,'11.1.Амортиз.нови активи'!AA$60:AA$107))</f>
        <v>0</v>
      </c>
      <c r="U145" s="898">
        <f>$S145-SUMIF('11.2. Нови активи отч.год.'!$B$61:$B$108,$B145,'11.2. Нови активи отч.год.'!$S$61:$S$108)+SUMIF('11.2. Нови активи отч.год.'!$B$61:$B$108,$B145,'11.2. Нови активи отч.год.'!U$61:U$108)+SUMIF('11.1.Амортиз.нови активи'!$B$60:$B$107,$B145,'11.1.Амортиз.нови активи'!U$60:U$107)+('11.1.Амортиз.нови активи'!G$111*SUMIF('11.1.Амортиз.нови активи'!$B$60:$B$107,$B145,'11.1.Амортиз.нови активи'!AB$60:AB$107))</f>
        <v>0</v>
      </c>
      <c r="V145" s="898">
        <f>$S145-SUMIF('11.2. Нови активи отч.год.'!$B$61:$B$108,$B145,'11.2. Нови активи отч.год.'!$S$61:$S$108)+SUMIF('11.2. Нови активи отч.год.'!$B$61:$B$108,$B145,'11.2. Нови активи отч.год.'!V$61:V$108)+SUMIF('11.1.Амортиз.нови активи'!$B$60:$B$107,$B145,'11.1.Амортиз.нови активи'!V$60:V$107)+('11.1.Амортиз.нови активи'!H$111*SUMIF('11.1.Амортиз.нови активи'!$B$60:$B$107,$B145,'11.1.Амортиз.нови активи'!AC$60:AC$107))</f>
        <v>0</v>
      </c>
      <c r="W145" s="898">
        <f>$S145-SUMIF('11.2. Нови активи отч.год.'!$B$61:$B$108,$B145,'11.2. Нови активи отч.год.'!$S$61:$S$108)+SUMIF('11.2. Нови активи отч.год.'!$B$61:$B$108,$B145,'11.2. Нови активи отч.год.'!W$61:W$108)+SUMIF('11.1.Амортиз.нови активи'!$B$60:$B$107,$B145,'11.1.Амортиз.нови активи'!W$60:W$107)+('11.1.Амортиз.нови активи'!I$111*SUMIF('11.1.Амортиз.нови активи'!$B$60:$B$107,$B145,'11.1.Амортиз.нови активи'!AD$60:AD$107))</f>
        <v>0</v>
      </c>
      <c r="X145" s="898">
        <f>$S145-SUMIF('11.2. Нови активи отч.год.'!$B$61:$B$108,$B145,'11.2. Нови активи отч.год.'!$S$61:$S$108)+SUMIF('11.2. Нови активи отч.год.'!$B$61:$B$108,$B145,'11.2. Нови активи отч.год.'!X$61:X$108)+SUMIF('11.1.Амортиз.нови активи'!$B$60:$B$107,$B145,'11.1.Амортиз.нови активи'!X$60:X$107)+('11.1.Амортиз.нови активи'!J$111*SUMIF('11.1.Амортиз.нови активи'!$B$60:$B$107,$B145,'11.1.Амортиз.нови активи'!AE$60:AE$107))</f>
        <v>0</v>
      </c>
      <c r="Y145" s="899">
        <f>$S145-SUMIF('11.2. Нови активи отч.год.'!$B$61:$B$108,$B145,'11.2. Нови активи отч.год.'!$S$61:$S$108)+SUMIF('11.2. Нови активи отч.год.'!$B$61:$B$108,$B145,'11.2. Нови активи отч.год.'!Y$61:Y$108)+SUMIF('11.1.Амортиз.нови активи'!$B$60:$B$107,$B145,'11.1.Амортиз.нови активи'!Y$60:Y$107)+('11.1.Амортиз.нови активи'!K$111*SUMIF('11.1.Амортиз.нови активи'!$B$60:$B$107,$B145,'11.1.Амортиз.нови активи'!AF$60:AF$107))</f>
        <v>0</v>
      </c>
      <c r="Z145" s="1671"/>
      <c r="AA145" s="1702"/>
      <c r="AB145" s="1726"/>
    </row>
    <row r="146" spans="1:28" s="1642" customFormat="1" ht="24">
      <c r="A146" s="1729">
        <v>16</v>
      </c>
      <c r="B146" s="1674">
        <v>2040207</v>
      </c>
      <c r="C146" s="1675">
        <v>0.04</v>
      </c>
      <c r="D146" s="1625" t="s">
        <v>594</v>
      </c>
      <c r="E146" s="2250"/>
      <c r="F146" s="897">
        <f>$E146-SUMIF('11.2. Нови активи отч.год.'!$B$61:$B$108,$B146,'11.2. Нови активи отч.год.'!$E$61:$E$108)+SUMIF('11.2. Нови активи отч.год.'!$B$61:$B$108,$B146,'11.2. Нови активи отч.год.'!F$61:F$108)+SUMIF('11.1.Амортиз.нови активи'!$B$60:$B$107,$B146,'11.1.Амортиз.нови активи'!F$60:F$107)+('11.1.Амортиз.нови активи'!F$109*SUMIF('11.1.Амортиз.нови активи'!$B$60:$B$107,$B146,'11.1.Амортиз.нови активи'!AA$60:AA$107))</f>
        <v>8.08</v>
      </c>
      <c r="G146" s="898">
        <f>$E146-SUMIF('11.2. Нови активи отч.год.'!$B$61:$B$108,$B146,'11.2. Нови активи отч.год.'!$E$61:$E$108)+SUMIF('11.2. Нови активи отч.год.'!$B$61:$B$108,$B146,'11.2. Нови активи отч.год.'!G$61:G$108)+SUMIF('11.1.Амортиз.нови активи'!$B$60:$B$107,$B146,'11.1.Амортиз.нови активи'!G$60:G$107)+('11.1.Амортиз.нови активи'!G$109*SUMIF('11.1.Амортиз.нови активи'!$B$60:$B$107,$B146,'11.1.Амортиз.нови активи'!AB$60:AB$107))</f>
        <v>17.028344400000002</v>
      </c>
      <c r="H146" s="898">
        <f>$E146-SUMIF('11.2. Нови активи отч.год.'!$B$61:$B$108,$B146,'11.2. Нови активи отч.год.'!$E$61:$E$108)+SUMIF('11.2. Нови активи отч.год.'!$B$61:$B$108,$B146,'11.2. Нови активи отч.год.'!H$61:H$108)+SUMIF('11.1.Амортиз.нови активи'!$B$60:$B$107,$B146,'11.1.Амортиз.нови активи'!H$60:H$107)+('11.1.Амортиз.нови активи'!H$109*SUMIF('11.1.Амортиз.нови активи'!$B$60:$B$107,$B146,'11.1.Амортиз.нови активи'!AC$60:AC$107))</f>
        <v>18.996688800000001</v>
      </c>
      <c r="I146" s="898">
        <f>$E146-SUMIF('11.2. Нови активи отч.год.'!$B$61:$B$108,$B146,'11.2. Нови активи отч.год.'!$E$61:$E$108)+SUMIF('11.2. Нови активи отч.год.'!$B$61:$B$108,$B146,'11.2. Нови активи отч.год.'!I$61:I$108)+SUMIF('11.1.Амортиз.нови активи'!$B$60:$B$107,$B146,'11.1.Амортиз.нови активи'!I$60:I$107)+('11.1.Амортиз.нови активи'!I$109*SUMIF('11.1.Амортиз.нови активи'!$B$60:$B$107,$B146,'11.1.Амортиз.нови активи'!AD$60:AD$107))</f>
        <v>21.516688799999997</v>
      </c>
      <c r="J146" s="898">
        <f>$E146-SUMIF('11.2. Нови активи отч.год.'!$B$61:$B$108,$B146,'11.2. Нови активи отч.год.'!$E$61:$E$108)+SUMIF('11.2. Нови активи отч.год.'!$B$61:$B$108,$B146,'11.2. Нови активи отч.год.'!J$61:J$108)+SUMIF('11.1.Амортиз.нови активи'!$B$60:$B$107,$B146,'11.1.Амортиз.нови активи'!J$60:J$107)+('11.1.Амортиз.нови активи'!J$109*SUMIF('11.1.Амортиз.нови активи'!$B$60:$B$107,$B146,'11.1.Амортиз.нови активи'!AE$60:AE$107))</f>
        <v>24.2366888</v>
      </c>
      <c r="K146" s="898">
        <f>$E146-SUMIF('11.2. Нови активи отч.год.'!$B$61:$B$108,$B146,'11.2. Нови активи отч.год.'!$E$61:$E$108)+SUMIF('11.2. Нови активи отч.год.'!$B$61:$B$108,$B146,'11.2. Нови активи отч.год.'!K$61:K$108)+SUMIF('11.1.Амортиз.нови активи'!$B$60:$B$107,$B146,'11.1.Амортиз.нови активи'!K$60:K$107)+('11.1.Амортиз.нови активи'!K$109*SUMIF('11.1.Амортиз.нови активи'!$B$60:$B$107,$B146,'11.1.Амортиз.нови активи'!AF$60:AF$107))</f>
        <v>27.0366888</v>
      </c>
      <c r="L146" s="2250"/>
      <c r="M146" s="897">
        <f>$L146-SUMIF('11.2. Нови активи отч.год.'!$B$61:$B$108,$B146,'11.2. Нови активи отч.год.'!$L$61:$L$108)+SUMIF('11.2. Нови активи отч.год.'!$B$61:$B$108,$B146,'11.2. Нови активи отч.год.'!M$61:M$108)+SUMIF('11.1.Амортиз.нови активи'!$B$60:$B$107,$B146,'11.1.Амортиз.нови активи'!M$60:M$107)+('11.1.Амортиз.нови активи'!F$110*SUMIF('11.1.Амортиз.нови активи'!$B$60:$B$107,$B146,'11.1.Амортиз.нови активи'!AA$60:AA$107))</f>
        <v>0</v>
      </c>
      <c r="N146" s="898">
        <f>$L146-SUMIF('11.2. Нови активи отч.год.'!$B$61:$B$108,$B146,'11.2. Нови активи отч.год.'!$L$61:$L$108)+SUMIF('11.2. Нови активи отч.год.'!$B$61:$B$108,$B146,'11.2. Нови активи отч.год.'!N$61:N$108)+SUMIF('11.1.Амортиз.нови активи'!$B$60:$B$107,$B146,'11.1.Амортиз.нови активи'!N$60:N$107)+('11.1.Амортиз.нови активи'!G$110*SUMIF('11.1.Амортиз.нови активи'!$B$60:$B$107,$B146,'11.1.Амортиз.нови активи'!AB$60:AB$107))</f>
        <v>0</v>
      </c>
      <c r="O146" s="898">
        <f>$L146-SUMIF('11.2. Нови активи отч.год.'!$B$61:$B$108,$B146,'11.2. Нови активи отч.год.'!$L$61:$L$108)+SUMIF('11.2. Нови активи отч.год.'!$B$61:$B$108,$B146,'11.2. Нови активи отч.год.'!O$61:O$108)+SUMIF('11.1.Амортиз.нови активи'!$B$60:$B$107,$B146,'11.1.Амортиз.нови активи'!O$60:O$107)+('11.1.Амортиз.нови активи'!H$110*SUMIF('11.1.Амортиз.нови активи'!$B$60:$B$107,$B146,'11.1.Амортиз.нови активи'!AC$60:AC$107))</f>
        <v>0.6</v>
      </c>
      <c r="P146" s="898">
        <f>$L146-SUMIF('11.2. Нови активи отч.год.'!$B$61:$B$108,$B146,'11.2. Нови активи отч.год.'!$L$61:$L$108)+SUMIF('11.2. Нови активи отч.год.'!$B$61:$B$108,$B146,'11.2. Нови активи отч.год.'!P$61:P$108)+SUMIF('11.1.Амортиз.нови активи'!$B$60:$B$107,$B146,'11.1.Амортиз.нови активи'!P$60:P$107)+('11.1.Амортиз.нови активи'!I$110*SUMIF('11.1.Амортиз.нови активи'!$B$60:$B$107,$B146,'11.1.Амортиз.нови активи'!AD$60:AD$107))</f>
        <v>1.7999999999999998</v>
      </c>
      <c r="Q146" s="898">
        <f>$L146-SUMIF('11.2. Нови активи отч.год.'!$B$61:$B$108,$B146,'11.2. Нови активи отч.год.'!$L$61:$L$108)+SUMIF('11.2. Нови активи отч.год.'!$B$61:$B$108,$B146,'11.2. Нови активи отч.год.'!Q$61:Q$108)+SUMIF('11.1.Амортиз.нови активи'!$B$60:$B$107,$B146,'11.1.Амортиз.нови активи'!Q$60:Q$107)+('11.1.Амортиз.нови активи'!J$110*SUMIF('11.1.Амортиз.нови активи'!$B$60:$B$107,$B146,'11.1.Амортиз.нови активи'!AE$60:AE$107))</f>
        <v>2.6999999999999997</v>
      </c>
      <c r="R146" s="899">
        <f>$L146-SUMIF('11.2. Нови активи отч.год.'!$B$61:$B$108,$B146,'11.2. Нови активи отч.год.'!$L$61:$L$108)+SUMIF('11.2. Нови активи отч.год.'!$B$61:$B$108,$B146,'11.2. Нови активи отч.год.'!R$61:R$108)+SUMIF('11.1.Амортиз.нови активи'!$B$60:$B$107,$B146,'11.1.Амортиз.нови активи'!R$60:R$107)+('11.1.Амортиз.нови активи'!K$110*SUMIF('11.1.Амортиз.нови активи'!$B$60:$B$107,$B146,'11.1.Амортиз.нови активи'!AF$60:AF$107))</f>
        <v>3</v>
      </c>
      <c r="S146" s="2250"/>
      <c r="T146" s="897">
        <f>$S146-SUMIF('11.2. Нови активи отч.год.'!$B$61:$B$108,$B146,'11.2. Нови активи отч.год.'!$S$61:$S$108)+SUMIF('11.2. Нови активи отч.год.'!$B$61:$B$108,$B146,'11.2. Нови активи отч.год.'!T$61:T$108)+SUMIF('11.1.Амортиз.нови активи'!$B$60:$B$107,$B146,'11.1.Амортиз.нови активи'!T$60:T$107)+('11.1.Амортиз.нови активи'!F$111*SUMIF('11.1.Амортиз.нови активи'!$B$60:$B$107,$B146,'11.1.Амортиз.нови активи'!AA$60:AA$107))</f>
        <v>2.2000000000000002</v>
      </c>
      <c r="U146" s="898">
        <f>$S146-SUMIF('11.2. Нови активи отч.год.'!$B$61:$B$108,$B146,'11.2. Нови активи отч.год.'!$S$61:$S$108)+SUMIF('11.2. Нови активи отч.год.'!$B$61:$B$108,$B146,'11.2. Нови активи отч.год.'!U$61:U$108)+SUMIF('11.1.Амортиз.нови активи'!$B$60:$B$107,$B146,'11.1.Амортиз.нови активи'!U$60:U$107)+('11.1.Амортиз.нови активи'!G$111*SUMIF('11.1.Амортиз.нови активи'!$B$60:$B$107,$B146,'11.1.Амортиз.нови активи'!AB$60:AB$107))</f>
        <v>6.4</v>
      </c>
      <c r="V146" s="898">
        <f>$S146-SUMIF('11.2. Нови активи отч.год.'!$B$61:$B$108,$B146,'11.2. Нови активи отч.год.'!$S$61:$S$108)+SUMIF('11.2. Нови активи отч.год.'!$B$61:$B$108,$B146,'11.2. Нови активи отч.год.'!V$61:V$108)+SUMIF('11.1.Амортиз.нови активи'!$B$60:$B$107,$B146,'11.1.Амортиз.нови активи'!V$60:V$107)+('11.1.Амортиз.нови активи'!H$111*SUMIF('11.1.Амортиз.нови активи'!$B$60:$B$107,$B146,'11.1.Амортиз.нови активи'!AC$60:AC$107))</f>
        <v>11.8</v>
      </c>
      <c r="W146" s="898">
        <f>$S146-SUMIF('11.2. Нови активи отч.год.'!$B$61:$B$108,$B146,'11.2. Нови активи отч.год.'!$S$61:$S$108)+SUMIF('11.2. Нови активи отч.год.'!$B$61:$B$108,$B146,'11.2. Нови активи отч.год.'!W$61:W$108)+SUMIF('11.1.Амортиз.нови активи'!$B$60:$B$107,$B146,'11.1.Амортиз.нови активи'!W$60:W$107)+('11.1.Амортиз.нови активи'!I$111*SUMIF('11.1.Амортиз.нови активи'!$B$60:$B$107,$B146,'11.1.Амортиз.нови активи'!AD$60:AD$107))</f>
        <v>18.599999999999998</v>
      </c>
      <c r="X146" s="898">
        <f>$S146-SUMIF('11.2. Нови активи отч.год.'!$B$61:$B$108,$B146,'11.2. Нови активи отч.год.'!$S$61:$S$108)+SUMIF('11.2. Нови активи отч.год.'!$B$61:$B$108,$B146,'11.2. Нови активи отч.год.'!X$61:X$108)+SUMIF('11.1.Амортиз.нови активи'!$B$60:$B$107,$B146,'11.1.Амортиз.нови активи'!X$60:X$107)+('11.1.Амортиз.нови активи'!J$111*SUMIF('11.1.Амортиз.нови активи'!$B$60:$B$107,$B146,'11.1.Амортиз.нови активи'!AE$60:AE$107))</f>
        <v>25.4</v>
      </c>
      <c r="Y146" s="899">
        <f>$S146-SUMIF('11.2. Нови активи отч.год.'!$B$61:$B$108,$B146,'11.2. Нови активи отч.год.'!$S$61:$S$108)+SUMIF('11.2. Нови активи отч.год.'!$B$61:$B$108,$B146,'11.2. Нови активи отч.год.'!Y$61:Y$108)+SUMIF('11.1.Амортиз.нови активи'!$B$60:$B$107,$B146,'11.1.Амортиз.нови активи'!Y$60:Y$107)+('11.1.Амортиз.нови активи'!K$111*SUMIF('11.1.Амортиз.нови активи'!$B$60:$B$107,$B146,'11.1.Амортиз.нови активи'!AF$60:AF$107))</f>
        <v>32.200000000000003</v>
      </c>
      <c r="Z146" s="1671"/>
      <c r="AA146" s="1702"/>
      <c r="AB146" s="1726"/>
    </row>
    <row r="147" spans="1:28" s="1642" customFormat="1">
      <c r="A147" s="1729">
        <v>17</v>
      </c>
      <c r="B147" s="1674">
        <v>2040208</v>
      </c>
      <c r="C147" s="1675">
        <v>0.04</v>
      </c>
      <c r="D147" s="1625" t="s">
        <v>595</v>
      </c>
      <c r="E147" s="2250"/>
      <c r="F147" s="897">
        <f>$E147-SUMIF('11.2. Нови активи отч.год.'!$B$61:$B$108,$B147,'11.2. Нови активи отч.год.'!$E$61:$E$108)+SUMIF('11.2. Нови активи отч.год.'!$B$61:$B$108,$B147,'11.2. Нови активи отч.год.'!F$61:F$108)+SUMIF('11.1.Амортиз.нови активи'!$B$60:$B$107,$B147,'11.1.Амортиз.нови активи'!F$60:F$107)+('11.1.Амортиз.нови активи'!F$109*SUMIF('11.1.Амортиз.нови активи'!$B$60:$B$107,$B147,'11.1.Амортиз.нови активи'!AA$60:AA$107))</f>
        <v>0</v>
      </c>
      <c r="G147" s="898">
        <f>$E147-SUMIF('11.2. Нови активи отч.год.'!$B$61:$B$108,$B147,'11.2. Нови активи отч.год.'!$E$61:$E$108)+SUMIF('11.2. Нови активи отч.год.'!$B$61:$B$108,$B147,'11.2. Нови активи отч.год.'!G$61:G$108)+SUMIF('11.1.Амортиз.нови активи'!$B$60:$B$107,$B147,'11.1.Амортиз.нови активи'!G$60:G$107)+('11.1.Амортиз.нови активи'!G$109*SUMIF('11.1.Амортиз.нови активи'!$B$60:$B$107,$B147,'11.1.Амортиз.нови активи'!AB$60:AB$107))</f>
        <v>0</v>
      </c>
      <c r="H147" s="898">
        <f>$E147-SUMIF('11.2. Нови активи отч.год.'!$B$61:$B$108,$B147,'11.2. Нови активи отч.год.'!$E$61:$E$108)+SUMIF('11.2. Нови активи отч.год.'!$B$61:$B$108,$B147,'11.2. Нови активи отч.год.'!H$61:H$108)+SUMIF('11.1.Амортиз.нови активи'!$B$60:$B$107,$B147,'11.1.Амортиз.нови активи'!H$60:H$107)+('11.1.Амортиз.нови активи'!H$109*SUMIF('11.1.Амортиз.нови активи'!$B$60:$B$107,$B147,'11.1.Амортиз.нови активи'!AC$60:AC$107))</f>
        <v>0</v>
      </c>
      <c r="I147" s="898">
        <f>$E147-SUMIF('11.2. Нови активи отч.год.'!$B$61:$B$108,$B147,'11.2. Нови активи отч.год.'!$E$61:$E$108)+SUMIF('11.2. Нови активи отч.год.'!$B$61:$B$108,$B147,'11.2. Нови активи отч.год.'!I$61:I$108)+SUMIF('11.1.Амортиз.нови активи'!$B$60:$B$107,$B147,'11.1.Амортиз.нови активи'!I$60:I$107)+('11.1.Амортиз.нови активи'!I$109*SUMIF('11.1.Амортиз.нови активи'!$B$60:$B$107,$B147,'11.1.Амортиз.нови активи'!AD$60:AD$107))</f>
        <v>0</v>
      </c>
      <c r="J147" s="898">
        <f>$E147-SUMIF('11.2. Нови активи отч.год.'!$B$61:$B$108,$B147,'11.2. Нови активи отч.год.'!$E$61:$E$108)+SUMIF('11.2. Нови активи отч.год.'!$B$61:$B$108,$B147,'11.2. Нови активи отч.год.'!J$61:J$108)+SUMIF('11.1.Амортиз.нови активи'!$B$60:$B$107,$B147,'11.1.Амортиз.нови активи'!J$60:J$107)+('11.1.Амортиз.нови активи'!J$109*SUMIF('11.1.Амортиз.нови активи'!$B$60:$B$107,$B147,'11.1.Амортиз.нови активи'!AE$60:AE$107))</f>
        <v>0</v>
      </c>
      <c r="K147" s="898">
        <f>$E147-SUMIF('11.2. Нови активи отч.год.'!$B$61:$B$108,$B147,'11.2. Нови активи отч.год.'!$E$61:$E$108)+SUMIF('11.2. Нови активи отч.год.'!$B$61:$B$108,$B147,'11.2. Нови активи отч.год.'!K$61:K$108)+SUMIF('11.1.Амортиз.нови активи'!$B$60:$B$107,$B147,'11.1.Амортиз.нови активи'!K$60:K$107)+('11.1.Амортиз.нови активи'!K$109*SUMIF('11.1.Амортиз.нови активи'!$B$60:$B$107,$B147,'11.1.Амортиз.нови активи'!AF$60:AF$107))</f>
        <v>0</v>
      </c>
      <c r="L147" s="2250"/>
      <c r="M147" s="897">
        <f>$L147-SUMIF('11.2. Нови активи отч.год.'!$B$61:$B$108,$B147,'11.2. Нови активи отч.год.'!$L$61:$L$108)+SUMIF('11.2. Нови активи отч.год.'!$B$61:$B$108,$B147,'11.2. Нови активи отч.год.'!M$61:M$108)+SUMIF('11.1.Амортиз.нови активи'!$B$60:$B$107,$B147,'11.1.Амортиз.нови активи'!M$60:M$107)+('11.1.Амортиз.нови активи'!F$110*SUMIF('11.1.Амортиз.нови активи'!$B$60:$B$107,$B147,'11.1.Амортиз.нови активи'!AA$60:AA$107))</f>
        <v>0</v>
      </c>
      <c r="N147" s="898">
        <f>$L147-SUMIF('11.2. Нови активи отч.год.'!$B$61:$B$108,$B147,'11.2. Нови активи отч.год.'!$L$61:$L$108)+SUMIF('11.2. Нови активи отч.год.'!$B$61:$B$108,$B147,'11.2. Нови активи отч.год.'!N$61:N$108)+SUMIF('11.1.Амортиз.нови активи'!$B$60:$B$107,$B147,'11.1.Амортиз.нови активи'!N$60:N$107)+('11.1.Амортиз.нови активи'!G$110*SUMIF('11.1.Амортиз.нови активи'!$B$60:$B$107,$B147,'11.1.Амортиз.нови активи'!AB$60:AB$107))</f>
        <v>0</v>
      </c>
      <c r="O147" s="898">
        <f>$L147-SUMIF('11.2. Нови активи отч.год.'!$B$61:$B$108,$B147,'11.2. Нови активи отч.год.'!$L$61:$L$108)+SUMIF('11.2. Нови активи отч.год.'!$B$61:$B$108,$B147,'11.2. Нови активи отч.год.'!O$61:O$108)+SUMIF('11.1.Амортиз.нови активи'!$B$60:$B$107,$B147,'11.1.Амортиз.нови активи'!O$60:O$107)+('11.1.Амортиз.нови активи'!H$110*SUMIF('11.1.Амортиз.нови активи'!$B$60:$B$107,$B147,'11.1.Амортиз.нови активи'!AC$60:AC$107))</f>
        <v>0</v>
      </c>
      <c r="P147" s="898">
        <f>$L147-SUMIF('11.2. Нови активи отч.год.'!$B$61:$B$108,$B147,'11.2. Нови активи отч.год.'!$L$61:$L$108)+SUMIF('11.2. Нови активи отч.год.'!$B$61:$B$108,$B147,'11.2. Нови активи отч.год.'!P$61:P$108)+SUMIF('11.1.Амортиз.нови активи'!$B$60:$B$107,$B147,'11.1.Амортиз.нови активи'!P$60:P$107)+('11.1.Амортиз.нови активи'!I$110*SUMIF('11.1.Амортиз.нови активи'!$B$60:$B$107,$B147,'11.1.Амортиз.нови активи'!AD$60:AD$107))</f>
        <v>0</v>
      </c>
      <c r="Q147" s="898">
        <f>$L147-SUMIF('11.2. Нови активи отч.год.'!$B$61:$B$108,$B147,'11.2. Нови активи отч.год.'!$L$61:$L$108)+SUMIF('11.2. Нови активи отч.год.'!$B$61:$B$108,$B147,'11.2. Нови активи отч.год.'!Q$61:Q$108)+SUMIF('11.1.Амортиз.нови активи'!$B$60:$B$107,$B147,'11.1.Амортиз.нови активи'!Q$60:Q$107)+('11.1.Амортиз.нови активи'!J$110*SUMIF('11.1.Амортиз.нови активи'!$B$60:$B$107,$B147,'11.1.Амортиз.нови активи'!AE$60:AE$107))</f>
        <v>0</v>
      </c>
      <c r="R147" s="899">
        <f>$L147-SUMIF('11.2. Нови активи отч.год.'!$B$61:$B$108,$B147,'11.2. Нови активи отч.год.'!$L$61:$L$108)+SUMIF('11.2. Нови активи отч.год.'!$B$61:$B$108,$B147,'11.2. Нови активи отч.год.'!R$61:R$108)+SUMIF('11.1.Амортиз.нови активи'!$B$60:$B$107,$B147,'11.1.Амортиз.нови активи'!R$60:R$107)+('11.1.Амортиз.нови активи'!K$110*SUMIF('11.1.Амортиз.нови активи'!$B$60:$B$107,$B147,'11.1.Амортиз.нови активи'!AF$60:AF$107))</f>
        <v>0</v>
      </c>
      <c r="S147" s="2250"/>
      <c r="T147" s="897">
        <f>$S147-SUMIF('11.2. Нови активи отч.год.'!$B$61:$B$108,$B147,'11.2. Нови активи отч.год.'!$S$61:$S$108)+SUMIF('11.2. Нови активи отч.год.'!$B$61:$B$108,$B147,'11.2. Нови активи отч.год.'!T$61:T$108)+SUMIF('11.1.Амортиз.нови активи'!$B$60:$B$107,$B147,'11.1.Амортиз.нови активи'!T$60:T$107)+('11.1.Амортиз.нови активи'!F$111*SUMIF('11.1.Амортиз.нови активи'!$B$60:$B$107,$B147,'11.1.Амортиз.нови активи'!AA$60:AA$107))</f>
        <v>0</v>
      </c>
      <c r="U147" s="898">
        <f>$S147-SUMIF('11.2. Нови активи отч.год.'!$B$61:$B$108,$B147,'11.2. Нови активи отч.год.'!$S$61:$S$108)+SUMIF('11.2. Нови активи отч.год.'!$B$61:$B$108,$B147,'11.2. Нови активи отч.год.'!U$61:U$108)+SUMIF('11.1.Амортиз.нови активи'!$B$60:$B$107,$B147,'11.1.Амортиз.нови активи'!U$60:U$107)+('11.1.Амортиз.нови активи'!G$111*SUMIF('11.1.Амортиз.нови активи'!$B$60:$B$107,$B147,'11.1.Амортиз.нови активи'!AB$60:AB$107))</f>
        <v>0</v>
      </c>
      <c r="V147" s="898">
        <f>$S147-SUMIF('11.2. Нови активи отч.год.'!$B$61:$B$108,$B147,'11.2. Нови активи отч.год.'!$S$61:$S$108)+SUMIF('11.2. Нови активи отч.год.'!$B$61:$B$108,$B147,'11.2. Нови активи отч.год.'!V$61:V$108)+SUMIF('11.1.Амортиз.нови активи'!$B$60:$B$107,$B147,'11.1.Амортиз.нови активи'!V$60:V$107)+('11.1.Амортиз.нови активи'!H$111*SUMIF('11.1.Амортиз.нови активи'!$B$60:$B$107,$B147,'11.1.Амортиз.нови активи'!AC$60:AC$107))</f>
        <v>0</v>
      </c>
      <c r="W147" s="898">
        <f>$S147-SUMIF('11.2. Нови активи отч.год.'!$B$61:$B$108,$B147,'11.2. Нови активи отч.год.'!$S$61:$S$108)+SUMIF('11.2. Нови активи отч.год.'!$B$61:$B$108,$B147,'11.2. Нови активи отч.год.'!W$61:W$108)+SUMIF('11.1.Амортиз.нови активи'!$B$60:$B$107,$B147,'11.1.Амортиз.нови активи'!W$60:W$107)+('11.1.Амортиз.нови активи'!I$111*SUMIF('11.1.Амортиз.нови активи'!$B$60:$B$107,$B147,'11.1.Амортиз.нови активи'!AD$60:AD$107))</f>
        <v>0</v>
      </c>
      <c r="X147" s="898">
        <f>$S147-SUMIF('11.2. Нови активи отч.год.'!$B$61:$B$108,$B147,'11.2. Нови активи отч.год.'!$S$61:$S$108)+SUMIF('11.2. Нови активи отч.год.'!$B$61:$B$108,$B147,'11.2. Нови активи отч.год.'!X$61:X$108)+SUMIF('11.1.Амортиз.нови активи'!$B$60:$B$107,$B147,'11.1.Амортиз.нови активи'!X$60:X$107)+('11.1.Амортиз.нови активи'!J$111*SUMIF('11.1.Амортиз.нови активи'!$B$60:$B$107,$B147,'11.1.Амортиз.нови активи'!AE$60:AE$107))</f>
        <v>0</v>
      </c>
      <c r="Y147" s="899">
        <f>$S147-SUMIF('11.2. Нови активи отч.год.'!$B$61:$B$108,$B147,'11.2. Нови активи отч.год.'!$S$61:$S$108)+SUMIF('11.2. Нови активи отч.год.'!$B$61:$B$108,$B147,'11.2. Нови активи отч.год.'!Y$61:Y$108)+SUMIF('11.1.Амортиз.нови активи'!$B$60:$B$107,$B147,'11.1.Амортиз.нови активи'!Y$60:Y$107)+('11.1.Амортиз.нови активи'!K$111*SUMIF('11.1.Амортиз.нови активи'!$B$60:$B$107,$B147,'11.1.Амортиз.нови активи'!AF$60:AF$107))</f>
        <v>0</v>
      </c>
      <c r="Z147" s="1671"/>
      <c r="AA147" s="1702"/>
      <c r="AB147" s="1726"/>
    </row>
    <row r="148" spans="1:28" s="1642" customFormat="1">
      <c r="A148" s="1729">
        <v>18</v>
      </c>
      <c r="B148" s="1832" t="s">
        <v>1525</v>
      </c>
      <c r="C148" s="1675">
        <v>0.04</v>
      </c>
      <c r="D148" s="1727" t="s">
        <v>606</v>
      </c>
      <c r="E148" s="2250"/>
      <c r="F148" s="897">
        <f>$E148-SUMIF('11.2. Нови активи отч.год.'!$B$61:$B$108,$B148,'11.2. Нови активи отч.год.'!$E$61:$E$108)+SUMIF('11.2. Нови активи отч.год.'!$B$61:$B$108,$B148,'11.2. Нови активи отч.год.'!F$61:F$108)+SUMIF('11.1.Амортиз.нови активи'!$B$60:$B$107,$B148,'11.1.Амортиз.нови активи'!F$60:F$107)+('11.1.Амортиз.нови активи'!F$109*SUMIF('11.1.Амортиз.нови активи'!$B$60:$B$107,$B148,'11.1.Амортиз.нови активи'!AA$60:AA$107))</f>
        <v>2.6666666666666665E-2</v>
      </c>
      <c r="G148" s="898">
        <f>$E148-SUMIF('11.2. Нови активи отч.год.'!$B$61:$B$108,$B148,'11.2. Нови активи отч.год.'!$E$61:$E$108)+SUMIF('11.2. Нови активи отч.год.'!$B$61:$B$108,$B148,'11.2. Нови активи отч.год.'!G$61:G$108)+SUMIF('11.1.Амортиз.нови активи'!$B$60:$B$107,$B148,'11.1.Амортиз.нови активи'!G$60:G$107)+('11.1.Амортиз.нови активи'!G$109*SUMIF('11.1.Амортиз.нови активи'!$B$60:$B$107,$B148,'11.1.Амортиз.нови активи'!AB$60:AB$107))</f>
        <v>2.6666666666666665E-2</v>
      </c>
      <c r="H148" s="898">
        <f>$E148-SUMIF('11.2. Нови активи отч.год.'!$B$61:$B$108,$B148,'11.2. Нови активи отч.год.'!$E$61:$E$108)+SUMIF('11.2. Нови активи отч.год.'!$B$61:$B$108,$B148,'11.2. Нови активи отч.год.'!H$61:H$108)+SUMIF('11.1.Амортиз.нови активи'!$B$60:$B$107,$B148,'11.1.Амортиз.нови активи'!H$60:H$107)+('11.1.Амортиз.нови активи'!H$109*SUMIF('11.1.Амортиз.нови активи'!$B$60:$B$107,$B148,'11.1.Амортиз.нови активи'!AC$60:AC$107))</f>
        <v>2.6666666666666665E-2</v>
      </c>
      <c r="I148" s="898">
        <f>$E148-SUMIF('11.2. Нови активи отч.год.'!$B$61:$B$108,$B148,'11.2. Нови активи отч.год.'!$E$61:$E$108)+SUMIF('11.2. Нови активи отч.год.'!$B$61:$B$108,$B148,'11.2. Нови активи отч.год.'!I$61:I$108)+SUMIF('11.1.Амортиз.нови активи'!$B$60:$B$107,$B148,'11.1.Амортиз.нови активи'!I$60:I$107)+('11.1.Амортиз.нови активи'!I$109*SUMIF('11.1.Амортиз.нови активи'!$B$60:$B$107,$B148,'11.1.Амортиз.нови активи'!AD$60:AD$107))</f>
        <v>2.6666666666666665E-2</v>
      </c>
      <c r="J148" s="898">
        <f>$E148-SUMIF('11.2. Нови активи отч.год.'!$B$61:$B$108,$B148,'11.2. Нови активи отч.год.'!$E$61:$E$108)+SUMIF('11.2. Нови активи отч.год.'!$B$61:$B$108,$B148,'11.2. Нови активи отч.год.'!J$61:J$108)+SUMIF('11.1.Амортиз.нови активи'!$B$60:$B$107,$B148,'11.1.Амортиз.нови активи'!J$60:J$107)+('11.1.Амортиз.нови активи'!J$109*SUMIF('11.1.Амортиз.нови активи'!$B$60:$B$107,$B148,'11.1.Амортиз.нови активи'!AE$60:AE$107))</f>
        <v>2.6666666666666665E-2</v>
      </c>
      <c r="K148" s="898">
        <f>$E148-SUMIF('11.2. Нови активи отч.год.'!$B$61:$B$108,$B148,'11.2. Нови активи отч.год.'!$E$61:$E$108)+SUMIF('11.2. Нови активи отч.год.'!$B$61:$B$108,$B148,'11.2. Нови активи отч.год.'!K$61:K$108)+SUMIF('11.1.Амортиз.нови активи'!$B$60:$B$107,$B148,'11.1.Амортиз.нови активи'!K$60:K$107)+('11.1.Амортиз.нови активи'!K$109*SUMIF('11.1.Амортиз.нови активи'!$B$60:$B$107,$B148,'11.1.Амортиз.нови активи'!AF$60:AF$107))</f>
        <v>2.6666666666666665E-2</v>
      </c>
      <c r="L148" s="2250"/>
      <c r="M148" s="897">
        <f>$L148-SUMIF('11.2. Нови активи отч.год.'!$B$61:$B$108,$B148,'11.2. Нови активи отч.год.'!$L$61:$L$108)+SUMIF('11.2. Нови активи отч.год.'!$B$61:$B$108,$B148,'11.2. Нови активи отч.год.'!M$61:M$108)+SUMIF('11.1.Амортиз.нови активи'!$B$60:$B$107,$B148,'11.1.Амортиз.нови активи'!M$60:M$107)+('11.1.Амортиз.нови активи'!F$110*SUMIF('11.1.Амортиз.нови активи'!$B$60:$B$107,$B148,'11.1.Амортиз.нови активи'!AA$60:AA$107))</f>
        <v>0</v>
      </c>
      <c r="N148" s="898">
        <f>$L148-SUMIF('11.2. Нови активи отч.год.'!$B$61:$B$108,$B148,'11.2. Нови активи отч.год.'!$L$61:$L$108)+SUMIF('11.2. Нови активи отч.год.'!$B$61:$B$108,$B148,'11.2. Нови активи отч.год.'!N$61:N$108)+SUMIF('11.1.Амортиз.нови активи'!$B$60:$B$107,$B148,'11.1.Амортиз.нови активи'!N$60:N$107)+('11.1.Амортиз.нови активи'!G$110*SUMIF('11.1.Амортиз.нови активи'!$B$60:$B$107,$B148,'11.1.Амортиз.нови активи'!AB$60:AB$107))</f>
        <v>0</v>
      </c>
      <c r="O148" s="898">
        <f>$L148-SUMIF('11.2. Нови активи отч.год.'!$B$61:$B$108,$B148,'11.2. Нови активи отч.год.'!$L$61:$L$108)+SUMIF('11.2. Нови активи отч.год.'!$B$61:$B$108,$B148,'11.2. Нови активи отч.год.'!O$61:O$108)+SUMIF('11.1.Амортиз.нови активи'!$B$60:$B$107,$B148,'11.1.Амортиз.нови активи'!O$60:O$107)+('11.1.Амортиз.нови активи'!H$110*SUMIF('11.1.Амортиз.нови активи'!$B$60:$B$107,$B148,'11.1.Амортиз.нови активи'!AC$60:AC$107))</f>
        <v>0</v>
      </c>
      <c r="P148" s="898">
        <f>$L148-SUMIF('11.2. Нови активи отч.год.'!$B$61:$B$108,$B148,'11.2. Нови активи отч.год.'!$L$61:$L$108)+SUMIF('11.2. Нови активи отч.год.'!$B$61:$B$108,$B148,'11.2. Нови активи отч.год.'!P$61:P$108)+SUMIF('11.1.Амортиз.нови активи'!$B$60:$B$107,$B148,'11.1.Амортиз.нови активи'!P$60:P$107)+('11.1.Амортиз.нови активи'!I$110*SUMIF('11.1.Амортиз.нови активи'!$B$60:$B$107,$B148,'11.1.Амортиз.нови активи'!AD$60:AD$107))</f>
        <v>0</v>
      </c>
      <c r="Q148" s="898">
        <f>$L148-SUMIF('11.2. Нови активи отч.год.'!$B$61:$B$108,$B148,'11.2. Нови активи отч.год.'!$L$61:$L$108)+SUMIF('11.2. Нови активи отч.год.'!$B$61:$B$108,$B148,'11.2. Нови активи отч.год.'!Q$61:Q$108)+SUMIF('11.1.Амортиз.нови активи'!$B$60:$B$107,$B148,'11.1.Амортиз.нови активи'!Q$60:Q$107)+('11.1.Амортиз.нови активи'!J$110*SUMIF('11.1.Амортиз.нови активи'!$B$60:$B$107,$B148,'11.1.Амортиз.нови активи'!AE$60:AE$107))</f>
        <v>0</v>
      </c>
      <c r="R148" s="899">
        <f>$L148-SUMIF('11.2. Нови активи отч.год.'!$B$61:$B$108,$B148,'11.2. Нови активи отч.год.'!$L$61:$L$108)+SUMIF('11.2. Нови активи отч.год.'!$B$61:$B$108,$B148,'11.2. Нови активи отч.год.'!R$61:R$108)+SUMIF('11.1.Амортиз.нови активи'!$B$60:$B$107,$B148,'11.1.Амортиз.нови активи'!R$60:R$107)+('11.1.Амортиз.нови активи'!K$110*SUMIF('11.1.Амортиз.нови активи'!$B$60:$B$107,$B148,'11.1.Амортиз.нови активи'!AF$60:AF$107))</f>
        <v>0</v>
      </c>
      <c r="S148" s="2250"/>
      <c r="T148" s="897">
        <f>$S148-SUMIF('11.2. Нови активи отч.год.'!$B$61:$B$108,$B148,'11.2. Нови активи отч.год.'!$S$61:$S$108)+SUMIF('11.2. Нови активи отч.год.'!$B$61:$B$108,$B148,'11.2. Нови активи отч.год.'!T$61:T$108)+SUMIF('11.1.Амортиз.нови активи'!$B$60:$B$107,$B148,'11.1.Амортиз.нови активи'!T$60:T$107)+('11.1.Амортиз.нови активи'!F$111*SUMIF('11.1.Амортиз.нови активи'!$B$60:$B$107,$B148,'11.1.Амортиз.нови активи'!AA$60:AA$107))</f>
        <v>0</v>
      </c>
      <c r="U148" s="898">
        <f>$S148-SUMIF('11.2. Нови активи отч.год.'!$B$61:$B$108,$B148,'11.2. Нови активи отч.год.'!$S$61:$S$108)+SUMIF('11.2. Нови активи отч.год.'!$B$61:$B$108,$B148,'11.2. Нови активи отч.год.'!U$61:U$108)+SUMIF('11.1.Амортиз.нови активи'!$B$60:$B$107,$B148,'11.1.Амортиз.нови активи'!U$60:U$107)+('11.1.Амортиз.нови активи'!G$111*SUMIF('11.1.Амортиз.нови активи'!$B$60:$B$107,$B148,'11.1.Амортиз.нови активи'!AB$60:AB$107))</f>
        <v>0</v>
      </c>
      <c r="V148" s="898">
        <f>$S148-SUMIF('11.2. Нови активи отч.год.'!$B$61:$B$108,$B148,'11.2. Нови активи отч.год.'!$S$61:$S$108)+SUMIF('11.2. Нови активи отч.год.'!$B$61:$B$108,$B148,'11.2. Нови активи отч.год.'!V$61:V$108)+SUMIF('11.1.Амортиз.нови активи'!$B$60:$B$107,$B148,'11.1.Амортиз.нови активи'!V$60:V$107)+('11.1.Амортиз.нови активи'!H$111*SUMIF('11.1.Амортиз.нови активи'!$B$60:$B$107,$B148,'11.1.Амортиз.нови активи'!AC$60:AC$107))</f>
        <v>0</v>
      </c>
      <c r="W148" s="898">
        <f>$S148-SUMIF('11.2. Нови активи отч.год.'!$B$61:$B$108,$B148,'11.2. Нови активи отч.год.'!$S$61:$S$108)+SUMIF('11.2. Нови активи отч.год.'!$B$61:$B$108,$B148,'11.2. Нови активи отч.год.'!W$61:W$108)+SUMIF('11.1.Амортиз.нови активи'!$B$60:$B$107,$B148,'11.1.Амортиз.нови активи'!W$60:W$107)+('11.1.Амортиз.нови активи'!I$111*SUMIF('11.1.Амортиз.нови активи'!$B$60:$B$107,$B148,'11.1.Амортиз.нови активи'!AD$60:AD$107))</f>
        <v>0</v>
      </c>
      <c r="X148" s="898">
        <f>$S148-SUMIF('11.2. Нови активи отч.год.'!$B$61:$B$108,$B148,'11.2. Нови активи отч.год.'!$S$61:$S$108)+SUMIF('11.2. Нови активи отч.год.'!$B$61:$B$108,$B148,'11.2. Нови активи отч.год.'!X$61:X$108)+SUMIF('11.1.Амортиз.нови активи'!$B$60:$B$107,$B148,'11.1.Амортиз.нови активи'!X$60:X$107)+('11.1.Амортиз.нови активи'!J$111*SUMIF('11.1.Амортиз.нови активи'!$B$60:$B$107,$B148,'11.1.Амортиз.нови активи'!AE$60:AE$107))</f>
        <v>0</v>
      </c>
      <c r="Y148" s="899">
        <f>$S148-SUMIF('11.2. Нови активи отч.год.'!$B$61:$B$108,$B148,'11.2. Нови активи отч.год.'!$S$61:$S$108)+SUMIF('11.2. Нови активи отч.год.'!$B$61:$B$108,$B148,'11.2. Нови активи отч.год.'!Y$61:Y$108)+SUMIF('11.1.Амортиз.нови активи'!$B$60:$B$107,$B148,'11.1.Амортиз.нови активи'!Y$60:Y$107)+('11.1.Амортиз.нови активи'!K$111*SUMIF('11.1.Амортиз.нови активи'!$B$60:$B$107,$B148,'11.1.Амортиз.нови активи'!AF$60:AF$107))</f>
        <v>0</v>
      </c>
      <c r="Z148" s="1671"/>
      <c r="AA148" s="1702"/>
      <c r="AB148" s="1726"/>
    </row>
    <row r="149" spans="1:28" s="1642" customFormat="1" ht="24.75" thickBot="1">
      <c r="A149" s="1729">
        <v>19</v>
      </c>
      <c r="B149" s="1674">
        <v>215</v>
      </c>
      <c r="C149" s="1679">
        <v>0.2</v>
      </c>
      <c r="D149" s="1625" t="s">
        <v>911</v>
      </c>
      <c r="E149" s="2250"/>
      <c r="F149" s="897">
        <f>$E149-SUMIF('11.2. Нови активи отч.год.'!$B$61:$B$108,$B149,'11.2. Нови активи отч.год.'!$E$61:$E$108)+SUMIF('11.2. Нови активи отч.год.'!$B$61:$B$108,$B149,'11.2. Нови активи отч.год.'!F$61:F$108)+SUMIF('11.1.Амортиз.нови активи'!$B$60:$B$107,$B149,'11.1.Амортиз.нови активи'!F$60:F$107)+('11.1.Амортиз.нови активи'!F$109*SUMIF('11.1.Амортиз.нови активи'!$B$60:$B$107,$B149,'11.1.Амортиз.нови активи'!AA$60:AA$107))</f>
        <v>0</v>
      </c>
      <c r="G149" s="898">
        <f>$E149-SUMIF('11.2. Нови активи отч.год.'!$B$61:$B$108,$B149,'11.2. Нови активи отч.год.'!$E$61:$E$108)+SUMIF('11.2. Нови активи отч.год.'!$B$61:$B$108,$B149,'11.2. Нови активи отч.год.'!G$61:G$108)+SUMIF('11.1.Амортиз.нови активи'!$B$60:$B$107,$B149,'11.1.Амортиз.нови активи'!G$60:G$107)+('11.1.Амортиз.нови активи'!G$109*SUMIF('11.1.Амортиз.нови активи'!$B$60:$B$107,$B149,'11.1.Амортиз.нови активи'!AB$60:AB$107))</f>
        <v>2.3273892017378888</v>
      </c>
      <c r="H149" s="898">
        <f>$E149-SUMIF('11.2. Нови активи отч.год.'!$B$61:$B$108,$B149,'11.2. Нови активи отч.год.'!$E$61:$E$108)+SUMIF('11.2. Нови активи отч.год.'!$B$61:$B$108,$B149,'11.2. Нови активи отч.год.'!H$61:H$108)+SUMIF('11.1.Амортиз.нови активи'!$B$60:$B$107,$B149,'11.1.Амортиз.нови активи'!H$60:H$107)+('11.1.Амортиз.нови активи'!H$109*SUMIF('11.1.Амортиз.нови активи'!$B$60:$B$107,$B149,'11.1.Амортиз.нови активи'!AC$60:AC$107))</f>
        <v>6.6384196811140557</v>
      </c>
      <c r="I149" s="898">
        <f>$E149-SUMIF('11.2. Нови активи отч.год.'!$B$61:$B$108,$B149,'11.2. Нови активи отч.год.'!$E$61:$E$108)+SUMIF('11.2. Нови активи отч.год.'!$B$61:$B$108,$B149,'11.2. Нови активи отч.год.'!I$61:I$108)+SUMIF('11.1.Амортиз.нови активи'!$B$60:$B$107,$B149,'11.1.Амортиз.нови активи'!I$60:I$107)+('11.1.Амортиз.нови активи'!I$109*SUMIF('11.1.Амортиз.нови активи'!$B$60:$B$107,$B149,'11.1.Амортиз.нови активи'!AD$60:AD$107))</f>
        <v>10.561787188027843</v>
      </c>
      <c r="J149" s="898">
        <f>$E149-SUMIF('11.2. Нови активи отч.год.'!$B$61:$B$108,$B149,'11.2. Нови активи отч.год.'!$E$61:$E$108)+SUMIF('11.2. Нови активи отч.год.'!$B$61:$B$108,$B149,'11.2. Нови активи отч.год.'!J$61:J$108)+SUMIF('11.1.Амортиз.нови активи'!$B$60:$B$107,$B149,'11.1.Амортиз.нови активи'!J$60:J$107)+('11.1.Амортиз.нови активи'!J$109*SUMIF('11.1.Амортиз.нови активи'!$B$60:$B$107,$B149,'11.1.Амортиз.нови активи'!AE$60:AE$107))</f>
        <v>14.311377025733565</v>
      </c>
      <c r="K149" s="898">
        <f>$E149-SUMIF('11.2. Нови активи отч.год.'!$B$61:$B$108,$B149,'11.2. Нови активи отч.год.'!$E$61:$E$108)+SUMIF('11.2. Нови активи отч.год.'!$B$61:$B$108,$B149,'11.2. Нови активи отч.год.'!K$61:K$108)+SUMIF('11.1.Амортиз.нови активи'!$B$60:$B$107,$B149,'11.1.Амортиз.нови активи'!K$60:K$107)+('11.1.Амортиз.нови активи'!K$109*SUMIF('11.1.Амортиз.нови активи'!$B$60:$B$107,$B149,'11.1.Амортиз.нови активи'!AF$60:AF$107))</f>
        <v>18.06623507947717</v>
      </c>
      <c r="L149" s="2250"/>
      <c r="M149" s="903">
        <f>$L149-SUMIF('11.2. Нови активи отч.год.'!$B$61:$B$108,$B149,'11.2. Нови активи отч.год.'!$L$61:$L$108)+SUMIF('11.2. Нови активи отч.год.'!$B$61:$B$108,$B149,'11.2. Нови активи отч.год.'!M$61:M$108)+SUMIF('11.1.Амортиз.нови активи'!$B$60:$B$107,$B149,'11.1.Амортиз.нови активи'!M$60:M$107)+('11.1.Амортиз.нови активи'!F$110*SUMIF('11.1.Амортиз.нови активи'!$B$60:$B$107,$B149,'11.1.Амортиз.нови активи'!AA$60:AA$107))</f>
        <v>0</v>
      </c>
      <c r="N149" s="904">
        <f>$L149-SUMIF('11.2. Нови активи отч.год.'!$B$61:$B$108,$B149,'11.2. Нови активи отч.год.'!$L$61:$L$108)+SUMIF('11.2. Нови активи отч.год.'!$B$61:$B$108,$B149,'11.2. Нови активи отч.год.'!N$61:N$108)+SUMIF('11.1.Амортиз.нови активи'!$B$60:$B$107,$B149,'11.1.Амортиз.нови активи'!N$60:N$107)+('11.1.Амортиз.нови активи'!G$110*SUMIF('11.1.Амортиз.нови активи'!$B$60:$B$107,$B149,'11.1.Амортиз.нови активи'!AB$60:AB$107))</f>
        <v>3.6691511810565118E-2</v>
      </c>
      <c r="O149" s="904">
        <f>$L149-SUMIF('11.2. Нови активи отч.год.'!$B$61:$B$108,$B149,'11.2. Нови активи отч.год.'!$L$61:$L$108)+SUMIF('11.2. Нови активи отч.год.'!$B$61:$B$108,$B149,'11.2. Нови активи отч.год.'!O$61:O$108)+SUMIF('11.1.Амортиз.нови активи'!$B$60:$B$107,$B149,'11.1.Амортиз.нови активи'!O$60:O$107)+('11.1.Амортиз.нови активи'!H$110*SUMIF('11.1.Амортиз.нови активи'!$B$60:$B$107,$B149,'11.1.Амортиз.нови активи'!AC$60:AC$107))</f>
        <v>1.7150504475939319</v>
      </c>
      <c r="P149" s="904">
        <f>$L149-SUMIF('11.2. Нови активи отч.год.'!$B$61:$B$108,$B149,'11.2. Нови активи отч.год.'!$L$61:$L$108)+SUMIF('11.2. Нови активи отч.год.'!$B$61:$B$108,$B149,'11.2. Нови активи отч.год.'!P$61:P$108)+SUMIF('11.1.Амортиз.нови активи'!$B$60:$B$107,$B149,'11.1.Амортиз.нови активи'!P$60:P$107)+('11.1.Амортиз.нови активи'!I$110*SUMIF('11.1.Амортиз.нови активи'!$B$60:$B$107,$B149,'11.1.Амортиз.нови активи'!AD$60:AD$107))</f>
        <v>5.0270274551337533</v>
      </c>
      <c r="Q149" s="904">
        <f>$L149-SUMIF('11.2. Нови активи отч.год.'!$B$61:$B$108,$B149,'11.2. Нови активи отч.год.'!$L$61:$L$108)+SUMIF('11.2. Нови активи отч.год.'!$B$61:$B$108,$B149,'11.2. Нови активи отч.год.'!Q$61:Q$108)+SUMIF('11.1.Амортиз.нови активи'!$B$60:$B$107,$B149,'11.1.Амортиз.нови активи'!Q$60:Q$107)+('11.1.Амортиз.нови активи'!J$110*SUMIF('11.1.Амортиз.нови активи'!$B$60:$B$107,$B149,'11.1.Амортиз.нови активи'!AE$60:AE$107))</f>
        <v>8.3671499064163601</v>
      </c>
      <c r="R149" s="905">
        <f>$L149-SUMIF('11.2. Нови активи отч.год.'!$B$61:$B$108,$B149,'11.2. Нови активи отч.год.'!$L$61:$L$108)+SUMIF('11.2. Нови активи отч.год.'!$B$61:$B$108,$B149,'11.2. Нови активи отч.год.'!R$61:R$108)+SUMIF('11.1.Амортиз.нови активи'!$B$60:$B$107,$B149,'11.1.Амортиз.нови активи'!R$60:R$107)+('11.1.Амортиз.нови активи'!K$110*SUMIF('11.1.Амортиз.нови активи'!$B$60:$B$107,$B149,'11.1.Амортиз.нови активи'!AF$60:AF$107))</f>
        <v>11.703510176353038</v>
      </c>
      <c r="S149" s="2250"/>
      <c r="T149" s="897">
        <f>$S149-SUMIF('11.2. Нови активи отч.год.'!$B$61:$B$108,$B149,'11.2. Нови активи отч.год.'!$S$61:$S$108)+SUMIF('11.2. Нови активи отч.год.'!$B$61:$B$108,$B149,'11.2. Нови активи отч.год.'!T$61:T$108)+SUMIF('11.1.Амортиз.нови активи'!$B$60:$B$107,$B149,'11.1.Амортиз.нови активи'!T$60:T$107)+('11.1.Амортиз.нови активи'!F$111*SUMIF('11.1.Амортиз.нови активи'!$B$60:$B$107,$B149,'11.1.Амортиз.нови активи'!AA$60:AA$107))</f>
        <v>0</v>
      </c>
      <c r="U149" s="898">
        <f>$S149-SUMIF('11.2. Нови активи отч.год.'!$B$61:$B$108,$B149,'11.2. Нови активи отч.год.'!$S$61:$S$108)+SUMIF('11.2. Нови активи отч.год.'!$B$61:$B$108,$B149,'11.2. Нови активи отч.год.'!U$61:U$108)+SUMIF('11.1.Амортиз.нови активи'!$B$60:$B$107,$B149,'11.1.Амортиз.нови активи'!U$60:U$107)+('11.1.Амортиз.нови активи'!G$111*SUMIF('11.1.Амортиз.нови активи'!$B$60:$B$107,$B149,'11.1.Амортиз.нови активи'!AB$60:AB$107))</f>
        <v>0.13591928645154597</v>
      </c>
      <c r="V149" s="898">
        <f>$S149-SUMIF('11.2. Нови активи отч.год.'!$B$61:$B$108,$B149,'11.2. Нови активи отч.год.'!$S$61:$S$108)+SUMIF('11.2. Нови активи отч.год.'!$B$61:$B$108,$B149,'11.2. Нови активи отч.год.'!V$61:V$108)+SUMIF('11.1.Амортиз.нови активи'!$B$60:$B$107,$B149,'11.1.Амортиз.нови активи'!V$60:V$107)+('11.1.Амортиз.нови активи'!H$111*SUMIF('11.1.Амортиз.нови активи'!$B$60:$B$107,$B149,'11.1.Амортиз.нови активи'!AC$60:AC$107))</f>
        <v>0.64652987129201311</v>
      </c>
      <c r="W149" s="898">
        <f>$S149-SUMIF('11.2. Нови активи отч.год.'!$B$61:$B$108,$B149,'11.2. Нови активи отч.год.'!$S$61:$S$108)+SUMIF('11.2. Нови активи отч.год.'!$B$61:$B$108,$B149,'11.2. Нови активи отч.год.'!W$61:W$108)+SUMIF('11.1.Амортиз.нови активи'!$B$60:$B$107,$B149,'11.1.Амортиз.нови активи'!W$60:W$107)+('11.1.Амортиз.нови активи'!I$111*SUMIF('11.1.Амортиз.нови активи'!$B$60:$B$107,$B149,'11.1.Амортиз.нови активи'!AD$60:AD$107))</f>
        <v>1.4111853568384043</v>
      </c>
      <c r="X149" s="898">
        <f>$S149-SUMIF('11.2. Нови активи отч.год.'!$B$61:$B$108,$B149,'11.2. Нови активи отч.год.'!$S$61:$S$108)+SUMIF('11.2. Нови активи отч.год.'!$B$61:$B$108,$B149,'11.2. Нови активи отч.год.'!X$61:X$108)+SUMIF('11.1.Амортиз.нови активи'!$B$60:$B$107,$B149,'11.1.Амортиз.нови активи'!X$60:X$107)+('11.1.Амортиз.нови активи'!J$111*SUMIF('11.1.Амортиз.нови активи'!$B$60:$B$107,$B149,'11.1.Амортиз.нови активи'!AE$60:AE$107))</f>
        <v>2.3214730678500755</v>
      </c>
      <c r="Y149" s="899">
        <f>$S149-SUMIF('11.2. Нови активи отч.год.'!$B$61:$B$108,$B149,'11.2. Нови активи отч.год.'!$S$61:$S$108)+SUMIF('11.2. Нови активи отч.год.'!$B$61:$B$108,$B149,'11.2. Нови активи отч.год.'!Y$61:Y$108)+SUMIF('11.1.Амортиз.нови активи'!$B$60:$B$107,$B149,'11.1.Амортиз.нови активи'!Y$60:Y$107)+('11.1.Амортиз.нови активи'!K$111*SUMIF('11.1.Амортиз.нови активи'!$B$60:$B$107,$B149,'11.1.Амортиз.нови активи'!AF$60:AF$107))</f>
        <v>3.2302547441697893</v>
      </c>
      <c r="Z149" s="1671"/>
      <c r="AA149" s="1702"/>
      <c r="AB149" s="1726"/>
    </row>
    <row r="150" spans="1:28" s="1642" customFormat="1" ht="13.5" thickBot="1">
      <c r="A150" s="1694" t="s">
        <v>282</v>
      </c>
      <c r="B150" s="1695"/>
      <c r="C150" s="1695"/>
      <c r="D150" s="1665" t="s">
        <v>283</v>
      </c>
      <c r="E150" s="1718">
        <f t="shared" ref="E150:Y150" si="74">SUM(E151:E169)</f>
        <v>0</v>
      </c>
      <c r="F150" s="1722">
        <f t="shared" si="74"/>
        <v>86.941375093730173</v>
      </c>
      <c r="G150" s="1723">
        <f t="shared" si="74"/>
        <v>331.18515204406197</v>
      </c>
      <c r="H150" s="1723">
        <f t="shared" si="74"/>
        <v>686.09118448333811</v>
      </c>
      <c r="I150" s="1724">
        <f t="shared" si="74"/>
        <v>1123.5701435273118</v>
      </c>
      <c r="J150" s="1723">
        <f t="shared" si="74"/>
        <v>1643.3835101002351</v>
      </c>
      <c r="K150" s="1723">
        <f t="shared" si="74"/>
        <v>2249.8215486668555</v>
      </c>
      <c r="L150" s="1718">
        <f t="shared" si="74"/>
        <v>0</v>
      </c>
      <c r="M150" s="1722">
        <f t="shared" si="74"/>
        <v>0.84237065236200037</v>
      </c>
      <c r="N150" s="1723">
        <f t="shared" si="74"/>
        <v>4.0710193318622094</v>
      </c>
      <c r="O150" s="1723">
        <f t="shared" si="74"/>
        <v>15.845279159498871</v>
      </c>
      <c r="P150" s="1724">
        <f t="shared" si="74"/>
        <v>41.059277232693901</v>
      </c>
      <c r="Q150" s="1723">
        <f t="shared" si="74"/>
        <v>79.079717301764788</v>
      </c>
      <c r="R150" s="1723">
        <f t="shared" si="74"/>
        <v>128.79168833589605</v>
      </c>
      <c r="S150" s="1718">
        <f t="shared" si="74"/>
        <v>0</v>
      </c>
      <c r="T150" s="1719">
        <f t="shared" si="74"/>
        <v>3.4829209205744944</v>
      </c>
      <c r="U150" s="1720">
        <f t="shared" si="74"/>
        <v>18.990506357409213</v>
      </c>
      <c r="V150" s="1720">
        <f t="shared" si="74"/>
        <v>55.810236223829691</v>
      </c>
      <c r="W150" s="1721">
        <f t="shared" si="74"/>
        <v>117.6039679066611</v>
      </c>
      <c r="X150" s="1720">
        <f t="shared" si="74"/>
        <v>205.87685006466702</v>
      </c>
      <c r="Y150" s="1725">
        <f t="shared" si="74"/>
        <v>319.44352926391525</v>
      </c>
      <c r="Z150" s="1666"/>
      <c r="AA150" s="1702"/>
      <c r="AB150" s="1726"/>
    </row>
    <row r="151" spans="1:28" s="1642" customFormat="1">
      <c r="A151" s="1673">
        <v>1</v>
      </c>
      <c r="B151" s="1668">
        <v>20102</v>
      </c>
      <c r="C151" s="1690">
        <v>0</v>
      </c>
      <c r="D151" s="280" t="s">
        <v>760</v>
      </c>
      <c r="E151" s="2250"/>
      <c r="F151" s="2751">
        <f t="shared" ref="F151:K152" si="75">E151+F131</f>
        <v>0</v>
      </c>
      <c r="G151" s="2752">
        <f t="shared" si="75"/>
        <v>0</v>
      </c>
      <c r="H151" s="2752">
        <f t="shared" si="75"/>
        <v>0</v>
      </c>
      <c r="I151" s="2752">
        <f t="shared" si="75"/>
        <v>0</v>
      </c>
      <c r="J151" s="2752">
        <f t="shared" si="75"/>
        <v>0</v>
      </c>
      <c r="K151" s="2753">
        <f t="shared" si="75"/>
        <v>0</v>
      </c>
      <c r="L151" s="2250"/>
      <c r="M151" s="2751">
        <f t="shared" ref="M151:R152" si="76">L151+M131</f>
        <v>0</v>
      </c>
      <c r="N151" s="2752">
        <f t="shared" si="76"/>
        <v>0</v>
      </c>
      <c r="O151" s="2752">
        <f t="shared" si="76"/>
        <v>0</v>
      </c>
      <c r="P151" s="2752">
        <f t="shared" si="76"/>
        <v>0</v>
      </c>
      <c r="Q151" s="2752">
        <f t="shared" si="76"/>
        <v>0</v>
      </c>
      <c r="R151" s="2753">
        <f t="shared" si="76"/>
        <v>0</v>
      </c>
      <c r="S151" s="2250"/>
      <c r="T151" s="2751">
        <f t="shared" ref="T151:Y152" si="77">S151+T131</f>
        <v>0</v>
      </c>
      <c r="U151" s="2752">
        <f t="shared" si="77"/>
        <v>0</v>
      </c>
      <c r="V151" s="2752">
        <f t="shared" si="77"/>
        <v>0</v>
      </c>
      <c r="W151" s="2752">
        <f t="shared" si="77"/>
        <v>0</v>
      </c>
      <c r="X151" s="2752">
        <f t="shared" si="77"/>
        <v>0</v>
      </c>
      <c r="Y151" s="2753">
        <f t="shared" si="77"/>
        <v>0</v>
      </c>
      <c r="Z151" s="1671"/>
      <c r="AA151" s="1702"/>
      <c r="AB151" s="1726"/>
    </row>
    <row r="152" spans="1:28" s="1642" customFormat="1">
      <c r="A152" s="1673">
        <v>2</v>
      </c>
      <c r="B152" s="1674">
        <v>20202</v>
      </c>
      <c r="C152" s="1675">
        <v>0.03</v>
      </c>
      <c r="D152" s="1727" t="s">
        <v>598</v>
      </c>
      <c r="E152" s="2250"/>
      <c r="F152" s="2754">
        <f t="shared" si="75"/>
        <v>0</v>
      </c>
      <c r="G152" s="2755">
        <f t="shared" si="75"/>
        <v>0.15</v>
      </c>
      <c r="H152" s="2755">
        <f t="shared" si="75"/>
        <v>0.6</v>
      </c>
      <c r="I152" s="2755">
        <f t="shared" si="75"/>
        <v>1.35</v>
      </c>
      <c r="J152" s="2755">
        <f t="shared" si="75"/>
        <v>2.4</v>
      </c>
      <c r="K152" s="2756">
        <f t="shared" si="75"/>
        <v>3.75</v>
      </c>
      <c r="L152" s="2250"/>
      <c r="M152" s="2754">
        <f t="shared" si="76"/>
        <v>0</v>
      </c>
      <c r="N152" s="2755">
        <f t="shared" si="76"/>
        <v>0</v>
      </c>
      <c r="O152" s="2755">
        <f t="shared" si="76"/>
        <v>0</v>
      </c>
      <c r="P152" s="2755">
        <f t="shared" si="76"/>
        <v>0</v>
      </c>
      <c r="Q152" s="2755">
        <f t="shared" si="76"/>
        <v>0</v>
      </c>
      <c r="R152" s="2756">
        <f t="shared" si="76"/>
        <v>0</v>
      </c>
      <c r="S152" s="2250"/>
      <c r="T152" s="2754">
        <f t="shared" si="77"/>
        <v>0</v>
      </c>
      <c r="U152" s="2755">
        <f t="shared" si="77"/>
        <v>0</v>
      </c>
      <c r="V152" s="2755">
        <f t="shared" si="77"/>
        <v>0</v>
      </c>
      <c r="W152" s="2755">
        <f t="shared" si="77"/>
        <v>0</v>
      </c>
      <c r="X152" s="2755">
        <f t="shared" si="77"/>
        <v>0</v>
      </c>
      <c r="Y152" s="2756">
        <f t="shared" si="77"/>
        <v>0</v>
      </c>
      <c r="Z152" s="1671"/>
      <c r="AA152" s="1702"/>
      <c r="AB152" s="1726"/>
    </row>
    <row r="153" spans="1:28" s="1642" customFormat="1">
      <c r="A153" s="1673">
        <v>3</v>
      </c>
      <c r="B153" s="1674">
        <v>2030401</v>
      </c>
      <c r="C153" s="1679">
        <v>0.1</v>
      </c>
      <c r="D153" s="1625" t="s">
        <v>1470</v>
      </c>
      <c r="E153" s="2250"/>
      <c r="F153" s="2754">
        <f t="shared" ref="F153:K153" si="78">E153+F133</f>
        <v>4</v>
      </c>
      <c r="G153" s="2755">
        <f t="shared" si="78"/>
        <v>12.5</v>
      </c>
      <c r="H153" s="2755">
        <f t="shared" si="78"/>
        <v>22</v>
      </c>
      <c r="I153" s="2755">
        <f t="shared" si="78"/>
        <v>32.5</v>
      </c>
      <c r="J153" s="2755">
        <f t="shared" si="78"/>
        <v>43.5</v>
      </c>
      <c r="K153" s="2756">
        <f t="shared" si="78"/>
        <v>54.5</v>
      </c>
      <c r="L153" s="2250"/>
      <c r="M153" s="2754">
        <f t="shared" ref="M153:R153" si="79">L153+M133</f>
        <v>0</v>
      </c>
      <c r="N153" s="2755">
        <f t="shared" si="79"/>
        <v>0</v>
      </c>
      <c r="O153" s="2755">
        <f t="shared" si="79"/>
        <v>0</v>
      </c>
      <c r="P153" s="2755">
        <f t="shared" si="79"/>
        <v>0</v>
      </c>
      <c r="Q153" s="2755">
        <f t="shared" si="79"/>
        <v>0</v>
      </c>
      <c r="R153" s="2756">
        <f t="shared" si="79"/>
        <v>0</v>
      </c>
      <c r="S153" s="2250"/>
      <c r="T153" s="2754">
        <f t="shared" ref="T153:Y153" si="80">S153+T133</f>
        <v>0</v>
      </c>
      <c r="U153" s="2755">
        <f t="shared" si="80"/>
        <v>0</v>
      </c>
      <c r="V153" s="2755">
        <f t="shared" si="80"/>
        <v>0</v>
      </c>
      <c r="W153" s="2755">
        <f t="shared" si="80"/>
        <v>0</v>
      </c>
      <c r="X153" s="2755">
        <f t="shared" si="80"/>
        <v>0</v>
      </c>
      <c r="Y153" s="2756">
        <f t="shared" si="80"/>
        <v>0</v>
      </c>
      <c r="Z153" s="1671"/>
      <c r="AA153" s="1702"/>
      <c r="AB153" s="1726"/>
    </row>
    <row r="154" spans="1:28" s="1642" customFormat="1">
      <c r="A154" s="1673">
        <v>4</v>
      </c>
      <c r="B154" s="1674">
        <v>2030402</v>
      </c>
      <c r="C154" s="1679">
        <v>0.1</v>
      </c>
      <c r="D154" s="1625" t="s">
        <v>601</v>
      </c>
      <c r="E154" s="2250"/>
      <c r="F154" s="2754">
        <f t="shared" ref="F154:K154" si="81">E154+F134</f>
        <v>0</v>
      </c>
      <c r="G154" s="2755">
        <f t="shared" si="81"/>
        <v>0</v>
      </c>
      <c r="H154" s="2755">
        <f t="shared" si="81"/>
        <v>0</v>
      </c>
      <c r="I154" s="2755">
        <f t="shared" si="81"/>
        <v>0</v>
      </c>
      <c r="J154" s="2755">
        <f t="shared" si="81"/>
        <v>0</v>
      </c>
      <c r="K154" s="2756">
        <f t="shared" si="81"/>
        <v>0</v>
      </c>
      <c r="L154" s="2250"/>
      <c r="M154" s="2754">
        <f t="shared" ref="M154:R154" si="82">L154+M134</f>
        <v>0</v>
      </c>
      <c r="N154" s="2755">
        <f t="shared" si="82"/>
        <v>0</v>
      </c>
      <c r="O154" s="2755">
        <f t="shared" si="82"/>
        <v>0</v>
      </c>
      <c r="P154" s="2755">
        <f t="shared" si="82"/>
        <v>0</v>
      </c>
      <c r="Q154" s="2755">
        <f t="shared" si="82"/>
        <v>0</v>
      </c>
      <c r="R154" s="2756">
        <f t="shared" si="82"/>
        <v>0</v>
      </c>
      <c r="S154" s="2250"/>
      <c r="T154" s="2754">
        <f t="shared" ref="T154:Y154" si="83">S154+T134</f>
        <v>0</v>
      </c>
      <c r="U154" s="2755">
        <f t="shared" si="83"/>
        <v>0</v>
      </c>
      <c r="V154" s="2755">
        <f t="shared" si="83"/>
        <v>0</v>
      </c>
      <c r="W154" s="2755">
        <f t="shared" si="83"/>
        <v>0</v>
      </c>
      <c r="X154" s="2755">
        <f t="shared" si="83"/>
        <v>0</v>
      </c>
      <c r="Y154" s="2756">
        <f t="shared" si="83"/>
        <v>0</v>
      </c>
      <c r="Z154" s="1671"/>
      <c r="AA154" s="1702"/>
      <c r="AB154" s="1726"/>
    </row>
    <row r="155" spans="1:28" s="1642" customFormat="1">
      <c r="A155" s="1673">
        <v>5</v>
      </c>
      <c r="B155" s="1674">
        <v>2030501</v>
      </c>
      <c r="C155" s="1679">
        <v>0.1</v>
      </c>
      <c r="D155" s="1625" t="s">
        <v>580</v>
      </c>
      <c r="E155" s="2250"/>
      <c r="F155" s="2754">
        <f t="shared" ref="F155:K155" si="84">E155+F135</f>
        <v>49.964708427063513</v>
      </c>
      <c r="G155" s="2755">
        <f t="shared" si="84"/>
        <v>204.34108510899068</v>
      </c>
      <c r="H155" s="2755">
        <f t="shared" si="84"/>
        <v>439.90867573381951</v>
      </c>
      <c r="I155" s="2755">
        <f t="shared" si="84"/>
        <v>729.88915878976536</v>
      </c>
      <c r="J155" s="2755">
        <f t="shared" si="84"/>
        <v>1072.984459536955</v>
      </c>
      <c r="K155" s="2756">
        <f t="shared" si="84"/>
        <v>1470.8395742240982</v>
      </c>
      <c r="L155" s="2250"/>
      <c r="M155" s="2754">
        <f t="shared" ref="M155:R155" si="85">L155+M135</f>
        <v>0.40237065236200037</v>
      </c>
      <c r="N155" s="2755">
        <f t="shared" si="85"/>
        <v>2.5543278200516446</v>
      </c>
      <c r="O155" s="2755">
        <f t="shared" si="85"/>
        <v>9.6635372000943747</v>
      </c>
      <c r="P155" s="2755">
        <f t="shared" si="85"/>
        <v>23.400507818155646</v>
      </c>
      <c r="Q155" s="2755">
        <f t="shared" si="85"/>
        <v>43.403797980810175</v>
      </c>
      <c r="R155" s="2756">
        <f t="shared" si="85"/>
        <v>69.162258838588414</v>
      </c>
      <c r="S155" s="2250"/>
      <c r="T155" s="2754">
        <f t="shared" ref="T155:Y155" si="86">S155+T135</f>
        <v>1.2829209205744943</v>
      </c>
      <c r="U155" s="2755">
        <f t="shared" si="86"/>
        <v>9.2545870709576654</v>
      </c>
      <c r="V155" s="2755">
        <f t="shared" si="86"/>
        <v>30.627787066086135</v>
      </c>
      <c r="W155" s="2755">
        <f t="shared" si="86"/>
        <v>67.410333392079139</v>
      </c>
      <c r="X155" s="2755">
        <f t="shared" si="86"/>
        <v>120.96174248223498</v>
      </c>
      <c r="Y155" s="2756">
        <f t="shared" si="86"/>
        <v>190.09816693731341</v>
      </c>
      <c r="Z155" s="1671"/>
      <c r="AA155" s="1702"/>
      <c r="AB155" s="1726"/>
    </row>
    <row r="156" spans="1:28" s="1642" customFormat="1" ht="24">
      <c r="A156" s="1673">
        <v>6</v>
      </c>
      <c r="B156" s="1674">
        <v>2030502</v>
      </c>
      <c r="C156" s="1679">
        <v>0.1</v>
      </c>
      <c r="D156" s="1625" t="s">
        <v>948</v>
      </c>
      <c r="E156" s="2250"/>
      <c r="F156" s="2754">
        <f t="shared" ref="F156:K156" si="87">E156+F136</f>
        <v>4.1500000000000004</v>
      </c>
      <c r="G156" s="2755">
        <f t="shared" si="87"/>
        <v>22.700000000000003</v>
      </c>
      <c r="H156" s="2755">
        <f t="shared" si="87"/>
        <v>53.5</v>
      </c>
      <c r="I156" s="2755">
        <f t="shared" si="87"/>
        <v>87.3</v>
      </c>
      <c r="J156" s="2755">
        <f t="shared" si="87"/>
        <v>123.1</v>
      </c>
      <c r="K156" s="2756">
        <f t="shared" si="87"/>
        <v>160.89999999999998</v>
      </c>
      <c r="L156" s="2250"/>
      <c r="M156" s="2754">
        <f t="shared" ref="M156:R156" si="88">L156+M136</f>
        <v>0</v>
      </c>
      <c r="N156" s="2755">
        <f t="shared" si="88"/>
        <v>0</v>
      </c>
      <c r="O156" s="2755">
        <f t="shared" si="88"/>
        <v>0</v>
      </c>
      <c r="P156" s="2755">
        <f t="shared" si="88"/>
        <v>0</v>
      </c>
      <c r="Q156" s="2755">
        <f t="shared" si="88"/>
        <v>0</v>
      </c>
      <c r="R156" s="2756">
        <f t="shared" si="88"/>
        <v>0</v>
      </c>
      <c r="S156" s="2250"/>
      <c r="T156" s="2754">
        <f t="shared" ref="T156:Y156" si="89">S156+T136</f>
        <v>0</v>
      </c>
      <c r="U156" s="2755">
        <f t="shared" si="89"/>
        <v>0</v>
      </c>
      <c r="V156" s="2755">
        <f t="shared" si="89"/>
        <v>0</v>
      </c>
      <c r="W156" s="2755">
        <f t="shared" si="89"/>
        <v>0</v>
      </c>
      <c r="X156" s="2755">
        <f t="shared" si="89"/>
        <v>0</v>
      </c>
      <c r="Y156" s="2756">
        <f t="shared" si="89"/>
        <v>0</v>
      </c>
      <c r="Z156" s="1671"/>
      <c r="AA156" s="1702"/>
      <c r="AB156" s="1726"/>
    </row>
    <row r="157" spans="1:28" s="1642" customFormat="1">
      <c r="A157" s="1673">
        <v>7</v>
      </c>
      <c r="B157" s="1674">
        <v>2030503</v>
      </c>
      <c r="C157" s="1679">
        <v>0.1</v>
      </c>
      <c r="D157" s="1625" t="s">
        <v>966</v>
      </c>
      <c r="E157" s="2250"/>
      <c r="F157" s="2754">
        <f t="shared" ref="F157:K157" si="90">E157+F137</f>
        <v>0</v>
      </c>
      <c r="G157" s="2755">
        <f t="shared" si="90"/>
        <v>0.25</v>
      </c>
      <c r="H157" s="2755">
        <f t="shared" si="90"/>
        <v>1</v>
      </c>
      <c r="I157" s="2755">
        <f t="shared" si="90"/>
        <v>2.25</v>
      </c>
      <c r="J157" s="2755">
        <f t="shared" si="90"/>
        <v>4</v>
      </c>
      <c r="K157" s="2756">
        <f t="shared" si="90"/>
        <v>6.25</v>
      </c>
      <c r="L157" s="2250"/>
      <c r="M157" s="2754">
        <f t="shared" ref="M157:R157" si="91">L157+M137</f>
        <v>0</v>
      </c>
      <c r="N157" s="2755">
        <f t="shared" si="91"/>
        <v>0</v>
      </c>
      <c r="O157" s="2755">
        <f t="shared" si="91"/>
        <v>0.25</v>
      </c>
      <c r="P157" s="2755">
        <f t="shared" si="91"/>
        <v>1</v>
      </c>
      <c r="Q157" s="2755">
        <f t="shared" si="91"/>
        <v>2.25</v>
      </c>
      <c r="R157" s="2756">
        <f t="shared" si="91"/>
        <v>4</v>
      </c>
      <c r="S157" s="2250"/>
      <c r="T157" s="2754">
        <f t="shared" ref="T157:Y157" si="92">S157+T137</f>
        <v>0</v>
      </c>
      <c r="U157" s="2755">
        <f t="shared" si="92"/>
        <v>1</v>
      </c>
      <c r="V157" s="2755">
        <f t="shared" si="92"/>
        <v>4</v>
      </c>
      <c r="W157" s="2755">
        <f t="shared" si="92"/>
        <v>9</v>
      </c>
      <c r="X157" s="2755">
        <f t="shared" si="92"/>
        <v>16</v>
      </c>
      <c r="Y157" s="2756">
        <f t="shared" si="92"/>
        <v>25</v>
      </c>
      <c r="Z157" s="1671"/>
      <c r="AA157" s="1702"/>
      <c r="AB157" s="1726"/>
    </row>
    <row r="158" spans="1:28" s="1642" customFormat="1">
      <c r="A158" s="1673">
        <v>8</v>
      </c>
      <c r="B158" s="1674">
        <v>2040101</v>
      </c>
      <c r="C158" s="1728">
        <v>0.1</v>
      </c>
      <c r="D158" s="1637" t="s">
        <v>1442</v>
      </c>
      <c r="E158" s="2250"/>
      <c r="F158" s="2754">
        <f t="shared" ref="F158:K169" si="93">E158+F138</f>
        <v>0</v>
      </c>
      <c r="G158" s="2755">
        <f t="shared" si="93"/>
        <v>0</v>
      </c>
      <c r="H158" s="2755">
        <f t="shared" si="93"/>
        <v>0</v>
      </c>
      <c r="I158" s="2755">
        <f t="shared" si="93"/>
        <v>0</v>
      </c>
      <c r="J158" s="2755">
        <f t="shared" si="93"/>
        <v>0</v>
      </c>
      <c r="K158" s="2756">
        <f t="shared" si="93"/>
        <v>0</v>
      </c>
      <c r="L158" s="2250"/>
      <c r="M158" s="2754">
        <f t="shared" ref="M158:R169" si="94">L158+M138</f>
        <v>0</v>
      </c>
      <c r="N158" s="2755">
        <f t="shared" si="94"/>
        <v>0</v>
      </c>
      <c r="O158" s="2755">
        <f t="shared" si="94"/>
        <v>0</v>
      </c>
      <c r="P158" s="2755">
        <f t="shared" si="94"/>
        <v>0</v>
      </c>
      <c r="Q158" s="2755">
        <f t="shared" si="94"/>
        <v>0</v>
      </c>
      <c r="R158" s="2756">
        <f t="shared" si="94"/>
        <v>0</v>
      </c>
      <c r="S158" s="2250"/>
      <c r="T158" s="2754">
        <f t="shared" ref="T158:Y169" si="95">S158+T138</f>
        <v>0</v>
      </c>
      <c r="U158" s="2755">
        <f t="shared" si="95"/>
        <v>0</v>
      </c>
      <c r="V158" s="2755">
        <f t="shared" si="95"/>
        <v>0</v>
      </c>
      <c r="W158" s="2755">
        <f t="shared" si="95"/>
        <v>0</v>
      </c>
      <c r="X158" s="2755">
        <f t="shared" si="95"/>
        <v>0</v>
      </c>
      <c r="Y158" s="2756">
        <f t="shared" si="95"/>
        <v>0</v>
      </c>
      <c r="Z158" s="1671"/>
      <c r="AA158" s="1702"/>
      <c r="AB158" s="1726"/>
    </row>
    <row r="159" spans="1:28" s="1642" customFormat="1">
      <c r="A159" s="1729">
        <v>9</v>
      </c>
      <c r="B159" s="1674">
        <v>2040102</v>
      </c>
      <c r="C159" s="1728">
        <v>0.04</v>
      </c>
      <c r="D159" s="1637" t="s">
        <v>604</v>
      </c>
      <c r="E159" s="2250"/>
      <c r="F159" s="2754">
        <f t="shared" si="93"/>
        <v>0</v>
      </c>
      <c r="G159" s="2755">
        <f t="shared" si="93"/>
        <v>0</v>
      </c>
      <c r="H159" s="2755">
        <f t="shared" si="93"/>
        <v>0</v>
      </c>
      <c r="I159" s="2755">
        <f t="shared" si="93"/>
        <v>0</v>
      </c>
      <c r="J159" s="2755">
        <f t="shared" si="93"/>
        <v>0</v>
      </c>
      <c r="K159" s="2756">
        <f t="shared" si="93"/>
        <v>0</v>
      </c>
      <c r="L159" s="2250"/>
      <c r="M159" s="2754">
        <f t="shared" si="94"/>
        <v>0</v>
      </c>
      <c r="N159" s="2755">
        <f t="shared" si="94"/>
        <v>0</v>
      </c>
      <c r="O159" s="2755">
        <f t="shared" si="94"/>
        <v>0</v>
      </c>
      <c r="P159" s="2755">
        <f t="shared" si="94"/>
        <v>0</v>
      </c>
      <c r="Q159" s="2755">
        <f t="shared" si="94"/>
        <v>0</v>
      </c>
      <c r="R159" s="2756">
        <f t="shared" si="94"/>
        <v>0</v>
      </c>
      <c r="S159" s="2250"/>
      <c r="T159" s="2754">
        <f t="shared" si="95"/>
        <v>0</v>
      </c>
      <c r="U159" s="2755">
        <f t="shared" si="95"/>
        <v>0</v>
      </c>
      <c r="V159" s="2755">
        <f t="shared" si="95"/>
        <v>0</v>
      </c>
      <c r="W159" s="2755">
        <f t="shared" si="95"/>
        <v>0</v>
      </c>
      <c r="X159" s="2755">
        <f t="shared" si="95"/>
        <v>0</v>
      </c>
      <c r="Y159" s="2756">
        <f t="shared" si="95"/>
        <v>0</v>
      </c>
      <c r="Z159" s="1671"/>
      <c r="AA159" s="1702"/>
      <c r="AB159" s="1726"/>
    </row>
    <row r="160" spans="1:28" s="1642" customFormat="1">
      <c r="A160" s="1729">
        <v>10</v>
      </c>
      <c r="B160" s="1674">
        <v>2040201</v>
      </c>
      <c r="C160" s="1675">
        <v>0.02</v>
      </c>
      <c r="D160" s="1623" t="s">
        <v>1007</v>
      </c>
      <c r="E160" s="2250"/>
      <c r="F160" s="2754">
        <f t="shared" si="93"/>
        <v>0</v>
      </c>
      <c r="G160" s="2755">
        <f t="shared" si="93"/>
        <v>0</v>
      </c>
      <c r="H160" s="2755">
        <f t="shared" si="93"/>
        <v>0</v>
      </c>
      <c r="I160" s="2755">
        <f t="shared" si="93"/>
        <v>0</v>
      </c>
      <c r="J160" s="2755">
        <f t="shared" si="93"/>
        <v>0</v>
      </c>
      <c r="K160" s="2756">
        <f t="shared" si="93"/>
        <v>0</v>
      </c>
      <c r="L160" s="2250"/>
      <c r="M160" s="2754">
        <f t="shared" si="94"/>
        <v>0</v>
      </c>
      <c r="N160" s="2755">
        <f t="shared" si="94"/>
        <v>0</v>
      </c>
      <c r="O160" s="2755">
        <f t="shared" si="94"/>
        <v>0</v>
      </c>
      <c r="P160" s="2755">
        <f t="shared" si="94"/>
        <v>0</v>
      </c>
      <c r="Q160" s="2755">
        <f t="shared" si="94"/>
        <v>0</v>
      </c>
      <c r="R160" s="2756">
        <f t="shared" si="94"/>
        <v>0</v>
      </c>
      <c r="S160" s="2250"/>
      <c r="T160" s="2754">
        <f t="shared" si="95"/>
        <v>0</v>
      </c>
      <c r="U160" s="2755">
        <f t="shared" si="95"/>
        <v>0</v>
      </c>
      <c r="V160" s="2755">
        <f t="shared" si="95"/>
        <v>0</v>
      </c>
      <c r="W160" s="2755">
        <f t="shared" si="95"/>
        <v>0</v>
      </c>
      <c r="X160" s="2755">
        <f t="shared" si="95"/>
        <v>0</v>
      </c>
      <c r="Y160" s="2756">
        <f t="shared" si="95"/>
        <v>0</v>
      </c>
      <c r="Z160" s="1671"/>
      <c r="AA160" s="1702"/>
      <c r="AB160" s="1726"/>
    </row>
    <row r="161" spans="1:28" s="1642" customFormat="1">
      <c r="A161" s="1729">
        <v>11</v>
      </c>
      <c r="B161" s="1674">
        <v>2040202</v>
      </c>
      <c r="C161" s="1675">
        <v>0.02</v>
      </c>
      <c r="D161" s="1623" t="s">
        <v>1008</v>
      </c>
      <c r="E161" s="2250"/>
      <c r="F161" s="2754">
        <f t="shared" si="93"/>
        <v>0</v>
      </c>
      <c r="G161" s="2755">
        <f t="shared" si="93"/>
        <v>0.41000000000000003</v>
      </c>
      <c r="H161" s="2755">
        <f t="shared" si="93"/>
        <v>1.83</v>
      </c>
      <c r="I161" s="2755">
        <f t="shared" si="93"/>
        <v>4.45</v>
      </c>
      <c r="J161" s="2755">
        <f t="shared" si="93"/>
        <v>8.17</v>
      </c>
      <c r="K161" s="2756">
        <f t="shared" si="93"/>
        <v>12.89</v>
      </c>
      <c r="L161" s="2250"/>
      <c r="M161" s="2754">
        <f t="shared" si="94"/>
        <v>0</v>
      </c>
      <c r="N161" s="2755">
        <f t="shared" si="94"/>
        <v>0</v>
      </c>
      <c r="O161" s="2755">
        <f t="shared" si="94"/>
        <v>0</v>
      </c>
      <c r="P161" s="2755">
        <f t="shared" si="94"/>
        <v>0</v>
      </c>
      <c r="Q161" s="2755">
        <f t="shared" si="94"/>
        <v>0</v>
      </c>
      <c r="R161" s="2756">
        <f t="shared" si="94"/>
        <v>0</v>
      </c>
      <c r="S161" s="2250"/>
      <c r="T161" s="2754">
        <f t="shared" si="95"/>
        <v>0</v>
      </c>
      <c r="U161" s="2755">
        <f t="shared" si="95"/>
        <v>0</v>
      </c>
      <c r="V161" s="2755">
        <f t="shared" si="95"/>
        <v>0</v>
      </c>
      <c r="W161" s="2755">
        <f t="shared" si="95"/>
        <v>0</v>
      </c>
      <c r="X161" s="2755">
        <f t="shared" si="95"/>
        <v>0</v>
      </c>
      <c r="Y161" s="2756">
        <f t="shared" si="95"/>
        <v>0</v>
      </c>
      <c r="Z161" s="1671"/>
      <c r="AA161" s="1702"/>
      <c r="AB161" s="1726"/>
    </row>
    <row r="162" spans="1:28" s="1642" customFormat="1">
      <c r="A162" s="1729">
        <v>12</v>
      </c>
      <c r="B162" s="1674">
        <v>2040203</v>
      </c>
      <c r="C162" s="1675">
        <v>0.02</v>
      </c>
      <c r="D162" s="1623" t="s">
        <v>590</v>
      </c>
      <c r="E162" s="2250"/>
      <c r="F162" s="2754">
        <f t="shared" si="93"/>
        <v>0</v>
      </c>
      <c r="G162" s="2755">
        <f t="shared" si="93"/>
        <v>0</v>
      </c>
      <c r="H162" s="2755">
        <f t="shared" si="93"/>
        <v>0</v>
      </c>
      <c r="I162" s="2755">
        <f t="shared" si="93"/>
        <v>0</v>
      </c>
      <c r="J162" s="2755">
        <f t="shared" si="93"/>
        <v>0</v>
      </c>
      <c r="K162" s="2756">
        <f t="shared" si="93"/>
        <v>0</v>
      </c>
      <c r="L162" s="2250"/>
      <c r="M162" s="2754">
        <f t="shared" si="94"/>
        <v>0</v>
      </c>
      <c r="N162" s="2755">
        <f t="shared" si="94"/>
        <v>0</v>
      </c>
      <c r="O162" s="2755">
        <f t="shared" si="94"/>
        <v>0</v>
      </c>
      <c r="P162" s="2755">
        <f t="shared" si="94"/>
        <v>0</v>
      </c>
      <c r="Q162" s="2755">
        <f t="shared" si="94"/>
        <v>0</v>
      </c>
      <c r="R162" s="2756">
        <f t="shared" si="94"/>
        <v>0</v>
      </c>
      <c r="S162" s="2250"/>
      <c r="T162" s="2754">
        <f t="shared" si="95"/>
        <v>0</v>
      </c>
      <c r="U162" s="2755">
        <f t="shared" si="95"/>
        <v>0</v>
      </c>
      <c r="V162" s="2755">
        <f t="shared" si="95"/>
        <v>0</v>
      </c>
      <c r="W162" s="2755">
        <f t="shared" si="95"/>
        <v>0</v>
      </c>
      <c r="X162" s="2755">
        <f t="shared" si="95"/>
        <v>0</v>
      </c>
      <c r="Y162" s="2756">
        <f t="shared" si="95"/>
        <v>0</v>
      </c>
      <c r="Z162" s="1671"/>
      <c r="AA162" s="1702"/>
      <c r="AB162" s="1726"/>
    </row>
    <row r="163" spans="1:28" s="1642" customFormat="1">
      <c r="A163" s="1729">
        <v>13</v>
      </c>
      <c r="B163" s="1674">
        <v>2040204</v>
      </c>
      <c r="C163" s="1675">
        <v>0.02</v>
      </c>
      <c r="D163" s="1637" t="s">
        <v>591</v>
      </c>
      <c r="E163" s="2250"/>
      <c r="F163" s="2754">
        <f t="shared" si="93"/>
        <v>1.72</v>
      </c>
      <c r="G163" s="2755">
        <f t="shared" si="93"/>
        <v>5.71</v>
      </c>
      <c r="H163" s="2755">
        <f t="shared" si="93"/>
        <v>10.65</v>
      </c>
      <c r="I163" s="2755">
        <f t="shared" si="93"/>
        <v>16.190000000000001</v>
      </c>
      <c r="J163" s="2755">
        <f t="shared" si="93"/>
        <v>22.080000000000002</v>
      </c>
      <c r="K163" s="2756">
        <f t="shared" si="93"/>
        <v>28.270000000000003</v>
      </c>
      <c r="L163" s="2250"/>
      <c r="M163" s="2754">
        <f t="shared" si="94"/>
        <v>0</v>
      </c>
      <c r="N163" s="2755">
        <f t="shared" si="94"/>
        <v>0</v>
      </c>
      <c r="O163" s="2755">
        <f t="shared" si="94"/>
        <v>0</v>
      </c>
      <c r="P163" s="2755">
        <f t="shared" si="94"/>
        <v>0</v>
      </c>
      <c r="Q163" s="2755">
        <f t="shared" si="94"/>
        <v>0</v>
      </c>
      <c r="R163" s="2756">
        <f t="shared" si="94"/>
        <v>0</v>
      </c>
      <c r="S163" s="2250"/>
      <c r="T163" s="2754">
        <f t="shared" si="95"/>
        <v>0</v>
      </c>
      <c r="U163" s="2755">
        <f t="shared" si="95"/>
        <v>0</v>
      </c>
      <c r="V163" s="2755">
        <f t="shared" si="95"/>
        <v>0</v>
      </c>
      <c r="W163" s="2755">
        <f t="shared" si="95"/>
        <v>0</v>
      </c>
      <c r="X163" s="2755">
        <f t="shared" si="95"/>
        <v>0</v>
      </c>
      <c r="Y163" s="2756">
        <f t="shared" si="95"/>
        <v>0</v>
      </c>
      <c r="Z163" s="1671"/>
      <c r="AA163" s="1702"/>
      <c r="AB163" s="1726"/>
    </row>
    <row r="164" spans="1:28" s="1642" customFormat="1">
      <c r="A164" s="1729">
        <v>14</v>
      </c>
      <c r="B164" s="1674">
        <v>2040205</v>
      </c>
      <c r="C164" s="1675">
        <v>0.02</v>
      </c>
      <c r="D164" s="1623" t="s">
        <v>592</v>
      </c>
      <c r="E164" s="2250"/>
      <c r="F164" s="2754">
        <f t="shared" si="93"/>
        <v>19</v>
      </c>
      <c r="G164" s="2755">
        <f t="shared" si="93"/>
        <v>57.634999999999998</v>
      </c>
      <c r="H164" s="2755">
        <f t="shared" si="93"/>
        <v>103.45166666666667</v>
      </c>
      <c r="I164" s="2755">
        <f t="shared" si="93"/>
        <v>164.38499999999999</v>
      </c>
      <c r="J164" s="2755">
        <f t="shared" si="93"/>
        <v>243.31833333333333</v>
      </c>
      <c r="K164" s="2756">
        <f t="shared" si="93"/>
        <v>343.46166666666664</v>
      </c>
      <c r="L164" s="2250"/>
      <c r="M164" s="2754">
        <f t="shared" si="94"/>
        <v>0</v>
      </c>
      <c r="N164" s="2755">
        <f t="shared" si="94"/>
        <v>0</v>
      </c>
      <c r="O164" s="2755">
        <f t="shared" si="94"/>
        <v>0</v>
      </c>
      <c r="P164" s="2755">
        <f t="shared" si="94"/>
        <v>0</v>
      </c>
      <c r="Q164" s="2755">
        <f t="shared" si="94"/>
        <v>0</v>
      </c>
      <c r="R164" s="2756">
        <f t="shared" si="94"/>
        <v>0</v>
      </c>
      <c r="S164" s="2250"/>
      <c r="T164" s="2754">
        <f t="shared" si="95"/>
        <v>0</v>
      </c>
      <c r="U164" s="2755">
        <f t="shared" si="95"/>
        <v>0</v>
      </c>
      <c r="V164" s="2755">
        <f t="shared" si="95"/>
        <v>0</v>
      </c>
      <c r="W164" s="2755">
        <f t="shared" si="95"/>
        <v>0</v>
      </c>
      <c r="X164" s="2755">
        <f t="shared" si="95"/>
        <v>0</v>
      </c>
      <c r="Y164" s="2756">
        <f t="shared" si="95"/>
        <v>0</v>
      </c>
      <c r="Z164" s="1671"/>
      <c r="AA164" s="1702"/>
      <c r="AB164" s="1726"/>
    </row>
    <row r="165" spans="1:28" s="1642" customFormat="1">
      <c r="A165" s="1729">
        <v>15</v>
      </c>
      <c r="B165" s="1674">
        <v>2040206</v>
      </c>
      <c r="C165" s="1675">
        <v>0.02</v>
      </c>
      <c r="D165" s="1625" t="s">
        <v>593</v>
      </c>
      <c r="E165" s="2250"/>
      <c r="F165" s="2754">
        <f t="shared" si="93"/>
        <v>0</v>
      </c>
      <c r="G165" s="2755">
        <f t="shared" si="93"/>
        <v>0</v>
      </c>
      <c r="H165" s="2755">
        <f t="shared" si="93"/>
        <v>0</v>
      </c>
      <c r="I165" s="2755">
        <f t="shared" si="93"/>
        <v>0</v>
      </c>
      <c r="J165" s="2755">
        <f t="shared" si="93"/>
        <v>0</v>
      </c>
      <c r="K165" s="2756">
        <f t="shared" si="93"/>
        <v>0</v>
      </c>
      <c r="L165" s="2250"/>
      <c r="M165" s="2754">
        <f t="shared" si="94"/>
        <v>0.44</v>
      </c>
      <c r="N165" s="2755">
        <f t="shared" si="94"/>
        <v>1.48</v>
      </c>
      <c r="O165" s="2755">
        <f t="shared" si="94"/>
        <v>3.58</v>
      </c>
      <c r="P165" s="2755">
        <f t="shared" si="94"/>
        <v>7.48</v>
      </c>
      <c r="Q165" s="2755">
        <f t="shared" si="94"/>
        <v>13.18</v>
      </c>
      <c r="R165" s="2756">
        <f t="shared" si="94"/>
        <v>20.68</v>
      </c>
      <c r="S165" s="2250"/>
      <c r="T165" s="2754">
        <f t="shared" si="95"/>
        <v>0</v>
      </c>
      <c r="U165" s="2755">
        <f t="shared" si="95"/>
        <v>0</v>
      </c>
      <c r="V165" s="2755">
        <f t="shared" si="95"/>
        <v>0</v>
      </c>
      <c r="W165" s="2755">
        <f t="shared" si="95"/>
        <v>0</v>
      </c>
      <c r="X165" s="2755">
        <f t="shared" si="95"/>
        <v>0</v>
      </c>
      <c r="Y165" s="2756">
        <f t="shared" si="95"/>
        <v>0</v>
      </c>
      <c r="Z165" s="1671"/>
      <c r="AA165" s="1702"/>
      <c r="AB165" s="1726"/>
    </row>
    <row r="166" spans="1:28" s="1642" customFormat="1" ht="24">
      <c r="A166" s="1729">
        <v>16</v>
      </c>
      <c r="B166" s="1674">
        <v>2040207</v>
      </c>
      <c r="C166" s="1675">
        <v>0.04</v>
      </c>
      <c r="D166" s="1625" t="s">
        <v>594</v>
      </c>
      <c r="E166" s="2250"/>
      <c r="F166" s="2754">
        <f t="shared" si="93"/>
        <v>8.08</v>
      </c>
      <c r="G166" s="2755">
        <f t="shared" si="93"/>
        <v>25.1083444</v>
      </c>
      <c r="H166" s="2755">
        <f t="shared" si="93"/>
        <v>44.105033200000001</v>
      </c>
      <c r="I166" s="2755">
        <f t="shared" si="93"/>
        <v>65.621722000000005</v>
      </c>
      <c r="J166" s="2755">
        <f t="shared" si="93"/>
        <v>89.858410800000001</v>
      </c>
      <c r="K166" s="2756">
        <f t="shared" si="93"/>
        <v>116.89509960000001</v>
      </c>
      <c r="L166" s="2250"/>
      <c r="M166" s="2754">
        <f t="shared" si="94"/>
        <v>0</v>
      </c>
      <c r="N166" s="2755">
        <f t="shared" si="94"/>
        <v>0</v>
      </c>
      <c r="O166" s="2755">
        <f t="shared" si="94"/>
        <v>0.6</v>
      </c>
      <c r="P166" s="2755">
        <f t="shared" si="94"/>
        <v>2.4</v>
      </c>
      <c r="Q166" s="2755">
        <f t="shared" si="94"/>
        <v>5.0999999999999996</v>
      </c>
      <c r="R166" s="2756">
        <f t="shared" si="94"/>
        <v>8.1</v>
      </c>
      <c r="S166" s="2250"/>
      <c r="T166" s="2754">
        <f t="shared" si="95"/>
        <v>2.2000000000000002</v>
      </c>
      <c r="U166" s="2755">
        <f t="shared" si="95"/>
        <v>8.6000000000000014</v>
      </c>
      <c r="V166" s="2755">
        <f t="shared" si="95"/>
        <v>20.400000000000002</v>
      </c>
      <c r="W166" s="2755">
        <f t="shared" si="95"/>
        <v>39</v>
      </c>
      <c r="X166" s="2755">
        <f t="shared" si="95"/>
        <v>64.400000000000006</v>
      </c>
      <c r="Y166" s="2756">
        <f t="shared" si="95"/>
        <v>96.600000000000009</v>
      </c>
      <c r="Z166" s="1671"/>
      <c r="AA166" s="1702"/>
      <c r="AB166" s="1726"/>
    </row>
    <row r="167" spans="1:28" s="1642" customFormat="1">
      <c r="A167" s="1729">
        <v>17</v>
      </c>
      <c r="B167" s="1674">
        <v>2040208</v>
      </c>
      <c r="C167" s="1675">
        <v>0.04</v>
      </c>
      <c r="D167" s="1625" t="s">
        <v>595</v>
      </c>
      <c r="E167" s="2250"/>
      <c r="F167" s="2754">
        <f t="shared" si="93"/>
        <v>0</v>
      </c>
      <c r="G167" s="2755">
        <f t="shared" si="93"/>
        <v>0</v>
      </c>
      <c r="H167" s="2755">
        <f t="shared" si="93"/>
        <v>0</v>
      </c>
      <c r="I167" s="2755">
        <f t="shared" si="93"/>
        <v>0</v>
      </c>
      <c r="J167" s="2755">
        <f t="shared" si="93"/>
        <v>0</v>
      </c>
      <c r="K167" s="2756">
        <f t="shared" si="93"/>
        <v>0</v>
      </c>
      <c r="L167" s="2250"/>
      <c r="M167" s="2754">
        <f t="shared" si="94"/>
        <v>0</v>
      </c>
      <c r="N167" s="2755">
        <f t="shared" si="94"/>
        <v>0</v>
      </c>
      <c r="O167" s="2755">
        <f t="shared" si="94"/>
        <v>0</v>
      </c>
      <c r="P167" s="2755">
        <f t="shared" si="94"/>
        <v>0</v>
      </c>
      <c r="Q167" s="2755">
        <f t="shared" si="94"/>
        <v>0</v>
      </c>
      <c r="R167" s="2756">
        <f t="shared" si="94"/>
        <v>0</v>
      </c>
      <c r="S167" s="2250"/>
      <c r="T167" s="2754">
        <f t="shared" si="95"/>
        <v>0</v>
      </c>
      <c r="U167" s="2755">
        <f t="shared" si="95"/>
        <v>0</v>
      </c>
      <c r="V167" s="2755">
        <f t="shared" si="95"/>
        <v>0</v>
      </c>
      <c r="W167" s="2755">
        <f t="shared" si="95"/>
        <v>0</v>
      </c>
      <c r="X167" s="2755">
        <f t="shared" si="95"/>
        <v>0</v>
      </c>
      <c r="Y167" s="2756">
        <f t="shared" si="95"/>
        <v>0</v>
      </c>
      <c r="Z167" s="1671"/>
      <c r="AA167" s="1702"/>
      <c r="AB167" s="1726"/>
    </row>
    <row r="168" spans="1:28" s="1642" customFormat="1">
      <c r="A168" s="1729">
        <v>18</v>
      </c>
      <c r="B168" s="1832" t="s">
        <v>1525</v>
      </c>
      <c r="C168" s="1675">
        <v>0.04</v>
      </c>
      <c r="D168" s="1727" t="s">
        <v>606</v>
      </c>
      <c r="E168" s="2250"/>
      <c r="F168" s="2754">
        <f t="shared" si="93"/>
        <v>2.6666666666666665E-2</v>
      </c>
      <c r="G168" s="2755">
        <f t="shared" si="93"/>
        <v>5.333333333333333E-2</v>
      </c>
      <c r="H168" s="2755">
        <f t="shared" si="93"/>
        <v>7.9999999999999988E-2</v>
      </c>
      <c r="I168" s="2755">
        <f t="shared" si="93"/>
        <v>0.10666666666666666</v>
      </c>
      <c r="J168" s="2755">
        <f t="shared" si="93"/>
        <v>0.13333333333333333</v>
      </c>
      <c r="K168" s="2756">
        <f t="shared" si="93"/>
        <v>0.16</v>
      </c>
      <c r="L168" s="2250"/>
      <c r="M168" s="2754">
        <f t="shared" si="94"/>
        <v>0</v>
      </c>
      <c r="N168" s="2755">
        <f t="shared" si="94"/>
        <v>0</v>
      </c>
      <c r="O168" s="2755">
        <f t="shared" si="94"/>
        <v>0</v>
      </c>
      <c r="P168" s="2755">
        <f t="shared" si="94"/>
        <v>0</v>
      </c>
      <c r="Q168" s="2755">
        <f t="shared" si="94"/>
        <v>0</v>
      </c>
      <c r="R168" s="2756">
        <f t="shared" si="94"/>
        <v>0</v>
      </c>
      <c r="S168" s="2250"/>
      <c r="T168" s="2754">
        <f t="shared" si="95"/>
        <v>0</v>
      </c>
      <c r="U168" s="2755">
        <f t="shared" si="95"/>
        <v>0</v>
      </c>
      <c r="V168" s="2755">
        <f t="shared" si="95"/>
        <v>0</v>
      </c>
      <c r="W168" s="2755">
        <f t="shared" si="95"/>
        <v>0</v>
      </c>
      <c r="X168" s="2755">
        <f t="shared" si="95"/>
        <v>0</v>
      </c>
      <c r="Y168" s="2756">
        <f t="shared" si="95"/>
        <v>0</v>
      </c>
      <c r="Z168" s="1671"/>
      <c r="AA168" s="1702"/>
      <c r="AB168" s="1726"/>
    </row>
    <row r="169" spans="1:28" s="1642" customFormat="1" ht="24.75" thickBot="1">
      <c r="A169" s="1729">
        <v>19</v>
      </c>
      <c r="B169" s="1674">
        <v>215</v>
      </c>
      <c r="C169" s="1679">
        <v>0.2</v>
      </c>
      <c r="D169" s="1625" t="s">
        <v>911</v>
      </c>
      <c r="E169" s="2250"/>
      <c r="F169" s="2757">
        <f t="shared" si="93"/>
        <v>0</v>
      </c>
      <c r="G169" s="2758">
        <f t="shared" si="93"/>
        <v>2.3273892017378888</v>
      </c>
      <c r="H169" s="2758">
        <f t="shared" si="93"/>
        <v>8.9658088828519453</v>
      </c>
      <c r="I169" s="2758">
        <f t="shared" si="93"/>
        <v>19.527596070879788</v>
      </c>
      <c r="J169" s="2758">
        <f t="shared" si="93"/>
        <v>33.838973096613351</v>
      </c>
      <c r="K169" s="2759">
        <f t="shared" si="93"/>
        <v>51.905208176090525</v>
      </c>
      <c r="L169" s="2250"/>
      <c r="M169" s="2757">
        <f t="shared" si="94"/>
        <v>0</v>
      </c>
      <c r="N169" s="2758">
        <f t="shared" si="94"/>
        <v>3.6691511810565118E-2</v>
      </c>
      <c r="O169" s="2758">
        <f t="shared" si="94"/>
        <v>1.751741959404497</v>
      </c>
      <c r="P169" s="2758">
        <f t="shared" si="94"/>
        <v>6.7787694145382504</v>
      </c>
      <c r="Q169" s="2758">
        <f t="shared" si="94"/>
        <v>15.145919320954611</v>
      </c>
      <c r="R169" s="2759">
        <f t="shared" si="94"/>
        <v>26.84942949730765</v>
      </c>
      <c r="S169" s="2250"/>
      <c r="T169" s="2757">
        <f t="shared" si="95"/>
        <v>0</v>
      </c>
      <c r="U169" s="2758">
        <f t="shared" si="95"/>
        <v>0.13591928645154597</v>
      </c>
      <c r="V169" s="2758">
        <f t="shared" si="95"/>
        <v>0.78244915774355905</v>
      </c>
      <c r="W169" s="2758">
        <f t="shared" si="95"/>
        <v>2.1936345145819631</v>
      </c>
      <c r="X169" s="2758">
        <f t="shared" si="95"/>
        <v>4.515107582432039</v>
      </c>
      <c r="Y169" s="2759">
        <f t="shared" si="95"/>
        <v>7.7453623266018283</v>
      </c>
      <c r="Z169" s="1671"/>
      <c r="AA169" s="1702"/>
      <c r="AB169" s="1726"/>
    </row>
    <row r="170" spans="1:28" s="1642" customFormat="1" ht="13.5" thickBot="1">
      <c r="A170" s="1694" t="s">
        <v>284</v>
      </c>
      <c r="B170" s="1695"/>
      <c r="C170" s="1695"/>
      <c r="D170" s="246" t="s">
        <v>285</v>
      </c>
      <c r="E170" s="2765">
        <f t="shared" ref="E170:Y170" si="96">SUM(E171:E189)</f>
        <v>0</v>
      </c>
      <c r="F170" s="2760">
        <f t="shared" si="96"/>
        <v>3551.1131070095325</v>
      </c>
      <c r="G170" s="1097">
        <f t="shared" si="96"/>
        <v>4746.6515457055939</v>
      </c>
      <c r="H170" s="1097">
        <f t="shared" si="96"/>
        <v>5886.7367316265863</v>
      </c>
      <c r="I170" s="2080">
        <f t="shared" si="96"/>
        <v>7120.6455156586298</v>
      </c>
      <c r="J170" s="1097">
        <f t="shared" si="96"/>
        <v>8337.803213900519</v>
      </c>
      <c r="K170" s="1097">
        <f t="shared" si="96"/>
        <v>9739.9453640131451</v>
      </c>
      <c r="L170" s="2765">
        <f t="shared" si="96"/>
        <v>0</v>
      </c>
      <c r="M170" s="2760">
        <f t="shared" si="96"/>
        <v>53.61882668688412</v>
      </c>
      <c r="N170" s="1097">
        <f t="shared" si="96"/>
        <v>111.43855091038048</v>
      </c>
      <c r="O170" s="1097">
        <f t="shared" si="96"/>
        <v>303.2952408281501</v>
      </c>
      <c r="P170" s="2080">
        <f t="shared" si="96"/>
        <v>474.53793102837881</v>
      </c>
      <c r="Q170" s="1097">
        <f t="shared" si="96"/>
        <v>611.37975947782627</v>
      </c>
      <c r="R170" s="1097">
        <f t="shared" si="96"/>
        <v>711.77103791958609</v>
      </c>
      <c r="S170" s="2765">
        <f t="shared" si="96"/>
        <v>0</v>
      </c>
      <c r="T170" s="2760">
        <f t="shared" si="96"/>
        <v>130.0013996369168</v>
      </c>
      <c r="U170" s="1097">
        <f t="shared" si="96"/>
        <v>431.58044565069213</v>
      </c>
      <c r="V170" s="1097">
        <f t="shared" si="96"/>
        <v>692.80521434526361</v>
      </c>
      <c r="W170" s="2080">
        <f t="shared" si="96"/>
        <v>933.16705131299193</v>
      </c>
      <c r="X170" s="1097">
        <f t="shared" si="96"/>
        <v>1142.0608358216527</v>
      </c>
      <c r="Y170" s="1099">
        <f t="shared" si="96"/>
        <v>1308.8107184672683</v>
      </c>
      <c r="Z170" s="1666"/>
      <c r="AA170" s="1702"/>
      <c r="AB170" s="1726"/>
    </row>
    <row r="171" spans="1:28" s="1642" customFormat="1">
      <c r="A171" s="1673">
        <v>1</v>
      </c>
      <c r="B171" s="1668">
        <v>20102</v>
      </c>
      <c r="C171" s="1690">
        <v>0</v>
      </c>
      <c r="D171" s="280" t="s">
        <v>760</v>
      </c>
      <c r="E171" s="2791">
        <f>E111-E151</f>
        <v>0</v>
      </c>
      <c r="F171" s="2751">
        <f t="shared" ref="F171:L186" si="97">F111-F151</f>
        <v>0</v>
      </c>
      <c r="G171" s="2752">
        <f t="shared" si="97"/>
        <v>0</v>
      </c>
      <c r="H171" s="2752">
        <f t="shared" si="97"/>
        <v>0</v>
      </c>
      <c r="I171" s="2752">
        <f t="shared" si="97"/>
        <v>0</v>
      </c>
      <c r="J171" s="2752">
        <f t="shared" si="97"/>
        <v>0</v>
      </c>
      <c r="K171" s="2753">
        <f t="shared" si="97"/>
        <v>0</v>
      </c>
      <c r="L171" s="2791">
        <f>L111-L151</f>
        <v>0</v>
      </c>
      <c r="M171" s="2751">
        <f t="shared" ref="M171:S186" si="98">M111-M151</f>
        <v>0</v>
      </c>
      <c r="N171" s="2752">
        <f t="shared" si="98"/>
        <v>0</v>
      </c>
      <c r="O171" s="2752">
        <f t="shared" si="98"/>
        <v>0</v>
      </c>
      <c r="P171" s="2752">
        <f t="shared" si="98"/>
        <v>0</v>
      </c>
      <c r="Q171" s="2752">
        <f t="shared" si="98"/>
        <v>0</v>
      </c>
      <c r="R171" s="2753">
        <f t="shared" si="98"/>
        <v>0</v>
      </c>
      <c r="S171" s="2791">
        <f>S111-S151</f>
        <v>0</v>
      </c>
      <c r="T171" s="2751">
        <f t="shared" ref="T171:Y180" si="99">T111-T151</f>
        <v>0</v>
      </c>
      <c r="U171" s="2752">
        <f t="shared" si="99"/>
        <v>0</v>
      </c>
      <c r="V171" s="2752">
        <f t="shared" si="99"/>
        <v>0</v>
      </c>
      <c r="W171" s="2752">
        <f t="shared" si="99"/>
        <v>0</v>
      </c>
      <c r="X171" s="2752">
        <f t="shared" si="99"/>
        <v>0</v>
      </c>
      <c r="Y171" s="2753">
        <f t="shared" si="99"/>
        <v>0</v>
      </c>
      <c r="Z171" s="1671"/>
      <c r="AA171" s="1702"/>
      <c r="AB171" s="1726"/>
    </row>
    <row r="172" spans="1:28" s="1642" customFormat="1">
      <c r="A172" s="1673">
        <v>2</v>
      </c>
      <c r="B172" s="1674">
        <v>20202</v>
      </c>
      <c r="C172" s="1675">
        <v>0.03</v>
      </c>
      <c r="D172" s="1727" t="s">
        <v>598</v>
      </c>
      <c r="E172" s="2792">
        <f>E112-E152</f>
        <v>0</v>
      </c>
      <c r="F172" s="2754">
        <f t="shared" si="97"/>
        <v>0</v>
      </c>
      <c r="G172" s="2755">
        <f t="shared" si="97"/>
        <v>9.85</v>
      </c>
      <c r="H172" s="2755">
        <f t="shared" si="97"/>
        <v>19.399999999999999</v>
      </c>
      <c r="I172" s="2755">
        <f t="shared" si="97"/>
        <v>28.65</v>
      </c>
      <c r="J172" s="2755">
        <f t="shared" si="97"/>
        <v>37.6</v>
      </c>
      <c r="K172" s="2756">
        <f t="shared" si="97"/>
        <v>46.25</v>
      </c>
      <c r="L172" s="2792">
        <f>L112-L152</f>
        <v>0</v>
      </c>
      <c r="M172" s="2754">
        <f t="shared" si="98"/>
        <v>0</v>
      </c>
      <c r="N172" s="2755">
        <f t="shared" si="98"/>
        <v>0</v>
      </c>
      <c r="O172" s="2755">
        <f t="shared" si="98"/>
        <v>0</v>
      </c>
      <c r="P172" s="2755">
        <f t="shared" si="98"/>
        <v>0</v>
      </c>
      <c r="Q172" s="2755">
        <f t="shared" si="98"/>
        <v>0</v>
      </c>
      <c r="R172" s="2756">
        <f t="shared" si="98"/>
        <v>0</v>
      </c>
      <c r="S172" s="2792">
        <f>S112-S152</f>
        <v>0</v>
      </c>
      <c r="T172" s="2754">
        <f t="shared" si="99"/>
        <v>0</v>
      </c>
      <c r="U172" s="2755">
        <f t="shared" si="99"/>
        <v>0</v>
      </c>
      <c r="V172" s="2755">
        <f t="shared" si="99"/>
        <v>0</v>
      </c>
      <c r="W172" s="2755">
        <f t="shared" si="99"/>
        <v>0</v>
      </c>
      <c r="X172" s="2755">
        <f t="shared" si="99"/>
        <v>0</v>
      </c>
      <c r="Y172" s="2756">
        <f t="shared" si="99"/>
        <v>0</v>
      </c>
      <c r="Z172" s="1671"/>
      <c r="AA172" s="1702"/>
      <c r="AB172" s="1726"/>
    </row>
    <row r="173" spans="1:28" s="1642" customFormat="1">
      <c r="A173" s="1673">
        <v>3</v>
      </c>
      <c r="B173" s="1674">
        <v>2030401</v>
      </c>
      <c r="C173" s="1679">
        <v>0.1</v>
      </c>
      <c r="D173" s="1625" t="s">
        <v>1470</v>
      </c>
      <c r="E173" s="2792">
        <f t="shared" ref="E173:E189" si="100">E113-E153</f>
        <v>0</v>
      </c>
      <c r="F173" s="2754">
        <f t="shared" si="97"/>
        <v>76</v>
      </c>
      <c r="G173" s="2755">
        <f t="shared" si="97"/>
        <v>77.5</v>
      </c>
      <c r="H173" s="2755">
        <f t="shared" si="97"/>
        <v>78</v>
      </c>
      <c r="I173" s="2755">
        <f t="shared" si="97"/>
        <v>77.5</v>
      </c>
      <c r="J173" s="2755">
        <f t="shared" si="97"/>
        <v>66.5</v>
      </c>
      <c r="K173" s="2756">
        <f t="shared" si="97"/>
        <v>55.5</v>
      </c>
      <c r="L173" s="2792">
        <f t="shared" si="97"/>
        <v>0</v>
      </c>
      <c r="M173" s="2754">
        <f t="shared" si="98"/>
        <v>0</v>
      </c>
      <c r="N173" s="2755">
        <f t="shared" si="98"/>
        <v>0</v>
      </c>
      <c r="O173" s="2755">
        <f t="shared" si="98"/>
        <v>0</v>
      </c>
      <c r="P173" s="2755">
        <f t="shared" si="98"/>
        <v>0</v>
      </c>
      <c r="Q173" s="2755">
        <f t="shared" si="98"/>
        <v>0</v>
      </c>
      <c r="R173" s="2756">
        <f t="shared" si="98"/>
        <v>0</v>
      </c>
      <c r="S173" s="2792">
        <f t="shared" si="98"/>
        <v>0</v>
      </c>
      <c r="T173" s="2754">
        <f t="shared" si="99"/>
        <v>0</v>
      </c>
      <c r="U173" s="2755">
        <f t="shared" si="99"/>
        <v>0</v>
      </c>
      <c r="V173" s="2755">
        <f t="shared" si="99"/>
        <v>0</v>
      </c>
      <c r="W173" s="2755">
        <f t="shared" si="99"/>
        <v>0</v>
      </c>
      <c r="X173" s="2755">
        <f t="shared" si="99"/>
        <v>0</v>
      </c>
      <c r="Y173" s="2756">
        <f t="shared" si="99"/>
        <v>0</v>
      </c>
      <c r="Z173" s="1671"/>
      <c r="AA173" s="1702"/>
      <c r="AB173" s="1726"/>
    </row>
    <row r="174" spans="1:28" s="1642" customFormat="1">
      <c r="A174" s="1673">
        <v>4</v>
      </c>
      <c r="B174" s="1674">
        <v>2030402</v>
      </c>
      <c r="C174" s="1679">
        <v>0.1</v>
      </c>
      <c r="D174" s="1625" t="s">
        <v>601</v>
      </c>
      <c r="E174" s="2792">
        <f t="shared" si="100"/>
        <v>0</v>
      </c>
      <c r="F174" s="2754">
        <f t="shared" si="97"/>
        <v>0</v>
      </c>
      <c r="G174" s="2755">
        <f t="shared" si="97"/>
        <v>0</v>
      </c>
      <c r="H174" s="2755">
        <f t="shared" si="97"/>
        <v>0</v>
      </c>
      <c r="I174" s="2755">
        <f t="shared" si="97"/>
        <v>0</v>
      </c>
      <c r="J174" s="2755">
        <f t="shared" si="97"/>
        <v>0</v>
      </c>
      <c r="K174" s="2756">
        <f t="shared" si="97"/>
        <v>0</v>
      </c>
      <c r="L174" s="2792">
        <f t="shared" si="97"/>
        <v>0</v>
      </c>
      <c r="M174" s="2754">
        <f t="shared" si="98"/>
        <v>0</v>
      </c>
      <c r="N174" s="2755">
        <f t="shared" si="98"/>
        <v>0</v>
      </c>
      <c r="O174" s="2755">
        <f t="shared" si="98"/>
        <v>0</v>
      </c>
      <c r="P174" s="2755">
        <f t="shared" si="98"/>
        <v>0</v>
      </c>
      <c r="Q174" s="2755">
        <f t="shared" si="98"/>
        <v>0</v>
      </c>
      <c r="R174" s="2756">
        <f t="shared" si="98"/>
        <v>0</v>
      </c>
      <c r="S174" s="2792">
        <f t="shared" si="98"/>
        <v>0</v>
      </c>
      <c r="T174" s="2754">
        <f t="shared" si="99"/>
        <v>0</v>
      </c>
      <c r="U174" s="2755">
        <f t="shared" si="99"/>
        <v>0</v>
      </c>
      <c r="V174" s="2755">
        <f t="shared" si="99"/>
        <v>0</v>
      </c>
      <c r="W174" s="2755">
        <f t="shared" si="99"/>
        <v>0</v>
      </c>
      <c r="X174" s="2755">
        <f t="shared" si="99"/>
        <v>0</v>
      </c>
      <c r="Y174" s="2756">
        <f t="shared" si="99"/>
        <v>0</v>
      </c>
      <c r="Z174" s="1671"/>
      <c r="AA174" s="1702"/>
      <c r="AB174" s="1726"/>
    </row>
    <row r="175" spans="1:28" s="1642" customFormat="1">
      <c r="A175" s="1673">
        <v>5</v>
      </c>
      <c r="B175" s="1674">
        <v>2030501</v>
      </c>
      <c r="C175" s="1679">
        <v>0.1</v>
      </c>
      <c r="D175" s="1625" t="s">
        <v>580</v>
      </c>
      <c r="E175" s="2792">
        <f t="shared" si="100"/>
        <v>0</v>
      </c>
      <c r="F175" s="2754">
        <f t="shared" si="97"/>
        <v>949.089773676199</v>
      </c>
      <c r="G175" s="2755">
        <f t="shared" si="97"/>
        <v>1781.3354654177499</v>
      </c>
      <c r="H175" s="2755">
        <f t="shared" si="97"/>
        <v>2146.4322538055399</v>
      </c>
      <c r="I175" s="2755">
        <f t="shared" si="97"/>
        <v>2455.0840630300891</v>
      </c>
      <c r="J175" s="2755">
        <f t="shared" si="97"/>
        <v>2720.8440863569731</v>
      </c>
      <c r="K175" s="2756">
        <f t="shared" si="97"/>
        <v>2957.6257641226603</v>
      </c>
      <c r="L175" s="2792">
        <f t="shared" si="97"/>
        <v>0</v>
      </c>
      <c r="M175" s="2754">
        <f t="shared" si="98"/>
        <v>10.058826686884119</v>
      </c>
      <c r="N175" s="2755">
        <f t="shared" si="98"/>
        <v>52.070205626454381</v>
      </c>
      <c r="O175" s="2755">
        <f t="shared" si="98"/>
        <v>106.61275626412254</v>
      </c>
      <c r="P175" s="2755">
        <f t="shared" si="98"/>
        <v>147.57643384877196</v>
      </c>
      <c r="Q175" s="2755">
        <f t="shared" si="98"/>
        <v>175.88448627871</v>
      </c>
      <c r="R175" s="2756">
        <f t="shared" si="98"/>
        <v>188.98189544189614</v>
      </c>
      <c r="S175" s="2792">
        <f t="shared" si="98"/>
        <v>0</v>
      </c>
      <c r="T175" s="2754">
        <f t="shared" si="99"/>
        <v>22.201399636916793</v>
      </c>
      <c r="U175" s="2755">
        <f t="shared" si="99"/>
        <v>207.44432895579573</v>
      </c>
      <c r="V175" s="2755">
        <f t="shared" si="99"/>
        <v>290.75498993033744</v>
      </c>
      <c r="W175" s="2755">
        <f t="shared" si="99"/>
        <v>362.63950312113877</v>
      </c>
      <c r="X175" s="2755">
        <f t="shared" si="99"/>
        <v>412.92142736431629</v>
      </c>
      <c r="Y175" s="2756">
        <f t="shared" si="99"/>
        <v>431.29234043544329</v>
      </c>
      <c r="Z175" s="1671"/>
      <c r="AA175" s="1702"/>
      <c r="AB175" s="1726"/>
    </row>
    <row r="176" spans="1:28" s="1642" customFormat="1" ht="24">
      <c r="A176" s="1673">
        <v>6</v>
      </c>
      <c r="B176" s="1674">
        <v>2030502</v>
      </c>
      <c r="C176" s="1679">
        <v>0.1</v>
      </c>
      <c r="D176" s="1625" t="s">
        <v>948</v>
      </c>
      <c r="E176" s="2792">
        <f t="shared" si="100"/>
        <v>0</v>
      </c>
      <c r="F176" s="2754">
        <f t="shared" si="97"/>
        <v>78.849999999999994</v>
      </c>
      <c r="G176" s="2755">
        <f t="shared" si="97"/>
        <v>265.3</v>
      </c>
      <c r="H176" s="2755">
        <f t="shared" si="97"/>
        <v>274.5</v>
      </c>
      <c r="I176" s="2755">
        <f t="shared" si="97"/>
        <v>260.7</v>
      </c>
      <c r="J176" s="2755">
        <f t="shared" si="97"/>
        <v>244.9</v>
      </c>
      <c r="K176" s="2756">
        <f t="shared" si="97"/>
        <v>227.10000000000002</v>
      </c>
      <c r="L176" s="2792">
        <f t="shared" si="97"/>
        <v>0</v>
      </c>
      <c r="M176" s="2754">
        <f t="shared" si="98"/>
        <v>0</v>
      </c>
      <c r="N176" s="2755">
        <f t="shared" si="98"/>
        <v>0</v>
      </c>
      <c r="O176" s="2755">
        <f t="shared" si="98"/>
        <v>0</v>
      </c>
      <c r="P176" s="2755">
        <f t="shared" si="98"/>
        <v>0</v>
      </c>
      <c r="Q176" s="2755">
        <f t="shared" si="98"/>
        <v>0</v>
      </c>
      <c r="R176" s="2756">
        <f t="shared" si="98"/>
        <v>0</v>
      </c>
      <c r="S176" s="2792">
        <f t="shared" si="98"/>
        <v>0</v>
      </c>
      <c r="T176" s="2754">
        <f t="shared" si="99"/>
        <v>0</v>
      </c>
      <c r="U176" s="2755">
        <f t="shared" si="99"/>
        <v>0</v>
      </c>
      <c r="V176" s="2755">
        <f t="shared" si="99"/>
        <v>0</v>
      </c>
      <c r="W176" s="2755">
        <f t="shared" si="99"/>
        <v>0</v>
      </c>
      <c r="X176" s="2755">
        <f t="shared" si="99"/>
        <v>0</v>
      </c>
      <c r="Y176" s="2756">
        <f t="shared" si="99"/>
        <v>0</v>
      </c>
      <c r="Z176" s="1671"/>
      <c r="AA176" s="1702"/>
      <c r="AB176" s="1726"/>
    </row>
    <row r="177" spans="1:28" s="1642" customFormat="1">
      <c r="A177" s="1673">
        <v>7</v>
      </c>
      <c r="B177" s="1674">
        <v>2030503</v>
      </c>
      <c r="C177" s="1679">
        <v>0.1</v>
      </c>
      <c r="D177" s="1625" t="s">
        <v>966</v>
      </c>
      <c r="E177" s="2792">
        <f t="shared" si="100"/>
        <v>0</v>
      </c>
      <c r="F177" s="2754">
        <f t="shared" si="97"/>
        <v>0</v>
      </c>
      <c r="G177" s="2755">
        <f t="shared" si="97"/>
        <v>4.75</v>
      </c>
      <c r="H177" s="2755">
        <f t="shared" si="97"/>
        <v>9</v>
      </c>
      <c r="I177" s="2755">
        <f t="shared" si="97"/>
        <v>12.75</v>
      </c>
      <c r="J177" s="2755">
        <f t="shared" si="97"/>
        <v>16</v>
      </c>
      <c r="K177" s="2756">
        <f t="shared" si="97"/>
        <v>18.75</v>
      </c>
      <c r="L177" s="2792">
        <f t="shared" si="97"/>
        <v>0</v>
      </c>
      <c r="M177" s="2754">
        <f t="shared" si="98"/>
        <v>0</v>
      </c>
      <c r="N177" s="2755">
        <f t="shared" si="98"/>
        <v>0</v>
      </c>
      <c r="O177" s="2755">
        <f t="shared" si="98"/>
        <v>4.75</v>
      </c>
      <c r="P177" s="2755">
        <f t="shared" si="98"/>
        <v>9</v>
      </c>
      <c r="Q177" s="2755">
        <f t="shared" si="98"/>
        <v>12.75</v>
      </c>
      <c r="R177" s="2756">
        <f t="shared" si="98"/>
        <v>16</v>
      </c>
      <c r="S177" s="2792">
        <f t="shared" si="98"/>
        <v>0</v>
      </c>
      <c r="T177" s="2754">
        <f t="shared" si="99"/>
        <v>0</v>
      </c>
      <c r="U177" s="2755">
        <f t="shared" si="99"/>
        <v>19</v>
      </c>
      <c r="V177" s="2755">
        <f t="shared" si="99"/>
        <v>36</v>
      </c>
      <c r="W177" s="2755">
        <f t="shared" si="99"/>
        <v>51</v>
      </c>
      <c r="X177" s="2755">
        <f t="shared" si="99"/>
        <v>64</v>
      </c>
      <c r="Y177" s="2756">
        <f t="shared" si="99"/>
        <v>75</v>
      </c>
      <c r="Z177" s="1671"/>
      <c r="AA177" s="1702"/>
      <c r="AB177" s="1726"/>
    </row>
    <row r="178" spans="1:28" s="1642" customFormat="1">
      <c r="A178" s="1673">
        <v>8</v>
      </c>
      <c r="B178" s="1674">
        <v>2040101</v>
      </c>
      <c r="C178" s="1728">
        <v>0.1</v>
      </c>
      <c r="D178" s="1637" t="s">
        <v>1442</v>
      </c>
      <c r="E178" s="2792">
        <f t="shared" si="100"/>
        <v>0</v>
      </c>
      <c r="F178" s="2754">
        <f t="shared" si="97"/>
        <v>0</v>
      </c>
      <c r="G178" s="2755">
        <f t="shared" si="97"/>
        <v>0</v>
      </c>
      <c r="H178" s="2755">
        <f t="shared" si="97"/>
        <v>0</v>
      </c>
      <c r="I178" s="2755">
        <f t="shared" si="97"/>
        <v>0</v>
      </c>
      <c r="J178" s="2755">
        <f t="shared" si="97"/>
        <v>0</v>
      </c>
      <c r="K178" s="2756">
        <f t="shared" si="97"/>
        <v>0</v>
      </c>
      <c r="L178" s="2792">
        <f t="shared" si="97"/>
        <v>0</v>
      </c>
      <c r="M178" s="2754">
        <f t="shared" si="98"/>
        <v>0</v>
      </c>
      <c r="N178" s="2755">
        <f t="shared" si="98"/>
        <v>0</v>
      </c>
      <c r="O178" s="2755">
        <f t="shared" si="98"/>
        <v>0</v>
      </c>
      <c r="P178" s="2755">
        <f t="shared" si="98"/>
        <v>0</v>
      </c>
      <c r="Q178" s="2755">
        <f t="shared" si="98"/>
        <v>0</v>
      </c>
      <c r="R178" s="2756">
        <f t="shared" si="98"/>
        <v>0</v>
      </c>
      <c r="S178" s="2792">
        <f t="shared" si="98"/>
        <v>0</v>
      </c>
      <c r="T178" s="2754">
        <f t="shared" si="99"/>
        <v>0</v>
      </c>
      <c r="U178" s="2755">
        <f t="shared" si="99"/>
        <v>0</v>
      </c>
      <c r="V178" s="2755">
        <f t="shared" si="99"/>
        <v>0</v>
      </c>
      <c r="W178" s="2755">
        <f t="shared" si="99"/>
        <v>0</v>
      </c>
      <c r="X178" s="2755">
        <f t="shared" si="99"/>
        <v>0</v>
      </c>
      <c r="Y178" s="2756">
        <f t="shared" si="99"/>
        <v>0</v>
      </c>
      <c r="Z178" s="1671"/>
      <c r="AA178" s="1702"/>
      <c r="AB178" s="1726"/>
    </row>
    <row r="179" spans="1:28" s="1642" customFormat="1">
      <c r="A179" s="1729">
        <v>9</v>
      </c>
      <c r="B179" s="1674">
        <v>2040102</v>
      </c>
      <c r="C179" s="1728">
        <v>0.04</v>
      </c>
      <c r="D179" s="1637" t="s">
        <v>604</v>
      </c>
      <c r="E179" s="2792">
        <f t="shared" si="100"/>
        <v>0</v>
      </c>
      <c r="F179" s="2754">
        <f t="shared" si="97"/>
        <v>0</v>
      </c>
      <c r="G179" s="2755">
        <f t="shared" si="97"/>
        <v>0</v>
      </c>
      <c r="H179" s="2755">
        <f t="shared" si="97"/>
        <v>0</v>
      </c>
      <c r="I179" s="2755">
        <f t="shared" si="97"/>
        <v>0</v>
      </c>
      <c r="J179" s="2755">
        <f t="shared" si="97"/>
        <v>0</v>
      </c>
      <c r="K179" s="2756">
        <f t="shared" si="97"/>
        <v>0</v>
      </c>
      <c r="L179" s="2792">
        <f t="shared" si="97"/>
        <v>0</v>
      </c>
      <c r="M179" s="2754">
        <f t="shared" si="98"/>
        <v>0</v>
      </c>
      <c r="N179" s="2755">
        <f t="shared" si="98"/>
        <v>0</v>
      </c>
      <c r="O179" s="2755">
        <f t="shared" si="98"/>
        <v>0</v>
      </c>
      <c r="P179" s="2755">
        <f t="shared" si="98"/>
        <v>0</v>
      </c>
      <c r="Q179" s="2755">
        <f t="shared" si="98"/>
        <v>0</v>
      </c>
      <c r="R179" s="2756">
        <f t="shared" si="98"/>
        <v>0</v>
      </c>
      <c r="S179" s="2792">
        <f t="shared" si="98"/>
        <v>0</v>
      </c>
      <c r="T179" s="2754">
        <f t="shared" si="99"/>
        <v>0</v>
      </c>
      <c r="U179" s="2755">
        <f t="shared" si="99"/>
        <v>0</v>
      </c>
      <c r="V179" s="2755">
        <f t="shared" si="99"/>
        <v>0</v>
      </c>
      <c r="W179" s="2755">
        <f t="shared" si="99"/>
        <v>0</v>
      </c>
      <c r="X179" s="2755">
        <f t="shared" si="99"/>
        <v>0</v>
      </c>
      <c r="Y179" s="2756">
        <f t="shared" si="99"/>
        <v>0</v>
      </c>
      <c r="Z179" s="1671"/>
      <c r="AA179" s="1702"/>
      <c r="AB179" s="1726"/>
    </row>
    <row r="180" spans="1:28" s="1642" customFormat="1">
      <c r="A180" s="1729">
        <v>10</v>
      </c>
      <c r="B180" s="1674">
        <v>2040201</v>
      </c>
      <c r="C180" s="1675">
        <v>0.02</v>
      </c>
      <c r="D180" s="1623" t="s">
        <v>1007</v>
      </c>
      <c r="E180" s="2792">
        <f t="shared" si="100"/>
        <v>0</v>
      </c>
      <c r="F180" s="2754">
        <f t="shared" si="97"/>
        <v>0</v>
      </c>
      <c r="G180" s="2755">
        <f t="shared" si="97"/>
        <v>0</v>
      </c>
      <c r="H180" s="2755">
        <f t="shared" si="97"/>
        <v>0</v>
      </c>
      <c r="I180" s="2755">
        <f t="shared" si="97"/>
        <v>0</v>
      </c>
      <c r="J180" s="2755">
        <f t="shared" si="97"/>
        <v>0</v>
      </c>
      <c r="K180" s="2756">
        <f t="shared" si="97"/>
        <v>0</v>
      </c>
      <c r="L180" s="2792">
        <f t="shared" si="97"/>
        <v>0</v>
      </c>
      <c r="M180" s="2754">
        <f t="shared" si="98"/>
        <v>0</v>
      </c>
      <c r="N180" s="2755">
        <f t="shared" si="98"/>
        <v>0</v>
      </c>
      <c r="O180" s="2755">
        <f t="shared" si="98"/>
        <v>0</v>
      </c>
      <c r="P180" s="2755">
        <f t="shared" si="98"/>
        <v>0</v>
      </c>
      <c r="Q180" s="2755">
        <f t="shared" si="98"/>
        <v>0</v>
      </c>
      <c r="R180" s="2756">
        <f t="shared" si="98"/>
        <v>0</v>
      </c>
      <c r="S180" s="2792">
        <f t="shared" si="98"/>
        <v>0</v>
      </c>
      <c r="T180" s="2754">
        <f t="shared" si="99"/>
        <v>0</v>
      </c>
      <c r="U180" s="2755">
        <f t="shared" si="99"/>
        <v>0</v>
      </c>
      <c r="V180" s="2755">
        <f t="shared" si="99"/>
        <v>0</v>
      </c>
      <c r="W180" s="2755">
        <f t="shared" si="99"/>
        <v>0</v>
      </c>
      <c r="X180" s="2755">
        <f t="shared" si="99"/>
        <v>0</v>
      </c>
      <c r="Y180" s="2756">
        <f t="shared" si="99"/>
        <v>0</v>
      </c>
      <c r="Z180" s="1671"/>
      <c r="AA180" s="1702"/>
      <c r="AB180" s="1726"/>
    </row>
    <row r="181" spans="1:28" s="1642" customFormat="1">
      <c r="A181" s="1729">
        <v>11</v>
      </c>
      <c r="B181" s="1674">
        <v>2040202</v>
      </c>
      <c r="C181" s="1675">
        <v>0.02</v>
      </c>
      <c r="D181" s="1623" t="s">
        <v>1008</v>
      </c>
      <c r="E181" s="2792">
        <f t="shared" si="100"/>
        <v>0</v>
      </c>
      <c r="F181" s="2754">
        <f t="shared" ref="F181:L189" si="101">F121-F161</f>
        <v>0</v>
      </c>
      <c r="G181" s="2755">
        <f t="shared" si="101"/>
        <v>40.590000000000003</v>
      </c>
      <c r="H181" s="2755">
        <f t="shared" si="101"/>
        <v>99.17</v>
      </c>
      <c r="I181" s="2755">
        <f t="shared" si="101"/>
        <v>156.55000000000001</v>
      </c>
      <c r="J181" s="2755">
        <f t="shared" si="101"/>
        <v>202.83</v>
      </c>
      <c r="K181" s="2756">
        <f t="shared" si="101"/>
        <v>248.11</v>
      </c>
      <c r="L181" s="2792">
        <f t="shared" si="97"/>
        <v>0</v>
      </c>
      <c r="M181" s="2754">
        <f t="shared" ref="M181:S189" si="102">M121-M161</f>
        <v>0</v>
      </c>
      <c r="N181" s="2755">
        <f t="shared" si="102"/>
        <v>0</v>
      </c>
      <c r="O181" s="2755">
        <f t="shared" si="102"/>
        <v>0</v>
      </c>
      <c r="P181" s="2755">
        <f t="shared" si="102"/>
        <v>0</v>
      </c>
      <c r="Q181" s="2755">
        <f t="shared" si="102"/>
        <v>0</v>
      </c>
      <c r="R181" s="2756">
        <f t="shared" si="102"/>
        <v>0</v>
      </c>
      <c r="S181" s="2792">
        <f t="shared" si="98"/>
        <v>0</v>
      </c>
      <c r="T181" s="2754">
        <f t="shared" ref="T181:Y189" si="103">T121-T161</f>
        <v>0</v>
      </c>
      <c r="U181" s="2755">
        <f t="shared" si="103"/>
        <v>0</v>
      </c>
      <c r="V181" s="2755">
        <f t="shared" si="103"/>
        <v>0</v>
      </c>
      <c r="W181" s="2755">
        <f t="shared" si="103"/>
        <v>0</v>
      </c>
      <c r="X181" s="2755">
        <f t="shared" si="103"/>
        <v>0</v>
      </c>
      <c r="Y181" s="2756">
        <f t="shared" si="103"/>
        <v>0</v>
      </c>
      <c r="Z181" s="1671"/>
      <c r="AA181" s="1702"/>
      <c r="AB181" s="1726"/>
    </row>
    <row r="182" spans="1:28" s="1642" customFormat="1">
      <c r="A182" s="1729">
        <v>12</v>
      </c>
      <c r="B182" s="1674">
        <v>2040203</v>
      </c>
      <c r="C182" s="1675">
        <v>0.02</v>
      </c>
      <c r="D182" s="1623" t="s">
        <v>590</v>
      </c>
      <c r="E182" s="2792">
        <f t="shared" si="100"/>
        <v>0</v>
      </c>
      <c r="F182" s="2754">
        <f t="shared" si="101"/>
        <v>0</v>
      </c>
      <c r="G182" s="2755">
        <f t="shared" si="101"/>
        <v>0</v>
      </c>
      <c r="H182" s="2755">
        <f t="shared" si="101"/>
        <v>0</v>
      </c>
      <c r="I182" s="2755">
        <f t="shared" si="101"/>
        <v>0</v>
      </c>
      <c r="J182" s="2755">
        <f t="shared" si="101"/>
        <v>0</v>
      </c>
      <c r="K182" s="2756">
        <f t="shared" si="101"/>
        <v>0</v>
      </c>
      <c r="L182" s="2792">
        <f t="shared" si="97"/>
        <v>0</v>
      </c>
      <c r="M182" s="2754">
        <f t="shared" si="102"/>
        <v>0</v>
      </c>
      <c r="N182" s="2755">
        <f t="shared" si="102"/>
        <v>0</v>
      </c>
      <c r="O182" s="2755">
        <f t="shared" si="102"/>
        <v>0</v>
      </c>
      <c r="P182" s="2755">
        <f t="shared" si="102"/>
        <v>0</v>
      </c>
      <c r="Q182" s="2755">
        <f t="shared" si="102"/>
        <v>0</v>
      </c>
      <c r="R182" s="2756">
        <f t="shared" si="102"/>
        <v>0</v>
      </c>
      <c r="S182" s="2792">
        <f t="shared" si="98"/>
        <v>0</v>
      </c>
      <c r="T182" s="2754">
        <f t="shared" si="103"/>
        <v>0</v>
      </c>
      <c r="U182" s="2755">
        <f t="shared" si="103"/>
        <v>0</v>
      </c>
      <c r="V182" s="2755">
        <f t="shared" si="103"/>
        <v>0</v>
      </c>
      <c r="W182" s="2755">
        <f t="shared" si="103"/>
        <v>0</v>
      </c>
      <c r="X182" s="2755">
        <f t="shared" si="103"/>
        <v>0</v>
      </c>
      <c r="Y182" s="2756">
        <f t="shared" si="103"/>
        <v>0</v>
      </c>
      <c r="Z182" s="1671"/>
      <c r="AA182" s="1702"/>
      <c r="AB182" s="1726"/>
    </row>
    <row r="183" spans="1:28" s="1642" customFormat="1">
      <c r="A183" s="1729">
        <v>13</v>
      </c>
      <c r="B183" s="1674">
        <v>2040204</v>
      </c>
      <c r="C183" s="1675">
        <v>0.02</v>
      </c>
      <c r="D183" s="1637" t="s">
        <v>591</v>
      </c>
      <c r="E183" s="2792">
        <f t="shared" si="100"/>
        <v>0</v>
      </c>
      <c r="F183" s="2754">
        <f t="shared" si="101"/>
        <v>170.28</v>
      </c>
      <c r="G183" s="2755">
        <f t="shared" si="101"/>
        <v>221.29</v>
      </c>
      <c r="H183" s="2755">
        <f t="shared" si="101"/>
        <v>256.35000000000002</v>
      </c>
      <c r="I183" s="2755">
        <f t="shared" si="101"/>
        <v>270.81</v>
      </c>
      <c r="J183" s="2755">
        <f t="shared" si="101"/>
        <v>279.92</v>
      </c>
      <c r="K183" s="2756">
        <f t="shared" si="101"/>
        <v>288.73</v>
      </c>
      <c r="L183" s="2792">
        <f t="shared" si="97"/>
        <v>0</v>
      </c>
      <c r="M183" s="2754">
        <f t="shared" si="102"/>
        <v>0</v>
      </c>
      <c r="N183" s="2755">
        <f t="shared" si="102"/>
        <v>0</v>
      </c>
      <c r="O183" s="2755">
        <f t="shared" si="102"/>
        <v>0</v>
      </c>
      <c r="P183" s="2755">
        <f t="shared" si="102"/>
        <v>0</v>
      </c>
      <c r="Q183" s="2755">
        <f t="shared" si="102"/>
        <v>0</v>
      </c>
      <c r="R183" s="2756">
        <f t="shared" si="102"/>
        <v>0</v>
      </c>
      <c r="S183" s="2792">
        <f t="shared" si="98"/>
        <v>0</v>
      </c>
      <c r="T183" s="2754">
        <f t="shared" si="103"/>
        <v>0</v>
      </c>
      <c r="U183" s="2755">
        <f t="shared" si="103"/>
        <v>0</v>
      </c>
      <c r="V183" s="2755">
        <f t="shared" si="103"/>
        <v>0</v>
      </c>
      <c r="W183" s="2755">
        <f t="shared" si="103"/>
        <v>0</v>
      </c>
      <c r="X183" s="2755">
        <f t="shared" si="103"/>
        <v>0</v>
      </c>
      <c r="Y183" s="2756">
        <f t="shared" si="103"/>
        <v>0</v>
      </c>
      <c r="Z183" s="1671"/>
      <c r="AA183" s="1702"/>
      <c r="AB183" s="1726"/>
    </row>
    <row r="184" spans="1:28" s="1642" customFormat="1">
      <c r="A184" s="1729">
        <v>14</v>
      </c>
      <c r="B184" s="1674">
        <v>2040205</v>
      </c>
      <c r="C184" s="1675">
        <v>0.02</v>
      </c>
      <c r="D184" s="1623" t="s">
        <v>592</v>
      </c>
      <c r="E184" s="2792">
        <f t="shared" si="100"/>
        <v>0</v>
      </c>
      <c r="F184" s="2754">
        <f t="shared" si="101"/>
        <v>1881</v>
      </c>
      <c r="G184" s="2755">
        <f t="shared" si="101"/>
        <v>1905.865</v>
      </c>
      <c r="H184" s="2755">
        <f t="shared" si="101"/>
        <v>2514.7149999999997</v>
      </c>
      <c r="I184" s="2755">
        <f t="shared" si="101"/>
        <v>3310.7816666666668</v>
      </c>
      <c r="J184" s="2755">
        <f t="shared" si="101"/>
        <v>4174.8483333333324</v>
      </c>
      <c r="K184" s="2756">
        <f t="shared" si="101"/>
        <v>5252.704999999999</v>
      </c>
      <c r="L184" s="2792">
        <f t="shared" si="97"/>
        <v>0</v>
      </c>
      <c r="M184" s="2754">
        <f t="shared" si="102"/>
        <v>0</v>
      </c>
      <c r="N184" s="2755">
        <f t="shared" si="102"/>
        <v>0</v>
      </c>
      <c r="O184" s="2755">
        <f t="shared" si="102"/>
        <v>0</v>
      </c>
      <c r="P184" s="2755">
        <f t="shared" si="102"/>
        <v>0</v>
      </c>
      <c r="Q184" s="2755">
        <f t="shared" si="102"/>
        <v>0</v>
      </c>
      <c r="R184" s="2756">
        <f t="shared" si="102"/>
        <v>0</v>
      </c>
      <c r="S184" s="2792">
        <f t="shared" si="98"/>
        <v>0</v>
      </c>
      <c r="T184" s="2754">
        <f t="shared" si="103"/>
        <v>0</v>
      </c>
      <c r="U184" s="2755">
        <f t="shared" si="103"/>
        <v>0</v>
      </c>
      <c r="V184" s="2755">
        <f t="shared" si="103"/>
        <v>0</v>
      </c>
      <c r="W184" s="2755">
        <f t="shared" si="103"/>
        <v>0</v>
      </c>
      <c r="X184" s="2755">
        <f t="shared" si="103"/>
        <v>0</v>
      </c>
      <c r="Y184" s="2756">
        <f t="shared" si="103"/>
        <v>0</v>
      </c>
      <c r="Z184" s="1671"/>
      <c r="AA184" s="1702"/>
      <c r="AB184" s="1726"/>
    </row>
    <row r="185" spans="1:28" s="1642" customFormat="1">
      <c r="A185" s="1729">
        <v>15</v>
      </c>
      <c r="B185" s="1674">
        <v>2040206</v>
      </c>
      <c r="C185" s="1675">
        <v>0.02</v>
      </c>
      <c r="D185" s="1625" t="s">
        <v>593</v>
      </c>
      <c r="E185" s="2792">
        <f t="shared" si="100"/>
        <v>0</v>
      </c>
      <c r="F185" s="2754">
        <f t="shared" si="101"/>
        <v>0</v>
      </c>
      <c r="G185" s="2755">
        <f t="shared" si="101"/>
        <v>0</v>
      </c>
      <c r="H185" s="2755">
        <f t="shared" si="101"/>
        <v>0</v>
      </c>
      <c r="I185" s="2755">
        <f t="shared" si="101"/>
        <v>0</v>
      </c>
      <c r="J185" s="2755">
        <f t="shared" si="101"/>
        <v>0</v>
      </c>
      <c r="K185" s="2756">
        <f t="shared" si="101"/>
        <v>0</v>
      </c>
      <c r="L185" s="2792">
        <f t="shared" si="97"/>
        <v>0</v>
      </c>
      <c r="M185" s="2754">
        <f t="shared" si="102"/>
        <v>43.56</v>
      </c>
      <c r="N185" s="2755">
        <f t="shared" si="102"/>
        <v>58.52</v>
      </c>
      <c r="O185" s="2755">
        <f t="shared" si="102"/>
        <v>146.41999999999999</v>
      </c>
      <c r="P185" s="2755">
        <f t="shared" si="102"/>
        <v>232.52</v>
      </c>
      <c r="Q185" s="2755">
        <f t="shared" si="102"/>
        <v>316.82</v>
      </c>
      <c r="R185" s="2756">
        <f t="shared" si="102"/>
        <v>399.32</v>
      </c>
      <c r="S185" s="2792">
        <f t="shared" si="98"/>
        <v>0</v>
      </c>
      <c r="T185" s="2754">
        <f t="shared" si="103"/>
        <v>0</v>
      </c>
      <c r="U185" s="2755">
        <f t="shared" si="103"/>
        <v>0</v>
      </c>
      <c r="V185" s="2755">
        <f t="shared" si="103"/>
        <v>0</v>
      </c>
      <c r="W185" s="2755">
        <f t="shared" si="103"/>
        <v>0</v>
      </c>
      <c r="X185" s="2755">
        <f t="shared" si="103"/>
        <v>0</v>
      </c>
      <c r="Y185" s="2756">
        <f t="shared" si="103"/>
        <v>0</v>
      </c>
      <c r="Z185" s="1671"/>
      <c r="AA185" s="1702"/>
      <c r="AB185" s="1726"/>
    </row>
    <row r="186" spans="1:28" s="1642" customFormat="1" ht="24">
      <c r="A186" s="1729">
        <v>16</v>
      </c>
      <c r="B186" s="1674">
        <v>2040207</v>
      </c>
      <c r="C186" s="1675">
        <v>0.04</v>
      </c>
      <c r="D186" s="1625" t="s">
        <v>594</v>
      </c>
      <c r="E186" s="2792">
        <f t="shared" si="100"/>
        <v>0</v>
      </c>
      <c r="F186" s="2754">
        <f t="shared" si="101"/>
        <v>395.92</v>
      </c>
      <c r="G186" s="2755">
        <f t="shared" si="101"/>
        <v>422.30887559999996</v>
      </c>
      <c r="H186" s="2755">
        <f t="shared" si="101"/>
        <v>458.31218680000001</v>
      </c>
      <c r="I186" s="2755">
        <f t="shared" si="101"/>
        <v>507.79549800000007</v>
      </c>
      <c r="J186" s="2755">
        <f t="shared" si="101"/>
        <v>548.55880920000004</v>
      </c>
      <c r="K186" s="2756">
        <f t="shared" si="101"/>
        <v>596.52212040000006</v>
      </c>
      <c r="L186" s="2792">
        <f t="shared" si="97"/>
        <v>0</v>
      </c>
      <c r="M186" s="2754">
        <f t="shared" si="102"/>
        <v>0</v>
      </c>
      <c r="N186" s="2755">
        <f t="shared" si="102"/>
        <v>0</v>
      </c>
      <c r="O186" s="2755">
        <f t="shared" si="102"/>
        <v>29.4</v>
      </c>
      <c r="P186" s="2755">
        <f t="shared" si="102"/>
        <v>57.6</v>
      </c>
      <c r="Q186" s="2755">
        <f t="shared" si="102"/>
        <v>69.900000000000006</v>
      </c>
      <c r="R186" s="2756">
        <f t="shared" si="102"/>
        <v>66.900000000000006</v>
      </c>
      <c r="S186" s="2792">
        <f t="shared" si="98"/>
        <v>0</v>
      </c>
      <c r="T186" s="2754">
        <f t="shared" si="103"/>
        <v>107.8</v>
      </c>
      <c r="U186" s="2755">
        <f t="shared" si="103"/>
        <v>201.4</v>
      </c>
      <c r="V186" s="2755">
        <f t="shared" si="103"/>
        <v>359.6</v>
      </c>
      <c r="W186" s="2755">
        <f t="shared" si="103"/>
        <v>511</v>
      </c>
      <c r="X186" s="2755">
        <f t="shared" si="103"/>
        <v>655.6</v>
      </c>
      <c r="Y186" s="2756">
        <f t="shared" si="103"/>
        <v>793.4</v>
      </c>
      <c r="Z186" s="1671"/>
      <c r="AA186" s="1702"/>
      <c r="AB186" s="1726"/>
    </row>
    <row r="187" spans="1:28" s="1642" customFormat="1">
      <c r="A187" s="1729">
        <v>17</v>
      </c>
      <c r="B187" s="1674">
        <v>2040208</v>
      </c>
      <c r="C187" s="1675">
        <v>0.04</v>
      </c>
      <c r="D187" s="1625" t="s">
        <v>595</v>
      </c>
      <c r="E187" s="2792">
        <f t="shared" si="100"/>
        <v>0</v>
      </c>
      <c r="F187" s="2754">
        <f t="shared" si="101"/>
        <v>0</v>
      </c>
      <c r="G187" s="2755">
        <f t="shared" si="101"/>
        <v>0</v>
      </c>
      <c r="H187" s="2755">
        <f t="shared" si="101"/>
        <v>0</v>
      </c>
      <c r="I187" s="2755">
        <f t="shared" si="101"/>
        <v>0</v>
      </c>
      <c r="J187" s="2755">
        <f t="shared" si="101"/>
        <v>0</v>
      </c>
      <c r="K187" s="2756">
        <f t="shared" si="101"/>
        <v>0</v>
      </c>
      <c r="L187" s="2792">
        <f t="shared" si="101"/>
        <v>0</v>
      </c>
      <c r="M187" s="2754">
        <f t="shared" si="102"/>
        <v>0</v>
      </c>
      <c r="N187" s="2755">
        <f t="shared" si="102"/>
        <v>0</v>
      </c>
      <c r="O187" s="2755">
        <f t="shared" si="102"/>
        <v>0</v>
      </c>
      <c r="P187" s="2755">
        <f t="shared" si="102"/>
        <v>0</v>
      </c>
      <c r="Q187" s="2755">
        <f t="shared" si="102"/>
        <v>0</v>
      </c>
      <c r="R187" s="2756">
        <f t="shared" si="102"/>
        <v>0</v>
      </c>
      <c r="S187" s="2792">
        <f t="shared" si="102"/>
        <v>0</v>
      </c>
      <c r="T187" s="2754">
        <f t="shared" si="103"/>
        <v>0</v>
      </c>
      <c r="U187" s="2755">
        <f t="shared" si="103"/>
        <v>0</v>
      </c>
      <c r="V187" s="2755">
        <f t="shared" si="103"/>
        <v>0</v>
      </c>
      <c r="W187" s="2755">
        <f t="shared" si="103"/>
        <v>0</v>
      </c>
      <c r="X187" s="2755">
        <f t="shared" si="103"/>
        <v>0</v>
      </c>
      <c r="Y187" s="2756">
        <f t="shared" si="103"/>
        <v>0</v>
      </c>
      <c r="Z187" s="1671"/>
      <c r="AA187" s="1702"/>
      <c r="AB187" s="1726"/>
    </row>
    <row r="188" spans="1:28" s="1642" customFormat="1">
      <c r="A188" s="1729">
        <v>18</v>
      </c>
      <c r="B188" s="1832" t="s">
        <v>1525</v>
      </c>
      <c r="C188" s="1675">
        <v>0.04</v>
      </c>
      <c r="D188" s="1727" t="s">
        <v>606</v>
      </c>
      <c r="E188" s="2792">
        <f t="shared" si="100"/>
        <v>0</v>
      </c>
      <c r="F188" s="2754">
        <f t="shared" si="101"/>
        <v>-2.6666666666666665E-2</v>
      </c>
      <c r="G188" s="2755">
        <f t="shared" si="101"/>
        <v>-5.333333333333333E-2</v>
      </c>
      <c r="H188" s="2755">
        <f t="shared" si="101"/>
        <v>-7.9999999999999988E-2</v>
      </c>
      <c r="I188" s="2755">
        <f t="shared" si="101"/>
        <v>-0.10666666666666666</v>
      </c>
      <c r="J188" s="2755">
        <f t="shared" si="101"/>
        <v>-0.13333333333333333</v>
      </c>
      <c r="K188" s="2756">
        <f t="shared" si="101"/>
        <v>-0.16</v>
      </c>
      <c r="L188" s="2792">
        <f t="shared" si="101"/>
        <v>0</v>
      </c>
      <c r="M188" s="2754">
        <f t="shared" si="102"/>
        <v>0</v>
      </c>
      <c r="N188" s="2755">
        <f t="shared" si="102"/>
        <v>0</v>
      </c>
      <c r="O188" s="2755">
        <f t="shared" si="102"/>
        <v>0</v>
      </c>
      <c r="P188" s="2755">
        <f t="shared" si="102"/>
        <v>0</v>
      </c>
      <c r="Q188" s="2755">
        <f t="shared" si="102"/>
        <v>0</v>
      </c>
      <c r="R188" s="2756">
        <f t="shared" si="102"/>
        <v>0</v>
      </c>
      <c r="S188" s="2792">
        <f t="shared" si="102"/>
        <v>0</v>
      </c>
      <c r="T188" s="2754">
        <f t="shared" si="103"/>
        <v>0</v>
      </c>
      <c r="U188" s="2755">
        <f t="shared" si="103"/>
        <v>0</v>
      </c>
      <c r="V188" s="2755">
        <f t="shared" si="103"/>
        <v>0</v>
      </c>
      <c r="W188" s="2755">
        <f t="shared" si="103"/>
        <v>0</v>
      </c>
      <c r="X188" s="2755">
        <f t="shared" si="103"/>
        <v>0</v>
      </c>
      <c r="Y188" s="2756">
        <f t="shared" si="103"/>
        <v>0</v>
      </c>
      <c r="Z188" s="1671"/>
      <c r="AA188" s="1702"/>
      <c r="AB188" s="1726"/>
    </row>
    <row r="189" spans="1:28" s="1642" customFormat="1" ht="23.25" customHeight="1" thickBot="1">
      <c r="A189" s="1729">
        <v>19</v>
      </c>
      <c r="B189" s="1674">
        <v>215</v>
      </c>
      <c r="C189" s="1679">
        <v>0.2</v>
      </c>
      <c r="D189" s="1625" t="s">
        <v>911</v>
      </c>
      <c r="E189" s="2792">
        <f t="shared" si="100"/>
        <v>0</v>
      </c>
      <c r="F189" s="2776">
        <f t="shared" si="101"/>
        <v>0</v>
      </c>
      <c r="G189" s="2774">
        <f t="shared" si="101"/>
        <v>17.915538021177504</v>
      </c>
      <c r="H189" s="2774">
        <f t="shared" si="101"/>
        <v>30.937291021046398</v>
      </c>
      <c r="I189" s="2774">
        <f t="shared" si="101"/>
        <v>40.13095462854006</v>
      </c>
      <c r="J189" s="2774">
        <f t="shared" si="101"/>
        <v>45.935318343547245</v>
      </c>
      <c r="K189" s="2775">
        <f t="shared" si="101"/>
        <v>48.81247949048516</v>
      </c>
      <c r="L189" s="2792">
        <f t="shared" si="101"/>
        <v>0</v>
      </c>
      <c r="M189" s="2776">
        <f t="shared" si="102"/>
        <v>0</v>
      </c>
      <c r="N189" s="2774">
        <f t="shared" si="102"/>
        <v>0.84834528392610653</v>
      </c>
      <c r="O189" s="2774">
        <f t="shared" si="102"/>
        <v>16.112484564027547</v>
      </c>
      <c r="P189" s="2774">
        <f t="shared" si="102"/>
        <v>27.841497179606815</v>
      </c>
      <c r="Q189" s="2774">
        <f t="shared" si="102"/>
        <v>36.025273199116377</v>
      </c>
      <c r="R189" s="2775">
        <f t="shared" si="102"/>
        <v>40.569142477689965</v>
      </c>
      <c r="S189" s="2792">
        <f t="shared" si="102"/>
        <v>0</v>
      </c>
      <c r="T189" s="2776">
        <f t="shared" si="103"/>
        <v>0</v>
      </c>
      <c r="U189" s="2774">
        <f t="shared" si="103"/>
        <v>3.7361166948963915</v>
      </c>
      <c r="V189" s="2774">
        <f t="shared" si="103"/>
        <v>6.4502244149260521</v>
      </c>
      <c r="W189" s="2774">
        <f t="shared" si="103"/>
        <v>8.5275481918531177</v>
      </c>
      <c r="X189" s="2774">
        <f t="shared" si="103"/>
        <v>9.5394084573363731</v>
      </c>
      <c r="Y189" s="2775">
        <f t="shared" si="103"/>
        <v>9.1183780318248644</v>
      </c>
      <c r="Z189" s="1671"/>
      <c r="AA189" s="1702"/>
      <c r="AB189" s="1726"/>
    </row>
    <row r="190" spans="1:28" ht="38.25" customHeight="1" thickBot="1">
      <c r="A190" s="1713" t="s">
        <v>596</v>
      </c>
      <c r="B190" s="1713"/>
      <c r="C190" s="1713"/>
      <c r="D190" s="1714" t="s">
        <v>867</v>
      </c>
      <c r="E190" s="2793"/>
      <c r="F190" s="2794"/>
      <c r="G190" s="2795"/>
      <c r="H190" s="2795"/>
      <c r="I190" s="2795"/>
      <c r="J190" s="2795"/>
      <c r="K190" s="2796"/>
      <c r="L190" s="2793"/>
      <c r="M190" s="2794"/>
      <c r="N190" s="2795"/>
      <c r="O190" s="2795"/>
      <c r="P190" s="2795"/>
      <c r="Q190" s="2795"/>
      <c r="R190" s="2796"/>
      <c r="S190" s="2793"/>
      <c r="T190" s="2797"/>
      <c r="U190" s="2798"/>
      <c r="V190" s="2798"/>
      <c r="W190" s="2798"/>
      <c r="X190" s="2798"/>
      <c r="Y190" s="2799"/>
      <c r="Z190" s="1717"/>
      <c r="AA190" s="1701"/>
      <c r="AB190" s="1663"/>
    </row>
    <row r="191" spans="1:28" s="1642" customFormat="1" ht="15" customHeight="1" thickBot="1">
      <c r="A191" s="1664" t="s">
        <v>268</v>
      </c>
      <c r="B191" s="1665"/>
      <c r="C191" s="1665"/>
      <c r="D191" s="1665" t="s">
        <v>483</v>
      </c>
      <c r="E191" s="2765">
        <f t="shared" ref="E191:Y191" si="104">SUM(E192:E212)</f>
        <v>48403.981039999999</v>
      </c>
      <c r="F191" s="2760">
        <f t="shared" si="104"/>
        <v>48403.981039999999</v>
      </c>
      <c r="G191" s="1097">
        <f t="shared" si="104"/>
        <v>48403.981039999999</v>
      </c>
      <c r="H191" s="1097">
        <f t="shared" si="104"/>
        <v>48403.981039999999</v>
      </c>
      <c r="I191" s="2080">
        <f t="shared" si="104"/>
        <v>48403.981039999999</v>
      </c>
      <c r="J191" s="1097">
        <f t="shared" si="104"/>
        <v>48403.981039999999</v>
      </c>
      <c r="K191" s="1097">
        <f t="shared" si="104"/>
        <v>48403.981039999999</v>
      </c>
      <c r="L191" s="2765">
        <f t="shared" si="104"/>
        <v>52614.01281</v>
      </c>
      <c r="M191" s="2760">
        <f t="shared" si="104"/>
        <v>52614.01281</v>
      </c>
      <c r="N191" s="1097">
        <f t="shared" si="104"/>
        <v>52614.01281</v>
      </c>
      <c r="O191" s="1097">
        <f t="shared" si="104"/>
        <v>52614.01281</v>
      </c>
      <c r="P191" s="2080">
        <f t="shared" si="104"/>
        <v>52614.01281</v>
      </c>
      <c r="Q191" s="1097">
        <f t="shared" si="104"/>
        <v>52614.01281</v>
      </c>
      <c r="R191" s="1097">
        <f t="shared" si="104"/>
        <v>52614.01281</v>
      </c>
      <c r="S191" s="2765">
        <f t="shared" si="104"/>
        <v>15645.611069999999</v>
      </c>
      <c r="T191" s="2778">
        <f t="shared" si="104"/>
        <v>15645.611069999999</v>
      </c>
      <c r="U191" s="2779">
        <f t="shared" si="104"/>
        <v>15645.611069999999</v>
      </c>
      <c r="V191" s="2779">
        <f t="shared" si="104"/>
        <v>15645.611069999999</v>
      </c>
      <c r="W191" s="2780">
        <f t="shared" si="104"/>
        <v>15645.611069999999</v>
      </c>
      <c r="X191" s="2779">
        <f t="shared" si="104"/>
        <v>15645.611069999999</v>
      </c>
      <c r="Y191" s="2781">
        <f t="shared" si="104"/>
        <v>15645.611069999999</v>
      </c>
      <c r="Z191" s="1671"/>
      <c r="AA191" s="1702"/>
      <c r="AB191" s="1726"/>
    </row>
    <row r="192" spans="1:28" s="1642" customFormat="1">
      <c r="A192" s="1673">
        <v>1</v>
      </c>
      <c r="B192" s="1731" t="s">
        <v>949</v>
      </c>
      <c r="C192" s="1690">
        <v>0</v>
      </c>
      <c r="D192" s="280" t="s">
        <v>760</v>
      </c>
      <c r="E192" s="2250">
        <v>1036.0275300000001</v>
      </c>
      <c r="F192" s="900">
        <f>E192+SUMIF('11.2. Нови активи отч.год.'!$B$111:$B$131,$B192,'11.2. Нови активи отч.год.'!F$111:F$131)</f>
        <v>1036.0275300000001</v>
      </c>
      <c r="G192" s="901">
        <f>F192+SUMIF('11.2. Нови активи отч.год.'!$B$111:$B$131,$B192,'11.2. Нови активи отч.год.'!G$111:G$131)</f>
        <v>1036.0275300000001</v>
      </c>
      <c r="H192" s="901">
        <f>G192+SUMIF('11.2. Нови активи отч.год.'!$B$111:$B$131,$B192,'11.2. Нови активи отч.год.'!H$111:H$131)</f>
        <v>1036.0275300000001</v>
      </c>
      <c r="I192" s="901">
        <f>H192+SUMIF('11.2. Нови активи отч.год.'!$B$111:$B$131,$B192,'11.2. Нови активи отч.год.'!I$111:I$131)</f>
        <v>1036.0275300000001</v>
      </c>
      <c r="J192" s="901">
        <f>I192+SUMIF('11.2. Нови активи отч.год.'!$B$111:$B$131,$B192,'11.2. Нови активи отч.год.'!J$111:J$131)</f>
        <v>1036.0275300000001</v>
      </c>
      <c r="K192" s="902">
        <f>J192+SUMIF('11.2. Нови активи отч.год.'!$B$111:$B$131,$B192,'11.2. Нови активи отч.год.'!K$111:K$131)</f>
        <v>1036.0275300000001</v>
      </c>
      <c r="L192" s="2250">
        <v>698.29200000000003</v>
      </c>
      <c r="M192" s="900">
        <f>L192+SUMIF('11.2. Нови активи отч.год.'!$B$111:$B$131,$B192,'11.2. Нови активи отч.год.'!M$111:M$131)</f>
        <v>698.29200000000003</v>
      </c>
      <c r="N192" s="901">
        <f>M192+SUMIF('11.2. Нови активи отч.год.'!$B$111:$B$131,$B192,'11.2. Нови активи отч.год.'!N$111:N$131)</f>
        <v>698.29200000000003</v>
      </c>
      <c r="O192" s="901">
        <f>N192+SUMIF('11.2. Нови активи отч.год.'!$B$111:$B$131,$B192,'11.2. Нови активи отч.год.'!O$111:O$131)</f>
        <v>698.29200000000003</v>
      </c>
      <c r="P192" s="901">
        <f>O192+SUMIF('11.2. Нови активи отч.год.'!$B$111:$B$131,$B192,'11.2. Нови активи отч.год.'!P$111:P$131)</f>
        <v>698.29200000000003</v>
      </c>
      <c r="Q192" s="901">
        <f>P192+SUMIF('11.2. Нови активи отч.год.'!$B$111:$B$131,$B192,'11.2. Нови активи отч.год.'!Q$111:Q$131)</f>
        <v>698.29200000000003</v>
      </c>
      <c r="R192" s="902">
        <f>Q192+SUMIF('11.2. Нови активи отч.год.'!$B$111:$B$131,$B192,'11.2. Нови активи отч.год.'!R$111:R$131)</f>
        <v>698.29200000000003</v>
      </c>
      <c r="S192" s="2250">
        <f>0+767</f>
        <v>767</v>
      </c>
      <c r="T192" s="900">
        <f>S192+SUMIF('11.2. Нови активи отч.год.'!$B$111:$B$131,$B192,'11.2. Нови активи отч.год.'!T$111:T$131)</f>
        <v>767</v>
      </c>
      <c r="U192" s="901">
        <f>T192+SUMIF('11.2. Нови активи отч.год.'!$B$111:$B$131,$B192,'11.2. Нови активи отч.год.'!U$111:U$131)</f>
        <v>767</v>
      </c>
      <c r="V192" s="901">
        <f>U192+SUMIF('11.2. Нови активи отч.год.'!$B$111:$B$131,$B192,'11.2. Нови активи отч.год.'!V$111:V$131)</f>
        <v>767</v>
      </c>
      <c r="W192" s="901">
        <f>V192+SUMIF('11.2. Нови активи отч.год.'!$B$111:$B$131,$B192,'11.2. Нови активи отч.год.'!W$111:W$131)</f>
        <v>767</v>
      </c>
      <c r="X192" s="901">
        <f>W192+SUMIF('11.2. Нови активи отч.год.'!$B$111:$B$131,$B192,'11.2. Нови активи отч.год.'!X$111:X$131)</f>
        <v>767</v>
      </c>
      <c r="Y192" s="902">
        <f>X192+SUMIF('11.2. Нови активи отч.год.'!$B$111:$B$131,$B192,'11.2. Нови активи отч.год.'!Y$111:Y$131)</f>
        <v>767</v>
      </c>
      <c r="Z192" s="1671"/>
      <c r="AA192" s="1702"/>
      <c r="AB192" s="1726"/>
    </row>
    <row r="193" spans="1:28" s="1642" customFormat="1">
      <c r="A193" s="1673">
        <v>2</v>
      </c>
      <c r="B193" s="1674" t="s">
        <v>950</v>
      </c>
      <c r="C193" s="1675">
        <v>0.03</v>
      </c>
      <c r="D193" s="1727" t="s">
        <v>598</v>
      </c>
      <c r="E193" s="2250">
        <f>986.28353+2+617</f>
        <v>1605.2835300000002</v>
      </c>
      <c r="F193" s="897">
        <f>E193+SUMIF('11.2. Нови активи отч.год.'!$B$111:$B$131,$B193,'11.2. Нови активи отч.год.'!F$111:F$131)</f>
        <v>1605.2835300000002</v>
      </c>
      <c r="G193" s="898">
        <f>F193+SUMIF('11.2. Нови активи отч.год.'!$B$111:$B$131,$B193,'11.2. Нови активи отч.год.'!G$111:G$131)</f>
        <v>1605.2835300000002</v>
      </c>
      <c r="H193" s="898">
        <f>G193+SUMIF('11.2. Нови активи отч.год.'!$B$111:$B$131,$B193,'11.2. Нови активи отч.год.'!H$111:H$131)</f>
        <v>1605.2835300000002</v>
      </c>
      <c r="I193" s="898">
        <f>H193+SUMIF('11.2. Нови активи отч.год.'!$B$111:$B$131,$B193,'11.2. Нови активи отч.год.'!I$111:I$131)</f>
        <v>1605.2835300000002</v>
      </c>
      <c r="J193" s="898">
        <f>I193+SUMIF('11.2. Нови активи отч.год.'!$B$111:$B$131,$B193,'11.2. Нови активи отч.год.'!J$111:J$131)</f>
        <v>1605.2835300000002</v>
      </c>
      <c r="K193" s="899">
        <f>J193+SUMIF('11.2. Нови активи отч.год.'!$B$111:$B$131,$B193,'11.2. Нови активи отч.год.'!K$111:K$131)</f>
        <v>1605.2835300000002</v>
      </c>
      <c r="L193" s="2250">
        <f>130.86067+162</f>
        <v>292.86067000000003</v>
      </c>
      <c r="M193" s="897">
        <f>L193+SUMIF('11.2. Нови активи отч.год.'!$B$111:$B$131,$B193,'11.2. Нови активи отч.год.'!M$111:M$131)</f>
        <v>292.86067000000003</v>
      </c>
      <c r="N193" s="898">
        <f>M193+SUMIF('11.2. Нови активи отч.год.'!$B$111:$B$131,$B193,'11.2. Нови активи отч.год.'!N$111:N$131)</f>
        <v>292.86067000000003</v>
      </c>
      <c r="O193" s="898">
        <f>N193+SUMIF('11.2. Нови активи отч.год.'!$B$111:$B$131,$B193,'11.2. Нови активи отч.год.'!O$111:O$131)</f>
        <v>292.86067000000003</v>
      </c>
      <c r="P193" s="898">
        <f>O193+SUMIF('11.2. Нови активи отч.год.'!$B$111:$B$131,$B193,'11.2. Нови активи отч.год.'!P$111:P$131)</f>
        <v>292.86067000000003</v>
      </c>
      <c r="Q193" s="898">
        <f>P193+SUMIF('11.2. Нови активи отч.год.'!$B$111:$B$131,$B193,'11.2. Нови активи отч.год.'!Q$111:Q$131)</f>
        <v>292.86067000000003</v>
      </c>
      <c r="R193" s="899">
        <f>Q193+SUMIF('11.2. Нови активи отч.год.'!$B$111:$B$131,$B193,'11.2. Нови активи отч.год.'!R$111:R$131)</f>
        <v>292.86067000000003</v>
      </c>
      <c r="S193" s="2250">
        <f>420.37659+5309.007-2426</f>
        <v>3303.3835899999995</v>
      </c>
      <c r="T193" s="897">
        <f>S193+SUMIF('11.2. Нови активи отч.год.'!$B$111:$B$131,$B193,'11.2. Нови активи отч.год.'!T$111:T$131)</f>
        <v>3303.3835899999995</v>
      </c>
      <c r="U193" s="898">
        <f>T193+SUMIF('11.2. Нови активи отч.год.'!$B$111:$B$131,$B193,'11.2. Нови активи отч.год.'!U$111:U$131)</f>
        <v>3303.3835899999995</v>
      </c>
      <c r="V193" s="898">
        <f>U193+SUMIF('11.2. Нови активи отч.год.'!$B$111:$B$131,$B193,'11.2. Нови активи отч.год.'!V$111:V$131)</f>
        <v>3303.3835899999995</v>
      </c>
      <c r="W193" s="898">
        <f>V193+SUMIF('11.2. Нови активи отч.год.'!$B$111:$B$131,$B193,'11.2. Нови активи отч.год.'!W$111:W$131)</f>
        <v>3303.3835899999995</v>
      </c>
      <c r="X193" s="898">
        <f>W193+SUMIF('11.2. Нови активи отч.год.'!$B$111:$B$131,$B193,'11.2. Нови активи отч.год.'!X$111:X$131)</f>
        <v>3303.3835899999995</v>
      </c>
      <c r="Y193" s="899">
        <f>X193+SUMIF('11.2. Нови активи отч.год.'!$B$111:$B$131,$B193,'11.2. Нови активи отч.год.'!Y$111:Y$131)</f>
        <v>3303.3835899999995</v>
      </c>
      <c r="Z193" s="1671"/>
      <c r="AA193" s="1702"/>
      <c r="AB193" s="1726"/>
    </row>
    <row r="194" spans="1:28" s="1642" customFormat="1">
      <c r="A194" s="1673">
        <v>3</v>
      </c>
      <c r="B194" s="1674">
        <v>911301</v>
      </c>
      <c r="C194" s="1675">
        <v>0.1</v>
      </c>
      <c r="D194" s="1727" t="s">
        <v>599</v>
      </c>
      <c r="E194" s="2250">
        <f>2359.568+152</f>
        <v>2511.5680000000002</v>
      </c>
      <c r="F194" s="897">
        <f>E194+SUMIF('11.2. Нови активи отч.год.'!$B$111:$B$131,$B194,'11.2. Нови активи отч.год.'!F$111:F$131)</f>
        <v>2511.5680000000002</v>
      </c>
      <c r="G194" s="898">
        <f>F194+SUMIF('11.2. Нови активи отч.год.'!$B$111:$B$131,$B194,'11.2. Нови активи отч.год.'!G$111:G$131)</f>
        <v>2511.5680000000002</v>
      </c>
      <c r="H194" s="898">
        <f>G194+SUMIF('11.2. Нови активи отч.год.'!$B$111:$B$131,$B194,'11.2. Нови активи отч.год.'!H$111:H$131)</f>
        <v>2511.5680000000002</v>
      </c>
      <c r="I194" s="898">
        <f>H194+SUMIF('11.2. Нови активи отч.год.'!$B$111:$B$131,$B194,'11.2. Нови активи отч.год.'!I$111:I$131)</f>
        <v>2511.5680000000002</v>
      </c>
      <c r="J194" s="898">
        <f>I194+SUMIF('11.2. Нови активи отч.год.'!$B$111:$B$131,$B194,'11.2. Нови активи отч.год.'!J$111:J$131)</f>
        <v>2511.5680000000002</v>
      </c>
      <c r="K194" s="899">
        <f>J194+SUMIF('11.2. Нови активи отч.год.'!$B$111:$B$131,$B194,'11.2. Нови активи отч.год.'!K$111:K$131)</f>
        <v>2511.5680000000002</v>
      </c>
      <c r="L194" s="2250">
        <v>0</v>
      </c>
      <c r="M194" s="897">
        <f>L194+SUMIF('11.2. Нови активи отч.год.'!$B$111:$B$131,$B194,'11.2. Нови активи отч.год.'!M$111:M$131)</f>
        <v>0</v>
      </c>
      <c r="N194" s="898">
        <f>M194+SUMIF('11.2. Нови активи отч.год.'!$B$111:$B$131,$B194,'11.2. Нови активи отч.год.'!N$111:N$131)</f>
        <v>0</v>
      </c>
      <c r="O194" s="898">
        <f>N194+SUMIF('11.2. Нови активи отч.год.'!$B$111:$B$131,$B194,'11.2. Нови активи отч.год.'!O$111:O$131)</f>
        <v>0</v>
      </c>
      <c r="P194" s="898">
        <f>O194+SUMIF('11.2. Нови активи отч.год.'!$B$111:$B$131,$B194,'11.2. Нови активи отч.год.'!P$111:P$131)</f>
        <v>0</v>
      </c>
      <c r="Q194" s="898">
        <f>P194+SUMIF('11.2. Нови активи отч.год.'!$B$111:$B$131,$B194,'11.2. Нови активи отч.год.'!Q$111:Q$131)</f>
        <v>0</v>
      </c>
      <c r="R194" s="899">
        <f>Q194+SUMIF('11.2. Нови активи отч.год.'!$B$111:$B$131,$B194,'11.2. Нови активи отч.год.'!R$111:R$131)</f>
        <v>0</v>
      </c>
      <c r="S194" s="2250">
        <f>59.81488+274.89308+407</f>
        <v>741.70795999999996</v>
      </c>
      <c r="T194" s="897">
        <f>S194+SUMIF('11.2. Нови активи отч.год.'!$B$111:$B$131,$B194,'11.2. Нови активи отч.год.'!T$111:T$131)</f>
        <v>741.70795999999996</v>
      </c>
      <c r="U194" s="898">
        <f>T194+SUMIF('11.2. Нови активи отч.год.'!$B$111:$B$131,$B194,'11.2. Нови активи отч.год.'!U$111:U$131)</f>
        <v>741.70795999999996</v>
      </c>
      <c r="V194" s="898">
        <f>U194+SUMIF('11.2. Нови активи отч.год.'!$B$111:$B$131,$B194,'11.2. Нови активи отч.год.'!V$111:V$131)</f>
        <v>741.70795999999996</v>
      </c>
      <c r="W194" s="898">
        <f>V194+SUMIF('11.2. Нови активи отч.год.'!$B$111:$B$131,$B194,'11.2. Нови активи отч.год.'!W$111:W$131)</f>
        <v>741.70795999999996</v>
      </c>
      <c r="X194" s="898">
        <f>W194+SUMIF('11.2. Нови активи отч.год.'!$B$111:$B$131,$B194,'11.2. Нови активи отч.год.'!X$111:X$131)</f>
        <v>741.70795999999996</v>
      </c>
      <c r="Y194" s="899">
        <f>X194+SUMIF('11.2. Нови активи отч.год.'!$B$111:$B$131,$B194,'11.2. Нови активи отч.год.'!Y$111:Y$131)</f>
        <v>741.70795999999996</v>
      </c>
      <c r="Z194" s="1671"/>
      <c r="AA194" s="1702"/>
      <c r="AB194" s="1726"/>
    </row>
    <row r="195" spans="1:28" s="1642" customFormat="1">
      <c r="A195" s="1673">
        <v>4</v>
      </c>
      <c r="B195" s="1674">
        <v>911302</v>
      </c>
      <c r="C195" s="1675">
        <v>0.1</v>
      </c>
      <c r="D195" s="1727" t="s">
        <v>600</v>
      </c>
      <c r="E195" s="2250">
        <v>0</v>
      </c>
      <c r="F195" s="897">
        <f>E195+SUMIF('11.2. Нови активи отч.год.'!$B$111:$B$131,$B195,'11.2. Нови активи отч.год.'!F$111:F$131)</f>
        <v>0</v>
      </c>
      <c r="G195" s="898">
        <f>F195+SUMIF('11.2. Нови активи отч.год.'!$B$111:$B$131,$B195,'11.2. Нови активи отч.год.'!G$111:G$131)</f>
        <v>0</v>
      </c>
      <c r="H195" s="898">
        <f>G195+SUMIF('11.2. Нови активи отч.год.'!$B$111:$B$131,$B195,'11.2. Нови активи отч.год.'!H$111:H$131)</f>
        <v>0</v>
      </c>
      <c r="I195" s="898">
        <f>H195+SUMIF('11.2. Нови активи отч.год.'!$B$111:$B$131,$B195,'11.2. Нови активи отч.год.'!I$111:I$131)</f>
        <v>0</v>
      </c>
      <c r="J195" s="898">
        <f>I195+SUMIF('11.2. Нови активи отч.год.'!$B$111:$B$131,$B195,'11.2. Нови активи отч.год.'!J$111:J$131)</f>
        <v>0</v>
      </c>
      <c r="K195" s="899">
        <f>J195+SUMIF('11.2. Нови активи отч.год.'!$B$111:$B$131,$B195,'11.2. Нови активи отч.год.'!K$111:K$131)</f>
        <v>0</v>
      </c>
      <c r="L195" s="2250">
        <v>0</v>
      </c>
      <c r="M195" s="897">
        <f>L195+SUMIF('11.2. Нови активи отч.год.'!$B$111:$B$131,$B195,'11.2. Нови активи отч.год.'!M$111:M$131)</f>
        <v>0</v>
      </c>
      <c r="N195" s="898">
        <f>M195+SUMIF('11.2. Нови активи отч.год.'!$B$111:$B$131,$B195,'11.2. Нови активи отч.год.'!N$111:N$131)</f>
        <v>0</v>
      </c>
      <c r="O195" s="898">
        <f>N195+SUMIF('11.2. Нови активи отч.год.'!$B$111:$B$131,$B195,'11.2. Нови активи отч.год.'!O$111:O$131)</f>
        <v>0</v>
      </c>
      <c r="P195" s="898">
        <f>O195+SUMIF('11.2. Нови активи отч.год.'!$B$111:$B$131,$B195,'11.2. Нови активи отч.год.'!P$111:P$131)</f>
        <v>0</v>
      </c>
      <c r="Q195" s="898">
        <f>P195+SUMIF('11.2. Нови активи отч.год.'!$B$111:$B$131,$B195,'11.2. Нови активи отч.год.'!Q$111:Q$131)</f>
        <v>0</v>
      </c>
      <c r="R195" s="899">
        <f>Q195+SUMIF('11.2. Нови активи отч.год.'!$B$111:$B$131,$B195,'11.2. Нови активи отч.год.'!R$111:R$131)</f>
        <v>0</v>
      </c>
      <c r="S195" s="2250">
        <v>0</v>
      </c>
      <c r="T195" s="897">
        <f>S195+SUMIF('11.2. Нови активи отч.год.'!$B$111:$B$131,$B195,'11.2. Нови активи отч.год.'!T$111:T$131)</f>
        <v>0</v>
      </c>
      <c r="U195" s="898">
        <f>T195+SUMIF('11.2. Нови активи отч.год.'!$B$111:$B$131,$B195,'11.2. Нови активи отч.год.'!U$111:U$131)</f>
        <v>0</v>
      </c>
      <c r="V195" s="898">
        <f>U195+SUMIF('11.2. Нови активи отч.год.'!$B$111:$B$131,$B195,'11.2. Нови активи отч.год.'!V$111:V$131)</f>
        <v>0</v>
      </c>
      <c r="W195" s="898">
        <f>V195+SUMIF('11.2. Нови активи отч.год.'!$B$111:$B$131,$B195,'11.2. Нови активи отч.год.'!W$111:W$131)</f>
        <v>0</v>
      </c>
      <c r="X195" s="898">
        <f>W195+SUMIF('11.2. Нови активи отч.год.'!$B$111:$B$131,$B195,'11.2. Нови активи отч.год.'!X$111:X$131)</f>
        <v>0</v>
      </c>
      <c r="Y195" s="899">
        <f>X195+SUMIF('11.2. Нови активи отч.год.'!$B$111:$B$131,$B195,'11.2. Нови активи отч.год.'!Y$111:Y$131)</f>
        <v>0</v>
      </c>
      <c r="Z195" s="1671"/>
      <c r="AA195" s="1702"/>
      <c r="AB195" s="1726"/>
    </row>
    <row r="196" spans="1:28" s="1642" customFormat="1">
      <c r="A196" s="1673">
        <v>5</v>
      </c>
      <c r="B196" s="1674" t="s">
        <v>967</v>
      </c>
      <c r="C196" s="1675">
        <v>0.1</v>
      </c>
      <c r="D196" s="1625" t="s">
        <v>579</v>
      </c>
      <c r="E196" s="2250">
        <f>790.72703+14</f>
        <v>804.72703000000001</v>
      </c>
      <c r="F196" s="897">
        <f>E196+SUMIF('11.2. Нови активи отч.год.'!$B$111:$B$131,$B196,'11.2. Нови активи отч.год.'!F$111:F$131)</f>
        <v>804.72703000000001</v>
      </c>
      <c r="G196" s="898">
        <f>F196+SUMIF('11.2. Нови активи отч.год.'!$B$111:$B$131,$B196,'11.2. Нови активи отч.год.'!G$111:G$131)</f>
        <v>804.72703000000001</v>
      </c>
      <c r="H196" s="898">
        <f>G196+SUMIF('11.2. Нови активи отч.год.'!$B$111:$B$131,$B196,'11.2. Нови активи отч.год.'!H$111:H$131)</f>
        <v>804.72703000000001</v>
      </c>
      <c r="I196" s="898">
        <f>H196+SUMIF('11.2. Нови активи отч.год.'!$B$111:$B$131,$B196,'11.2. Нови активи отч.год.'!I$111:I$131)</f>
        <v>804.72703000000001</v>
      </c>
      <c r="J196" s="898">
        <f>I196+SUMIF('11.2. Нови активи отч.год.'!$B$111:$B$131,$B196,'11.2. Нови активи отч.год.'!J$111:J$131)</f>
        <v>804.72703000000001</v>
      </c>
      <c r="K196" s="899">
        <f>J196+SUMIF('11.2. Нови активи отч.год.'!$B$111:$B$131,$B196,'11.2. Нови активи отч.год.'!K$111:K$131)</f>
        <v>804.72703000000001</v>
      </c>
      <c r="L196" s="2250">
        <v>14.11</v>
      </c>
      <c r="M196" s="897">
        <f>L196+SUMIF('11.2. Нови активи отч.год.'!$B$111:$B$131,$B196,'11.2. Нови активи отч.год.'!M$111:M$131)</f>
        <v>14.11</v>
      </c>
      <c r="N196" s="898">
        <f>M196+SUMIF('11.2. Нови активи отч.год.'!$B$111:$B$131,$B196,'11.2. Нови активи отч.год.'!N$111:N$131)</f>
        <v>14.11</v>
      </c>
      <c r="O196" s="898">
        <f>N196+SUMIF('11.2. Нови активи отч.год.'!$B$111:$B$131,$B196,'11.2. Нови активи отч.год.'!O$111:O$131)</f>
        <v>14.11</v>
      </c>
      <c r="P196" s="898">
        <f>O196+SUMIF('11.2. Нови активи отч.год.'!$B$111:$B$131,$B196,'11.2. Нови активи отч.год.'!P$111:P$131)</f>
        <v>14.11</v>
      </c>
      <c r="Q196" s="898">
        <f>P196+SUMIF('11.2. Нови активи отч.год.'!$B$111:$B$131,$B196,'11.2. Нови активи отч.год.'!Q$111:Q$131)</f>
        <v>14.11</v>
      </c>
      <c r="R196" s="899">
        <f>Q196+SUMIF('11.2. Нови активи отч.год.'!$B$111:$B$131,$B196,'11.2. Нови активи отч.год.'!R$111:R$131)</f>
        <v>14.11</v>
      </c>
      <c r="S196" s="2250">
        <f>46.26106+166.02648+10</f>
        <v>222.28753999999998</v>
      </c>
      <c r="T196" s="897">
        <f>S196+SUMIF('11.2. Нови активи отч.год.'!$B$111:$B$131,$B196,'11.2. Нови активи отч.год.'!T$111:T$131)</f>
        <v>222.28753999999998</v>
      </c>
      <c r="U196" s="898">
        <f>T196+SUMIF('11.2. Нови активи отч.год.'!$B$111:$B$131,$B196,'11.2. Нови активи отч.год.'!U$111:U$131)</f>
        <v>222.28753999999998</v>
      </c>
      <c r="V196" s="898">
        <f>U196+SUMIF('11.2. Нови активи отч.год.'!$B$111:$B$131,$B196,'11.2. Нови активи отч.год.'!V$111:V$131)</f>
        <v>222.28753999999998</v>
      </c>
      <c r="W196" s="898">
        <f>V196+SUMIF('11.2. Нови активи отч.год.'!$B$111:$B$131,$B196,'11.2. Нови активи отч.год.'!W$111:W$131)</f>
        <v>222.28753999999998</v>
      </c>
      <c r="X196" s="898">
        <f>W196+SUMIF('11.2. Нови активи отч.год.'!$B$111:$B$131,$B196,'11.2. Нови активи отч.год.'!X$111:X$131)</f>
        <v>222.28753999999998</v>
      </c>
      <c r="Y196" s="899">
        <f>X196+SUMIF('11.2. Нови активи отч.год.'!$B$111:$B$131,$B196,'11.2. Нови активи отч.год.'!Y$111:Y$131)</f>
        <v>222.28753999999998</v>
      </c>
      <c r="Z196" s="1671"/>
      <c r="AA196" s="1702"/>
      <c r="AB196" s="1726"/>
    </row>
    <row r="197" spans="1:28" s="1642" customFormat="1">
      <c r="A197" s="1673">
        <v>6</v>
      </c>
      <c r="B197" s="1674" t="s">
        <v>968</v>
      </c>
      <c r="C197" s="1675">
        <v>0.1</v>
      </c>
      <c r="D197" s="1625" t="s">
        <v>1391</v>
      </c>
      <c r="E197" s="2250">
        <v>166.09145000000004</v>
      </c>
      <c r="F197" s="897">
        <f>E197+SUMIF('11.2. Нови активи отч.год.'!$B$111:$B$131,$B197,'11.2. Нови активи отч.год.'!F$111:F$131)</f>
        <v>166.09145000000004</v>
      </c>
      <c r="G197" s="898">
        <f>F197+SUMIF('11.2. Нови активи отч.год.'!$B$111:$B$131,$B197,'11.2. Нови активи отч.год.'!G$111:G$131)</f>
        <v>166.09145000000004</v>
      </c>
      <c r="H197" s="898">
        <f>G197+SUMIF('11.2. Нови активи отч.год.'!$B$111:$B$131,$B197,'11.2. Нови активи отч.год.'!H$111:H$131)</f>
        <v>166.09145000000004</v>
      </c>
      <c r="I197" s="898">
        <f>H197+SUMIF('11.2. Нови активи отч.год.'!$B$111:$B$131,$B197,'11.2. Нови активи отч.год.'!I$111:I$131)</f>
        <v>166.09145000000004</v>
      </c>
      <c r="J197" s="898">
        <f>I197+SUMIF('11.2. Нови активи отч.год.'!$B$111:$B$131,$B197,'11.2. Нови активи отч.год.'!J$111:J$131)</f>
        <v>166.09145000000004</v>
      </c>
      <c r="K197" s="899">
        <f>J197+SUMIF('11.2. Нови активи отч.год.'!$B$111:$B$131,$B197,'11.2. Нови активи отч.год.'!K$111:K$131)</f>
        <v>166.09145000000004</v>
      </c>
      <c r="L197" s="2250">
        <v>4.8259999999999996</v>
      </c>
      <c r="M197" s="897">
        <f>L197+SUMIF('11.2. Нови активи отч.год.'!$B$111:$B$131,$B197,'11.2. Нови активи отч.год.'!M$111:M$131)</f>
        <v>4.8259999999999996</v>
      </c>
      <c r="N197" s="898">
        <f>M197+SUMIF('11.2. Нови активи отч.год.'!$B$111:$B$131,$B197,'11.2. Нови активи отч.год.'!N$111:N$131)</f>
        <v>4.8259999999999996</v>
      </c>
      <c r="O197" s="898">
        <f>N197+SUMIF('11.2. Нови активи отч.год.'!$B$111:$B$131,$B197,'11.2. Нови активи отч.год.'!O$111:O$131)</f>
        <v>4.8259999999999996</v>
      </c>
      <c r="P197" s="898">
        <f>O197+SUMIF('11.2. Нови активи отч.год.'!$B$111:$B$131,$B197,'11.2. Нови активи отч.год.'!P$111:P$131)</f>
        <v>4.8259999999999996</v>
      </c>
      <c r="Q197" s="898">
        <f>P197+SUMIF('11.2. Нови активи отч.год.'!$B$111:$B$131,$B197,'11.2. Нови активи отч.год.'!Q$111:Q$131)</f>
        <v>4.8259999999999996</v>
      </c>
      <c r="R197" s="899">
        <f>Q197+SUMIF('11.2. Нови активи отч.год.'!$B$111:$B$131,$B197,'11.2. Нови активи отч.год.'!R$111:R$131)</f>
        <v>4.8259999999999996</v>
      </c>
      <c r="S197" s="2250">
        <f>33.62775+428.5557</f>
        <v>462.18344999999999</v>
      </c>
      <c r="T197" s="897">
        <f>S197+SUMIF('11.2. Нови активи отч.год.'!$B$111:$B$131,$B197,'11.2. Нови активи отч.год.'!T$111:T$131)</f>
        <v>462.18344999999999</v>
      </c>
      <c r="U197" s="898">
        <f>T197+SUMIF('11.2. Нови активи отч.год.'!$B$111:$B$131,$B197,'11.2. Нови активи отч.год.'!U$111:U$131)</f>
        <v>462.18344999999999</v>
      </c>
      <c r="V197" s="898">
        <f>U197+SUMIF('11.2. Нови активи отч.год.'!$B$111:$B$131,$B197,'11.2. Нови активи отч.год.'!V$111:V$131)</f>
        <v>462.18344999999999</v>
      </c>
      <c r="W197" s="898">
        <f>V197+SUMIF('11.2. Нови активи отч.год.'!$B$111:$B$131,$B197,'11.2. Нови активи отч.год.'!W$111:W$131)</f>
        <v>462.18344999999999</v>
      </c>
      <c r="X197" s="898">
        <f>W197+SUMIF('11.2. Нови активи отч.год.'!$B$111:$B$131,$B197,'11.2. Нови активи отч.год.'!X$111:X$131)</f>
        <v>462.18344999999999</v>
      </c>
      <c r="Y197" s="899">
        <f>X197+SUMIF('11.2. Нови активи отч.год.'!$B$111:$B$131,$B197,'11.2. Нови активи отч.год.'!Y$111:Y$131)</f>
        <v>462.18344999999999</v>
      </c>
      <c r="Z197" s="1671"/>
      <c r="AA197" s="1702"/>
      <c r="AB197" s="1726"/>
    </row>
    <row r="198" spans="1:28" s="1642" customFormat="1" ht="24">
      <c r="A198" s="1673">
        <v>7</v>
      </c>
      <c r="B198" s="1674" t="s">
        <v>959</v>
      </c>
      <c r="C198" s="1675">
        <v>0.1</v>
      </c>
      <c r="D198" s="1625" t="s">
        <v>948</v>
      </c>
      <c r="E198" s="2250">
        <f>594.33086+39.30065</f>
        <v>633.63151000000005</v>
      </c>
      <c r="F198" s="897">
        <f>E198+SUMIF('11.2. Нови активи отч.год.'!$B$111:$B$131,$B198,'11.2. Нови активи отч.год.'!F$111:F$131)</f>
        <v>633.63151000000005</v>
      </c>
      <c r="G198" s="898">
        <f>F198+SUMIF('11.2. Нови активи отч.год.'!$B$111:$B$131,$B198,'11.2. Нови активи отч.год.'!G$111:G$131)</f>
        <v>633.63151000000005</v>
      </c>
      <c r="H198" s="898">
        <f>G198+SUMIF('11.2. Нови активи отч.год.'!$B$111:$B$131,$B198,'11.2. Нови активи отч.год.'!H$111:H$131)</f>
        <v>633.63151000000005</v>
      </c>
      <c r="I198" s="898">
        <f>H198+SUMIF('11.2. Нови активи отч.год.'!$B$111:$B$131,$B198,'11.2. Нови активи отч.год.'!I$111:I$131)</f>
        <v>633.63151000000005</v>
      </c>
      <c r="J198" s="898">
        <f>I198+SUMIF('11.2. Нови активи отч.год.'!$B$111:$B$131,$B198,'11.2. Нови активи отч.год.'!J$111:J$131)</f>
        <v>633.63151000000005</v>
      </c>
      <c r="K198" s="899">
        <f>J198+SUMIF('11.2. Нови активи отч.год.'!$B$111:$B$131,$B198,'11.2. Нови активи отч.год.'!K$111:K$131)</f>
        <v>633.63151000000005</v>
      </c>
      <c r="L198" s="2250">
        <v>0</v>
      </c>
      <c r="M198" s="897">
        <f>L198+SUMIF('11.2. Нови активи отч.год.'!$B$111:$B$131,$B198,'11.2. Нови активи отч.год.'!M$111:M$131)</f>
        <v>0</v>
      </c>
      <c r="N198" s="898">
        <f>M198+SUMIF('11.2. Нови активи отч.год.'!$B$111:$B$131,$B198,'11.2. Нови активи отч.год.'!N$111:N$131)</f>
        <v>0</v>
      </c>
      <c r="O198" s="898">
        <f>N198+SUMIF('11.2. Нови активи отч.год.'!$B$111:$B$131,$B198,'11.2. Нови активи отч.год.'!O$111:O$131)</f>
        <v>0</v>
      </c>
      <c r="P198" s="898">
        <f>O198+SUMIF('11.2. Нови активи отч.год.'!$B$111:$B$131,$B198,'11.2. Нови активи отч.год.'!P$111:P$131)</f>
        <v>0</v>
      </c>
      <c r="Q198" s="898">
        <f>P198+SUMIF('11.2. Нови активи отч.год.'!$B$111:$B$131,$B198,'11.2. Нови активи отч.год.'!Q$111:Q$131)</f>
        <v>0</v>
      </c>
      <c r="R198" s="899">
        <f>Q198+SUMIF('11.2. Нови активи отч.год.'!$B$111:$B$131,$B198,'11.2. Нови активи отч.год.'!R$111:R$131)</f>
        <v>0</v>
      </c>
      <c r="S198" s="2250">
        <v>6.5279099999999994</v>
      </c>
      <c r="T198" s="897">
        <f>S198+SUMIF('11.2. Нови активи отч.год.'!$B$111:$B$131,$B198,'11.2. Нови активи отч.год.'!T$111:T$131)</f>
        <v>6.5279099999999994</v>
      </c>
      <c r="U198" s="898">
        <f>T198+SUMIF('11.2. Нови активи отч.год.'!$B$111:$B$131,$B198,'11.2. Нови активи отч.год.'!U$111:U$131)</f>
        <v>6.5279099999999994</v>
      </c>
      <c r="V198" s="898">
        <f>U198+SUMIF('11.2. Нови активи отч.год.'!$B$111:$B$131,$B198,'11.2. Нови активи отч.год.'!V$111:V$131)</f>
        <v>6.5279099999999994</v>
      </c>
      <c r="W198" s="898">
        <f>V198+SUMIF('11.2. Нови активи отч.год.'!$B$111:$B$131,$B198,'11.2. Нови активи отч.год.'!W$111:W$131)</f>
        <v>6.5279099999999994</v>
      </c>
      <c r="X198" s="898">
        <f>W198+SUMIF('11.2. Нови активи отч.год.'!$B$111:$B$131,$B198,'11.2. Нови активи отч.год.'!X$111:X$131)</f>
        <v>6.5279099999999994</v>
      </c>
      <c r="Y198" s="899">
        <f>X198+SUMIF('11.2. Нови активи отч.год.'!$B$111:$B$131,$B198,'11.2. Нови активи отч.год.'!Y$111:Y$131)</f>
        <v>6.5279099999999994</v>
      </c>
      <c r="Z198" s="1671"/>
      <c r="AA198" s="1702"/>
      <c r="AB198" s="1726"/>
    </row>
    <row r="199" spans="1:28" s="1642" customFormat="1">
      <c r="A199" s="1673">
        <v>8</v>
      </c>
      <c r="B199" s="1674" t="s">
        <v>969</v>
      </c>
      <c r="C199" s="1675">
        <v>0.1</v>
      </c>
      <c r="D199" s="1625" t="s">
        <v>966</v>
      </c>
      <c r="E199" s="2250">
        <v>50.18929</v>
      </c>
      <c r="F199" s="897">
        <f>E199+SUMIF('11.2. Нови активи отч.год.'!$B$111:$B$131,$B199,'11.2. Нови активи отч.год.'!F$111:F$131)</f>
        <v>50.18929</v>
      </c>
      <c r="G199" s="898">
        <f>F199+SUMIF('11.2. Нови активи отч.год.'!$B$111:$B$131,$B199,'11.2. Нови активи отч.год.'!G$111:G$131)</f>
        <v>50.18929</v>
      </c>
      <c r="H199" s="898">
        <f>G199+SUMIF('11.2. Нови активи отч.год.'!$B$111:$B$131,$B199,'11.2. Нови активи отч.год.'!H$111:H$131)</f>
        <v>50.18929</v>
      </c>
      <c r="I199" s="898">
        <f>H199+SUMIF('11.2. Нови активи отч.год.'!$B$111:$B$131,$B199,'11.2. Нови активи отч.год.'!I$111:I$131)</f>
        <v>50.18929</v>
      </c>
      <c r="J199" s="898">
        <f>I199+SUMIF('11.2. Нови активи отч.год.'!$B$111:$B$131,$B199,'11.2. Нови активи отч.год.'!J$111:J$131)</f>
        <v>50.18929</v>
      </c>
      <c r="K199" s="899">
        <f>J199+SUMIF('11.2. Нови активи отч.год.'!$B$111:$B$131,$B199,'11.2. Нови активи отч.год.'!K$111:K$131)</f>
        <v>50.18929</v>
      </c>
      <c r="L199" s="2250">
        <v>0</v>
      </c>
      <c r="M199" s="897">
        <f>L199+SUMIF('11.2. Нови активи отч.год.'!$B$111:$B$131,$B199,'11.2. Нови активи отч.год.'!M$111:M$131)</f>
        <v>0</v>
      </c>
      <c r="N199" s="898">
        <f>M199+SUMIF('11.2. Нови активи отч.год.'!$B$111:$B$131,$B199,'11.2. Нови активи отч.год.'!N$111:N$131)</f>
        <v>0</v>
      </c>
      <c r="O199" s="898">
        <f>N199+SUMIF('11.2. Нови активи отч.год.'!$B$111:$B$131,$B199,'11.2. Нови активи отч.год.'!O$111:O$131)</f>
        <v>0</v>
      </c>
      <c r="P199" s="898">
        <f>O199+SUMIF('11.2. Нови активи отч.год.'!$B$111:$B$131,$B199,'11.2. Нови активи отч.год.'!P$111:P$131)</f>
        <v>0</v>
      </c>
      <c r="Q199" s="898">
        <f>P199+SUMIF('11.2. Нови активи отч.год.'!$B$111:$B$131,$B199,'11.2. Нови активи отч.год.'!Q$111:Q$131)</f>
        <v>0</v>
      </c>
      <c r="R199" s="899">
        <f>Q199+SUMIF('11.2. Нови активи отч.год.'!$B$111:$B$131,$B199,'11.2. Нови активи отч.год.'!R$111:R$131)</f>
        <v>0</v>
      </c>
      <c r="S199" s="2250">
        <v>0</v>
      </c>
      <c r="T199" s="897">
        <f>S199+SUMIF('11.2. Нови активи отч.год.'!$B$111:$B$131,$B199,'11.2. Нови активи отч.год.'!T$111:T$131)</f>
        <v>0</v>
      </c>
      <c r="U199" s="898">
        <f>T199+SUMIF('11.2. Нови активи отч.год.'!$B$111:$B$131,$B199,'11.2. Нови активи отч.год.'!U$111:U$131)</f>
        <v>0</v>
      </c>
      <c r="V199" s="898">
        <f>U199+SUMIF('11.2. Нови активи отч.год.'!$B$111:$B$131,$B199,'11.2. Нови активи отч.год.'!V$111:V$131)</f>
        <v>0</v>
      </c>
      <c r="W199" s="898">
        <f>V199+SUMIF('11.2. Нови активи отч.год.'!$B$111:$B$131,$B199,'11.2. Нови активи отч.год.'!W$111:W$131)</f>
        <v>0</v>
      </c>
      <c r="X199" s="898">
        <f>W199+SUMIF('11.2. Нови активи отч.год.'!$B$111:$B$131,$B199,'11.2. Нови активи отч.год.'!X$111:X$131)</f>
        <v>0</v>
      </c>
      <c r="Y199" s="899">
        <f>X199+SUMIF('11.2. Нови активи отч.год.'!$B$111:$B$131,$B199,'11.2. Нови активи отч.год.'!Y$111:Y$131)</f>
        <v>0</v>
      </c>
      <c r="Z199" s="1671"/>
      <c r="AA199" s="1702"/>
      <c r="AB199" s="1726"/>
    </row>
    <row r="200" spans="1:28" s="1642" customFormat="1">
      <c r="A200" s="1729">
        <v>9</v>
      </c>
      <c r="B200" s="1674">
        <v>911306</v>
      </c>
      <c r="C200" s="1675">
        <v>0.1</v>
      </c>
      <c r="D200" s="1625" t="s">
        <v>1471</v>
      </c>
      <c r="E200" s="2250">
        <v>0</v>
      </c>
      <c r="F200" s="897">
        <f>E200+SUMIF('11.2. Нови активи отч.год.'!$B$111:$B$131,$B200,'11.2. Нови активи отч.год.'!F$111:F$131)</f>
        <v>0</v>
      </c>
      <c r="G200" s="898">
        <f>F200+SUMIF('11.2. Нови активи отч.год.'!$B$111:$B$131,$B200,'11.2. Нови активи отч.год.'!G$111:G$131)</f>
        <v>0</v>
      </c>
      <c r="H200" s="898">
        <f>G200+SUMIF('11.2. Нови активи отч.год.'!$B$111:$B$131,$B200,'11.2. Нови активи отч.год.'!H$111:H$131)</f>
        <v>0</v>
      </c>
      <c r="I200" s="898">
        <f>H200+SUMIF('11.2. Нови активи отч.год.'!$B$111:$B$131,$B200,'11.2. Нови активи отч.год.'!I$111:I$131)</f>
        <v>0</v>
      </c>
      <c r="J200" s="898">
        <f>I200+SUMIF('11.2. Нови активи отч.год.'!$B$111:$B$131,$B200,'11.2. Нови активи отч.год.'!J$111:J$131)</f>
        <v>0</v>
      </c>
      <c r="K200" s="899">
        <f>J200+SUMIF('11.2. Нови активи отч.год.'!$B$111:$B$131,$B200,'11.2. Нови активи отч.год.'!K$111:K$131)</f>
        <v>0</v>
      </c>
      <c r="L200" s="2250">
        <v>0</v>
      </c>
      <c r="M200" s="897">
        <f>L200+SUMIF('11.2. Нови активи отч.год.'!$B$111:$B$131,$B200,'11.2. Нови активи отч.год.'!M$111:M$131)</f>
        <v>0</v>
      </c>
      <c r="N200" s="898">
        <f>M200+SUMIF('11.2. Нови активи отч.год.'!$B$111:$B$131,$B200,'11.2. Нови активи отч.год.'!N$111:N$131)</f>
        <v>0</v>
      </c>
      <c r="O200" s="898">
        <f>N200+SUMIF('11.2. Нови активи отч.год.'!$B$111:$B$131,$B200,'11.2. Нови активи отч.год.'!O$111:O$131)</f>
        <v>0</v>
      </c>
      <c r="P200" s="898">
        <f>O200+SUMIF('11.2. Нови активи отч.год.'!$B$111:$B$131,$B200,'11.2. Нови активи отч.год.'!P$111:P$131)</f>
        <v>0</v>
      </c>
      <c r="Q200" s="898">
        <f>P200+SUMIF('11.2. Нови активи отч.год.'!$B$111:$B$131,$B200,'11.2. Нови активи отч.год.'!Q$111:Q$131)</f>
        <v>0</v>
      </c>
      <c r="R200" s="899">
        <f>Q200+SUMIF('11.2. Нови активи отч.год.'!$B$111:$B$131,$B200,'11.2. Нови активи отч.год.'!R$111:R$131)</f>
        <v>0</v>
      </c>
      <c r="S200" s="2250">
        <v>0</v>
      </c>
      <c r="T200" s="897">
        <f>S200+SUMIF('11.2. Нови активи отч.год.'!$B$111:$B$131,$B200,'11.2. Нови активи отч.год.'!T$111:T$131)</f>
        <v>0</v>
      </c>
      <c r="U200" s="898">
        <f>T200+SUMIF('11.2. Нови активи отч.год.'!$B$111:$B$131,$B200,'11.2. Нови активи отч.год.'!U$111:U$131)</f>
        <v>0</v>
      </c>
      <c r="V200" s="898">
        <f>U200+SUMIF('11.2. Нови активи отч.год.'!$B$111:$B$131,$B200,'11.2. Нови активи отч.год.'!V$111:V$131)</f>
        <v>0</v>
      </c>
      <c r="W200" s="898">
        <f>V200+SUMIF('11.2. Нови активи отч.год.'!$B$111:$B$131,$B200,'11.2. Нови активи отч.год.'!W$111:W$131)</f>
        <v>0</v>
      </c>
      <c r="X200" s="898">
        <f>W200+SUMIF('11.2. Нови активи отч.год.'!$B$111:$B$131,$B200,'11.2. Нови активи отч.год.'!X$111:X$131)</f>
        <v>0</v>
      </c>
      <c r="Y200" s="899">
        <f>X200+SUMIF('11.2. Нови активи отч.год.'!$B$111:$B$131,$B200,'11.2. Нови активи отч.год.'!Y$111:Y$131)</f>
        <v>0</v>
      </c>
      <c r="Z200" s="1671"/>
      <c r="AA200" s="1702"/>
      <c r="AB200" s="1726"/>
    </row>
    <row r="201" spans="1:28" s="1642" customFormat="1">
      <c r="A201" s="1729">
        <v>10</v>
      </c>
      <c r="B201" s="1674">
        <v>91140101</v>
      </c>
      <c r="C201" s="1728">
        <v>0.1</v>
      </c>
      <c r="D201" s="1637" t="s">
        <v>1442</v>
      </c>
      <c r="E201" s="2250">
        <f>678.55119+68.30521+20.322</f>
        <v>767.17840000000001</v>
      </c>
      <c r="F201" s="897">
        <f>E201+SUMIF('11.2. Нови активи отч.год.'!$B$111:$B$131,$B201,'11.2. Нови активи отч.год.'!F$111:F$131)</f>
        <v>767.17840000000001</v>
      </c>
      <c r="G201" s="898">
        <f>F201+SUMIF('11.2. Нови активи отч.год.'!$B$111:$B$131,$B201,'11.2. Нови активи отч.год.'!G$111:G$131)</f>
        <v>767.17840000000001</v>
      </c>
      <c r="H201" s="898">
        <f>G201+SUMIF('11.2. Нови активи отч.год.'!$B$111:$B$131,$B201,'11.2. Нови активи отч.год.'!H$111:H$131)</f>
        <v>767.17840000000001</v>
      </c>
      <c r="I201" s="898">
        <f>H201+SUMIF('11.2. Нови активи отч.год.'!$B$111:$B$131,$B201,'11.2. Нови активи отч.год.'!I$111:I$131)</f>
        <v>767.17840000000001</v>
      </c>
      <c r="J201" s="898">
        <f>I201+SUMIF('11.2. Нови активи отч.год.'!$B$111:$B$131,$B201,'11.2. Нови активи отч.год.'!J$111:J$131)</f>
        <v>767.17840000000001</v>
      </c>
      <c r="K201" s="899">
        <f>J201+SUMIF('11.2. Нови активи отч.год.'!$B$111:$B$131,$B201,'11.2. Нови активи отч.год.'!K$111:K$131)</f>
        <v>767.17840000000001</v>
      </c>
      <c r="L201" s="2250">
        <v>0</v>
      </c>
      <c r="M201" s="897">
        <f>L201+SUMIF('11.2. Нови активи отч.год.'!$B$111:$B$131,$B201,'11.2. Нови активи отч.год.'!M$111:M$131)</f>
        <v>0</v>
      </c>
      <c r="N201" s="898">
        <f>M201+SUMIF('11.2. Нови активи отч.год.'!$B$111:$B$131,$B201,'11.2. Нови активи отч.год.'!N$111:N$131)</f>
        <v>0</v>
      </c>
      <c r="O201" s="898">
        <f>N201+SUMIF('11.2. Нови активи отч.год.'!$B$111:$B$131,$B201,'11.2. Нови активи отч.год.'!O$111:O$131)</f>
        <v>0</v>
      </c>
      <c r="P201" s="898">
        <f>O201+SUMIF('11.2. Нови активи отч.год.'!$B$111:$B$131,$B201,'11.2. Нови активи отч.год.'!P$111:P$131)</f>
        <v>0</v>
      </c>
      <c r="Q201" s="898">
        <f>P201+SUMIF('11.2. Нови активи отч.год.'!$B$111:$B$131,$B201,'11.2. Нови активи отч.год.'!Q$111:Q$131)</f>
        <v>0</v>
      </c>
      <c r="R201" s="899">
        <f>Q201+SUMIF('11.2. Нови активи отч.год.'!$B$111:$B$131,$B201,'11.2. Нови активи отч.год.'!R$111:R$131)</f>
        <v>0</v>
      </c>
      <c r="S201" s="2250">
        <v>34.553479999999993</v>
      </c>
      <c r="T201" s="897">
        <f>S201+SUMIF('11.2. Нови активи отч.год.'!$B$111:$B$131,$B201,'11.2. Нови активи отч.год.'!T$111:T$131)</f>
        <v>34.553479999999993</v>
      </c>
      <c r="U201" s="898">
        <f>T201+SUMIF('11.2. Нови активи отч.год.'!$B$111:$B$131,$B201,'11.2. Нови активи отч.год.'!U$111:U$131)</f>
        <v>34.553479999999993</v>
      </c>
      <c r="V201" s="898">
        <f>U201+SUMIF('11.2. Нови активи отч.год.'!$B$111:$B$131,$B201,'11.2. Нови активи отч.год.'!V$111:V$131)</f>
        <v>34.553479999999993</v>
      </c>
      <c r="W201" s="898">
        <f>V201+SUMIF('11.2. Нови активи отч.год.'!$B$111:$B$131,$B201,'11.2. Нови активи отч.год.'!W$111:W$131)</f>
        <v>34.553479999999993</v>
      </c>
      <c r="X201" s="898">
        <f>W201+SUMIF('11.2. Нови активи отч.год.'!$B$111:$B$131,$B201,'11.2. Нови активи отч.год.'!X$111:X$131)</f>
        <v>34.553479999999993</v>
      </c>
      <c r="Y201" s="899">
        <f>X201+SUMIF('11.2. Нови активи отч.год.'!$B$111:$B$131,$B201,'11.2. Нови активи отч.год.'!Y$111:Y$131)</f>
        <v>34.553479999999993</v>
      </c>
      <c r="Z201" s="1671"/>
      <c r="AA201" s="1702"/>
      <c r="AB201" s="1726"/>
    </row>
    <row r="202" spans="1:28" s="1642" customFormat="1">
      <c r="A202" s="1729">
        <v>11</v>
      </c>
      <c r="B202" s="1674">
        <v>91140102</v>
      </c>
      <c r="C202" s="1728">
        <v>0.04</v>
      </c>
      <c r="D202" s="1637" t="s">
        <v>604</v>
      </c>
      <c r="E202" s="2250">
        <f>859.85415+13.763</f>
        <v>873.61715000000004</v>
      </c>
      <c r="F202" s="897">
        <f>E202+SUMIF('11.2. Нови активи отч.год.'!$B$111:$B$131,$B202,'11.2. Нови активи отч.год.'!F$111:F$131)</f>
        <v>873.61715000000004</v>
      </c>
      <c r="G202" s="898">
        <f>F202+SUMIF('11.2. Нови активи отч.год.'!$B$111:$B$131,$B202,'11.2. Нови активи отч.год.'!G$111:G$131)</f>
        <v>873.61715000000004</v>
      </c>
      <c r="H202" s="898">
        <f>G202+SUMIF('11.2. Нови активи отч.год.'!$B$111:$B$131,$B202,'11.2. Нови активи отч.год.'!H$111:H$131)</f>
        <v>873.61715000000004</v>
      </c>
      <c r="I202" s="898">
        <f>H202+SUMIF('11.2. Нови активи отч.год.'!$B$111:$B$131,$B202,'11.2. Нови активи отч.год.'!I$111:I$131)</f>
        <v>873.61715000000004</v>
      </c>
      <c r="J202" s="898">
        <f>I202+SUMIF('11.2. Нови активи отч.год.'!$B$111:$B$131,$B202,'11.2. Нови активи отч.год.'!J$111:J$131)</f>
        <v>873.61715000000004</v>
      </c>
      <c r="K202" s="899">
        <f>J202+SUMIF('11.2. Нови активи отч.год.'!$B$111:$B$131,$B202,'11.2. Нови активи отч.год.'!K$111:K$131)</f>
        <v>873.61715000000004</v>
      </c>
      <c r="L202" s="2250">
        <v>5.79</v>
      </c>
      <c r="M202" s="897">
        <f>L202+SUMIF('11.2. Нови активи отч.год.'!$B$111:$B$131,$B202,'11.2. Нови активи отч.год.'!M$111:M$131)</f>
        <v>5.79</v>
      </c>
      <c r="N202" s="898">
        <f>M202+SUMIF('11.2. Нови активи отч.год.'!$B$111:$B$131,$B202,'11.2. Нови активи отч.год.'!N$111:N$131)</f>
        <v>5.79</v>
      </c>
      <c r="O202" s="898">
        <f>N202+SUMIF('11.2. Нови активи отч.год.'!$B$111:$B$131,$B202,'11.2. Нови активи отч.год.'!O$111:O$131)</f>
        <v>5.79</v>
      </c>
      <c r="P202" s="898">
        <f>O202+SUMIF('11.2. Нови активи отч.год.'!$B$111:$B$131,$B202,'11.2. Нови активи отч.год.'!P$111:P$131)</f>
        <v>5.79</v>
      </c>
      <c r="Q202" s="898">
        <f>P202+SUMIF('11.2. Нови активи отч.год.'!$B$111:$B$131,$B202,'11.2. Нови активи отч.год.'!Q$111:Q$131)</f>
        <v>5.79</v>
      </c>
      <c r="R202" s="899">
        <f>Q202+SUMIF('11.2. Нови активи отч.год.'!$B$111:$B$131,$B202,'11.2. Нови активи отч.год.'!R$111:R$131)</f>
        <v>5.79</v>
      </c>
      <c r="S202" s="2250">
        <v>10.998989999999999</v>
      </c>
      <c r="T202" s="897">
        <f>S202+SUMIF('11.2. Нови активи отч.год.'!$B$111:$B$131,$B202,'11.2. Нови активи отч.год.'!T$111:T$131)</f>
        <v>10.998989999999999</v>
      </c>
      <c r="U202" s="898">
        <f>T202+SUMIF('11.2. Нови активи отч.год.'!$B$111:$B$131,$B202,'11.2. Нови активи отч.год.'!U$111:U$131)</f>
        <v>10.998989999999999</v>
      </c>
      <c r="V202" s="898">
        <f>U202+SUMIF('11.2. Нови активи отч.год.'!$B$111:$B$131,$B202,'11.2. Нови активи отч.год.'!V$111:V$131)</f>
        <v>10.998989999999999</v>
      </c>
      <c r="W202" s="898">
        <f>V202+SUMIF('11.2. Нови активи отч.год.'!$B$111:$B$131,$B202,'11.2. Нови активи отч.год.'!W$111:W$131)</f>
        <v>10.998989999999999</v>
      </c>
      <c r="X202" s="898">
        <f>W202+SUMIF('11.2. Нови активи отч.год.'!$B$111:$B$131,$B202,'11.2. Нови активи отч.год.'!X$111:X$131)</f>
        <v>10.998989999999999</v>
      </c>
      <c r="Y202" s="899">
        <f>X202+SUMIF('11.2. Нови активи отч.год.'!$B$111:$B$131,$B202,'11.2. Нови активи отч.год.'!Y$111:Y$131)</f>
        <v>10.998989999999999</v>
      </c>
      <c r="Z202" s="1671"/>
      <c r="AA202" s="1702"/>
      <c r="AB202" s="1726"/>
    </row>
    <row r="203" spans="1:28" s="1642" customFormat="1">
      <c r="A203" s="1729">
        <v>12</v>
      </c>
      <c r="B203" s="1674" t="s">
        <v>951</v>
      </c>
      <c r="C203" s="1675">
        <v>0.02</v>
      </c>
      <c r="D203" s="1623" t="s">
        <v>1007</v>
      </c>
      <c r="E203" s="2250">
        <f>0+209.94</f>
        <v>209.94</v>
      </c>
      <c r="F203" s="897">
        <f>E203+SUMIF('11.2. Нови активи отч.год.'!$B$111:$B$131,$B203,'11.2. Нови активи отч.год.'!F$111:F$131)</f>
        <v>209.94</v>
      </c>
      <c r="G203" s="898">
        <f>F203+SUMIF('11.2. Нови активи отч.год.'!$B$111:$B$131,$B203,'11.2. Нови активи отч.год.'!G$111:G$131)</f>
        <v>209.94</v>
      </c>
      <c r="H203" s="898">
        <f>G203+SUMIF('11.2. Нови активи отч.год.'!$B$111:$B$131,$B203,'11.2. Нови активи отч.год.'!H$111:H$131)</f>
        <v>209.94</v>
      </c>
      <c r="I203" s="898">
        <f>H203+SUMIF('11.2. Нови активи отч.год.'!$B$111:$B$131,$B203,'11.2. Нови активи отч.год.'!I$111:I$131)</f>
        <v>209.94</v>
      </c>
      <c r="J203" s="898">
        <f>I203+SUMIF('11.2. Нови активи отч.год.'!$B$111:$B$131,$B203,'11.2. Нови активи отч.год.'!J$111:J$131)</f>
        <v>209.94</v>
      </c>
      <c r="K203" s="899">
        <f>J203+SUMIF('11.2. Нови активи отч.год.'!$B$111:$B$131,$B203,'11.2. Нови активи отч.год.'!K$111:K$131)</f>
        <v>209.94</v>
      </c>
      <c r="L203" s="2250">
        <v>0</v>
      </c>
      <c r="M203" s="897">
        <f>L203+SUMIF('11.2. Нови активи отч.год.'!$B$111:$B$131,$B203,'11.2. Нови активи отч.год.'!M$111:M$131)</f>
        <v>0</v>
      </c>
      <c r="N203" s="898">
        <f>M203+SUMIF('11.2. Нови активи отч.год.'!$B$111:$B$131,$B203,'11.2. Нови активи отч.год.'!N$111:N$131)</f>
        <v>0</v>
      </c>
      <c r="O203" s="898">
        <f>N203+SUMIF('11.2. Нови активи отч.год.'!$B$111:$B$131,$B203,'11.2. Нови активи отч.год.'!O$111:O$131)</f>
        <v>0</v>
      </c>
      <c r="P203" s="898">
        <f>O203+SUMIF('11.2. Нови активи отч.год.'!$B$111:$B$131,$B203,'11.2. Нови активи отч.год.'!P$111:P$131)</f>
        <v>0</v>
      </c>
      <c r="Q203" s="898">
        <f>P203+SUMIF('11.2. Нови активи отч.год.'!$B$111:$B$131,$B203,'11.2. Нови активи отч.год.'!Q$111:Q$131)</f>
        <v>0</v>
      </c>
      <c r="R203" s="899">
        <f>Q203+SUMIF('11.2. Нови активи отч.год.'!$B$111:$B$131,$B203,'11.2. Нови активи отч.год.'!R$111:R$131)</f>
        <v>0</v>
      </c>
      <c r="S203" s="2250">
        <v>0</v>
      </c>
      <c r="T203" s="897">
        <f>S203+SUMIF('11.2. Нови активи отч.год.'!$B$111:$B$131,$B203,'11.2. Нови активи отч.год.'!T$111:T$131)</f>
        <v>0</v>
      </c>
      <c r="U203" s="898">
        <f>T203+SUMIF('11.2. Нови активи отч.год.'!$B$111:$B$131,$B203,'11.2. Нови активи отч.год.'!U$111:U$131)</f>
        <v>0</v>
      </c>
      <c r="V203" s="898">
        <f>U203+SUMIF('11.2. Нови активи отч.год.'!$B$111:$B$131,$B203,'11.2. Нови активи отч.год.'!V$111:V$131)</f>
        <v>0</v>
      </c>
      <c r="W203" s="898">
        <f>V203+SUMIF('11.2. Нови активи отч.год.'!$B$111:$B$131,$B203,'11.2. Нови активи отч.год.'!W$111:W$131)</f>
        <v>0</v>
      </c>
      <c r="X203" s="898">
        <f>W203+SUMIF('11.2. Нови активи отч.год.'!$B$111:$B$131,$B203,'11.2. Нови активи отч.год.'!X$111:X$131)</f>
        <v>0</v>
      </c>
      <c r="Y203" s="899">
        <f>X203+SUMIF('11.2. Нови активи отч.год.'!$B$111:$B$131,$B203,'11.2. Нови активи отч.год.'!Y$111:Y$131)</f>
        <v>0</v>
      </c>
      <c r="Z203" s="1671"/>
      <c r="AA203" s="1702"/>
      <c r="AB203" s="1726"/>
    </row>
    <row r="204" spans="1:28" s="1642" customFormat="1">
      <c r="A204" s="1729">
        <v>13</v>
      </c>
      <c r="B204" s="1674" t="s">
        <v>952</v>
      </c>
      <c r="C204" s="1675">
        <v>0.02</v>
      </c>
      <c r="D204" s="1623" t="s">
        <v>1008</v>
      </c>
      <c r="E204" s="2250">
        <f>1023.56095+379.956</f>
        <v>1403.5169500000002</v>
      </c>
      <c r="F204" s="897">
        <f>E204+SUMIF('11.2. Нови активи отч.год.'!$B$111:$B$131,$B204,'11.2. Нови активи отч.год.'!F$111:F$131)</f>
        <v>1403.5169500000002</v>
      </c>
      <c r="G204" s="898">
        <f>F204+SUMIF('11.2. Нови активи отч.год.'!$B$111:$B$131,$B204,'11.2. Нови активи отч.год.'!G$111:G$131)</f>
        <v>1403.5169500000002</v>
      </c>
      <c r="H204" s="898">
        <f>G204+SUMIF('11.2. Нови активи отч.год.'!$B$111:$B$131,$B204,'11.2. Нови активи отч.год.'!H$111:H$131)</f>
        <v>1403.5169500000002</v>
      </c>
      <c r="I204" s="898">
        <f>H204+SUMIF('11.2. Нови активи отч.год.'!$B$111:$B$131,$B204,'11.2. Нови активи отч.год.'!I$111:I$131)</f>
        <v>1403.5169500000002</v>
      </c>
      <c r="J204" s="898">
        <f>I204+SUMIF('11.2. Нови активи отч.год.'!$B$111:$B$131,$B204,'11.2. Нови активи отч.год.'!J$111:J$131)</f>
        <v>1403.5169500000002</v>
      </c>
      <c r="K204" s="899">
        <f>J204+SUMIF('11.2. Нови активи отч.год.'!$B$111:$B$131,$B204,'11.2. Нови активи отч.год.'!K$111:K$131)</f>
        <v>1403.5169500000002</v>
      </c>
      <c r="L204" s="2250">
        <v>0</v>
      </c>
      <c r="M204" s="897">
        <f>L204+SUMIF('11.2. Нови активи отч.год.'!$B$111:$B$131,$B204,'11.2. Нови активи отч.год.'!M$111:M$131)</f>
        <v>0</v>
      </c>
      <c r="N204" s="898">
        <f>M204+SUMIF('11.2. Нови активи отч.год.'!$B$111:$B$131,$B204,'11.2. Нови активи отч.год.'!N$111:N$131)</f>
        <v>0</v>
      </c>
      <c r="O204" s="898">
        <f>N204+SUMIF('11.2. Нови активи отч.год.'!$B$111:$B$131,$B204,'11.2. Нови активи отч.год.'!O$111:O$131)</f>
        <v>0</v>
      </c>
      <c r="P204" s="898">
        <f>O204+SUMIF('11.2. Нови активи отч.год.'!$B$111:$B$131,$B204,'11.2. Нови активи отч.год.'!P$111:P$131)</f>
        <v>0</v>
      </c>
      <c r="Q204" s="898">
        <f>P204+SUMIF('11.2. Нови активи отч.год.'!$B$111:$B$131,$B204,'11.2. Нови активи отч.год.'!Q$111:Q$131)</f>
        <v>0</v>
      </c>
      <c r="R204" s="899">
        <f>Q204+SUMIF('11.2. Нови активи отч.год.'!$B$111:$B$131,$B204,'11.2. Нови активи отч.год.'!R$111:R$131)</f>
        <v>0</v>
      </c>
      <c r="S204" s="2250">
        <v>0</v>
      </c>
      <c r="T204" s="897">
        <f>S204+SUMIF('11.2. Нови активи отч.год.'!$B$111:$B$131,$B204,'11.2. Нови активи отч.год.'!T$111:T$131)</f>
        <v>0</v>
      </c>
      <c r="U204" s="898">
        <f>T204+SUMIF('11.2. Нови активи отч.год.'!$B$111:$B$131,$B204,'11.2. Нови активи отч.год.'!U$111:U$131)</f>
        <v>0</v>
      </c>
      <c r="V204" s="898">
        <f>U204+SUMIF('11.2. Нови активи отч.год.'!$B$111:$B$131,$B204,'11.2. Нови активи отч.год.'!V$111:V$131)</f>
        <v>0</v>
      </c>
      <c r="W204" s="898">
        <f>V204+SUMIF('11.2. Нови активи отч.год.'!$B$111:$B$131,$B204,'11.2. Нови активи отч.год.'!W$111:W$131)</f>
        <v>0</v>
      </c>
      <c r="X204" s="898">
        <f>W204+SUMIF('11.2. Нови активи отч.год.'!$B$111:$B$131,$B204,'11.2. Нови активи отч.год.'!X$111:X$131)</f>
        <v>0</v>
      </c>
      <c r="Y204" s="899">
        <f>X204+SUMIF('11.2. Нови активи отч.год.'!$B$111:$B$131,$B204,'11.2. Нови активи отч.год.'!Y$111:Y$131)</f>
        <v>0</v>
      </c>
      <c r="Z204" s="1671"/>
      <c r="AA204" s="1702"/>
      <c r="AB204" s="1726"/>
    </row>
    <row r="205" spans="1:28" s="1642" customFormat="1">
      <c r="A205" s="1729">
        <v>14</v>
      </c>
      <c r="B205" s="1674" t="s">
        <v>953</v>
      </c>
      <c r="C205" s="1675">
        <v>0.02</v>
      </c>
      <c r="D205" s="1623" t="s">
        <v>590</v>
      </c>
      <c r="E205" s="2250">
        <v>17.497419999999998</v>
      </c>
      <c r="F205" s="897">
        <f>E205+SUMIF('11.2. Нови активи отч.год.'!$B$111:$B$131,$B205,'11.2. Нови активи отч.год.'!F$111:F$131)</f>
        <v>17.497419999999998</v>
      </c>
      <c r="G205" s="898">
        <f>F205+SUMIF('11.2. Нови активи отч.год.'!$B$111:$B$131,$B205,'11.2. Нови активи отч.год.'!G$111:G$131)</f>
        <v>17.497419999999998</v>
      </c>
      <c r="H205" s="898">
        <f>G205+SUMIF('11.2. Нови активи отч.год.'!$B$111:$B$131,$B205,'11.2. Нови активи отч.год.'!H$111:H$131)</f>
        <v>17.497419999999998</v>
      </c>
      <c r="I205" s="898">
        <f>H205+SUMIF('11.2. Нови активи отч.год.'!$B$111:$B$131,$B205,'11.2. Нови активи отч.год.'!I$111:I$131)</f>
        <v>17.497419999999998</v>
      </c>
      <c r="J205" s="898">
        <f>I205+SUMIF('11.2. Нови активи отч.год.'!$B$111:$B$131,$B205,'11.2. Нови активи отч.год.'!J$111:J$131)</f>
        <v>17.497419999999998</v>
      </c>
      <c r="K205" s="899">
        <f>J205+SUMIF('11.2. Нови активи отч.год.'!$B$111:$B$131,$B205,'11.2. Нови активи отч.год.'!K$111:K$131)</f>
        <v>17.497419999999998</v>
      </c>
      <c r="L205" s="2250">
        <v>0</v>
      </c>
      <c r="M205" s="897">
        <f>L205+SUMIF('11.2. Нови активи отч.год.'!$B$111:$B$131,$B205,'11.2. Нови активи отч.год.'!M$111:M$131)</f>
        <v>0</v>
      </c>
      <c r="N205" s="898">
        <f>M205+SUMIF('11.2. Нови активи отч.год.'!$B$111:$B$131,$B205,'11.2. Нови активи отч.год.'!N$111:N$131)</f>
        <v>0</v>
      </c>
      <c r="O205" s="898">
        <f>N205+SUMIF('11.2. Нови активи отч.год.'!$B$111:$B$131,$B205,'11.2. Нови активи отч.год.'!O$111:O$131)</f>
        <v>0</v>
      </c>
      <c r="P205" s="898">
        <f>O205+SUMIF('11.2. Нови активи отч.год.'!$B$111:$B$131,$B205,'11.2. Нови активи отч.год.'!P$111:P$131)</f>
        <v>0</v>
      </c>
      <c r="Q205" s="898">
        <f>P205+SUMIF('11.2. Нови активи отч.год.'!$B$111:$B$131,$B205,'11.2. Нови активи отч.год.'!Q$111:Q$131)</f>
        <v>0</v>
      </c>
      <c r="R205" s="899">
        <f>Q205+SUMIF('11.2. Нови активи отч.год.'!$B$111:$B$131,$B205,'11.2. Нови активи отч.год.'!R$111:R$131)</f>
        <v>0</v>
      </c>
      <c r="S205" s="2250">
        <v>0</v>
      </c>
      <c r="T205" s="897">
        <f>S205+SUMIF('11.2. Нови активи отч.год.'!$B$111:$B$131,$B205,'11.2. Нови активи отч.год.'!T$111:T$131)</f>
        <v>0</v>
      </c>
      <c r="U205" s="898">
        <f>T205+SUMIF('11.2. Нови активи отч.год.'!$B$111:$B$131,$B205,'11.2. Нови активи отч.год.'!U$111:U$131)</f>
        <v>0</v>
      </c>
      <c r="V205" s="898">
        <f>U205+SUMIF('11.2. Нови активи отч.год.'!$B$111:$B$131,$B205,'11.2. Нови активи отч.год.'!V$111:V$131)</f>
        <v>0</v>
      </c>
      <c r="W205" s="898">
        <f>V205+SUMIF('11.2. Нови активи отч.год.'!$B$111:$B$131,$B205,'11.2. Нови активи отч.год.'!W$111:W$131)</f>
        <v>0</v>
      </c>
      <c r="X205" s="898">
        <f>W205+SUMIF('11.2. Нови активи отч.год.'!$B$111:$B$131,$B205,'11.2. Нови активи отч.год.'!X$111:X$131)</f>
        <v>0</v>
      </c>
      <c r="Y205" s="899">
        <f>X205+SUMIF('11.2. Нови активи отч.год.'!$B$111:$B$131,$B205,'11.2. Нови активи отч.год.'!Y$111:Y$131)</f>
        <v>0</v>
      </c>
      <c r="Z205" s="1671"/>
      <c r="AA205" s="1702"/>
      <c r="AB205" s="1726"/>
    </row>
    <row r="206" spans="1:28" s="1642" customFormat="1">
      <c r="A206" s="1729">
        <v>15</v>
      </c>
      <c r="B206" s="1674" t="s">
        <v>954</v>
      </c>
      <c r="C206" s="1675">
        <v>0.02</v>
      </c>
      <c r="D206" s="1637" t="s">
        <v>591</v>
      </c>
      <c r="E206" s="2250">
        <f>867.65428+211.963</f>
        <v>1079.6172799999999</v>
      </c>
      <c r="F206" s="897">
        <f>E206+SUMIF('11.2. Нови активи отч.год.'!$B$111:$B$131,$B206,'11.2. Нови активи отч.год.'!F$111:F$131)</f>
        <v>1079.6172799999999</v>
      </c>
      <c r="G206" s="898">
        <f>F206+SUMIF('11.2. Нови активи отч.год.'!$B$111:$B$131,$B206,'11.2. Нови активи отч.год.'!G$111:G$131)</f>
        <v>1079.6172799999999</v>
      </c>
      <c r="H206" s="898">
        <f>G206+SUMIF('11.2. Нови активи отч.год.'!$B$111:$B$131,$B206,'11.2. Нови активи отч.год.'!H$111:H$131)</f>
        <v>1079.6172799999999</v>
      </c>
      <c r="I206" s="898">
        <f>H206+SUMIF('11.2. Нови активи отч.год.'!$B$111:$B$131,$B206,'11.2. Нови активи отч.год.'!I$111:I$131)</f>
        <v>1079.6172799999999</v>
      </c>
      <c r="J206" s="898">
        <f>I206+SUMIF('11.2. Нови активи отч.год.'!$B$111:$B$131,$B206,'11.2. Нови активи отч.год.'!J$111:J$131)</f>
        <v>1079.6172799999999</v>
      </c>
      <c r="K206" s="899">
        <f>J206+SUMIF('11.2. Нови активи отч.год.'!$B$111:$B$131,$B206,'11.2. Нови активи отч.год.'!K$111:K$131)</f>
        <v>1079.6172799999999</v>
      </c>
      <c r="L206" s="2250">
        <v>0</v>
      </c>
      <c r="M206" s="897">
        <f>L206+SUMIF('11.2. Нови активи отч.год.'!$B$111:$B$131,$B206,'11.2. Нови активи отч.год.'!M$111:M$131)</f>
        <v>0</v>
      </c>
      <c r="N206" s="898">
        <f>M206+SUMIF('11.2. Нови активи отч.год.'!$B$111:$B$131,$B206,'11.2. Нови активи отч.год.'!N$111:N$131)</f>
        <v>0</v>
      </c>
      <c r="O206" s="898">
        <f>N206+SUMIF('11.2. Нови активи отч.год.'!$B$111:$B$131,$B206,'11.2. Нови активи отч.год.'!O$111:O$131)</f>
        <v>0</v>
      </c>
      <c r="P206" s="898">
        <f>O206+SUMIF('11.2. Нови активи отч.год.'!$B$111:$B$131,$B206,'11.2. Нови активи отч.год.'!P$111:P$131)</f>
        <v>0</v>
      </c>
      <c r="Q206" s="898">
        <f>P206+SUMIF('11.2. Нови активи отч.год.'!$B$111:$B$131,$B206,'11.2. Нови активи отч.год.'!Q$111:Q$131)</f>
        <v>0</v>
      </c>
      <c r="R206" s="899">
        <f>Q206+SUMIF('11.2. Нови активи отч.год.'!$B$111:$B$131,$B206,'11.2. Нови активи отч.год.'!R$111:R$131)</f>
        <v>0</v>
      </c>
      <c r="S206" s="2250">
        <v>0</v>
      </c>
      <c r="T206" s="897">
        <f>S206+SUMIF('11.2. Нови активи отч.год.'!$B$111:$B$131,$B206,'11.2. Нови активи отч.год.'!T$111:T$131)</f>
        <v>0</v>
      </c>
      <c r="U206" s="898">
        <f>T206+SUMIF('11.2. Нови активи отч.год.'!$B$111:$B$131,$B206,'11.2. Нови активи отч.год.'!U$111:U$131)</f>
        <v>0</v>
      </c>
      <c r="V206" s="898">
        <f>U206+SUMIF('11.2. Нови активи отч.год.'!$B$111:$B$131,$B206,'11.2. Нови активи отч.год.'!V$111:V$131)</f>
        <v>0</v>
      </c>
      <c r="W206" s="898">
        <f>V206+SUMIF('11.2. Нови активи отч.год.'!$B$111:$B$131,$B206,'11.2. Нови активи отч.год.'!W$111:W$131)</f>
        <v>0</v>
      </c>
      <c r="X206" s="898">
        <f>W206+SUMIF('11.2. Нови активи отч.год.'!$B$111:$B$131,$B206,'11.2. Нови активи отч.год.'!X$111:X$131)</f>
        <v>0</v>
      </c>
      <c r="Y206" s="899">
        <f>X206+SUMIF('11.2. Нови активи отч.год.'!$B$111:$B$131,$B206,'11.2. Нови активи отч.год.'!Y$111:Y$131)</f>
        <v>0</v>
      </c>
      <c r="Z206" s="1671"/>
      <c r="AA206" s="1702"/>
      <c r="AB206" s="1726"/>
    </row>
    <row r="207" spans="1:28" s="1642" customFormat="1">
      <c r="A207" s="1729">
        <v>16</v>
      </c>
      <c r="B207" s="1674" t="s">
        <v>955</v>
      </c>
      <c r="C207" s="1675">
        <v>0.02</v>
      </c>
      <c r="D207" s="1623" t="s">
        <v>592</v>
      </c>
      <c r="E207" s="2250">
        <f>14496.78606+20693.375+959.195+10.57986+640</f>
        <v>36799.935919999996</v>
      </c>
      <c r="F207" s="897">
        <f>E207+SUMIF('11.2. Нови активи отч.год.'!$B$111:$B$131,$B207,'11.2. Нови активи отч.год.'!F$111:F$131)</f>
        <v>36799.935919999996</v>
      </c>
      <c r="G207" s="898">
        <f>F207+SUMIF('11.2. Нови активи отч.год.'!$B$111:$B$131,$B207,'11.2. Нови активи отч.год.'!G$111:G$131)</f>
        <v>36799.935919999996</v>
      </c>
      <c r="H207" s="898">
        <f>G207+SUMIF('11.2. Нови активи отч.год.'!$B$111:$B$131,$B207,'11.2. Нови активи отч.год.'!H$111:H$131)</f>
        <v>36799.935919999996</v>
      </c>
      <c r="I207" s="898">
        <f>H207+SUMIF('11.2. Нови активи отч.год.'!$B$111:$B$131,$B207,'11.2. Нови активи отч.год.'!I$111:I$131)</f>
        <v>36799.935919999996</v>
      </c>
      <c r="J207" s="898">
        <f>I207+SUMIF('11.2. Нови активи отч.год.'!$B$111:$B$131,$B207,'11.2. Нови активи отч.год.'!J$111:J$131)</f>
        <v>36799.935919999996</v>
      </c>
      <c r="K207" s="899">
        <f>J207+SUMIF('11.2. Нови активи отч.год.'!$B$111:$B$131,$B207,'11.2. Нови активи отч.год.'!K$111:K$131)</f>
        <v>36799.935919999996</v>
      </c>
      <c r="L207" s="2250">
        <v>0</v>
      </c>
      <c r="M207" s="897">
        <f>L207+SUMIF('11.2. Нови активи отч.год.'!$B$111:$B$131,$B207,'11.2. Нови активи отч.год.'!M$111:M$131)</f>
        <v>0</v>
      </c>
      <c r="N207" s="898">
        <f>M207+SUMIF('11.2. Нови активи отч.год.'!$B$111:$B$131,$B207,'11.2. Нови активи отч.год.'!N$111:N$131)</f>
        <v>0</v>
      </c>
      <c r="O207" s="898">
        <f>N207+SUMIF('11.2. Нови активи отч.год.'!$B$111:$B$131,$B207,'11.2. Нови активи отч.год.'!O$111:O$131)</f>
        <v>0</v>
      </c>
      <c r="P207" s="898">
        <f>O207+SUMIF('11.2. Нови активи отч.год.'!$B$111:$B$131,$B207,'11.2. Нови активи отч.год.'!P$111:P$131)</f>
        <v>0</v>
      </c>
      <c r="Q207" s="898">
        <f>P207+SUMIF('11.2. Нови активи отч.год.'!$B$111:$B$131,$B207,'11.2. Нови активи отч.год.'!Q$111:Q$131)</f>
        <v>0</v>
      </c>
      <c r="R207" s="899">
        <f>Q207+SUMIF('11.2. Нови активи отч.год.'!$B$111:$B$131,$B207,'11.2. Нови активи отч.год.'!R$111:R$131)</f>
        <v>0</v>
      </c>
      <c r="S207" s="2250">
        <v>2.8409800000000001</v>
      </c>
      <c r="T207" s="897">
        <f>S207+SUMIF('11.2. Нови активи отч.год.'!$B$111:$B$131,$B207,'11.2. Нови активи отч.год.'!T$111:T$131)</f>
        <v>2.8409800000000001</v>
      </c>
      <c r="U207" s="898">
        <f>T207+SUMIF('11.2. Нови активи отч.год.'!$B$111:$B$131,$B207,'11.2. Нови активи отч.год.'!U$111:U$131)</f>
        <v>2.8409800000000001</v>
      </c>
      <c r="V207" s="898">
        <f>U207+SUMIF('11.2. Нови активи отч.год.'!$B$111:$B$131,$B207,'11.2. Нови активи отч.год.'!V$111:V$131)</f>
        <v>2.8409800000000001</v>
      </c>
      <c r="W207" s="898">
        <f>V207+SUMIF('11.2. Нови активи отч.год.'!$B$111:$B$131,$B207,'11.2. Нови активи отч.год.'!W$111:W$131)</f>
        <v>2.8409800000000001</v>
      </c>
      <c r="X207" s="898">
        <f>W207+SUMIF('11.2. Нови активи отч.год.'!$B$111:$B$131,$B207,'11.2. Нови активи отч.год.'!X$111:X$131)</f>
        <v>2.8409800000000001</v>
      </c>
      <c r="Y207" s="899">
        <f>X207+SUMIF('11.2. Нови активи отч.год.'!$B$111:$B$131,$B207,'11.2. Нови активи отч.год.'!Y$111:Y$131)</f>
        <v>2.8409800000000001</v>
      </c>
      <c r="Z207" s="1671"/>
      <c r="AA207" s="1702"/>
      <c r="AB207" s="1726"/>
    </row>
    <row r="208" spans="1:28" s="1642" customFormat="1">
      <c r="A208" s="1729">
        <v>17</v>
      </c>
      <c r="B208" s="1674" t="s">
        <v>956</v>
      </c>
      <c r="C208" s="1675">
        <v>0.02</v>
      </c>
      <c r="D208" s="1625" t="s">
        <v>593</v>
      </c>
      <c r="E208" s="2250">
        <v>0</v>
      </c>
      <c r="F208" s="897">
        <f>E208+SUMIF('11.2. Нови активи отч.год.'!$B$111:$B$131,$B208,'11.2. Нови активи отч.год.'!F$111:F$131)</f>
        <v>0</v>
      </c>
      <c r="G208" s="898">
        <f>F208+SUMIF('11.2. Нови активи отч.год.'!$B$111:$B$131,$B208,'11.2. Нови активи отч.год.'!G$111:G$131)</f>
        <v>0</v>
      </c>
      <c r="H208" s="898">
        <f>G208+SUMIF('11.2. Нови активи отч.год.'!$B$111:$B$131,$B208,'11.2. Нови активи отч.год.'!H$111:H$131)</f>
        <v>0</v>
      </c>
      <c r="I208" s="898">
        <f>H208+SUMIF('11.2. Нови активи отч.год.'!$B$111:$B$131,$B208,'11.2. Нови активи отч.год.'!I$111:I$131)</f>
        <v>0</v>
      </c>
      <c r="J208" s="898">
        <f>I208+SUMIF('11.2. Нови активи отч.год.'!$B$111:$B$131,$B208,'11.2. Нови активи отч.год.'!J$111:J$131)</f>
        <v>0</v>
      </c>
      <c r="K208" s="899">
        <f>J208+SUMIF('11.2. Нови активи отч.год.'!$B$111:$B$131,$B208,'11.2. Нови активи отч.год.'!K$111:K$131)</f>
        <v>0</v>
      </c>
      <c r="L208" s="2250">
        <f>2459.7782+38708.3267+10399</f>
        <v>51567.104899999998</v>
      </c>
      <c r="M208" s="897">
        <f>L208+SUMIF('11.2. Нови активи отч.год.'!$B$111:$B$131,$B208,'11.2. Нови активи отч.год.'!M$111:M$131)</f>
        <v>51567.104899999998</v>
      </c>
      <c r="N208" s="898">
        <f>M208+SUMIF('11.2. Нови активи отч.год.'!$B$111:$B$131,$B208,'11.2. Нови активи отч.год.'!N$111:N$131)</f>
        <v>51567.104899999998</v>
      </c>
      <c r="O208" s="898">
        <f>N208+SUMIF('11.2. Нови активи отч.год.'!$B$111:$B$131,$B208,'11.2. Нови активи отч.год.'!O$111:O$131)</f>
        <v>51567.104899999998</v>
      </c>
      <c r="P208" s="898">
        <f>O208+SUMIF('11.2. Нови активи отч.год.'!$B$111:$B$131,$B208,'11.2. Нови активи отч.год.'!P$111:P$131)</f>
        <v>51567.104899999998</v>
      </c>
      <c r="Q208" s="898">
        <f>P208+SUMIF('11.2. Нови активи отч.год.'!$B$111:$B$131,$B208,'11.2. Нови активи отч.год.'!Q$111:Q$131)</f>
        <v>51567.104899999998</v>
      </c>
      <c r="R208" s="899">
        <f>Q208+SUMIF('11.2. Нови активи отч.год.'!$B$111:$B$131,$B208,'11.2. Нови активи отч.год.'!R$111:R$131)</f>
        <v>51567.104899999998</v>
      </c>
      <c r="S208" s="2250">
        <v>52.619689999999999</v>
      </c>
      <c r="T208" s="897">
        <f>S208+SUMIF('11.2. Нови активи отч.год.'!$B$111:$B$131,$B208,'11.2. Нови активи отч.год.'!T$111:T$131)</f>
        <v>52.619689999999999</v>
      </c>
      <c r="U208" s="898">
        <f>T208+SUMIF('11.2. Нови активи отч.год.'!$B$111:$B$131,$B208,'11.2. Нови активи отч.год.'!U$111:U$131)</f>
        <v>52.619689999999999</v>
      </c>
      <c r="V208" s="898">
        <f>U208+SUMIF('11.2. Нови активи отч.год.'!$B$111:$B$131,$B208,'11.2. Нови активи отч.год.'!V$111:V$131)</f>
        <v>52.619689999999999</v>
      </c>
      <c r="W208" s="898">
        <f>V208+SUMIF('11.2. Нови активи отч.год.'!$B$111:$B$131,$B208,'11.2. Нови активи отч.год.'!W$111:W$131)</f>
        <v>52.619689999999999</v>
      </c>
      <c r="X208" s="898">
        <f>W208+SUMIF('11.2. Нови активи отч.год.'!$B$111:$B$131,$B208,'11.2. Нови активи отч.год.'!X$111:X$131)</f>
        <v>52.619689999999999</v>
      </c>
      <c r="Y208" s="899">
        <f>X208+SUMIF('11.2. Нови активи отч.год.'!$B$111:$B$131,$B208,'11.2. Нови активи отч.год.'!Y$111:Y$131)</f>
        <v>52.619689999999999</v>
      </c>
      <c r="Z208" s="1671"/>
      <c r="AA208" s="1702"/>
      <c r="AB208" s="1726"/>
    </row>
    <row r="209" spans="1:28" s="1642" customFormat="1" ht="24">
      <c r="A209" s="1729">
        <v>18</v>
      </c>
      <c r="B209" s="1674" t="s">
        <v>957</v>
      </c>
      <c r="C209" s="1675">
        <v>0.04</v>
      </c>
      <c r="D209" s="1625" t="s">
        <v>594</v>
      </c>
      <c r="E209" s="2250">
        <v>0</v>
      </c>
      <c r="F209" s="897">
        <f>E209+SUMIF('11.2. Нови активи отч.год.'!$B$111:$B$131,$B209,'11.2. Нови активи отч.год.'!F$111:F$131)</f>
        <v>0</v>
      </c>
      <c r="G209" s="898">
        <f>F209+SUMIF('11.2. Нови активи отч.год.'!$B$111:$B$131,$B209,'11.2. Нови активи отч.год.'!G$111:G$131)</f>
        <v>0</v>
      </c>
      <c r="H209" s="898">
        <f>G209+SUMIF('11.2. Нови активи отч.год.'!$B$111:$B$131,$B209,'11.2. Нови активи отч.год.'!H$111:H$131)</f>
        <v>0</v>
      </c>
      <c r="I209" s="898">
        <f>H209+SUMIF('11.2. Нови активи отч.год.'!$B$111:$B$131,$B209,'11.2. Нови активи отч.год.'!I$111:I$131)</f>
        <v>0</v>
      </c>
      <c r="J209" s="898">
        <f>I209+SUMIF('11.2. Нови активи отч.год.'!$B$111:$B$131,$B209,'11.2. Нови активи отч.год.'!J$111:J$131)</f>
        <v>0</v>
      </c>
      <c r="K209" s="899">
        <f>J209+SUMIF('11.2. Нови активи отч.год.'!$B$111:$B$131,$B209,'11.2. Нови активи отч.год.'!K$111:K$131)</f>
        <v>0</v>
      </c>
      <c r="L209" s="2250">
        <v>0</v>
      </c>
      <c r="M209" s="897">
        <f>L209+SUMIF('11.2. Нови активи отч.год.'!$B$111:$B$131,$B209,'11.2. Нови активи отч.год.'!M$111:M$131)</f>
        <v>0</v>
      </c>
      <c r="N209" s="898">
        <f>M209+SUMIF('11.2. Нови активи отч.год.'!$B$111:$B$131,$B209,'11.2. Нови активи отч.год.'!N$111:N$131)</f>
        <v>0</v>
      </c>
      <c r="O209" s="898">
        <f>N209+SUMIF('11.2. Нови активи отч.год.'!$B$111:$B$131,$B209,'11.2. Нови активи отч.год.'!O$111:O$131)</f>
        <v>0</v>
      </c>
      <c r="P209" s="898">
        <f>O209+SUMIF('11.2. Нови активи отч.год.'!$B$111:$B$131,$B209,'11.2. Нови активи отч.год.'!P$111:P$131)</f>
        <v>0</v>
      </c>
      <c r="Q209" s="898">
        <f>P209+SUMIF('11.2. Нови активи отч.год.'!$B$111:$B$131,$B209,'11.2. Нови активи отч.год.'!Q$111:Q$131)</f>
        <v>0</v>
      </c>
      <c r="R209" s="899">
        <f>Q209+SUMIF('11.2. Нови активи отч.год.'!$B$111:$B$131,$B209,'11.2. Нови активи отч.год.'!R$111:R$131)</f>
        <v>0</v>
      </c>
      <c r="S209" s="2250">
        <f>1285.18015+8026.84872-2536+3656-440</f>
        <v>9992.0288700000001</v>
      </c>
      <c r="T209" s="897">
        <f>S209+SUMIF('11.2. Нови активи отч.год.'!$B$111:$B$131,$B209,'11.2. Нови активи отч.год.'!T$111:T$131)</f>
        <v>9992.0288700000001</v>
      </c>
      <c r="U209" s="898">
        <f>T209+SUMIF('11.2. Нови активи отч.год.'!$B$111:$B$131,$B209,'11.2. Нови активи отч.год.'!U$111:U$131)</f>
        <v>9992.0288700000001</v>
      </c>
      <c r="V209" s="898">
        <f>U209+SUMIF('11.2. Нови активи отч.год.'!$B$111:$B$131,$B209,'11.2. Нови активи отч.год.'!V$111:V$131)</f>
        <v>9992.0288700000001</v>
      </c>
      <c r="W209" s="898">
        <f>V209+SUMIF('11.2. Нови активи отч.год.'!$B$111:$B$131,$B209,'11.2. Нови активи отч.год.'!W$111:W$131)</f>
        <v>9992.0288700000001</v>
      </c>
      <c r="X209" s="898">
        <f>W209+SUMIF('11.2. Нови активи отч.год.'!$B$111:$B$131,$B209,'11.2. Нови активи отч.год.'!X$111:X$131)</f>
        <v>9992.0288700000001</v>
      </c>
      <c r="Y209" s="899">
        <f>X209+SUMIF('11.2. Нови активи отч.год.'!$B$111:$B$131,$B209,'11.2. Нови активи отч.год.'!Y$111:Y$131)</f>
        <v>9992.0288700000001</v>
      </c>
      <c r="Z209" s="1671"/>
      <c r="AA209" s="1702"/>
      <c r="AB209" s="1726"/>
    </row>
    <row r="210" spans="1:28" s="1642" customFormat="1">
      <c r="A210" s="1729">
        <v>19</v>
      </c>
      <c r="B210" s="1674" t="s">
        <v>958</v>
      </c>
      <c r="C210" s="1675">
        <v>0.04</v>
      </c>
      <c r="D210" s="1625" t="s">
        <v>595</v>
      </c>
      <c r="E210" s="2250">
        <f>315.5769+15.3739</f>
        <v>330.95080000000002</v>
      </c>
      <c r="F210" s="897">
        <f>E210+SUMIF('11.2. Нови активи отч.год.'!$B$111:$B$131,$B210,'11.2. Нови активи отч.год.'!F$111:F$131)</f>
        <v>330.95080000000002</v>
      </c>
      <c r="G210" s="898">
        <f>F210+SUMIF('11.2. Нови активи отч.год.'!$B$111:$B$131,$B210,'11.2. Нови активи отч.год.'!G$111:G$131)</f>
        <v>330.95080000000002</v>
      </c>
      <c r="H210" s="898">
        <f>G210+SUMIF('11.2. Нови активи отч.год.'!$B$111:$B$131,$B210,'11.2. Нови активи отч.год.'!H$111:H$131)</f>
        <v>330.95080000000002</v>
      </c>
      <c r="I210" s="898">
        <f>H210+SUMIF('11.2. Нови активи отч.год.'!$B$111:$B$131,$B210,'11.2. Нови активи отч.год.'!I$111:I$131)</f>
        <v>330.95080000000002</v>
      </c>
      <c r="J210" s="898">
        <f>I210+SUMIF('11.2. Нови активи отч.год.'!$B$111:$B$131,$B210,'11.2. Нови активи отч.год.'!J$111:J$131)</f>
        <v>330.95080000000002</v>
      </c>
      <c r="K210" s="899">
        <f>J210+SUMIF('11.2. Нови активи отч.год.'!$B$111:$B$131,$B210,'11.2. Нови активи отч.год.'!K$111:K$131)</f>
        <v>330.95080000000002</v>
      </c>
      <c r="L210" s="2250">
        <v>0</v>
      </c>
      <c r="M210" s="897">
        <f>L210+SUMIF('11.2. Нови активи отч.год.'!$B$111:$B$131,$B210,'11.2. Нови активи отч.год.'!M$111:M$131)</f>
        <v>0</v>
      </c>
      <c r="N210" s="898">
        <f>M210+SUMIF('11.2. Нови активи отч.год.'!$B$111:$B$131,$B210,'11.2. Нови активи отч.год.'!N$111:N$131)</f>
        <v>0</v>
      </c>
      <c r="O210" s="898">
        <f>N210+SUMIF('11.2. Нови активи отч.год.'!$B$111:$B$131,$B210,'11.2. Нови активи отч.год.'!O$111:O$131)</f>
        <v>0</v>
      </c>
      <c r="P210" s="898">
        <f>O210+SUMIF('11.2. Нови активи отч.год.'!$B$111:$B$131,$B210,'11.2. Нови активи отч.год.'!P$111:P$131)</f>
        <v>0</v>
      </c>
      <c r="Q210" s="898">
        <f>P210+SUMIF('11.2. Нови активи отч.год.'!$B$111:$B$131,$B210,'11.2. Нови активи отч.год.'!Q$111:Q$131)</f>
        <v>0</v>
      </c>
      <c r="R210" s="899">
        <f>Q210+SUMIF('11.2. Нови активи отч.год.'!$B$111:$B$131,$B210,'11.2. Нови активи отч.год.'!R$111:R$131)</f>
        <v>0</v>
      </c>
      <c r="S210" s="2250">
        <v>0</v>
      </c>
      <c r="T210" s="897">
        <f>S210+SUMIF('11.2. Нови активи отч.год.'!$B$111:$B$131,$B210,'11.2. Нови активи отч.год.'!T$111:T$131)</f>
        <v>0</v>
      </c>
      <c r="U210" s="898">
        <f>T210+SUMIF('11.2. Нови активи отч.год.'!$B$111:$B$131,$B210,'11.2. Нови активи отч.год.'!U$111:U$131)</f>
        <v>0</v>
      </c>
      <c r="V210" s="898">
        <f>U210+SUMIF('11.2. Нови активи отч.год.'!$B$111:$B$131,$B210,'11.2. Нови активи отч.год.'!V$111:V$131)</f>
        <v>0</v>
      </c>
      <c r="W210" s="898">
        <f>V210+SUMIF('11.2. Нови активи отч.год.'!$B$111:$B$131,$B210,'11.2. Нови активи отч.год.'!W$111:W$131)</f>
        <v>0</v>
      </c>
      <c r="X210" s="898">
        <f>W210+SUMIF('11.2. Нови активи отч.год.'!$B$111:$B$131,$B210,'11.2. Нови активи отч.год.'!X$111:X$131)</f>
        <v>0</v>
      </c>
      <c r="Y210" s="899">
        <f>X210+SUMIF('11.2. Нови активи отч.год.'!$B$111:$B$131,$B210,'11.2. Нови активи отч.год.'!Y$111:Y$131)</f>
        <v>0</v>
      </c>
      <c r="Z210" s="1671"/>
      <c r="AA210" s="1702"/>
      <c r="AB210" s="1726"/>
    </row>
    <row r="211" spans="1:28" s="1642" customFormat="1">
      <c r="A211" s="1729">
        <v>20</v>
      </c>
      <c r="B211" s="1674" t="s">
        <v>970</v>
      </c>
      <c r="C211" s="1675">
        <v>0.04</v>
      </c>
      <c r="D211" s="1727" t="s">
        <v>606</v>
      </c>
      <c r="E211" s="2250">
        <v>53.502510000000001</v>
      </c>
      <c r="F211" s="897">
        <f>E211+SUMIF('11.2. Нови активи отч.год.'!$B$111:$B$131,$B211,'11.2. Нови активи отч.год.'!F$111:F$131)</f>
        <v>53.502510000000001</v>
      </c>
      <c r="G211" s="898">
        <f>F211+SUMIF('11.2. Нови активи отч.год.'!$B$111:$B$131,$B211,'11.2. Нови активи отч.год.'!G$111:G$131)</f>
        <v>53.502510000000001</v>
      </c>
      <c r="H211" s="898">
        <f>G211+SUMIF('11.2. Нови активи отч.год.'!$B$111:$B$131,$B211,'11.2. Нови активи отч.год.'!H$111:H$131)</f>
        <v>53.502510000000001</v>
      </c>
      <c r="I211" s="898">
        <f>H211+SUMIF('11.2. Нови активи отч.год.'!$B$111:$B$131,$B211,'11.2. Нови активи отч.год.'!I$111:I$131)</f>
        <v>53.502510000000001</v>
      </c>
      <c r="J211" s="898">
        <f>I211+SUMIF('11.2. Нови активи отч.год.'!$B$111:$B$131,$B211,'11.2. Нови активи отч.год.'!J$111:J$131)</f>
        <v>53.502510000000001</v>
      </c>
      <c r="K211" s="899">
        <f>J211+SUMIF('11.2. Нови активи отч.год.'!$B$111:$B$131,$B211,'11.2. Нови активи отч.год.'!K$111:K$131)</f>
        <v>53.502510000000001</v>
      </c>
      <c r="L211" s="2250">
        <v>0</v>
      </c>
      <c r="M211" s="897">
        <f>L211+SUMIF('11.2. Нови активи отч.год.'!$B$111:$B$131,$B211,'11.2. Нови активи отч.год.'!M$111:M$131)</f>
        <v>0</v>
      </c>
      <c r="N211" s="898">
        <f>M211+SUMIF('11.2. Нови активи отч.год.'!$B$111:$B$131,$B211,'11.2. Нови активи отч.год.'!N$111:N$131)</f>
        <v>0</v>
      </c>
      <c r="O211" s="898">
        <f>N211+SUMIF('11.2. Нови активи отч.год.'!$B$111:$B$131,$B211,'11.2. Нови активи отч.год.'!O$111:O$131)</f>
        <v>0</v>
      </c>
      <c r="P211" s="898">
        <f>O211+SUMIF('11.2. Нови активи отч.год.'!$B$111:$B$131,$B211,'11.2. Нови активи отч.год.'!P$111:P$131)</f>
        <v>0</v>
      </c>
      <c r="Q211" s="898">
        <f>P211+SUMIF('11.2. Нови активи отч.год.'!$B$111:$B$131,$B211,'11.2. Нови активи отч.год.'!Q$111:Q$131)</f>
        <v>0</v>
      </c>
      <c r="R211" s="899">
        <f>Q211+SUMIF('11.2. Нови активи отч.год.'!$B$111:$B$131,$B211,'11.2. Нови активи отч.год.'!R$111:R$131)</f>
        <v>0</v>
      </c>
      <c r="S211" s="2250">
        <v>49.478610000000003</v>
      </c>
      <c r="T211" s="897">
        <f>S211+SUMIF('11.2. Нови активи отч.год.'!$B$111:$B$131,$B211,'11.2. Нови активи отч.год.'!T$111:T$131)</f>
        <v>49.478610000000003</v>
      </c>
      <c r="U211" s="898">
        <f>T211+SUMIF('11.2. Нови активи отч.год.'!$B$111:$B$131,$B211,'11.2. Нови активи отч.год.'!U$111:U$131)</f>
        <v>49.478610000000003</v>
      </c>
      <c r="V211" s="898">
        <f>U211+SUMIF('11.2. Нови активи отч.год.'!$B$111:$B$131,$B211,'11.2. Нови активи отч.год.'!V$111:V$131)</f>
        <v>49.478610000000003</v>
      </c>
      <c r="W211" s="898">
        <f>V211+SUMIF('11.2. Нови активи отч.год.'!$B$111:$B$131,$B211,'11.2. Нови активи отч.год.'!W$111:W$131)</f>
        <v>49.478610000000003</v>
      </c>
      <c r="X211" s="898">
        <f>W211+SUMIF('11.2. Нови активи отч.год.'!$B$111:$B$131,$B211,'11.2. Нови активи отч.год.'!X$111:X$131)</f>
        <v>49.478610000000003</v>
      </c>
      <c r="Y211" s="899">
        <f>X211+SUMIF('11.2. Нови активи отч.год.'!$B$111:$B$131,$B211,'11.2. Нови активи отч.год.'!Y$111:Y$131)</f>
        <v>49.478610000000003</v>
      </c>
      <c r="Z211" s="1671"/>
      <c r="AA211" s="1702"/>
      <c r="AB211" s="1726"/>
    </row>
    <row r="212" spans="1:28" s="1642" customFormat="1" ht="24.75" thickBot="1">
      <c r="A212" s="1729">
        <v>21</v>
      </c>
      <c r="B212" s="1674" t="s">
        <v>960</v>
      </c>
      <c r="C212" s="1679">
        <v>0.2</v>
      </c>
      <c r="D212" s="1625" t="s">
        <v>911</v>
      </c>
      <c r="E212" s="2250">
        <v>60.706270000000004</v>
      </c>
      <c r="F212" s="903">
        <f>E212+SUMIF('11.2. Нови активи отч.год.'!$B$111:$B$131,$B212,'11.2. Нови активи отч.год.'!F$111:F$131)</f>
        <v>60.706270000000004</v>
      </c>
      <c r="G212" s="904">
        <f>F212+SUMIF('11.2. Нови активи отч.год.'!$B$111:$B$131,$B212,'11.2. Нови активи отч.год.'!G$111:G$131)</f>
        <v>60.706270000000004</v>
      </c>
      <c r="H212" s="904">
        <f>G212+SUMIF('11.2. Нови активи отч.год.'!$B$111:$B$131,$B212,'11.2. Нови активи отч.год.'!H$111:H$131)</f>
        <v>60.706270000000004</v>
      </c>
      <c r="I212" s="904">
        <f>H212+SUMIF('11.2. Нови активи отч.год.'!$B$111:$B$131,$B212,'11.2. Нови активи отч.год.'!I$111:I$131)</f>
        <v>60.706270000000004</v>
      </c>
      <c r="J212" s="904">
        <f>I212+SUMIF('11.2. Нови активи отч.год.'!$B$111:$B$131,$B212,'11.2. Нови активи отч.год.'!J$111:J$131)</f>
        <v>60.706270000000004</v>
      </c>
      <c r="K212" s="905">
        <f>J212+SUMIF('11.2. Нови активи отч.год.'!$B$111:$B$131,$B212,'11.2. Нови активи отч.год.'!K$111:K$131)</f>
        <v>60.706270000000004</v>
      </c>
      <c r="L212" s="2250">
        <v>31.029240000000001</v>
      </c>
      <c r="M212" s="903">
        <f>L212+SUMIF('11.2. Нови активи отч.год.'!$B$111:$B$131,$B212,'11.2. Нови активи отч.год.'!M$111:M$131)</f>
        <v>31.029240000000001</v>
      </c>
      <c r="N212" s="904">
        <f>M212+SUMIF('11.2. Нови активи отч.год.'!$B$111:$B$131,$B212,'11.2. Нови активи отч.год.'!N$111:N$131)</f>
        <v>31.029240000000001</v>
      </c>
      <c r="O212" s="904">
        <f>N212+SUMIF('11.2. Нови активи отч.год.'!$B$111:$B$131,$B212,'11.2. Нови активи отч.год.'!O$111:O$131)</f>
        <v>31.029240000000001</v>
      </c>
      <c r="P212" s="904">
        <f>O212+SUMIF('11.2. Нови активи отч.год.'!$B$111:$B$131,$B212,'11.2. Нови активи отч.год.'!P$111:P$131)</f>
        <v>31.029240000000001</v>
      </c>
      <c r="Q212" s="904">
        <f>P212+SUMIF('11.2. Нови активи отч.год.'!$B$111:$B$131,$B212,'11.2. Нови активи отч.год.'!Q$111:Q$131)</f>
        <v>31.029240000000001</v>
      </c>
      <c r="R212" s="905">
        <f>Q212+SUMIF('11.2. Нови активи отч.год.'!$B$111:$B$131,$B212,'11.2. Нови активи отч.год.'!R$111:R$131)</f>
        <v>31.029240000000001</v>
      </c>
      <c r="S212" s="2250">
        <v>0</v>
      </c>
      <c r="T212" s="903">
        <f>S212+SUMIF('11.2. Нови активи отч.год.'!$B$111:$B$131,$B212,'11.2. Нови активи отч.год.'!T$111:T$131)</f>
        <v>0</v>
      </c>
      <c r="U212" s="904">
        <f>T212+SUMIF('11.2. Нови активи отч.год.'!$B$111:$B$131,$B212,'11.2. Нови активи отч.год.'!U$111:U$131)</f>
        <v>0</v>
      </c>
      <c r="V212" s="904">
        <f>U212+SUMIF('11.2. Нови активи отч.год.'!$B$111:$B$131,$B212,'11.2. Нови активи отч.год.'!V$111:V$131)</f>
        <v>0</v>
      </c>
      <c r="W212" s="904">
        <f>V212+SUMIF('11.2. Нови активи отч.год.'!$B$111:$B$131,$B212,'11.2. Нови активи отч.год.'!W$111:W$131)</f>
        <v>0</v>
      </c>
      <c r="X212" s="904">
        <f>W212+SUMIF('11.2. Нови активи отч.год.'!$B$111:$B$131,$B212,'11.2. Нови активи отч.год.'!X$111:X$131)</f>
        <v>0</v>
      </c>
      <c r="Y212" s="905">
        <f>X212+SUMIF('11.2. Нови активи отч.год.'!$B$111:$B$131,$B212,'11.2. Нови активи отч.год.'!Y$111:Y$131)</f>
        <v>0</v>
      </c>
      <c r="Z212" s="1671"/>
      <c r="AA212" s="1702"/>
      <c r="AB212" s="1726"/>
    </row>
    <row r="213" spans="1:28" s="1642" customFormat="1" ht="13.5" thickBot="1">
      <c r="A213" s="1694" t="s">
        <v>269</v>
      </c>
      <c r="B213" s="1695"/>
      <c r="C213" s="1695"/>
      <c r="D213" s="1665" t="s">
        <v>281</v>
      </c>
      <c r="E213" s="2765">
        <f t="shared" ref="E213:Y213" si="105">SUM(E214:E234)</f>
        <v>1394.1712977</v>
      </c>
      <c r="F213" s="2760">
        <f t="shared" si="105"/>
        <v>1318.1712976999997</v>
      </c>
      <c r="G213" s="1097">
        <f t="shared" si="105"/>
        <v>1290.1712977</v>
      </c>
      <c r="H213" s="1097">
        <f t="shared" si="105"/>
        <v>1074.6712976999997</v>
      </c>
      <c r="I213" s="2080">
        <f t="shared" si="105"/>
        <v>1054.1712976999997</v>
      </c>
      <c r="J213" s="1097">
        <f t="shared" si="105"/>
        <v>943.17129770000008</v>
      </c>
      <c r="K213" s="1097">
        <f t="shared" si="105"/>
        <v>909.97129770000004</v>
      </c>
      <c r="L213" s="2765">
        <f t="shared" si="105"/>
        <v>1048.4589661000002</v>
      </c>
      <c r="M213" s="2760">
        <f t="shared" si="105"/>
        <v>1042.4589661000002</v>
      </c>
      <c r="N213" s="1097">
        <f t="shared" si="105"/>
        <v>1042.4589661000002</v>
      </c>
      <c r="O213" s="1097">
        <f t="shared" si="105"/>
        <v>1042.0589661000001</v>
      </c>
      <c r="P213" s="2080">
        <f t="shared" si="105"/>
        <v>1041.6589661</v>
      </c>
      <c r="Q213" s="1097">
        <f t="shared" si="105"/>
        <v>1041.6589661</v>
      </c>
      <c r="R213" s="1097">
        <f t="shared" si="105"/>
        <v>1041.6589661</v>
      </c>
      <c r="S213" s="2765">
        <f t="shared" si="105"/>
        <v>649.03701390000003</v>
      </c>
      <c r="T213" s="2778">
        <f t="shared" si="105"/>
        <v>648.53701390000003</v>
      </c>
      <c r="U213" s="2779">
        <f t="shared" si="105"/>
        <v>645.53701390000003</v>
      </c>
      <c r="V213" s="2779">
        <f t="shared" si="105"/>
        <v>645.53701390000003</v>
      </c>
      <c r="W213" s="2780">
        <f t="shared" si="105"/>
        <v>644.43701390000001</v>
      </c>
      <c r="X213" s="2779">
        <f t="shared" si="105"/>
        <v>644.43701390000001</v>
      </c>
      <c r="Y213" s="2781">
        <f t="shared" si="105"/>
        <v>644.43701390000001</v>
      </c>
      <c r="Z213" s="1680"/>
      <c r="AA213" s="1702"/>
      <c r="AB213" s="1726"/>
    </row>
    <row r="214" spans="1:28" s="1642" customFormat="1">
      <c r="A214" s="1673">
        <v>1</v>
      </c>
      <c r="B214" s="1731" t="s">
        <v>949</v>
      </c>
      <c r="C214" s="1690">
        <v>0</v>
      </c>
      <c r="D214" s="659" t="s">
        <v>760</v>
      </c>
      <c r="E214" s="2250">
        <f>E192*$C192</f>
        <v>0</v>
      </c>
      <c r="F214" s="2782">
        <f>$E214-SUMIF('11.2. Нови активи отч.год.'!$B$155:$B$175,$B214,'11.2. Нови активи отч.год.'!$E$155:$E$175)+SUMIF('11.2. Нови активи отч.год.'!$B$155:$B$175,$B214,'11.2. Нови активи отч.год.'!F$155:F$175)</f>
        <v>0</v>
      </c>
      <c r="G214" s="2783">
        <f>$E214-SUMIF('11.2. Нови активи отч.год.'!$B$155:$B$175,$B214,'11.2. Нови активи отч.год.'!$E$155:$E$175)+SUMIF('11.2. Нови активи отч.год.'!$B$155:$B$175,$B214,'11.2. Нови активи отч.год.'!G$155:G$175)</f>
        <v>0</v>
      </c>
      <c r="H214" s="2783">
        <f>$E214-SUMIF('11.2. Нови активи отч.год.'!$B$155:$B$175,$B214,'11.2. Нови активи отч.год.'!$E$155:$E$175)+SUMIF('11.2. Нови активи отч.год.'!$B$155:$B$175,$B214,'11.2. Нови активи отч.год.'!H$155:H$175)</f>
        <v>0</v>
      </c>
      <c r="I214" s="2783">
        <f>$E214-SUMIF('11.2. Нови активи отч.год.'!$B$155:$B$175,$B214,'11.2. Нови активи отч.год.'!$E$155:$E$175)+SUMIF('11.2. Нови активи отч.год.'!$B$155:$B$175,$B214,'11.2. Нови активи отч.год.'!I$155:I$175)</f>
        <v>0</v>
      </c>
      <c r="J214" s="2783">
        <f>$E214-SUMIF('11.2. Нови активи отч.год.'!$B$155:$B$175,$B214,'11.2. Нови активи отч.год.'!$E$155:$E$175)+SUMIF('11.2. Нови активи отч.год.'!$B$155:$B$175,$B214,'11.2. Нови активи отч.год.'!J$155:J$175)</f>
        <v>0</v>
      </c>
      <c r="K214" s="2784">
        <f>$E214-SUMIF('11.2. Нови активи отч.год.'!$B$155:$B$175,$B214,'11.2. Нови активи отч.год.'!$E$155:$E$175)+SUMIF('11.2. Нови активи отч.год.'!$B$155:$B$175,$B214,'11.2. Нови активи отч.год.'!K$155:K$175)</f>
        <v>0</v>
      </c>
      <c r="L214" s="2250">
        <f t="shared" ref="L214:L234" si="106">L192*$C192</f>
        <v>0</v>
      </c>
      <c r="M214" s="2782">
        <f>$L214-SUMIF('11.2. Нови активи отч.год.'!$B$155:$B$175,$B214,'11.2. Нови активи отч.год.'!$L$155:$L$175)+SUMIF('11.2. Нови активи отч.год.'!$B$155:$B$175,$B214,'11.2. Нови активи отч.год.'!M$155:M$175)</f>
        <v>0</v>
      </c>
      <c r="N214" s="2783">
        <f>$L214-SUMIF('11.2. Нови активи отч.год.'!$B$155:$B$175,$B214,'11.2. Нови активи отч.год.'!$L$155:$L$175)+SUMIF('11.2. Нови активи отч.год.'!$B$155:$B$175,$B214,'11.2. Нови активи отч.год.'!N$155:N$175)</f>
        <v>0</v>
      </c>
      <c r="O214" s="2783">
        <f>$L214-SUMIF('11.2. Нови активи отч.год.'!$B$155:$B$175,$B214,'11.2. Нови активи отч.год.'!$L$155:$L$175)+SUMIF('11.2. Нови активи отч.год.'!$B$155:$B$175,$B214,'11.2. Нови активи отч.год.'!O$155:O$175)</f>
        <v>0</v>
      </c>
      <c r="P214" s="2783">
        <f>$L214-SUMIF('11.2. Нови активи отч.год.'!$B$155:$B$175,$B214,'11.2. Нови активи отч.год.'!$L$155:$L$175)+SUMIF('11.2. Нови активи отч.год.'!$B$155:$B$175,$B214,'11.2. Нови активи отч.год.'!P$155:P$175)</f>
        <v>0</v>
      </c>
      <c r="Q214" s="2783">
        <f>$L214-SUMIF('11.2. Нови активи отч.год.'!$B$155:$B$175,$B214,'11.2. Нови активи отч.год.'!$L$155:$L$175)+SUMIF('11.2. Нови активи отч.год.'!$B$155:$B$175,$B214,'11.2. Нови активи отч.год.'!Q$155:Q$175)</f>
        <v>0</v>
      </c>
      <c r="R214" s="2784">
        <f>$L214-SUMIF('11.2. Нови активи отч.год.'!$B$155:$B$175,$B214,'11.2. Нови активи отч.год.'!$L$155:$L$175)+SUMIF('11.2. Нови активи отч.год.'!$B$155:$B$175,$B214,'11.2. Нови активи отч.год.'!R$155:R$175)</f>
        <v>0</v>
      </c>
      <c r="S214" s="2250">
        <f t="shared" ref="S214:S234" si="107">S192*$C192</f>
        <v>0</v>
      </c>
      <c r="T214" s="2782">
        <f>$S214-SUMIF('11.2. Нови активи отч.год.'!$B$155:$B$175,$B214,'11.2. Нови активи отч.год.'!$S$155:$S$175)+SUMIF('11.2. Нови активи отч.год.'!$B$155:$B$175,$B214,'11.2. Нови активи отч.год.'!T$155:T$175)</f>
        <v>0</v>
      </c>
      <c r="U214" s="2783">
        <f>$S214-SUMIF('11.2. Нови активи отч.год.'!$B$155:$B$175,$B214,'11.2. Нови активи отч.год.'!$S$155:$S$175)+SUMIF('11.2. Нови активи отч.год.'!$B$155:$B$175,$B214,'11.2. Нови активи отч.год.'!U$155:U$175)</f>
        <v>0</v>
      </c>
      <c r="V214" s="2783">
        <f>$S214-SUMIF('11.2. Нови активи отч.год.'!$B$155:$B$175,$B214,'11.2. Нови активи отч.год.'!$S$155:$S$175)+SUMIF('11.2. Нови активи отч.год.'!$B$155:$B$175,$B214,'11.2. Нови активи отч.год.'!V$155:V$175)</f>
        <v>0</v>
      </c>
      <c r="W214" s="2783">
        <f>$S214-SUMIF('11.2. Нови активи отч.год.'!$B$155:$B$175,$B214,'11.2. Нови активи отч.год.'!$S$155:$S$175)+SUMIF('11.2. Нови активи отч.год.'!$B$155:$B$175,$B214,'11.2. Нови активи отч.год.'!W$155:W$175)</f>
        <v>0</v>
      </c>
      <c r="X214" s="2783">
        <f>$S214-SUMIF('11.2. Нови активи отч.год.'!$B$155:$B$175,$B214,'11.2. Нови активи отч.год.'!$S$155:$S$175)+SUMIF('11.2. Нови активи отч.год.'!$B$155:$B$175,$B214,'11.2. Нови активи отч.год.'!X$155:X$175)</f>
        <v>0</v>
      </c>
      <c r="Y214" s="2784">
        <f>$S214-SUMIF('11.2. Нови активи отч.год.'!$B$155:$B$175,$B214,'11.2. Нови активи отч.год.'!$S$155:$S$175)+SUMIF('11.2. Нови активи отч.год.'!$B$155:$B$175,$B214,'11.2. Нови активи отч.год.'!Y$155:Y$175)</f>
        <v>0</v>
      </c>
      <c r="Z214" s="1680"/>
      <c r="AA214" s="1702"/>
      <c r="AB214" s="1726"/>
    </row>
    <row r="215" spans="1:28" s="1642" customFormat="1">
      <c r="A215" s="1673">
        <v>2</v>
      </c>
      <c r="B215" s="1674" t="s">
        <v>950</v>
      </c>
      <c r="C215" s="1675">
        <v>0.03</v>
      </c>
      <c r="D215" s="1727" t="s">
        <v>598</v>
      </c>
      <c r="E215" s="2250">
        <f t="shared" ref="E215:E234" si="108">E193*$C193</f>
        <v>48.158505900000002</v>
      </c>
      <c r="F215" s="2785">
        <f>$E215-SUMIF('11.2. Нови активи отч.год.'!$B$155:$B$175,$B215,'11.2. Нови активи отч.год.'!$E$155:$E$175)+SUMIF('11.2. Нови активи отч.год.'!$B$155:$B$175,$B215,'11.2. Нови активи отч.год.'!F$155:F$175)</f>
        <v>48.158505900000002</v>
      </c>
      <c r="G215" s="2786">
        <f>$E215-SUMIF('11.2. Нови активи отч.год.'!$B$155:$B$175,$B215,'11.2. Нови активи отч.год.'!$E$155:$E$175)+SUMIF('11.2. Нови активи отч.год.'!$B$155:$B$175,$B215,'11.2. Нови активи отч.год.'!G$155:G$175)</f>
        <v>48.158505900000002</v>
      </c>
      <c r="H215" s="2786">
        <f>$E215-SUMIF('11.2. Нови активи отч.год.'!$B$155:$B$175,$B215,'11.2. Нови активи отч.год.'!$E$155:$E$175)+SUMIF('11.2. Нови активи отч.год.'!$B$155:$B$175,$B215,'11.2. Нови активи отч.год.'!H$155:H$175)</f>
        <v>48.158505900000002</v>
      </c>
      <c r="I215" s="2786">
        <f>$E215-SUMIF('11.2. Нови активи отч.год.'!$B$155:$B$175,$B215,'11.2. Нови активи отч.год.'!$E$155:$E$175)+SUMIF('11.2. Нови активи отч.год.'!$B$155:$B$175,$B215,'11.2. Нови активи отч.год.'!I$155:I$175)</f>
        <v>48.158505900000002</v>
      </c>
      <c r="J215" s="2786">
        <f>$E215-SUMIF('11.2. Нови активи отч.год.'!$B$155:$B$175,$B215,'11.2. Нови активи отч.год.'!$E$155:$E$175)+SUMIF('11.2. Нови активи отч.год.'!$B$155:$B$175,$B215,'11.2. Нови активи отч.год.'!J$155:J$175)</f>
        <v>48.158505900000002</v>
      </c>
      <c r="K215" s="2787">
        <f>$E215-SUMIF('11.2. Нови активи отч.год.'!$B$155:$B$175,$B215,'11.2. Нови активи отч.год.'!$E$155:$E$175)+SUMIF('11.2. Нови активи отч.год.'!$B$155:$B$175,$B215,'11.2. Нови активи отч.год.'!K$155:K$175)</f>
        <v>48.158505900000002</v>
      </c>
      <c r="L215" s="2250">
        <f t="shared" si="106"/>
        <v>8.7858201000000005</v>
      </c>
      <c r="M215" s="2785">
        <f>$L215-SUMIF('11.2. Нови активи отч.год.'!$B$155:$B$175,$B215,'11.2. Нови активи отч.год.'!$L$155:$L$175)+SUMIF('11.2. Нови активи отч.год.'!$B$155:$B$175,$B215,'11.2. Нови активи отч.год.'!M$155:M$175)</f>
        <v>8.7858201000000005</v>
      </c>
      <c r="N215" s="2786">
        <f>$L215-SUMIF('11.2. Нови активи отч.год.'!$B$155:$B$175,$B215,'11.2. Нови активи отч.год.'!$L$155:$L$175)+SUMIF('11.2. Нови активи отч.год.'!$B$155:$B$175,$B215,'11.2. Нови активи отч.год.'!N$155:N$175)</f>
        <v>8.7858201000000005</v>
      </c>
      <c r="O215" s="2786">
        <f>$L215-SUMIF('11.2. Нови активи отч.год.'!$B$155:$B$175,$B215,'11.2. Нови активи отч.год.'!$L$155:$L$175)+SUMIF('11.2. Нови активи отч.год.'!$B$155:$B$175,$B215,'11.2. Нови активи отч.год.'!O$155:O$175)</f>
        <v>8.7858201000000005</v>
      </c>
      <c r="P215" s="2786">
        <f>$L215-SUMIF('11.2. Нови активи отч.год.'!$B$155:$B$175,$B215,'11.2. Нови активи отч.год.'!$L$155:$L$175)+SUMIF('11.2. Нови активи отч.год.'!$B$155:$B$175,$B215,'11.2. Нови активи отч.год.'!P$155:P$175)</f>
        <v>8.7858201000000005</v>
      </c>
      <c r="Q215" s="2786">
        <f>$L215-SUMIF('11.2. Нови активи отч.год.'!$B$155:$B$175,$B215,'11.2. Нови активи отч.год.'!$L$155:$L$175)+SUMIF('11.2. Нови активи отч.год.'!$B$155:$B$175,$B215,'11.2. Нови активи отч.год.'!Q$155:Q$175)</f>
        <v>8.7858201000000005</v>
      </c>
      <c r="R215" s="2787">
        <f>$L215-SUMIF('11.2. Нови активи отч.год.'!$B$155:$B$175,$B215,'11.2. Нови активи отч.год.'!$L$155:$L$175)+SUMIF('11.2. Нови активи отч.год.'!$B$155:$B$175,$B215,'11.2. Нови активи отч.год.'!R$155:R$175)</f>
        <v>8.7858201000000005</v>
      </c>
      <c r="S215" s="2250">
        <f t="shared" si="107"/>
        <v>99.101507699999985</v>
      </c>
      <c r="T215" s="2785">
        <f>$S215-SUMIF('11.2. Нови активи отч.год.'!$B$155:$B$175,$B215,'11.2. Нови активи отч.год.'!$S$155:$S$175)+SUMIF('11.2. Нови активи отч.год.'!$B$155:$B$175,$B215,'11.2. Нови активи отч.год.'!T$155:T$175)</f>
        <v>99.101507699999985</v>
      </c>
      <c r="U215" s="2786">
        <f>$S215-SUMIF('11.2. Нови активи отч.год.'!$B$155:$B$175,$B215,'11.2. Нови активи отч.год.'!$S$155:$S$175)+SUMIF('11.2. Нови активи отч.год.'!$B$155:$B$175,$B215,'11.2. Нови активи отч.год.'!U$155:U$175)</f>
        <v>99.101507699999985</v>
      </c>
      <c r="V215" s="2786">
        <f>$S215-SUMIF('11.2. Нови активи отч.год.'!$B$155:$B$175,$B215,'11.2. Нови активи отч.год.'!$S$155:$S$175)+SUMIF('11.2. Нови активи отч.год.'!$B$155:$B$175,$B215,'11.2. Нови активи отч.год.'!V$155:V$175)</f>
        <v>99.101507699999985</v>
      </c>
      <c r="W215" s="2786">
        <f>$S215-SUMIF('11.2. Нови активи отч.год.'!$B$155:$B$175,$B215,'11.2. Нови активи отч.год.'!$S$155:$S$175)+SUMIF('11.2. Нови активи отч.год.'!$B$155:$B$175,$B215,'11.2. Нови активи отч.год.'!W$155:W$175)</f>
        <v>99.101507699999985</v>
      </c>
      <c r="X215" s="2786">
        <f>$S215-SUMIF('11.2. Нови активи отч.год.'!$B$155:$B$175,$B215,'11.2. Нови активи отч.год.'!$S$155:$S$175)+SUMIF('11.2. Нови активи отч.год.'!$B$155:$B$175,$B215,'11.2. Нови активи отч.год.'!X$155:X$175)</f>
        <v>99.101507699999985</v>
      </c>
      <c r="Y215" s="2787">
        <f>$S215-SUMIF('11.2. Нови активи отч.год.'!$B$155:$B$175,$B215,'11.2. Нови активи отч.год.'!$S$155:$S$175)+SUMIF('11.2. Нови активи отч.год.'!$B$155:$B$175,$B215,'11.2. Нови активи отч.год.'!Y$155:Y$175)</f>
        <v>99.101507699999985</v>
      </c>
      <c r="Z215" s="1680"/>
      <c r="AA215" s="1702"/>
      <c r="AB215" s="1726"/>
    </row>
    <row r="216" spans="1:28" s="1642" customFormat="1">
      <c r="A216" s="1673">
        <v>3</v>
      </c>
      <c r="B216" s="1674">
        <v>911301</v>
      </c>
      <c r="C216" s="1675">
        <v>0.1</v>
      </c>
      <c r="D216" s="1727" t="s">
        <v>599</v>
      </c>
      <c r="E216" s="2250">
        <f t="shared" si="108"/>
        <v>251.15680000000003</v>
      </c>
      <c r="F216" s="2785">
        <f>$E216-SUMIF('11.2. Нови активи отч.год.'!$B$155:$B$175,$B216,'11.2. Нови активи отч.год.'!$E$155:$E$175)+SUMIF('11.2. Нови активи отч.год.'!$B$155:$B$175,$B216,'11.2. Нови активи отч.год.'!F$155:F$175)</f>
        <v>251.15680000000003</v>
      </c>
      <c r="G216" s="2786">
        <f>$E216-SUMIF('11.2. Нови активи отч.год.'!$B$155:$B$175,$B216,'11.2. Нови активи отч.год.'!$E$155:$E$175)+SUMIF('11.2. Нови активи отч.год.'!$B$155:$B$175,$B216,'11.2. Нови активи отч.год.'!G$155:G$175)</f>
        <v>227.15680000000003</v>
      </c>
      <c r="H216" s="2786">
        <f>$E216-SUMIF('11.2. Нови активи отч.год.'!$B$155:$B$175,$B216,'11.2. Нови активи отч.год.'!$E$155:$E$175)+SUMIF('11.2. Нови активи отч.год.'!$B$155:$B$175,$B216,'11.2. Нови активи отч.год.'!H$155:H$175)</f>
        <v>23.656800000000032</v>
      </c>
      <c r="I216" s="2786">
        <f>$E216-SUMIF('11.2. Нови активи отч.год.'!$B$155:$B$175,$B216,'11.2. Нови активи отч.год.'!$E$155:$E$175)+SUMIF('11.2. Нови активи отч.год.'!$B$155:$B$175,$B216,'11.2. Нови активи отч.год.'!I$155:I$175)</f>
        <v>15.656800000000032</v>
      </c>
      <c r="J216" s="2786">
        <f>$E216-SUMIF('11.2. Нови активи отч.год.'!$B$155:$B$175,$B216,'11.2. Нови активи отч.год.'!$E$155:$E$175)+SUMIF('11.2. Нови активи отч.год.'!$B$155:$B$175,$B216,'11.2. Нови активи отч.год.'!J$155:J$175)</f>
        <v>15.156800000000032</v>
      </c>
      <c r="K216" s="2787">
        <f>$E216-SUMIF('11.2. Нови активи отч.год.'!$B$155:$B$175,$B216,'11.2. Нови активи отч.год.'!$E$155:$E$175)+SUMIF('11.2. Нови активи отч.год.'!$B$155:$B$175,$B216,'11.2. Нови активи отч.год.'!K$155:K$175)</f>
        <v>14.956800000000044</v>
      </c>
      <c r="L216" s="2250">
        <f t="shared" si="106"/>
        <v>0</v>
      </c>
      <c r="M216" s="2785">
        <f>$L216-SUMIF('11.2. Нови активи отч.год.'!$B$155:$B$175,$B216,'11.2. Нови активи отч.год.'!$L$155:$L$175)+SUMIF('11.2. Нови активи отч.год.'!$B$155:$B$175,$B216,'11.2. Нови активи отч.год.'!M$155:M$175)</f>
        <v>0</v>
      </c>
      <c r="N216" s="2786">
        <f>$L216-SUMIF('11.2. Нови активи отч.год.'!$B$155:$B$175,$B216,'11.2. Нови активи отч.год.'!$L$155:$L$175)+SUMIF('11.2. Нови активи отч.год.'!$B$155:$B$175,$B216,'11.2. Нови активи отч.год.'!N$155:N$175)</f>
        <v>0</v>
      </c>
      <c r="O216" s="2786">
        <f>$L216-SUMIF('11.2. Нови активи отч.год.'!$B$155:$B$175,$B216,'11.2. Нови активи отч.год.'!$L$155:$L$175)+SUMIF('11.2. Нови активи отч.год.'!$B$155:$B$175,$B216,'11.2. Нови активи отч.год.'!O$155:O$175)</f>
        <v>0</v>
      </c>
      <c r="P216" s="2786">
        <f>$L216-SUMIF('11.2. Нови активи отч.год.'!$B$155:$B$175,$B216,'11.2. Нови активи отч.год.'!$L$155:$L$175)+SUMIF('11.2. Нови активи отч.год.'!$B$155:$B$175,$B216,'11.2. Нови активи отч.год.'!P$155:P$175)</f>
        <v>0</v>
      </c>
      <c r="Q216" s="2786">
        <f>$L216-SUMIF('11.2. Нови активи отч.год.'!$B$155:$B$175,$B216,'11.2. Нови активи отч.год.'!$L$155:$L$175)+SUMIF('11.2. Нови активи отч.год.'!$B$155:$B$175,$B216,'11.2. Нови активи отч.год.'!Q$155:Q$175)</f>
        <v>0</v>
      </c>
      <c r="R216" s="2787">
        <f>$L216-SUMIF('11.2. Нови активи отч.год.'!$B$155:$B$175,$B216,'11.2. Нови активи отч.год.'!$L$155:$L$175)+SUMIF('11.2. Нови активи отч.год.'!$B$155:$B$175,$B216,'11.2. Нови активи отч.год.'!R$155:R$175)</f>
        <v>0</v>
      </c>
      <c r="S216" s="2250">
        <f t="shared" si="107"/>
        <v>74.170795999999996</v>
      </c>
      <c r="T216" s="2785">
        <f>$S216-SUMIF('11.2. Нови активи отч.год.'!$B$155:$B$175,$B216,'11.2. Нови активи отч.год.'!$S$155:$S$175)+SUMIF('11.2. Нови активи отч.год.'!$B$155:$B$175,$B216,'11.2. Нови активи отч.год.'!T$155:T$175)</f>
        <v>74.170795999999996</v>
      </c>
      <c r="U216" s="2786">
        <f>$S216-SUMIF('11.2. Нови активи отч.год.'!$B$155:$B$175,$B216,'11.2. Нови активи отч.год.'!$S$155:$S$175)+SUMIF('11.2. Нови активи отч.год.'!$B$155:$B$175,$B216,'11.2. Нови активи отч.год.'!U$155:U$175)</f>
        <v>74.170795999999996</v>
      </c>
      <c r="V216" s="2786">
        <f>$S216-SUMIF('11.2. Нови активи отч.год.'!$B$155:$B$175,$B216,'11.2. Нови активи отч.год.'!$S$155:$S$175)+SUMIF('11.2. Нови активи отч.год.'!$B$155:$B$175,$B216,'11.2. Нови активи отч.год.'!V$155:V$175)</f>
        <v>74.170795999999996</v>
      </c>
      <c r="W216" s="2786">
        <f>$S216-SUMIF('11.2. Нови активи отч.год.'!$B$155:$B$175,$B216,'11.2. Нови активи отч.год.'!$S$155:$S$175)+SUMIF('11.2. Нови активи отч.год.'!$B$155:$B$175,$B216,'11.2. Нови активи отч.год.'!W$155:W$175)</f>
        <v>74.170795999999996</v>
      </c>
      <c r="X216" s="2786">
        <f>$S216-SUMIF('11.2. Нови активи отч.год.'!$B$155:$B$175,$B216,'11.2. Нови активи отч.год.'!$S$155:$S$175)+SUMIF('11.2. Нови активи отч.год.'!$B$155:$B$175,$B216,'11.2. Нови активи отч.год.'!X$155:X$175)</f>
        <v>74.170795999999996</v>
      </c>
      <c r="Y216" s="2787">
        <f>$S216-SUMIF('11.2. Нови активи отч.год.'!$B$155:$B$175,$B216,'11.2. Нови активи отч.год.'!$S$155:$S$175)+SUMIF('11.2. Нови активи отч.год.'!$B$155:$B$175,$B216,'11.2. Нови активи отч.год.'!Y$155:Y$175)</f>
        <v>74.170795999999996</v>
      </c>
      <c r="Z216" s="1680"/>
      <c r="AA216" s="1702"/>
      <c r="AB216" s="1726"/>
    </row>
    <row r="217" spans="1:28" s="1642" customFormat="1">
      <c r="A217" s="1673">
        <v>4</v>
      </c>
      <c r="B217" s="1674">
        <v>911302</v>
      </c>
      <c r="C217" s="1675">
        <v>0.1</v>
      </c>
      <c r="D217" s="1727" t="s">
        <v>600</v>
      </c>
      <c r="E217" s="2250">
        <f t="shared" si="108"/>
        <v>0</v>
      </c>
      <c r="F217" s="2785">
        <f>$E217-SUMIF('11.2. Нови активи отч.год.'!$B$155:$B$175,$B217,'11.2. Нови активи отч.год.'!$E$155:$E$175)+SUMIF('11.2. Нови активи отч.год.'!$B$155:$B$175,$B217,'11.2. Нови активи отч.год.'!F$155:F$175)</f>
        <v>0</v>
      </c>
      <c r="G217" s="2786">
        <f>$E217-SUMIF('11.2. Нови активи отч.год.'!$B$155:$B$175,$B217,'11.2. Нови активи отч.год.'!$E$155:$E$175)+SUMIF('11.2. Нови активи отч.год.'!$B$155:$B$175,$B217,'11.2. Нови активи отч.год.'!G$155:G$175)</f>
        <v>0</v>
      </c>
      <c r="H217" s="2786">
        <f>$E217-SUMIF('11.2. Нови активи отч.год.'!$B$155:$B$175,$B217,'11.2. Нови активи отч.год.'!$E$155:$E$175)+SUMIF('11.2. Нови активи отч.год.'!$B$155:$B$175,$B217,'11.2. Нови активи отч.год.'!H$155:H$175)</f>
        <v>0</v>
      </c>
      <c r="I217" s="2786">
        <f>$E217-SUMIF('11.2. Нови активи отч.год.'!$B$155:$B$175,$B217,'11.2. Нови активи отч.год.'!$E$155:$E$175)+SUMIF('11.2. Нови активи отч.год.'!$B$155:$B$175,$B217,'11.2. Нови активи отч.год.'!I$155:I$175)</f>
        <v>0</v>
      </c>
      <c r="J217" s="2786">
        <f>$E217-SUMIF('11.2. Нови активи отч.год.'!$B$155:$B$175,$B217,'11.2. Нови активи отч.год.'!$E$155:$E$175)+SUMIF('11.2. Нови активи отч.год.'!$B$155:$B$175,$B217,'11.2. Нови активи отч.год.'!J$155:J$175)</f>
        <v>0</v>
      </c>
      <c r="K217" s="2787">
        <f>$E217-SUMIF('11.2. Нови активи отч.год.'!$B$155:$B$175,$B217,'11.2. Нови активи отч.год.'!$E$155:$E$175)+SUMIF('11.2. Нови активи отч.год.'!$B$155:$B$175,$B217,'11.2. Нови активи отч.год.'!K$155:K$175)</f>
        <v>0</v>
      </c>
      <c r="L217" s="2250">
        <f t="shared" si="106"/>
        <v>0</v>
      </c>
      <c r="M217" s="2785">
        <f>$L217-SUMIF('11.2. Нови активи отч.год.'!$B$155:$B$175,$B217,'11.2. Нови активи отч.год.'!$L$155:$L$175)+SUMIF('11.2. Нови активи отч.год.'!$B$155:$B$175,$B217,'11.2. Нови активи отч.год.'!M$155:M$175)</f>
        <v>0</v>
      </c>
      <c r="N217" s="2786">
        <f>$L217-SUMIF('11.2. Нови активи отч.год.'!$B$155:$B$175,$B217,'11.2. Нови активи отч.год.'!$L$155:$L$175)+SUMIF('11.2. Нови активи отч.год.'!$B$155:$B$175,$B217,'11.2. Нови активи отч.год.'!N$155:N$175)</f>
        <v>0</v>
      </c>
      <c r="O217" s="2786">
        <f>$L217-SUMIF('11.2. Нови активи отч.год.'!$B$155:$B$175,$B217,'11.2. Нови активи отч.год.'!$L$155:$L$175)+SUMIF('11.2. Нови активи отч.год.'!$B$155:$B$175,$B217,'11.2. Нови активи отч.год.'!O$155:O$175)</f>
        <v>0</v>
      </c>
      <c r="P217" s="2786">
        <f>$L217-SUMIF('11.2. Нови активи отч.год.'!$B$155:$B$175,$B217,'11.2. Нови активи отч.год.'!$L$155:$L$175)+SUMIF('11.2. Нови активи отч.год.'!$B$155:$B$175,$B217,'11.2. Нови активи отч.год.'!P$155:P$175)</f>
        <v>0</v>
      </c>
      <c r="Q217" s="2786">
        <f>$L217-SUMIF('11.2. Нови активи отч.год.'!$B$155:$B$175,$B217,'11.2. Нови активи отч.год.'!$L$155:$L$175)+SUMIF('11.2. Нови активи отч.год.'!$B$155:$B$175,$B217,'11.2. Нови активи отч.год.'!Q$155:Q$175)</f>
        <v>0</v>
      </c>
      <c r="R217" s="2787">
        <f>$L217-SUMIF('11.2. Нови активи отч.год.'!$B$155:$B$175,$B217,'11.2. Нови активи отч.год.'!$L$155:$L$175)+SUMIF('11.2. Нови активи отч.год.'!$B$155:$B$175,$B217,'11.2. Нови активи отч.год.'!R$155:R$175)</f>
        <v>0</v>
      </c>
      <c r="S217" s="2250">
        <f t="shared" si="107"/>
        <v>0</v>
      </c>
      <c r="T217" s="2785">
        <f>$S217-SUMIF('11.2. Нови активи отч.год.'!$B$155:$B$175,$B217,'11.2. Нови активи отч.год.'!$S$155:$S$175)+SUMIF('11.2. Нови активи отч.год.'!$B$155:$B$175,$B217,'11.2. Нови активи отч.год.'!T$155:T$175)</f>
        <v>0</v>
      </c>
      <c r="U217" s="2786">
        <f>$S217-SUMIF('11.2. Нови активи отч.год.'!$B$155:$B$175,$B217,'11.2. Нови активи отч.год.'!$S$155:$S$175)+SUMIF('11.2. Нови активи отч.год.'!$B$155:$B$175,$B217,'11.2. Нови активи отч.год.'!U$155:U$175)</f>
        <v>0</v>
      </c>
      <c r="V217" s="2786">
        <f>$S217-SUMIF('11.2. Нови активи отч.год.'!$B$155:$B$175,$B217,'11.2. Нови активи отч.год.'!$S$155:$S$175)+SUMIF('11.2. Нови активи отч.год.'!$B$155:$B$175,$B217,'11.2. Нови активи отч.год.'!V$155:V$175)</f>
        <v>0</v>
      </c>
      <c r="W217" s="2786">
        <f>$S217-SUMIF('11.2. Нови активи отч.год.'!$B$155:$B$175,$B217,'11.2. Нови активи отч.год.'!$S$155:$S$175)+SUMIF('11.2. Нови активи отч.год.'!$B$155:$B$175,$B217,'11.2. Нови активи отч.год.'!W$155:W$175)</f>
        <v>0</v>
      </c>
      <c r="X217" s="2786">
        <f>$S217-SUMIF('11.2. Нови активи отч.год.'!$B$155:$B$175,$B217,'11.2. Нови активи отч.год.'!$S$155:$S$175)+SUMIF('11.2. Нови активи отч.год.'!$B$155:$B$175,$B217,'11.2. Нови активи отч.год.'!X$155:X$175)</f>
        <v>0</v>
      </c>
      <c r="Y217" s="2787">
        <f>$S217-SUMIF('11.2. Нови активи отч.год.'!$B$155:$B$175,$B217,'11.2. Нови активи отч.год.'!$S$155:$S$175)+SUMIF('11.2. Нови активи отч.год.'!$B$155:$B$175,$B217,'11.2. Нови активи отч.год.'!Y$155:Y$175)</f>
        <v>0</v>
      </c>
      <c r="Z217" s="1680"/>
      <c r="AA217" s="1702"/>
      <c r="AB217" s="1726"/>
    </row>
    <row r="218" spans="1:28" s="1642" customFormat="1">
      <c r="A218" s="1673">
        <v>5</v>
      </c>
      <c r="B218" s="1674" t="s">
        <v>967</v>
      </c>
      <c r="C218" s="1675">
        <v>0.1</v>
      </c>
      <c r="D218" s="1625" t="s">
        <v>579</v>
      </c>
      <c r="E218" s="2250">
        <f t="shared" si="108"/>
        <v>80.47270300000001</v>
      </c>
      <c r="F218" s="2785">
        <f>$E218-SUMIF('11.2. Нови активи отч.год.'!$B$155:$B$175,$B218,'11.2. Нови активи отч.год.'!$E$155:$E$175)+SUMIF('11.2. Нови активи отч.год.'!$B$155:$B$175,$B218,'11.2. Нови активи отч.год.'!F$155:F$175)</f>
        <v>12.47270300000001</v>
      </c>
      <c r="G218" s="2786">
        <f>$E218-SUMIF('11.2. Нови активи отч.год.'!$B$155:$B$175,$B218,'11.2. Нови активи отч.год.'!$E$155:$E$175)+SUMIF('11.2. Нови активи отч.год.'!$B$155:$B$175,$B218,'11.2. Нови активи отч.год.'!G$155:G$175)</f>
        <v>12.47270300000001</v>
      </c>
      <c r="H218" s="2786">
        <f>$E218-SUMIF('11.2. Нови активи отч.год.'!$B$155:$B$175,$B218,'11.2. Нови активи отч.год.'!$E$155:$E$175)+SUMIF('11.2. Нови активи отч.год.'!$B$155:$B$175,$B218,'11.2. Нови активи отч.год.'!H$155:H$175)</f>
        <v>12.47270300000001</v>
      </c>
      <c r="I218" s="2786">
        <f>$E218-SUMIF('11.2. Нови активи отч.год.'!$B$155:$B$175,$B218,'11.2. Нови активи отч.год.'!$E$155:$E$175)+SUMIF('11.2. Нови активи отч.год.'!$B$155:$B$175,$B218,'11.2. Нови активи отч.год.'!I$155:I$175)</f>
        <v>10.47270300000001</v>
      </c>
      <c r="J218" s="2786">
        <f>$E218-SUMIF('11.2. Нови активи отч.год.'!$B$155:$B$175,$B218,'11.2. Нови активи отч.год.'!$E$155:$E$175)+SUMIF('11.2. Нови активи отч.год.'!$B$155:$B$175,$B218,'11.2. Нови активи отч.год.'!J$155:J$175)</f>
        <v>1.3727030000000155</v>
      </c>
      <c r="K218" s="2787">
        <f>$E218-SUMIF('11.2. Нови активи отч.год.'!$B$155:$B$175,$B218,'11.2. Нови активи отч.год.'!$E$155:$E$175)+SUMIF('11.2. Нови активи отч.год.'!$B$155:$B$175,$B218,'11.2. Нови активи отч.год.'!K$155:K$175)</f>
        <v>1.3727030000000155</v>
      </c>
      <c r="L218" s="2250">
        <f t="shared" si="106"/>
        <v>1.411</v>
      </c>
      <c r="M218" s="2785">
        <f>$L218-SUMIF('11.2. Нови активи отч.год.'!$B$155:$B$175,$B218,'11.2. Нови активи отч.год.'!$L$155:$L$175)+SUMIF('11.2. Нови активи отч.год.'!$B$155:$B$175,$B218,'11.2. Нови активи отч.год.'!M$155:M$175)</f>
        <v>1.411</v>
      </c>
      <c r="N218" s="2786">
        <f>$L218-SUMIF('11.2. Нови активи отч.год.'!$B$155:$B$175,$B218,'11.2. Нови активи отч.год.'!$L$155:$L$175)+SUMIF('11.2. Нови активи отч.год.'!$B$155:$B$175,$B218,'11.2. Нови активи отч.год.'!N$155:N$175)</f>
        <v>1.411</v>
      </c>
      <c r="O218" s="2786">
        <f>$L218-SUMIF('11.2. Нови активи отч.год.'!$B$155:$B$175,$B218,'11.2. Нови активи отч.год.'!$L$155:$L$175)+SUMIF('11.2. Нови активи отч.год.'!$B$155:$B$175,$B218,'11.2. Нови активи отч.год.'!O$155:O$175)</f>
        <v>1.411</v>
      </c>
      <c r="P218" s="2786">
        <f>$L218-SUMIF('11.2. Нови активи отч.год.'!$B$155:$B$175,$B218,'11.2. Нови активи отч.год.'!$L$155:$L$175)+SUMIF('11.2. Нови активи отч.год.'!$B$155:$B$175,$B218,'11.2. Нови активи отч.год.'!P$155:P$175)</f>
        <v>1.411</v>
      </c>
      <c r="Q218" s="2786">
        <f>$L218-SUMIF('11.2. Нови активи отч.год.'!$B$155:$B$175,$B218,'11.2. Нови активи отч.год.'!$L$155:$L$175)+SUMIF('11.2. Нови активи отч.год.'!$B$155:$B$175,$B218,'11.2. Нови активи отч.год.'!Q$155:Q$175)</f>
        <v>1.411</v>
      </c>
      <c r="R218" s="2787">
        <f>$L218-SUMIF('11.2. Нови активи отч.год.'!$B$155:$B$175,$B218,'11.2. Нови активи отч.год.'!$L$155:$L$175)+SUMIF('11.2. Нови активи отч.год.'!$B$155:$B$175,$B218,'11.2. Нови активи отч.год.'!R$155:R$175)</f>
        <v>1.411</v>
      </c>
      <c r="S218" s="2250">
        <f t="shared" si="107"/>
        <v>22.228753999999999</v>
      </c>
      <c r="T218" s="2785">
        <f>$S218-SUMIF('11.2. Нови активи отч.год.'!$B$155:$B$175,$B218,'11.2. Нови активи отч.год.'!$S$155:$S$175)+SUMIF('11.2. Нови активи отч.год.'!$B$155:$B$175,$B218,'11.2. Нови активи отч.год.'!T$155:T$175)</f>
        <v>22.228753999999999</v>
      </c>
      <c r="U218" s="2786">
        <f>$S218-SUMIF('11.2. Нови активи отч.год.'!$B$155:$B$175,$B218,'11.2. Нови активи отч.год.'!$S$155:$S$175)+SUMIF('11.2. Нови активи отч.год.'!$B$155:$B$175,$B218,'11.2. Нови активи отч.год.'!U$155:U$175)</f>
        <v>22.228753999999999</v>
      </c>
      <c r="V218" s="2786">
        <f>$S218-SUMIF('11.2. Нови активи отч.год.'!$B$155:$B$175,$B218,'11.2. Нови активи отч.год.'!$S$155:$S$175)+SUMIF('11.2. Нови активи отч.год.'!$B$155:$B$175,$B218,'11.2. Нови активи отч.год.'!V$155:V$175)</f>
        <v>22.228753999999999</v>
      </c>
      <c r="W218" s="2786">
        <f>$S218-SUMIF('11.2. Нови активи отч.год.'!$B$155:$B$175,$B218,'11.2. Нови активи отч.год.'!$S$155:$S$175)+SUMIF('11.2. Нови активи отч.год.'!$B$155:$B$175,$B218,'11.2. Нови активи отч.год.'!W$155:W$175)</f>
        <v>22.228753999999999</v>
      </c>
      <c r="X218" s="2786">
        <f>$S218-SUMIF('11.2. Нови активи отч.год.'!$B$155:$B$175,$B218,'11.2. Нови активи отч.год.'!$S$155:$S$175)+SUMIF('11.2. Нови активи отч.год.'!$B$155:$B$175,$B218,'11.2. Нови активи отч.год.'!X$155:X$175)</f>
        <v>22.228753999999999</v>
      </c>
      <c r="Y218" s="2787">
        <f>$S218-SUMIF('11.2. Нови активи отч.год.'!$B$155:$B$175,$B218,'11.2. Нови активи отч.год.'!$S$155:$S$175)+SUMIF('11.2. Нови активи отч.год.'!$B$155:$B$175,$B218,'11.2. Нови активи отч.год.'!Y$155:Y$175)</f>
        <v>22.228753999999999</v>
      </c>
      <c r="Z218" s="1680"/>
      <c r="AA218" s="1702"/>
      <c r="AB218" s="1726"/>
    </row>
    <row r="219" spans="1:28" s="1642" customFormat="1">
      <c r="A219" s="1673">
        <v>6</v>
      </c>
      <c r="B219" s="1674" t="s">
        <v>968</v>
      </c>
      <c r="C219" s="1675">
        <v>0.1</v>
      </c>
      <c r="D219" s="1625" t="s">
        <v>1391</v>
      </c>
      <c r="E219" s="2250">
        <f t="shared" si="108"/>
        <v>16.609145000000005</v>
      </c>
      <c r="F219" s="2785">
        <f>$E219-SUMIF('11.2. Нови активи отч.год.'!$B$155:$B$175,$B219,'11.2. Нови активи отч.год.'!$E$155:$E$175)+SUMIF('11.2. Нови активи отч.год.'!$B$155:$B$175,$B219,'11.2. Нови активи отч.год.'!F$155:F$175)</f>
        <v>16.609145000000005</v>
      </c>
      <c r="G219" s="2786">
        <f>$E219-SUMIF('11.2. Нови активи отч.год.'!$B$155:$B$175,$B219,'11.2. Нови активи отч.год.'!$E$155:$E$175)+SUMIF('11.2. Нови активи отч.год.'!$B$155:$B$175,$B219,'11.2. Нови активи отч.год.'!G$155:G$175)</f>
        <v>16.609145000000005</v>
      </c>
      <c r="H219" s="2786">
        <f>$E219-SUMIF('11.2. Нови активи отч.год.'!$B$155:$B$175,$B219,'11.2. Нови активи отч.год.'!$E$155:$E$175)+SUMIF('11.2. Нови активи отч.год.'!$B$155:$B$175,$B219,'11.2. Нови активи отч.год.'!H$155:H$175)</f>
        <v>4.6091450000000052</v>
      </c>
      <c r="I219" s="2786">
        <f>$E219-SUMIF('11.2. Нови активи отч.год.'!$B$155:$B$175,$B219,'11.2. Нови активи отч.год.'!$E$155:$E$175)+SUMIF('11.2. Нови активи отч.год.'!$B$155:$B$175,$B219,'11.2. Нови активи отч.год.'!I$155:I$175)</f>
        <v>0.10914500000000515</v>
      </c>
      <c r="J219" s="2786">
        <f>$E219-SUMIF('11.2. Нови активи отч.год.'!$B$155:$B$175,$B219,'11.2. Нови активи отч.год.'!$E$155:$E$175)+SUMIF('11.2. Нови активи отч.год.'!$B$155:$B$175,$B219,'11.2. Нови активи отч.год.'!J$155:J$175)</f>
        <v>0.10914500000000515</v>
      </c>
      <c r="K219" s="2787">
        <f>$E219-SUMIF('11.2. Нови активи отч.год.'!$B$155:$B$175,$B219,'11.2. Нови активи отч.год.'!$E$155:$E$175)+SUMIF('11.2. Нови активи отч.год.'!$B$155:$B$175,$B219,'11.2. Нови активи отч.год.'!K$155:K$175)</f>
        <v>0.10914500000000515</v>
      </c>
      <c r="L219" s="2250">
        <f t="shared" si="106"/>
        <v>0.48259999999999997</v>
      </c>
      <c r="M219" s="2785">
        <f>$L219-SUMIF('11.2. Нови активи отч.год.'!$B$155:$B$175,$B219,'11.2. Нови активи отч.год.'!$L$155:$L$175)+SUMIF('11.2. Нови активи отч.год.'!$B$155:$B$175,$B219,'11.2. Нови активи отч.год.'!M$155:M$175)</f>
        <v>0.48259999999999997</v>
      </c>
      <c r="N219" s="2786">
        <f>$L219-SUMIF('11.2. Нови активи отч.год.'!$B$155:$B$175,$B219,'11.2. Нови активи отч.год.'!$L$155:$L$175)+SUMIF('11.2. Нови активи отч.год.'!$B$155:$B$175,$B219,'11.2. Нови активи отч.год.'!N$155:N$175)</f>
        <v>0.48259999999999997</v>
      </c>
      <c r="O219" s="2786">
        <f>$L219-SUMIF('11.2. Нови активи отч.год.'!$B$155:$B$175,$B219,'11.2. Нови активи отч.год.'!$L$155:$L$175)+SUMIF('11.2. Нови активи отч.год.'!$B$155:$B$175,$B219,'11.2. Нови активи отч.год.'!O$155:O$175)</f>
        <v>0.48259999999999997</v>
      </c>
      <c r="P219" s="2786">
        <f>$L219-SUMIF('11.2. Нови активи отч.год.'!$B$155:$B$175,$B219,'11.2. Нови активи отч.год.'!$L$155:$L$175)+SUMIF('11.2. Нови активи отч.год.'!$B$155:$B$175,$B219,'11.2. Нови активи отч.год.'!P$155:P$175)</f>
        <v>8.2599999999999951E-2</v>
      </c>
      <c r="Q219" s="2786">
        <f>$L219-SUMIF('11.2. Нови активи отч.год.'!$B$155:$B$175,$B219,'11.2. Нови активи отч.год.'!$L$155:$L$175)+SUMIF('11.2. Нови активи отч.год.'!$B$155:$B$175,$B219,'11.2. Нови активи отч.год.'!Q$155:Q$175)</f>
        <v>8.2599999999999951E-2</v>
      </c>
      <c r="R219" s="2787">
        <f>$L219-SUMIF('11.2. Нови активи отч.год.'!$B$155:$B$175,$B219,'11.2. Нови активи отч.год.'!$L$155:$L$175)+SUMIF('11.2. Нови активи отч.год.'!$B$155:$B$175,$B219,'11.2. Нови активи отч.год.'!R$155:R$175)</f>
        <v>8.2599999999999951E-2</v>
      </c>
      <c r="S219" s="2250">
        <f t="shared" si="107"/>
        <v>46.218344999999999</v>
      </c>
      <c r="T219" s="2785">
        <f>$S219-SUMIF('11.2. Нови активи отч.год.'!$B$155:$B$175,$B219,'11.2. Нови активи отч.год.'!$S$155:$S$175)+SUMIF('11.2. Нови активи отч.год.'!$B$155:$B$175,$B219,'11.2. Нови активи отч.год.'!T$155:T$175)</f>
        <v>46.218344999999999</v>
      </c>
      <c r="U219" s="2786">
        <f>$S219-SUMIF('11.2. Нови активи отч.год.'!$B$155:$B$175,$B219,'11.2. Нови активи отч.год.'!$S$155:$S$175)+SUMIF('11.2. Нови активи отч.год.'!$B$155:$B$175,$B219,'11.2. Нови активи отч.год.'!U$155:U$175)</f>
        <v>46.218344999999999</v>
      </c>
      <c r="V219" s="2786">
        <f>$S219-SUMIF('11.2. Нови активи отч.год.'!$B$155:$B$175,$B219,'11.2. Нови активи отч.год.'!$S$155:$S$175)+SUMIF('11.2. Нови активи отч.год.'!$B$155:$B$175,$B219,'11.2. Нови активи отч.год.'!V$155:V$175)</f>
        <v>46.218344999999999</v>
      </c>
      <c r="W219" s="2786">
        <f>$S219-SUMIF('11.2. Нови активи отч.год.'!$B$155:$B$175,$B219,'11.2. Нови активи отч.год.'!$S$155:$S$175)+SUMIF('11.2. Нови активи отч.год.'!$B$155:$B$175,$B219,'11.2. Нови активи отч.год.'!W$155:W$175)</f>
        <v>46.218344999999999</v>
      </c>
      <c r="X219" s="2786">
        <f>$S219-SUMIF('11.2. Нови активи отч.год.'!$B$155:$B$175,$B219,'11.2. Нови активи отч.год.'!$S$155:$S$175)+SUMIF('11.2. Нови активи отч.год.'!$B$155:$B$175,$B219,'11.2. Нови активи отч.год.'!X$155:X$175)</f>
        <v>46.218344999999999</v>
      </c>
      <c r="Y219" s="2787">
        <f>$S219-SUMIF('11.2. Нови активи отч.год.'!$B$155:$B$175,$B219,'11.2. Нови активи отч.год.'!$S$155:$S$175)+SUMIF('11.2. Нови активи отч.год.'!$B$155:$B$175,$B219,'11.2. Нови активи отч.год.'!Y$155:Y$175)</f>
        <v>46.218344999999999</v>
      </c>
      <c r="Z219" s="1680"/>
      <c r="AA219" s="1702"/>
      <c r="AB219" s="1726"/>
    </row>
    <row r="220" spans="1:28" s="1642" customFormat="1" ht="24">
      <c r="A220" s="1673">
        <v>7</v>
      </c>
      <c r="B220" s="1674" t="s">
        <v>959</v>
      </c>
      <c r="C220" s="1675">
        <v>0.1</v>
      </c>
      <c r="D220" s="1625" t="s">
        <v>948</v>
      </c>
      <c r="E220" s="2250">
        <f t="shared" si="108"/>
        <v>63.363151000000009</v>
      </c>
      <c r="F220" s="2785">
        <f>$E220-SUMIF('11.2. Нови активи отч.год.'!$B$155:$B$175,$B220,'11.2. Нови активи отч.год.'!$E$155:$E$175)+SUMIF('11.2. Нови активи отч.год.'!$B$155:$B$175,$B220,'11.2. Нови активи отч.год.'!F$155:F$175)</f>
        <v>63.363151000000009</v>
      </c>
      <c r="G220" s="2786">
        <f>$E220-SUMIF('11.2. Нови активи отч.год.'!$B$155:$B$175,$B220,'11.2. Нови активи отч.год.'!$E$155:$E$175)+SUMIF('11.2. Нови активи отч.год.'!$B$155:$B$175,$B220,'11.2. Нови активи отч.год.'!G$155:G$175)</f>
        <v>63.363151000000009</v>
      </c>
      <c r="H220" s="2786">
        <f>$E220-SUMIF('11.2. Нови активи отч.год.'!$B$155:$B$175,$B220,'11.2. Нови активи отч.год.'!$E$155:$E$175)+SUMIF('11.2. Нови активи отч.год.'!$B$155:$B$175,$B220,'11.2. Нови активи отч.год.'!H$155:H$175)</f>
        <v>63.363151000000009</v>
      </c>
      <c r="I220" s="2786">
        <f>$E220-SUMIF('11.2. Нови активи отч.год.'!$B$155:$B$175,$B220,'11.2. Нови активи отч.год.'!$E$155:$E$175)+SUMIF('11.2. Нови активи отч.год.'!$B$155:$B$175,$B220,'11.2. Нови активи отч.год.'!I$155:I$175)</f>
        <v>63.363151000000009</v>
      </c>
      <c r="J220" s="2786">
        <f>$E220-SUMIF('11.2. Нови активи отч.год.'!$B$155:$B$175,$B220,'11.2. Нови активи отч.год.'!$E$155:$E$175)+SUMIF('11.2. Нови активи отч.год.'!$B$155:$B$175,$B220,'11.2. Нови активи отч.год.'!J$155:J$175)</f>
        <v>33.363151000000009</v>
      </c>
      <c r="K220" s="2787">
        <f>$E220-SUMIF('11.2. Нови активи отч.год.'!$B$155:$B$175,$B220,'11.2. Нови активи отч.год.'!$E$155:$E$175)+SUMIF('11.2. Нови активи отч.год.'!$B$155:$B$175,$B220,'11.2. Нови активи отч.год.'!K$155:K$175)</f>
        <v>0.36315100000000911</v>
      </c>
      <c r="L220" s="2250">
        <f t="shared" si="106"/>
        <v>0</v>
      </c>
      <c r="M220" s="2785">
        <f>$L220-SUMIF('11.2. Нови активи отч.год.'!$B$155:$B$175,$B220,'11.2. Нови активи отч.год.'!$L$155:$L$175)+SUMIF('11.2. Нови активи отч.год.'!$B$155:$B$175,$B220,'11.2. Нови активи отч.год.'!M$155:M$175)</f>
        <v>0</v>
      </c>
      <c r="N220" s="2786">
        <f>$L220-SUMIF('11.2. Нови активи отч.год.'!$B$155:$B$175,$B220,'11.2. Нови активи отч.год.'!$L$155:$L$175)+SUMIF('11.2. Нови активи отч.год.'!$B$155:$B$175,$B220,'11.2. Нови активи отч.год.'!N$155:N$175)</f>
        <v>0</v>
      </c>
      <c r="O220" s="2786">
        <f>$L220-SUMIF('11.2. Нови активи отч.год.'!$B$155:$B$175,$B220,'11.2. Нови активи отч.год.'!$L$155:$L$175)+SUMIF('11.2. Нови активи отч.год.'!$B$155:$B$175,$B220,'11.2. Нови активи отч.год.'!O$155:O$175)</f>
        <v>0</v>
      </c>
      <c r="P220" s="2786">
        <f>$L220-SUMIF('11.2. Нови активи отч.год.'!$B$155:$B$175,$B220,'11.2. Нови активи отч.год.'!$L$155:$L$175)+SUMIF('11.2. Нови активи отч.год.'!$B$155:$B$175,$B220,'11.2. Нови активи отч.год.'!P$155:P$175)</f>
        <v>0</v>
      </c>
      <c r="Q220" s="2786">
        <f>$L220-SUMIF('11.2. Нови активи отч.год.'!$B$155:$B$175,$B220,'11.2. Нови активи отч.год.'!$L$155:$L$175)+SUMIF('11.2. Нови активи отч.год.'!$B$155:$B$175,$B220,'11.2. Нови активи отч.год.'!Q$155:Q$175)</f>
        <v>0</v>
      </c>
      <c r="R220" s="2787">
        <f>$L220-SUMIF('11.2. Нови активи отч.год.'!$B$155:$B$175,$B220,'11.2. Нови активи отч.год.'!$L$155:$L$175)+SUMIF('11.2. Нови активи отч.год.'!$B$155:$B$175,$B220,'11.2. Нови активи отч.год.'!R$155:R$175)</f>
        <v>0</v>
      </c>
      <c r="S220" s="2250">
        <f t="shared" si="107"/>
        <v>0.65279100000000001</v>
      </c>
      <c r="T220" s="2785">
        <f>$S220-SUMIF('11.2. Нови активи отч.год.'!$B$155:$B$175,$B220,'11.2. Нови активи отч.год.'!$S$155:$S$175)+SUMIF('11.2. Нови активи отч.год.'!$B$155:$B$175,$B220,'11.2. Нови активи отч.год.'!T$155:T$175)</f>
        <v>0.15279100000000001</v>
      </c>
      <c r="U220" s="2786">
        <f>$S220-SUMIF('11.2. Нови активи отч.год.'!$B$155:$B$175,$B220,'11.2. Нови активи отч.год.'!$S$155:$S$175)+SUMIF('11.2. Нови активи отч.год.'!$B$155:$B$175,$B220,'11.2. Нови активи отч.год.'!U$155:U$175)</f>
        <v>0.15279100000000001</v>
      </c>
      <c r="V220" s="2786">
        <f>$S220-SUMIF('11.2. Нови активи отч.год.'!$B$155:$B$175,$B220,'11.2. Нови активи отч.год.'!$S$155:$S$175)+SUMIF('11.2. Нови активи отч.год.'!$B$155:$B$175,$B220,'11.2. Нови активи отч.год.'!V$155:V$175)</f>
        <v>0.15279100000000001</v>
      </c>
      <c r="W220" s="2786">
        <f>$S220-SUMIF('11.2. Нови активи отч.год.'!$B$155:$B$175,$B220,'11.2. Нови активи отч.год.'!$S$155:$S$175)+SUMIF('11.2. Нови активи отч.год.'!$B$155:$B$175,$B220,'11.2. Нови активи отч.год.'!W$155:W$175)</f>
        <v>-4.7208999999999945E-2</v>
      </c>
      <c r="X220" s="2786">
        <f>$S220-SUMIF('11.2. Нови активи отч.год.'!$B$155:$B$175,$B220,'11.2. Нови активи отч.год.'!$S$155:$S$175)+SUMIF('11.2. Нови активи отч.год.'!$B$155:$B$175,$B220,'11.2. Нови активи отч.год.'!X$155:X$175)</f>
        <v>-4.7208999999999945E-2</v>
      </c>
      <c r="Y220" s="2787">
        <f>$S220-SUMIF('11.2. Нови активи отч.год.'!$B$155:$B$175,$B220,'11.2. Нови активи отч.год.'!$S$155:$S$175)+SUMIF('11.2. Нови активи отч.год.'!$B$155:$B$175,$B220,'11.2. Нови активи отч.год.'!Y$155:Y$175)</f>
        <v>-4.7208999999999945E-2</v>
      </c>
      <c r="Z220" s="1680"/>
      <c r="AA220" s="1702"/>
      <c r="AB220" s="1726"/>
    </row>
    <row r="221" spans="1:28" s="1642" customFormat="1">
      <c r="A221" s="1673">
        <v>8</v>
      </c>
      <c r="B221" s="1674" t="s">
        <v>969</v>
      </c>
      <c r="C221" s="1675">
        <v>0.1</v>
      </c>
      <c r="D221" s="1625" t="s">
        <v>966</v>
      </c>
      <c r="E221" s="2250">
        <f t="shared" si="108"/>
        <v>5.018929</v>
      </c>
      <c r="F221" s="2785">
        <f>$E221-SUMIF('11.2. Нови активи отч.год.'!$B$155:$B$175,$B221,'11.2. Нови активи отч.год.'!$E$155:$E$175)+SUMIF('11.2. Нови активи отч.год.'!$B$155:$B$175,$B221,'11.2. Нови активи отч.год.'!F$155:F$175)</f>
        <v>5.018929</v>
      </c>
      <c r="G221" s="2786">
        <f>$E221-SUMIF('11.2. Нови активи отч.год.'!$B$155:$B$175,$B221,'11.2. Нови активи отч.год.'!$E$155:$E$175)+SUMIF('11.2. Нови активи отч.год.'!$B$155:$B$175,$B221,'11.2. Нови активи отч.год.'!G$155:G$175)</f>
        <v>5.018929</v>
      </c>
      <c r="H221" s="2786">
        <f>$E221-SUMIF('11.2. Нови активи отч.год.'!$B$155:$B$175,$B221,'11.2. Нови активи отч.год.'!$E$155:$E$175)+SUMIF('11.2. Нови активи отч.год.'!$B$155:$B$175,$B221,'11.2. Нови активи отч.год.'!H$155:H$175)</f>
        <v>5.018929</v>
      </c>
      <c r="I221" s="2786">
        <f>$E221-SUMIF('11.2. Нови активи отч.год.'!$B$155:$B$175,$B221,'11.2. Нови активи отч.год.'!$E$155:$E$175)+SUMIF('11.2. Нови активи отч.год.'!$B$155:$B$175,$B221,'11.2. Нови активи отч.год.'!I$155:I$175)</f>
        <v>5.018929</v>
      </c>
      <c r="J221" s="2786">
        <f>$E221-SUMIF('11.2. Нови активи отч.год.'!$B$155:$B$175,$B221,'11.2. Нови активи отч.год.'!$E$155:$E$175)+SUMIF('11.2. Нови активи отч.год.'!$B$155:$B$175,$B221,'11.2. Нови активи отч.год.'!J$155:J$175)</f>
        <v>5.018929</v>
      </c>
      <c r="K221" s="2787">
        <f>$E221-SUMIF('11.2. Нови активи отч.год.'!$B$155:$B$175,$B221,'11.2. Нови активи отч.год.'!$E$155:$E$175)+SUMIF('11.2. Нови активи отч.год.'!$B$155:$B$175,$B221,'11.2. Нови активи отч.год.'!K$155:K$175)</f>
        <v>5.018929</v>
      </c>
      <c r="L221" s="2250">
        <f t="shared" si="106"/>
        <v>0</v>
      </c>
      <c r="M221" s="2785">
        <f>$L221-SUMIF('11.2. Нови активи отч.год.'!$B$155:$B$175,$B221,'11.2. Нови активи отч.год.'!$L$155:$L$175)+SUMIF('11.2. Нови активи отч.год.'!$B$155:$B$175,$B221,'11.2. Нови активи отч.год.'!M$155:M$175)</f>
        <v>0</v>
      </c>
      <c r="N221" s="2786">
        <f>$L221-SUMIF('11.2. Нови активи отч.год.'!$B$155:$B$175,$B221,'11.2. Нови активи отч.год.'!$L$155:$L$175)+SUMIF('11.2. Нови активи отч.год.'!$B$155:$B$175,$B221,'11.2. Нови активи отч.год.'!N$155:N$175)</f>
        <v>0</v>
      </c>
      <c r="O221" s="2786">
        <f>$L221-SUMIF('11.2. Нови активи отч.год.'!$B$155:$B$175,$B221,'11.2. Нови активи отч.год.'!$L$155:$L$175)+SUMIF('11.2. Нови активи отч.год.'!$B$155:$B$175,$B221,'11.2. Нови активи отч.год.'!O$155:O$175)</f>
        <v>0</v>
      </c>
      <c r="P221" s="2786">
        <f>$L221-SUMIF('11.2. Нови активи отч.год.'!$B$155:$B$175,$B221,'11.2. Нови активи отч.год.'!$L$155:$L$175)+SUMIF('11.2. Нови активи отч.год.'!$B$155:$B$175,$B221,'11.2. Нови активи отч.год.'!P$155:P$175)</f>
        <v>0</v>
      </c>
      <c r="Q221" s="2786">
        <f>$L221-SUMIF('11.2. Нови активи отч.год.'!$B$155:$B$175,$B221,'11.2. Нови активи отч.год.'!$L$155:$L$175)+SUMIF('11.2. Нови активи отч.год.'!$B$155:$B$175,$B221,'11.2. Нови активи отч.год.'!Q$155:Q$175)</f>
        <v>0</v>
      </c>
      <c r="R221" s="2787">
        <f>$L221-SUMIF('11.2. Нови активи отч.год.'!$B$155:$B$175,$B221,'11.2. Нови активи отч.год.'!$L$155:$L$175)+SUMIF('11.2. Нови активи отч.год.'!$B$155:$B$175,$B221,'11.2. Нови активи отч.год.'!R$155:R$175)</f>
        <v>0</v>
      </c>
      <c r="S221" s="2250">
        <f t="shared" si="107"/>
        <v>0</v>
      </c>
      <c r="T221" s="2785">
        <f>$S221-SUMIF('11.2. Нови активи отч.год.'!$B$155:$B$175,$B221,'11.2. Нови активи отч.год.'!$S$155:$S$175)+SUMIF('11.2. Нови активи отч.год.'!$B$155:$B$175,$B221,'11.2. Нови активи отч.год.'!T$155:T$175)</f>
        <v>0</v>
      </c>
      <c r="U221" s="2786">
        <f>$S221-SUMIF('11.2. Нови активи отч.год.'!$B$155:$B$175,$B221,'11.2. Нови активи отч.год.'!$S$155:$S$175)+SUMIF('11.2. Нови активи отч.год.'!$B$155:$B$175,$B221,'11.2. Нови активи отч.год.'!U$155:U$175)</f>
        <v>0</v>
      </c>
      <c r="V221" s="2786">
        <f>$S221-SUMIF('11.2. Нови активи отч.год.'!$B$155:$B$175,$B221,'11.2. Нови активи отч.год.'!$S$155:$S$175)+SUMIF('11.2. Нови активи отч.год.'!$B$155:$B$175,$B221,'11.2. Нови активи отч.год.'!V$155:V$175)</f>
        <v>0</v>
      </c>
      <c r="W221" s="2786">
        <f>$S221-SUMIF('11.2. Нови активи отч.год.'!$B$155:$B$175,$B221,'11.2. Нови активи отч.год.'!$S$155:$S$175)+SUMIF('11.2. Нови активи отч.год.'!$B$155:$B$175,$B221,'11.2. Нови активи отч.год.'!W$155:W$175)</f>
        <v>0</v>
      </c>
      <c r="X221" s="2786">
        <f>$S221-SUMIF('11.2. Нови активи отч.год.'!$B$155:$B$175,$B221,'11.2. Нови активи отч.год.'!$S$155:$S$175)+SUMIF('11.2. Нови активи отч.год.'!$B$155:$B$175,$B221,'11.2. Нови активи отч.год.'!X$155:X$175)</f>
        <v>0</v>
      </c>
      <c r="Y221" s="2787">
        <f>$S221-SUMIF('11.2. Нови активи отч.год.'!$B$155:$B$175,$B221,'11.2. Нови активи отч.год.'!$S$155:$S$175)+SUMIF('11.2. Нови активи отч.год.'!$B$155:$B$175,$B221,'11.2. Нови активи отч.год.'!Y$155:Y$175)</f>
        <v>0</v>
      </c>
      <c r="Z221" s="1680"/>
      <c r="AA221" s="1702"/>
      <c r="AB221" s="1726"/>
    </row>
    <row r="222" spans="1:28" s="1642" customFormat="1">
      <c r="A222" s="1729">
        <v>9</v>
      </c>
      <c r="B222" s="1674">
        <v>911306</v>
      </c>
      <c r="C222" s="1675">
        <v>0.1</v>
      </c>
      <c r="D222" s="1625" t="s">
        <v>1471</v>
      </c>
      <c r="E222" s="2250">
        <f t="shared" si="108"/>
        <v>0</v>
      </c>
      <c r="F222" s="2785">
        <f>$E222-SUMIF('11.2. Нови активи отч.год.'!$B$155:$B$175,$B222,'11.2. Нови активи отч.год.'!$E$155:$E$175)+SUMIF('11.2. Нови активи отч.год.'!$B$155:$B$175,$B222,'11.2. Нови активи отч.год.'!F$155:F$175)</f>
        <v>0</v>
      </c>
      <c r="G222" s="2786">
        <f>$E222-SUMIF('11.2. Нови активи отч.год.'!$B$155:$B$175,$B222,'11.2. Нови активи отч.год.'!$E$155:$E$175)+SUMIF('11.2. Нови активи отч.год.'!$B$155:$B$175,$B222,'11.2. Нови активи отч.год.'!G$155:G$175)</f>
        <v>0</v>
      </c>
      <c r="H222" s="2786">
        <f>$E222-SUMIF('11.2. Нови активи отч.год.'!$B$155:$B$175,$B222,'11.2. Нови активи отч.год.'!$E$155:$E$175)+SUMIF('11.2. Нови активи отч.год.'!$B$155:$B$175,$B222,'11.2. Нови активи отч.год.'!H$155:H$175)</f>
        <v>0</v>
      </c>
      <c r="I222" s="2786">
        <f>$E222-SUMIF('11.2. Нови активи отч.год.'!$B$155:$B$175,$B222,'11.2. Нови активи отч.год.'!$E$155:$E$175)+SUMIF('11.2. Нови активи отч.год.'!$B$155:$B$175,$B222,'11.2. Нови активи отч.год.'!I$155:I$175)</f>
        <v>0</v>
      </c>
      <c r="J222" s="2786">
        <f>$E222-SUMIF('11.2. Нови активи отч.год.'!$B$155:$B$175,$B222,'11.2. Нови активи отч.год.'!$E$155:$E$175)+SUMIF('11.2. Нови активи отч.год.'!$B$155:$B$175,$B222,'11.2. Нови активи отч.год.'!J$155:J$175)</f>
        <v>0</v>
      </c>
      <c r="K222" s="2787">
        <f>$E222-SUMIF('11.2. Нови активи отч.год.'!$B$155:$B$175,$B222,'11.2. Нови активи отч.год.'!$E$155:$E$175)+SUMIF('11.2. Нови активи отч.год.'!$B$155:$B$175,$B222,'11.2. Нови активи отч.год.'!K$155:K$175)</f>
        <v>0</v>
      </c>
      <c r="L222" s="2250">
        <f t="shared" si="106"/>
        <v>0</v>
      </c>
      <c r="M222" s="2785">
        <f>$L222-SUMIF('11.2. Нови активи отч.год.'!$B$155:$B$175,$B222,'11.2. Нови активи отч.год.'!$L$155:$L$175)+SUMIF('11.2. Нови активи отч.год.'!$B$155:$B$175,$B222,'11.2. Нови активи отч.год.'!M$155:M$175)</f>
        <v>0</v>
      </c>
      <c r="N222" s="2786">
        <f>$L222-SUMIF('11.2. Нови активи отч.год.'!$B$155:$B$175,$B222,'11.2. Нови активи отч.год.'!$L$155:$L$175)+SUMIF('11.2. Нови активи отч.год.'!$B$155:$B$175,$B222,'11.2. Нови активи отч.год.'!N$155:N$175)</f>
        <v>0</v>
      </c>
      <c r="O222" s="2786">
        <f>$L222-SUMIF('11.2. Нови активи отч.год.'!$B$155:$B$175,$B222,'11.2. Нови активи отч.год.'!$L$155:$L$175)+SUMIF('11.2. Нови активи отч.год.'!$B$155:$B$175,$B222,'11.2. Нови активи отч.год.'!O$155:O$175)</f>
        <v>0</v>
      </c>
      <c r="P222" s="2786">
        <f>$L222-SUMIF('11.2. Нови активи отч.год.'!$B$155:$B$175,$B222,'11.2. Нови активи отч.год.'!$L$155:$L$175)+SUMIF('11.2. Нови активи отч.год.'!$B$155:$B$175,$B222,'11.2. Нови активи отч.год.'!P$155:P$175)</f>
        <v>0</v>
      </c>
      <c r="Q222" s="2786">
        <f>$L222-SUMIF('11.2. Нови активи отч.год.'!$B$155:$B$175,$B222,'11.2. Нови активи отч.год.'!$L$155:$L$175)+SUMIF('11.2. Нови активи отч.год.'!$B$155:$B$175,$B222,'11.2. Нови активи отч.год.'!Q$155:Q$175)</f>
        <v>0</v>
      </c>
      <c r="R222" s="2787">
        <f>$L222-SUMIF('11.2. Нови активи отч.год.'!$B$155:$B$175,$B222,'11.2. Нови активи отч.год.'!$L$155:$L$175)+SUMIF('11.2. Нови активи отч.год.'!$B$155:$B$175,$B222,'11.2. Нови активи отч.год.'!R$155:R$175)</f>
        <v>0</v>
      </c>
      <c r="S222" s="2250">
        <f t="shared" si="107"/>
        <v>0</v>
      </c>
      <c r="T222" s="2785">
        <f>$S222-SUMIF('11.2. Нови активи отч.год.'!$B$155:$B$175,$B222,'11.2. Нови активи отч.год.'!$S$155:$S$175)+SUMIF('11.2. Нови активи отч.год.'!$B$155:$B$175,$B222,'11.2. Нови активи отч.год.'!T$155:T$175)</f>
        <v>0</v>
      </c>
      <c r="U222" s="2786">
        <f>$S222-SUMIF('11.2. Нови активи отч.год.'!$B$155:$B$175,$B222,'11.2. Нови активи отч.год.'!$S$155:$S$175)+SUMIF('11.2. Нови активи отч.год.'!$B$155:$B$175,$B222,'11.2. Нови активи отч.год.'!U$155:U$175)</f>
        <v>0</v>
      </c>
      <c r="V222" s="2786">
        <f>$S222-SUMIF('11.2. Нови активи отч.год.'!$B$155:$B$175,$B222,'11.2. Нови активи отч.год.'!$S$155:$S$175)+SUMIF('11.2. Нови активи отч.год.'!$B$155:$B$175,$B222,'11.2. Нови активи отч.год.'!V$155:V$175)</f>
        <v>0</v>
      </c>
      <c r="W222" s="2786">
        <f>$S222-SUMIF('11.2. Нови активи отч.год.'!$B$155:$B$175,$B222,'11.2. Нови активи отч.год.'!$S$155:$S$175)+SUMIF('11.2. Нови активи отч.год.'!$B$155:$B$175,$B222,'11.2. Нови активи отч.год.'!W$155:W$175)</f>
        <v>0</v>
      </c>
      <c r="X222" s="2786">
        <f>$S222-SUMIF('11.2. Нови активи отч.год.'!$B$155:$B$175,$B222,'11.2. Нови активи отч.год.'!$S$155:$S$175)+SUMIF('11.2. Нови активи отч.год.'!$B$155:$B$175,$B222,'11.2. Нови активи отч.год.'!X$155:X$175)</f>
        <v>0</v>
      </c>
      <c r="Y222" s="2787">
        <f>$S222-SUMIF('11.2. Нови активи отч.год.'!$B$155:$B$175,$B222,'11.2. Нови активи отч.год.'!$S$155:$S$175)+SUMIF('11.2. Нови активи отч.год.'!$B$155:$B$175,$B222,'11.2. Нови активи отч.год.'!Y$155:Y$175)</f>
        <v>0</v>
      </c>
      <c r="Z222" s="1680"/>
      <c r="AA222" s="1702"/>
      <c r="AB222" s="1726"/>
    </row>
    <row r="223" spans="1:28" s="1642" customFormat="1">
      <c r="A223" s="1729">
        <v>10</v>
      </c>
      <c r="B223" s="1674">
        <v>91140101</v>
      </c>
      <c r="C223" s="1728">
        <v>0.1</v>
      </c>
      <c r="D223" s="1637" t="s">
        <v>1442</v>
      </c>
      <c r="E223" s="2250">
        <f t="shared" si="108"/>
        <v>76.71784000000001</v>
      </c>
      <c r="F223" s="2785">
        <f>$E223-SUMIF('11.2. Нови активи отч.год.'!$B$155:$B$175,$B223,'11.2. Нови активи отч.год.'!$E$155:$E$175)+SUMIF('11.2. Нови активи отч.год.'!$B$155:$B$175,$B223,'11.2. Нови активи отч.год.'!F$155:F$175)</f>
        <v>76.71784000000001</v>
      </c>
      <c r="G223" s="2786">
        <f>$E223-SUMIF('11.2. Нови активи отч.год.'!$B$155:$B$175,$B223,'11.2. Нови активи отч.год.'!$E$155:$E$175)+SUMIF('11.2. Нови активи отч.год.'!$B$155:$B$175,$B223,'11.2. Нови активи отч.год.'!G$155:G$175)</f>
        <v>76.71784000000001</v>
      </c>
      <c r="H223" s="2786">
        <f>$E223-SUMIF('11.2. Нови активи отч.год.'!$B$155:$B$175,$B223,'11.2. Нови активи отч.год.'!$E$155:$E$175)+SUMIF('11.2. Нови активи отч.год.'!$B$155:$B$175,$B223,'11.2. Нови активи отч.год.'!H$155:H$175)</f>
        <v>76.71784000000001</v>
      </c>
      <c r="I223" s="2786">
        <f>$E223-SUMIF('11.2. Нови активи отч.год.'!$B$155:$B$175,$B223,'11.2. Нови активи отч.год.'!$E$155:$E$175)+SUMIF('11.2. Нови активи отч.год.'!$B$155:$B$175,$B223,'11.2. Нови активи отч.год.'!I$155:I$175)</f>
        <v>70.71784000000001</v>
      </c>
      <c r="J223" s="2786">
        <f>$E223-SUMIF('11.2. Нови активи отч.год.'!$B$155:$B$175,$B223,'11.2. Нови активи отч.год.'!$E$155:$E$175)+SUMIF('11.2. Нови активи отч.год.'!$B$155:$B$175,$B223,'11.2. Нови активи отч.год.'!J$155:J$175)</f>
        <v>-0.28215999999999042</v>
      </c>
      <c r="K223" s="2787">
        <f>$E223-SUMIF('11.2. Нови активи отч.год.'!$B$155:$B$175,$B223,'11.2. Нови активи отч.год.'!$E$155:$E$175)+SUMIF('11.2. Нови активи отч.год.'!$B$155:$B$175,$B223,'11.2. Нови активи отч.год.'!K$155:K$175)</f>
        <v>-0.28215999999999042</v>
      </c>
      <c r="L223" s="2250">
        <f t="shared" si="106"/>
        <v>0</v>
      </c>
      <c r="M223" s="2785">
        <f>$L223-SUMIF('11.2. Нови активи отч.год.'!$B$155:$B$175,$B223,'11.2. Нови активи отч.год.'!$L$155:$L$175)+SUMIF('11.2. Нови активи отч.год.'!$B$155:$B$175,$B223,'11.2. Нови активи отч.год.'!M$155:M$175)</f>
        <v>0</v>
      </c>
      <c r="N223" s="2786">
        <f>$L223-SUMIF('11.2. Нови активи отч.год.'!$B$155:$B$175,$B223,'11.2. Нови активи отч.год.'!$L$155:$L$175)+SUMIF('11.2. Нови активи отч.год.'!$B$155:$B$175,$B223,'11.2. Нови активи отч.год.'!N$155:N$175)</f>
        <v>0</v>
      </c>
      <c r="O223" s="2786">
        <f>$L223-SUMIF('11.2. Нови активи отч.год.'!$B$155:$B$175,$B223,'11.2. Нови активи отч.год.'!$L$155:$L$175)+SUMIF('11.2. Нови активи отч.год.'!$B$155:$B$175,$B223,'11.2. Нови активи отч.год.'!O$155:O$175)</f>
        <v>0</v>
      </c>
      <c r="P223" s="2786">
        <f>$L223-SUMIF('11.2. Нови активи отч.год.'!$B$155:$B$175,$B223,'11.2. Нови активи отч.год.'!$L$155:$L$175)+SUMIF('11.2. Нови активи отч.год.'!$B$155:$B$175,$B223,'11.2. Нови активи отч.год.'!P$155:P$175)</f>
        <v>0</v>
      </c>
      <c r="Q223" s="2786">
        <f>$L223-SUMIF('11.2. Нови активи отч.год.'!$B$155:$B$175,$B223,'11.2. Нови активи отч.год.'!$L$155:$L$175)+SUMIF('11.2. Нови активи отч.год.'!$B$155:$B$175,$B223,'11.2. Нови активи отч.год.'!Q$155:Q$175)</f>
        <v>0</v>
      </c>
      <c r="R223" s="2787">
        <f>$L223-SUMIF('11.2. Нови активи отч.год.'!$B$155:$B$175,$B223,'11.2. Нови активи отч.год.'!$L$155:$L$175)+SUMIF('11.2. Нови активи отч.год.'!$B$155:$B$175,$B223,'11.2. Нови активи отч.год.'!R$155:R$175)</f>
        <v>0</v>
      </c>
      <c r="S223" s="2250">
        <f t="shared" si="107"/>
        <v>3.4553479999999994</v>
      </c>
      <c r="T223" s="2785">
        <f>$S223-SUMIF('11.2. Нови активи отч.год.'!$B$155:$B$175,$B223,'11.2. Нови активи отч.год.'!$S$155:$S$175)+SUMIF('11.2. Нови активи отч.год.'!$B$155:$B$175,$B223,'11.2. Нови активи отч.год.'!T$155:T$175)</f>
        <v>3.4553479999999994</v>
      </c>
      <c r="U223" s="2786">
        <f>$S223-SUMIF('11.2. Нови активи отч.год.'!$B$155:$B$175,$B223,'11.2. Нови активи отч.год.'!$S$155:$S$175)+SUMIF('11.2. Нови активи отч.год.'!$B$155:$B$175,$B223,'11.2. Нови активи отч.год.'!U$155:U$175)</f>
        <v>0.45534799999999942</v>
      </c>
      <c r="V223" s="2786">
        <f>$S223-SUMIF('11.2. Нови активи отч.год.'!$B$155:$B$175,$B223,'11.2. Нови активи отч.год.'!$S$155:$S$175)+SUMIF('11.2. Нови активи отч.год.'!$B$155:$B$175,$B223,'11.2. Нови активи отч.год.'!V$155:V$175)</f>
        <v>0.45534799999999942</v>
      </c>
      <c r="W223" s="2786">
        <f>$S223-SUMIF('11.2. Нови активи отч.год.'!$B$155:$B$175,$B223,'11.2. Нови активи отч.год.'!$S$155:$S$175)+SUMIF('11.2. Нови активи отч.год.'!$B$155:$B$175,$B223,'11.2. Нови активи отч.год.'!W$155:W$175)</f>
        <v>-4.465200000000058E-2</v>
      </c>
      <c r="X223" s="2786">
        <f>$S223-SUMIF('11.2. Нови активи отч.год.'!$B$155:$B$175,$B223,'11.2. Нови активи отч.год.'!$S$155:$S$175)+SUMIF('11.2. Нови активи отч.год.'!$B$155:$B$175,$B223,'11.2. Нови активи отч.год.'!X$155:X$175)</f>
        <v>-4.465200000000058E-2</v>
      </c>
      <c r="Y223" s="2787">
        <f>$S223-SUMIF('11.2. Нови активи отч.год.'!$B$155:$B$175,$B223,'11.2. Нови активи отч.год.'!$S$155:$S$175)+SUMIF('11.2. Нови активи отч.год.'!$B$155:$B$175,$B223,'11.2. Нови активи отч.год.'!Y$155:Y$175)</f>
        <v>-4.465200000000058E-2</v>
      </c>
      <c r="Z223" s="1680"/>
      <c r="AA223" s="1702"/>
      <c r="AB223" s="1726"/>
    </row>
    <row r="224" spans="1:28" s="1642" customFormat="1">
      <c r="A224" s="1729">
        <v>11</v>
      </c>
      <c r="B224" s="1674">
        <v>91140102</v>
      </c>
      <c r="C224" s="1728">
        <v>0.04</v>
      </c>
      <c r="D224" s="1637" t="s">
        <v>604</v>
      </c>
      <c r="E224" s="2250">
        <f t="shared" si="108"/>
        <v>34.944686000000004</v>
      </c>
      <c r="F224" s="2785">
        <f>$E224-SUMIF('11.2. Нови активи отч.год.'!$B$155:$B$175,$B224,'11.2. Нови активи отч.год.'!$E$155:$E$175)+SUMIF('11.2. Нови активи отч.год.'!$B$155:$B$175,$B224,'11.2. Нови активи отч.год.'!F$155:F$175)</f>
        <v>34.944686000000004</v>
      </c>
      <c r="G224" s="2786">
        <f>$E224-SUMIF('11.2. Нови активи отч.год.'!$B$155:$B$175,$B224,'11.2. Нови активи отч.год.'!$E$155:$E$175)+SUMIF('11.2. Нови активи отч.год.'!$B$155:$B$175,$B224,'11.2. Нови активи отч.год.'!G$155:G$175)</f>
        <v>34.944686000000004</v>
      </c>
      <c r="H224" s="2786">
        <f>$E224-SUMIF('11.2. Нови активи отч.год.'!$B$155:$B$175,$B224,'11.2. Нови активи отч.год.'!$E$155:$E$175)+SUMIF('11.2. Нови активи отч.год.'!$B$155:$B$175,$B224,'11.2. Нови активи отч.год.'!H$155:H$175)</f>
        <v>34.944686000000004</v>
      </c>
      <c r="I224" s="2786">
        <f>$E224-SUMIF('11.2. Нови активи отч.год.'!$B$155:$B$175,$B224,'11.2. Нови активи отч.год.'!$E$155:$E$175)+SUMIF('11.2. Нови активи отч.год.'!$B$155:$B$175,$B224,'11.2. Нови активи отч.год.'!I$155:I$175)</f>
        <v>34.944686000000004</v>
      </c>
      <c r="J224" s="2786">
        <f>$E224-SUMIF('11.2. Нови активи отч.год.'!$B$155:$B$175,$B224,'11.2. Нови активи отч.год.'!$E$155:$E$175)+SUMIF('11.2. Нови активи отч.год.'!$B$155:$B$175,$B224,'11.2. Нови активи отч.год.'!J$155:J$175)</f>
        <v>34.944686000000004</v>
      </c>
      <c r="K224" s="2787">
        <f>$E224-SUMIF('11.2. Нови активи отч.год.'!$B$155:$B$175,$B224,'11.2. Нови активи отч.год.'!$E$155:$E$175)+SUMIF('11.2. Нови активи отч.год.'!$B$155:$B$175,$B224,'11.2. Нови активи отч.год.'!K$155:K$175)</f>
        <v>34.944686000000004</v>
      </c>
      <c r="L224" s="2250">
        <f t="shared" si="106"/>
        <v>0.2316</v>
      </c>
      <c r="M224" s="2785">
        <f>$L224-SUMIF('11.2. Нови активи отч.год.'!$B$155:$B$175,$B224,'11.2. Нови активи отч.год.'!$L$155:$L$175)+SUMIF('11.2. Нови активи отч.год.'!$B$155:$B$175,$B224,'11.2. Нови активи отч.год.'!M$155:M$175)</f>
        <v>0.2316</v>
      </c>
      <c r="N224" s="2786">
        <f>$L224-SUMIF('11.2. Нови активи отч.год.'!$B$155:$B$175,$B224,'11.2. Нови активи отч.год.'!$L$155:$L$175)+SUMIF('11.2. Нови активи отч.год.'!$B$155:$B$175,$B224,'11.2. Нови активи отч.год.'!N$155:N$175)</f>
        <v>0.2316</v>
      </c>
      <c r="O224" s="2786">
        <f>$L224-SUMIF('11.2. Нови активи отч.год.'!$B$155:$B$175,$B224,'11.2. Нови активи отч.год.'!$L$155:$L$175)+SUMIF('11.2. Нови активи отч.год.'!$B$155:$B$175,$B224,'11.2. Нови активи отч.год.'!O$155:O$175)</f>
        <v>0.2316</v>
      </c>
      <c r="P224" s="2786">
        <f>$L224-SUMIF('11.2. Нови активи отч.год.'!$B$155:$B$175,$B224,'11.2. Нови активи отч.год.'!$L$155:$L$175)+SUMIF('11.2. Нови активи отч.год.'!$B$155:$B$175,$B224,'11.2. Нови активи отч.год.'!P$155:P$175)</f>
        <v>0.2316</v>
      </c>
      <c r="Q224" s="2786">
        <f>$L224-SUMIF('11.2. Нови активи отч.год.'!$B$155:$B$175,$B224,'11.2. Нови активи отч.год.'!$L$155:$L$175)+SUMIF('11.2. Нови активи отч.год.'!$B$155:$B$175,$B224,'11.2. Нови активи отч.год.'!Q$155:Q$175)</f>
        <v>0.2316</v>
      </c>
      <c r="R224" s="2787">
        <f>$L224-SUMIF('11.2. Нови активи отч.год.'!$B$155:$B$175,$B224,'11.2. Нови активи отч.год.'!$L$155:$L$175)+SUMIF('11.2. Нови активи отч.год.'!$B$155:$B$175,$B224,'11.2. Нови активи отч.год.'!R$155:R$175)</f>
        <v>0.2316</v>
      </c>
      <c r="S224" s="2250">
        <f t="shared" si="107"/>
        <v>0.43995959999999995</v>
      </c>
      <c r="T224" s="2785">
        <f>$S224-SUMIF('11.2. Нови активи отч.год.'!$B$155:$B$175,$B224,'11.2. Нови активи отч.год.'!$S$155:$S$175)+SUMIF('11.2. Нови активи отч.год.'!$B$155:$B$175,$B224,'11.2. Нови активи отч.год.'!T$155:T$175)</f>
        <v>0.43995959999999995</v>
      </c>
      <c r="U224" s="2786">
        <f>$S224-SUMIF('11.2. Нови активи отч.год.'!$B$155:$B$175,$B224,'11.2. Нови активи отч.год.'!$S$155:$S$175)+SUMIF('11.2. Нови активи отч.год.'!$B$155:$B$175,$B224,'11.2. Нови активи отч.год.'!U$155:U$175)</f>
        <v>0.43995959999999995</v>
      </c>
      <c r="V224" s="2786">
        <f>$S224-SUMIF('11.2. Нови активи отч.год.'!$B$155:$B$175,$B224,'11.2. Нови активи отч.год.'!$S$155:$S$175)+SUMIF('11.2. Нови активи отч.год.'!$B$155:$B$175,$B224,'11.2. Нови активи отч.год.'!V$155:V$175)</f>
        <v>0.43995959999999995</v>
      </c>
      <c r="W224" s="2786">
        <f>$S224-SUMIF('11.2. Нови активи отч.год.'!$B$155:$B$175,$B224,'11.2. Нови активи отч.год.'!$S$155:$S$175)+SUMIF('11.2. Нови активи отч.год.'!$B$155:$B$175,$B224,'11.2. Нови активи отч.год.'!W$155:W$175)</f>
        <v>3.9959599999999929E-2</v>
      </c>
      <c r="X224" s="2786">
        <f>$S224-SUMIF('11.2. Нови активи отч.год.'!$B$155:$B$175,$B224,'11.2. Нови активи отч.год.'!$S$155:$S$175)+SUMIF('11.2. Нови активи отч.год.'!$B$155:$B$175,$B224,'11.2. Нови активи отч.год.'!X$155:X$175)</f>
        <v>3.9959599999999929E-2</v>
      </c>
      <c r="Y224" s="2787">
        <f>$S224-SUMIF('11.2. Нови активи отч.год.'!$B$155:$B$175,$B224,'11.2. Нови активи отч.год.'!$S$155:$S$175)+SUMIF('11.2. Нови активи отч.год.'!$B$155:$B$175,$B224,'11.2. Нови активи отч.год.'!Y$155:Y$175)</f>
        <v>3.9959599999999929E-2</v>
      </c>
      <c r="Z224" s="1680"/>
      <c r="AA224" s="1702"/>
      <c r="AB224" s="1726"/>
    </row>
    <row r="225" spans="1:28" s="1642" customFormat="1">
      <c r="A225" s="1729">
        <v>12</v>
      </c>
      <c r="B225" s="1674" t="s">
        <v>951</v>
      </c>
      <c r="C225" s="1675">
        <v>0.02</v>
      </c>
      <c r="D225" s="1623" t="s">
        <v>1007</v>
      </c>
      <c r="E225" s="2250">
        <f t="shared" si="108"/>
        <v>4.1988000000000003</v>
      </c>
      <c r="F225" s="2785">
        <f>$E225-SUMIF('11.2. Нови активи отч.год.'!$B$155:$B$175,$B225,'11.2. Нови активи отч.год.'!$E$155:$E$175)+SUMIF('11.2. Нови активи отч.год.'!$B$155:$B$175,$B225,'11.2. Нови активи отч.год.'!F$155:F$175)</f>
        <v>4.1988000000000003</v>
      </c>
      <c r="G225" s="2786">
        <f>$E225-SUMIF('11.2. Нови активи отч.год.'!$B$155:$B$175,$B225,'11.2. Нови активи отч.год.'!$E$155:$E$175)+SUMIF('11.2. Нови активи отч.год.'!$B$155:$B$175,$B225,'11.2. Нови активи отч.год.'!G$155:G$175)</f>
        <v>4.1988000000000003</v>
      </c>
      <c r="H225" s="2786">
        <f>$E225-SUMIF('11.2. Нови активи отч.год.'!$B$155:$B$175,$B225,'11.2. Нови активи отч.год.'!$E$155:$E$175)+SUMIF('11.2. Нови активи отч.год.'!$B$155:$B$175,$B225,'11.2. Нови активи отч.год.'!H$155:H$175)</f>
        <v>4.1988000000000003</v>
      </c>
      <c r="I225" s="2786">
        <f>$E225-SUMIF('11.2. Нови активи отч.год.'!$B$155:$B$175,$B225,'11.2. Нови активи отч.год.'!$E$155:$E$175)+SUMIF('11.2. Нови активи отч.год.'!$B$155:$B$175,$B225,'11.2. Нови активи отч.год.'!I$155:I$175)</f>
        <v>4.1988000000000003</v>
      </c>
      <c r="J225" s="2786">
        <f>$E225-SUMIF('11.2. Нови активи отч.год.'!$B$155:$B$175,$B225,'11.2. Нови активи отч.год.'!$E$155:$E$175)+SUMIF('11.2. Нови активи отч.год.'!$B$155:$B$175,$B225,'11.2. Нови активи отч.год.'!J$155:J$175)</f>
        <v>4.1988000000000003</v>
      </c>
      <c r="K225" s="2787">
        <f>$E225-SUMIF('11.2. Нови активи отч.год.'!$B$155:$B$175,$B225,'11.2. Нови активи отч.год.'!$E$155:$E$175)+SUMIF('11.2. Нови активи отч.год.'!$B$155:$B$175,$B225,'11.2. Нови активи отч.год.'!K$155:K$175)</f>
        <v>4.1988000000000003</v>
      </c>
      <c r="L225" s="2250">
        <f t="shared" si="106"/>
        <v>0</v>
      </c>
      <c r="M225" s="2785">
        <f>$L225-SUMIF('11.2. Нови активи отч.год.'!$B$155:$B$175,$B225,'11.2. Нови активи отч.год.'!$L$155:$L$175)+SUMIF('11.2. Нови активи отч.год.'!$B$155:$B$175,$B225,'11.2. Нови активи отч.год.'!M$155:M$175)</f>
        <v>0</v>
      </c>
      <c r="N225" s="2786">
        <f>$L225-SUMIF('11.2. Нови активи отч.год.'!$B$155:$B$175,$B225,'11.2. Нови активи отч.год.'!$L$155:$L$175)+SUMIF('11.2. Нови активи отч.год.'!$B$155:$B$175,$B225,'11.2. Нови активи отч.год.'!N$155:N$175)</f>
        <v>0</v>
      </c>
      <c r="O225" s="2786">
        <f>$L225-SUMIF('11.2. Нови активи отч.год.'!$B$155:$B$175,$B225,'11.2. Нови активи отч.год.'!$L$155:$L$175)+SUMIF('11.2. Нови активи отч.год.'!$B$155:$B$175,$B225,'11.2. Нови активи отч.год.'!O$155:O$175)</f>
        <v>0</v>
      </c>
      <c r="P225" s="2786">
        <f>$L225-SUMIF('11.2. Нови активи отч.год.'!$B$155:$B$175,$B225,'11.2. Нови активи отч.год.'!$L$155:$L$175)+SUMIF('11.2. Нови активи отч.год.'!$B$155:$B$175,$B225,'11.2. Нови активи отч.год.'!P$155:P$175)</f>
        <v>0</v>
      </c>
      <c r="Q225" s="2786">
        <f>$L225-SUMIF('11.2. Нови активи отч.год.'!$B$155:$B$175,$B225,'11.2. Нови активи отч.год.'!$L$155:$L$175)+SUMIF('11.2. Нови активи отч.год.'!$B$155:$B$175,$B225,'11.2. Нови активи отч.год.'!Q$155:Q$175)</f>
        <v>0</v>
      </c>
      <c r="R225" s="2787">
        <f>$L225-SUMIF('11.2. Нови активи отч.год.'!$B$155:$B$175,$B225,'11.2. Нови активи отч.год.'!$L$155:$L$175)+SUMIF('11.2. Нови активи отч.год.'!$B$155:$B$175,$B225,'11.2. Нови активи отч.год.'!R$155:R$175)</f>
        <v>0</v>
      </c>
      <c r="S225" s="2250">
        <f t="shared" si="107"/>
        <v>0</v>
      </c>
      <c r="T225" s="2785">
        <f>$S225-SUMIF('11.2. Нови активи отч.год.'!$B$155:$B$175,$B225,'11.2. Нови активи отч.год.'!$S$155:$S$175)+SUMIF('11.2. Нови активи отч.год.'!$B$155:$B$175,$B225,'11.2. Нови активи отч.год.'!T$155:T$175)</f>
        <v>0</v>
      </c>
      <c r="U225" s="2786">
        <f>$S225-SUMIF('11.2. Нови активи отч.год.'!$B$155:$B$175,$B225,'11.2. Нови активи отч.год.'!$S$155:$S$175)+SUMIF('11.2. Нови активи отч.год.'!$B$155:$B$175,$B225,'11.2. Нови активи отч.год.'!U$155:U$175)</f>
        <v>0</v>
      </c>
      <c r="V225" s="2786">
        <f>$S225-SUMIF('11.2. Нови активи отч.год.'!$B$155:$B$175,$B225,'11.2. Нови активи отч.год.'!$S$155:$S$175)+SUMIF('11.2. Нови активи отч.год.'!$B$155:$B$175,$B225,'11.2. Нови активи отч.год.'!V$155:V$175)</f>
        <v>0</v>
      </c>
      <c r="W225" s="2786">
        <f>$S225-SUMIF('11.2. Нови активи отч.год.'!$B$155:$B$175,$B225,'11.2. Нови активи отч.год.'!$S$155:$S$175)+SUMIF('11.2. Нови активи отч.год.'!$B$155:$B$175,$B225,'11.2. Нови активи отч.год.'!W$155:W$175)</f>
        <v>0</v>
      </c>
      <c r="X225" s="2786">
        <f>$S225-SUMIF('11.2. Нови активи отч.год.'!$B$155:$B$175,$B225,'11.2. Нови активи отч.год.'!$S$155:$S$175)+SUMIF('11.2. Нови активи отч.год.'!$B$155:$B$175,$B225,'11.2. Нови активи отч.год.'!X$155:X$175)</f>
        <v>0</v>
      </c>
      <c r="Y225" s="2787">
        <f>$S225-SUMIF('11.2. Нови активи отч.год.'!$B$155:$B$175,$B225,'11.2. Нови активи отч.год.'!$S$155:$S$175)+SUMIF('11.2. Нови активи отч.год.'!$B$155:$B$175,$B225,'11.2. Нови активи отч.год.'!Y$155:Y$175)</f>
        <v>0</v>
      </c>
      <c r="Z225" s="1680"/>
      <c r="AA225" s="1702"/>
      <c r="AB225" s="1726"/>
    </row>
    <row r="226" spans="1:28" s="1642" customFormat="1">
      <c r="A226" s="1729">
        <v>13</v>
      </c>
      <c r="B226" s="1674" t="s">
        <v>952</v>
      </c>
      <c r="C226" s="1675">
        <v>0.02</v>
      </c>
      <c r="D226" s="1623" t="s">
        <v>1008</v>
      </c>
      <c r="E226" s="2250">
        <f t="shared" si="108"/>
        <v>28.070339000000004</v>
      </c>
      <c r="F226" s="2785">
        <f>$E226-SUMIF('11.2. Нови активи отч.год.'!$B$155:$B$175,$B226,'11.2. Нови активи отч.год.'!$E$155:$E$175)+SUMIF('11.2. Нови активи отч.год.'!$B$155:$B$175,$B226,'11.2. Нови активи отч.год.'!F$155:F$175)</f>
        <v>28.070339000000004</v>
      </c>
      <c r="G226" s="2786">
        <f>$E226-SUMIF('11.2. Нови активи отч.год.'!$B$155:$B$175,$B226,'11.2. Нови активи отч.год.'!$E$155:$E$175)+SUMIF('11.2. Нови активи отч.год.'!$B$155:$B$175,$B226,'11.2. Нови активи отч.год.'!G$155:G$175)</f>
        <v>28.070339000000004</v>
      </c>
      <c r="H226" s="2786">
        <f>$E226-SUMIF('11.2. Нови активи отч.год.'!$B$155:$B$175,$B226,'11.2. Нови активи отч.год.'!$E$155:$E$175)+SUMIF('11.2. Нови активи отч.год.'!$B$155:$B$175,$B226,'11.2. Нови активи отч.год.'!H$155:H$175)</f>
        <v>28.070339000000004</v>
      </c>
      <c r="I226" s="2786">
        <f>$E226-SUMIF('11.2. Нови активи отч.год.'!$B$155:$B$175,$B226,'11.2. Нови активи отч.год.'!$E$155:$E$175)+SUMIF('11.2. Нови активи отч.год.'!$B$155:$B$175,$B226,'11.2. Нови активи отч.год.'!I$155:I$175)</f>
        <v>28.070339000000004</v>
      </c>
      <c r="J226" s="2786">
        <f>$E226-SUMIF('11.2. Нови активи отч.год.'!$B$155:$B$175,$B226,'11.2. Нови активи отч.год.'!$E$155:$E$175)+SUMIF('11.2. Нови активи отч.год.'!$B$155:$B$175,$B226,'11.2. Нови активи отч.год.'!J$155:J$175)</f>
        <v>28.070339000000004</v>
      </c>
      <c r="K226" s="2787">
        <f>$E226-SUMIF('11.2. Нови активи отч.год.'!$B$155:$B$175,$B226,'11.2. Нови активи отч.год.'!$E$155:$E$175)+SUMIF('11.2. Нови активи отч.год.'!$B$155:$B$175,$B226,'11.2. Нови активи отч.год.'!K$155:K$175)</f>
        <v>28.070339000000004</v>
      </c>
      <c r="L226" s="2250">
        <f t="shared" si="106"/>
        <v>0</v>
      </c>
      <c r="M226" s="2785">
        <f>$L226-SUMIF('11.2. Нови активи отч.год.'!$B$155:$B$175,$B226,'11.2. Нови активи отч.год.'!$L$155:$L$175)+SUMIF('11.2. Нови активи отч.год.'!$B$155:$B$175,$B226,'11.2. Нови активи отч.год.'!M$155:M$175)</f>
        <v>0</v>
      </c>
      <c r="N226" s="2786">
        <f>$L226-SUMIF('11.2. Нови активи отч.год.'!$B$155:$B$175,$B226,'11.2. Нови активи отч.год.'!$L$155:$L$175)+SUMIF('11.2. Нови активи отч.год.'!$B$155:$B$175,$B226,'11.2. Нови активи отч.год.'!N$155:N$175)</f>
        <v>0</v>
      </c>
      <c r="O226" s="2786">
        <f>$L226-SUMIF('11.2. Нови активи отч.год.'!$B$155:$B$175,$B226,'11.2. Нови активи отч.год.'!$L$155:$L$175)+SUMIF('11.2. Нови активи отч.год.'!$B$155:$B$175,$B226,'11.2. Нови активи отч.год.'!O$155:O$175)</f>
        <v>0</v>
      </c>
      <c r="P226" s="2786">
        <f>$L226-SUMIF('11.2. Нови активи отч.год.'!$B$155:$B$175,$B226,'11.2. Нови активи отч.год.'!$L$155:$L$175)+SUMIF('11.2. Нови активи отч.год.'!$B$155:$B$175,$B226,'11.2. Нови активи отч.год.'!P$155:P$175)</f>
        <v>0</v>
      </c>
      <c r="Q226" s="2786">
        <f>$L226-SUMIF('11.2. Нови активи отч.год.'!$B$155:$B$175,$B226,'11.2. Нови активи отч.год.'!$L$155:$L$175)+SUMIF('11.2. Нови активи отч.год.'!$B$155:$B$175,$B226,'11.2. Нови активи отч.год.'!Q$155:Q$175)</f>
        <v>0</v>
      </c>
      <c r="R226" s="2787">
        <f>$L226-SUMIF('11.2. Нови активи отч.год.'!$B$155:$B$175,$B226,'11.2. Нови активи отч.год.'!$L$155:$L$175)+SUMIF('11.2. Нови активи отч.год.'!$B$155:$B$175,$B226,'11.2. Нови активи отч.год.'!R$155:R$175)</f>
        <v>0</v>
      </c>
      <c r="S226" s="2250">
        <f t="shared" si="107"/>
        <v>0</v>
      </c>
      <c r="T226" s="2785">
        <f>$S226-SUMIF('11.2. Нови активи отч.год.'!$B$155:$B$175,$B226,'11.2. Нови активи отч.год.'!$S$155:$S$175)+SUMIF('11.2. Нови активи отч.год.'!$B$155:$B$175,$B226,'11.2. Нови активи отч.год.'!T$155:T$175)</f>
        <v>0</v>
      </c>
      <c r="U226" s="2786">
        <f>$S226-SUMIF('11.2. Нови активи отч.год.'!$B$155:$B$175,$B226,'11.2. Нови активи отч.год.'!$S$155:$S$175)+SUMIF('11.2. Нови активи отч.год.'!$B$155:$B$175,$B226,'11.2. Нови активи отч.год.'!U$155:U$175)</f>
        <v>0</v>
      </c>
      <c r="V226" s="2786">
        <f>$S226-SUMIF('11.2. Нови активи отч.год.'!$B$155:$B$175,$B226,'11.2. Нови активи отч.год.'!$S$155:$S$175)+SUMIF('11.2. Нови активи отч.год.'!$B$155:$B$175,$B226,'11.2. Нови активи отч.год.'!V$155:V$175)</f>
        <v>0</v>
      </c>
      <c r="W226" s="2786">
        <f>$S226-SUMIF('11.2. Нови активи отч.год.'!$B$155:$B$175,$B226,'11.2. Нови активи отч.год.'!$S$155:$S$175)+SUMIF('11.2. Нови активи отч.год.'!$B$155:$B$175,$B226,'11.2. Нови активи отч.год.'!W$155:W$175)</f>
        <v>0</v>
      </c>
      <c r="X226" s="2786">
        <f>$S226-SUMIF('11.2. Нови активи отч.год.'!$B$155:$B$175,$B226,'11.2. Нови активи отч.год.'!$S$155:$S$175)+SUMIF('11.2. Нови активи отч.год.'!$B$155:$B$175,$B226,'11.2. Нови активи отч.год.'!X$155:X$175)</f>
        <v>0</v>
      </c>
      <c r="Y226" s="2787">
        <f>$S226-SUMIF('11.2. Нови активи отч.год.'!$B$155:$B$175,$B226,'11.2. Нови активи отч.год.'!$S$155:$S$175)+SUMIF('11.2. Нови активи отч.год.'!$B$155:$B$175,$B226,'11.2. Нови активи отч.год.'!Y$155:Y$175)</f>
        <v>0</v>
      </c>
      <c r="Z226" s="1680"/>
      <c r="AA226" s="1702"/>
      <c r="AB226" s="1726"/>
    </row>
    <row r="227" spans="1:28" s="1642" customFormat="1">
      <c r="A227" s="1729">
        <v>14</v>
      </c>
      <c r="B227" s="1674" t="s">
        <v>953</v>
      </c>
      <c r="C227" s="1675">
        <v>0.02</v>
      </c>
      <c r="D227" s="1623" t="s">
        <v>590</v>
      </c>
      <c r="E227" s="2250">
        <f t="shared" si="108"/>
        <v>0.34994839999999999</v>
      </c>
      <c r="F227" s="2785">
        <f>$E227-SUMIF('11.2. Нови активи отч.год.'!$B$155:$B$175,$B227,'11.2. Нови активи отч.год.'!$E$155:$E$175)+SUMIF('11.2. Нови активи отч.год.'!$B$155:$B$175,$B227,'11.2. Нови активи отч.год.'!F$155:F$175)</f>
        <v>0.34994839999999999</v>
      </c>
      <c r="G227" s="2786">
        <f>$E227-SUMIF('11.2. Нови активи отч.год.'!$B$155:$B$175,$B227,'11.2. Нови активи отч.год.'!$E$155:$E$175)+SUMIF('11.2. Нови активи отч.год.'!$B$155:$B$175,$B227,'11.2. Нови активи отч.год.'!G$155:G$175)</f>
        <v>0.34994839999999999</v>
      </c>
      <c r="H227" s="2786">
        <f>$E227-SUMIF('11.2. Нови активи отч.год.'!$B$155:$B$175,$B227,'11.2. Нови активи отч.год.'!$E$155:$E$175)+SUMIF('11.2. Нови активи отч.год.'!$B$155:$B$175,$B227,'11.2. Нови активи отч.год.'!H$155:H$175)</f>
        <v>0.34994839999999999</v>
      </c>
      <c r="I227" s="2786">
        <f>$E227-SUMIF('11.2. Нови активи отч.год.'!$B$155:$B$175,$B227,'11.2. Нови активи отч.год.'!$E$155:$E$175)+SUMIF('11.2. Нови активи отч.год.'!$B$155:$B$175,$B227,'11.2. Нови активи отч.год.'!I$155:I$175)</f>
        <v>0.34994839999999999</v>
      </c>
      <c r="J227" s="2786">
        <f>$E227-SUMIF('11.2. Нови активи отч.год.'!$B$155:$B$175,$B227,'11.2. Нови активи отч.год.'!$E$155:$E$175)+SUMIF('11.2. Нови активи отч.год.'!$B$155:$B$175,$B227,'11.2. Нови активи отч.год.'!J$155:J$175)</f>
        <v>0.34994839999999999</v>
      </c>
      <c r="K227" s="2787">
        <f>$E227-SUMIF('11.2. Нови активи отч.год.'!$B$155:$B$175,$B227,'11.2. Нови активи отч.год.'!$E$155:$E$175)+SUMIF('11.2. Нови активи отч.год.'!$B$155:$B$175,$B227,'11.2. Нови активи отч.год.'!K$155:K$175)</f>
        <v>0.34994839999999999</v>
      </c>
      <c r="L227" s="2250">
        <f t="shared" si="106"/>
        <v>0</v>
      </c>
      <c r="M227" s="2785">
        <f>$L227-SUMIF('11.2. Нови активи отч.год.'!$B$155:$B$175,$B227,'11.2. Нови активи отч.год.'!$L$155:$L$175)+SUMIF('11.2. Нови активи отч.год.'!$B$155:$B$175,$B227,'11.2. Нови активи отч.год.'!M$155:M$175)</f>
        <v>0</v>
      </c>
      <c r="N227" s="2786">
        <f>$L227-SUMIF('11.2. Нови активи отч.год.'!$B$155:$B$175,$B227,'11.2. Нови активи отч.год.'!$L$155:$L$175)+SUMIF('11.2. Нови активи отч.год.'!$B$155:$B$175,$B227,'11.2. Нови активи отч.год.'!N$155:N$175)</f>
        <v>0</v>
      </c>
      <c r="O227" s="2786">
        <f>$L227-SUMIF('11.2. Нови активи отч.год.'!$B$155:$B$175,$B227,'11.2. Нови активи отч.год.'!$L$155:$L$175)+SUMIF('11.2. Нови активи отч.год.'!$B$155:$B$175,$B227,'11.2. Нови активи отч.год.'!O$155:O$175)</f>
        <v>0</v>
      </c>
      <c r="P227" s="2786">
        <f>$L227-SUMIF('11.2. Нови активи отч.год.'!$B$155:$B$175,$B227,'11.2. Нови активи отч.год.'!$L$155:$L$175)+SUMIF('11.2. Нови активи отч.год.'!$B$155:$B$175,$B227,'11.2. Нови активи отч.год.'!P$155:P$175)</f>
        <v>0</v>
      </c>
      <c r="Q227" s="2786">
        <f>$L227-SUMIF('11.2. Нови активи отч.год.'!$B$155:$B$175,$B227,'11.2. Нови активи отч.год.'!$L$155:$L$175)+SUMIF('11.2. Нови активи отч.год.'!$B$155:$B$175,$B227,'11.2. Нови активи отч.год.'!Q$155:Q$175)</f>
        <v>0</v>
      </c>
      <c r="R227" s="2787">
        <f>$L227-SUMIF('11.2. Нови активи отч.год.'!$B$155:$B$175,$B227,'11.2. Нови активи отч.год.'!$L$155:$L$175)+SUMIF('11.2. Нови активи отч.год.'!$B$155:$B$175,$B227,'11.2. Нови активи отч.год.'!R$155:R$175)</f>
        <v>0</v>
      </c>
      <c r="S227" s="2250">
        <f t="shared" si="107"/>
        <v>0</v>
      </c>
      <c r="T227" s="2785">
        <f>$S227-SUMIF('11.2. Нови активи отч.год.'!$B$155:$B$175,$B227,'11.2. Нови активи отч.год.'!$S$155:$S$175)+SUMIF('11.2. Нови активи отч.год.'!$B$155:$B$175,$B227,'11.2. Нови активи отч.год.'!T$155:T$175)</f>
        <v>0</v>
      </c>
      <c r="U227" s="2786">
        <f>$S227-SUMIF('11.2. Нови активи отч.год.'!$B$155:$B$175,$B227,'11.2. Нови активи отч.год.'!$S$155:$S$175)+SUMIF('11.2. Нови активи отч.год.'!$B$155:$B$175,$B227,'11.2. Нови активи отч.год.'!U$155:U$175)</f>
        <v>0</v>
      </c>
      <c r="V227" s="2786">
        <f>$S227-SUMIF('11.2. Нови активи отч.год.'!$B$155:$B$175,$B227,'11.2. Нови активи отч.год.'!$S$155:$S$175)+SUMIF('11.2. Нови активи отч.год.'!$B$155:$B$175,$B227,'11.2. Нови активи отч.год.'!V$155:V$175)</f>
        <v>0</v>
      </c>
      <c r="W227" s="2786">
        <f>$S227-SUMIF('11.2. Нови активи отч.год.'!$B$155:$B$175,$B227,'11.2. Нови активи отч.год.'!$S$155:$S$175)+SUMIF('11.2. Нови активи отч.год.'!$B$155:$B$175,$B227,'11.2. Нови активи отч.год.'!W$155:W$175)</f>
        <v>0</v>
      </c>
      <c r="X227" s="2786">
        <f>$S227-SUMIF('11.2. Нови активи отч.год.'!$B$155:$B$175,$B227,'11.2. Нови активи отч.год.'!$S$155:$S$175)+SUMIF('11.2. Нови активи отч.год.'!$B$155:$B$175,$B227,'11.2. Нови активи отч.год.'!X$155:X$175)</f>
        <v>0</v>
      </c>
      <c r="Y227" s="2787">
        <f>$S227-SUMIF('11.2. Нови активи отч.год.'!$B$155:$B$175,$B227,'11.2. Нови активи отч.год.'!$S$155:$S$175)+SUMIF('11.2. Нови активи отч.год.'!$B$155:$B$175,$B227,'11.2. Нови активи отч.год.'!Y$155:Y$175)</f>
        <v>0</v>
      </c>
      <c r="Z227" s="1680"/>
      <c r="AA227" s="1702"/>
      <c r="AB227" s="1726"/>
    </row>
    <row r="228" spans="1:28" s="1642" customFormat="1">
      <c r="A228" s="1729">
        <v>15</v>
      </c>
      <c r="B228" s="1674" t="s">
        <v>954</v>
      </c>
      <c r="C228" s="1675">
        <v>0.02</v>
      </c>
      <c r="D228" s="1637" t="s">
        <v>591</v>
      </c>
      <c r="E228" s="2250">
        <f t="shared" si="108"/>
        <v>21.592345599999998</v>
      </c>
      <c r="F228" s="2785">
        <f>$E228-SUMIF('11.2. Нови активи отч.год.'!$B$155:$B$175,$B228,'11.2. Нови активи отч.год.'!$E$155:$E$175)+SUMIF('11.2. Нови активи отч.год.'!$B$155:$B$175,$B228,'11.2. Нови активи отч.год.'!F$155:F$175)</f>
        <v>21.592345599999998</v>
      </c>
      <c r="G228" s="2786">
        <f>$E228-SUMIF('11.2. Нови активи отч.год.'!$B$155:$B$175,$B228,'11.2. Нови активи отч.год.'!$E$155:$E$175)+SUMIF('11.2. Нови активи отч.год.'!$B$155:$B$175,$B228,'11.2. Нови активи отч.год.'!G$155:G$175)</f>
        <v>21.592345599999998</v>
      </c>
      <c r="H228" s="2786">
        <f>$E228-SUMIF('11.2. Нови активи отч.год.'!$B$155:$B$175,$B228,'11.2. Нови активи отч.год.'!$E$155:$E$175)+SUMIF('11.2. Нови активи отч.год.'!$B$155:$B$175,$B228,'11.2. Нови активи отч.год.'!H$155:H$175)</f>
        <v>21.592345599999998</v>
      </c>
      <c r="I228" s="2786">
        <f>$E228-SUMIF('11.2. Нови активи отч.год.'!$B$155:$B$175,$B228,'11.2. Нови активи отч.год.'!$E$155:$E$175)+SUMIF('11.2. Нови активи отч.год.'!$B$155:$B$175,$B228,'11.2. Нови активи отч.год.'!I$155:I$175)</f>
        <v>21.592345599999998</v>
      </c>
      <c r="J228" s="2786">
        <f>$E228-SUMIF('11.2. Нови активи отч.год.'!$B$155:$B$175,$B228,'11.2. Нови активи отч.год.'!$E$155:$E$175)+SUMIF('11.2. Нови активи отч.год.'!$B$155:$B$175,$B228,'11.2. Нови активи отч.год.'!J$155:J$175)</f>
        <v>21.592345599999998</v>
      </c>
      <c r="K228" s="2787">
        <f>$E228-SUMIF('11.2. Нови активи отч.год.'!$B$155:$B$175,$B228,'11.2. Нови активи отч.год.'!$E$155:$E$175)+SUMIF('11.2. Нови активи отч.год.'!$B$155:$B$175,$B228,'11.2. Нови активи отч.год.'!K$155:K$175)</f>
        <v>21.592345599999998</v>
      </c>
      <c r="L228" s="2250">
        <f t="shared" si="106"/>
        <v>0</v>
      </c>
      <c r="M228" s="2785">
        <f>$L228-SUMIF('11.2. Нови активи отч.год.'!$B$155:$B$175,$B228,'11.2. Нови активи отч.год.'!$L$155:$L$175)+SUMIF('11.2. Нови активи отч.год.'!$B$155:$B$175,$B228,'11.2. Нови активи отч.год.'!M$155:M$175)</f>
        <v>0</v>
      </c>
      <c r="N228" s="2786">
        <f>$L228-SUMIF('11.2. Нови активи отч.год.'!$B$155:$B$175,$B228,'11.2. Нови активи отч.год.'!$L$155:$L$175)+SUMIF('11.2. Нови активи отч.год.'!$B$155:$B$175,$B228,'11.2. Нови активи отч.год.'!N$155:N$175)</f>
        <v>0</v>
      </c>
      <c r="O228" s="2786">
        <f>$L228-SUMIF('11.2. Нови активи отч.год.'!$B$155:$B$175,$B228,'11.2. Нови активи отч.год.'!$L$155:$L$175)+SUMIF('11.2. Нови активи отч.год.'!$B$155:$B$175,$B228,'11.2. Нови активи отч.год.'!O$155:O$175)</f>
        <v>0</v>
      </c>
      <c r="P228" s="2786">
        <f>$L228-SUMIF('11.2. Нови активи отч.год.'!$B$155:$B$175,$B228,'11.2. Нови активи отч.год.'!$L$155:$L$175)+SUMIF('11.2. Нови активи отч.год.'!$B$155:$B$175,$B228,'11.2. Нови активи отч.год.'!P$155:P$175)</f>
        <v>0</v>
      </c>
      <c r="Q228" s="2786">
        <f>$L228-SUMIF('11.2. Нови активи отч.год.'!$B$155:$B$175,$B228,'11.2. Нови активи отч.год.'!$L$155:$L$175)+SUMIF('11.2. Нови активи отч.год.'!$B$155:$B$175,$B228,'11.2. Нови активи отч.год.'!Q$155:Q$175)</f>
        <v>0</v>
      </c>
      <c r="R228" s="2787">
        <f>$L228-SUMIF('11.2. Нови активи отч.год.'!$B$155:$B$175,$B228,'11.2. Нови активи отч.год.'!$L$155:$L$175)+SUMIF('11.2. Нови активи отч.год.'!$B$155:$B$175,$B228,'11.2. Нови активи отч.год.'!R$155:R$175)</f>
        <v>0</v>
      </c>
      <c r="S228" s="2250">
        <f t="shared" si="107"/>
        <v>0</v>
      </c>
      <c r="T228" s="2785">
        <f>$S228-SUMIF('11.2. Нови активи отч.год.'!$B$155:$B$175,$B228,'11.2. Нови активи отч.год.'!$S$155:$S$175)+SUMIF('11.2. Нови активи отч.год.'!$B$155:$B$175,$B228,'11.2. Нови активи отч.год.'!T$155:T$175)</f>
        <v>0</v>
      </c>
      <c r="U228" s="2786">
        <f>$S228-SUMIF('11.2. Нови активи отч.год.'!$B$155:$B$175,$B228,'11.2. Нови активи отч.год.'!$S$155:$S$175)+SUMIF('11.2. Нови активи отч.год.'!$B$155:$B$175,$B228,'11.2. Нови активи отч.год.'!U$155:U$175)</f>
        <v>0</v>
      </c>
      <c r="V228" s="2786">
        <f>$S228-SUMIF('11.2. Нови активи отч.год.'!$B$155:$B$175,$B228,'11.2. Нови активи отч.год.'!$S$155:$S$175)+SUMIF('11.2. Нови активи отч.год.'!$B$155:$B$175,$B228,'11.2. Нови активи отч.год.'!V$155:V$175)</f>
        <v>0</v>
      </c>
      <c r="W228" s="2786">
        <f>$S228-SUMIF('11.2. Нови активи отч.год.'!$B$155:$B$175,$B228,'11.2. Нови активи отч.год.'!$S$155:$S$175)+SUMIF('11.2. Нови активи отч.год.'!$B$155:$B$175,$B228,'11.2. Нови активи отч.год.'!W$155:W$175)</f>
        <v>0</v>
      </c>
      <c r="X228" s="2786">
        <f>$S228-SUMIF('11.2. Нови активи отч.год.'!$B$155:$B$175,$B228,'11.2. Нови активи отч.год.'!$S$155:$S$175)+SUMIF('11.2. Нови активи отч.год.'!$B$155:$B$175,$B228,'11.2. Нови активи отч.год.'!X$155:X$175)</f>
        <v>0</v>
      </c>
      <c r="Y228" s="2787">
        <f>$S228-SUMIF('11.2. Нови активи отч.год.'!$B$155:$B$175,$B228,'11.2. Нови активи отч.год.'!$S$155:$S$175)+SUMIF('11.2. Нови активи отч.год.'!$B$155:$B$175,$B228,'11.2. Нови активи отч.год.'!Y$155:Y$175)</f>
        <v>0</v>
      </c>
      <c r="Z228" s="1680"/>
      <c r="AA228" s="1702"/>
      <c r="AB228" s="1726"/>
    </row>
    <row r="229" spans="1:28" s="1642" customFormat="1">
      <c r="A229" s="1729">
        <v>16</v>
      </c>
      <c r="B229" s="1674" t="s">
        <v>955</v>
      </c>
      <c r="C229" s="1675">
        <v>0.02</v>
      </c>
      <c r="D229" s="1623" t="s">
        <v>592</v>
      </c>
      <c r="E229" s="2250">
        <f>E207*$C207</f>
        <v>735.99871839999992</v>
      </c>
      <c r="F229" s="2785">
        <f>$E229-SUMIF('11.2. Нови активи отч.год.'!$B$155:$B$175,$B229,'11.2. Нови активи отч.год.'!$E$155:$E$175)+SUMIF('11.2. Нови активи отч.год.'!$B$155:$B$175,$B229,'11.2. Нови активи отч.год.'!F$155:F$175)</f>
        <v>735.99871839999992</v>
      </c>
      <c r="G229" s="2786">
        <f>$E229-SUMIF('11.2. Нови активи отч.год.'!$B$155:$B$175,$B229,'11.2. Нови активи отч.год.'!$E$155:$E$175)+SUMIF('11.2. Нови активи отч.год.'!$B$155:$B$175,$B229,'11.2. Нови активи отч.год.'!G$155:G$175)</f>
        <v>735.99871839999992</v>
      </c>
      <c r="H229" s="2786">
        <f>$E229-SUMIF('11.2. Нови активи отч.год.'!$B$155:$B$175,$B229,'11.2. Нови активи отч.год.'!$E$155:$E$175)+SUMIF('11.2. Нови активи отч.год.'!$B$155:$B$175,$B229,'11.2. Нови активи отч.год.'!H$155:H$175)</f>
        <v>735.99871839999992</v>
      </c>
      <c r="I229" s="2786">
        <f>$E229-SUMIF('11.2. Нови активи отч.год.'!$B$155:$B$175,$B229,'11.2. Нови активи отч.год.'!$E$155:$E$175)+SUMIF('11.2. Нови активи отч.год.'!$B$155:$B$175,$B229,'11.2. Нови активи отч.год.'!I$155:I$175)</f>
        <v>735.99871839999992</v>
      </c>
      <c r="J229" s="2786">
        <f>$E229-SUMIF('11.2. Нови активи отч.год.'!$B$155:$B$175,$B229,'11.2. Нови активи отч.год.'!$E$155:$E$175)+SUMIF('11.2. Нови активи отч.год.'!$B$155:$B$175,$B229,'11.2. Нови активи отч.год.'!J$155:J$175)</f>
        <v>735.99871839999992</v>
      </c>
      <c r="K229" s="2787">
        <f>$E229-SUMIF('11.2. Нови активи отч.год.'!$B$155:$B$175,$B229,'11.2. Нови активи отч.год.'!$E$155:$E$175)+SUMIF('11.2. Нови активи отч.год.'!$B$155:$B$175,$B229,'11.2. Нови активи отч.год.'!K$155:K$175)</f>
        <v>735.99871839999992</v>
      </c>
      <c r="L229" s="2250">
        <f t="shared" si="106"/>
        <v>0</v>
      </c>
      <c r="M229" s="2785">
        <f>$L229-SUMIF('11.2. Нови активи отч.год.'!$B$155:$B$175,$B229,'11.2. Нови активи отч.год.'!$L$155:$L$175)+SUMIF('11.2. Нови активи отч.год.'!$B$155:$B$175,$B229,'11.2. Нови активи отч.год.'!M$155:M$175)</f>
        <v>0</v>
      </c>
      <c r="N229" s="2786">
        <f>$L229-SUMIF('11.2. Нови активи отч.год.'!$B$155:$B$175,$B229,'11.2. Нови активи отч.год.'!$L$155:$L$175)+SUMIF('11.2. Нови активи отч.год.'!$B$155:$B$175,$B229,'11.2. Нови активи отч.год.'!N$155:N$175)</f>
        <v>0</v>
      </c>
      <c r="O229" s="2786">
        <f>$L229-SUMIF('11.2. Нови активи отч.год.'!$B$155:$B$175,$B229,'11.2. Нови активи отч.год.'!$L$155:$L$175)+SUMIF('11.2. Нови активи отч.год.'!$B$155:$B$175,$B229,'11.2. Нови активи отч.год.'!O$155:O$175)</f>
        <v>0</v>
      </c>
      <c r="P229" s="2786">
        <f>$L229-SUMIF('11.2. Нови активи отч.год.'!$B$155:$B$175,$B229,'11.2. Нови активи отч.год.'!$L$155:$L$175)+SUMIF('11.2. Нови активи отч.год.'!$B$155:$B$175,$B229,'11.2. Нови активи отч.год.'!P$155:P$175)</f>
        <v>0</v>
      </c>
      <c r="Q229" s="2786">
        <f>$L229-SUMIF('11.2. Нови активи отч.год.'!$B$155:$B$175,$B229,'11.2. Нови активи отч.год.'!$L$155:$L$175)+SUMIF('11.2. Нови активи отч.год.'!$B$155:$B$175,$B229,'11.2. Нови активи отч.год.'!Q$155:Q$175)</f>
        <v>0</v>
      </c>
      <c r="R229" s="2787">
        <f>$L229-SUMIF('11.2. Нови активи отч.год.'!$B$155:$B$175,$B229,'11.2. Нови активи отч.год.'!$L$155:$L$175)+SUMIF('11.2. Нови активи отч.год.'!$B$155:$B$175,$B229,'11.2. Нови активи отч.год.'!R$155:R$175)</f>
        <v>0</v>
      </c>
      <c r="S229" s="2250">
        <f t="shared" si="107"/>
        <v>5.6819600000000005E-2</v>
      </c>
      <c r="T229" s="2785">
        <f>$S229-SUMIF('11.2. Нови активи отч.год.'!$B$155:$B$175,$B229,'11.2. Нови активи отч.год.'!$S$155:$S$175)+SUMIF('11.2. Нови активи отч.год.'!$B$155:$B$175,$B229,'11.2. Нови активи отч.год.'!T$155:T$175)</f>
        <v>5.6819600000000005E-2</v>
      </c>
      <c r="U229" s="2786">
        <f>$S229-SUMIF('11.2. Нови активи отч.год.'!$B$155:$B$175,$B229,'11.2. Нови активи отч.год.'!$S$155:$S$175)+SUMIF('11.2. Нови активи отч.год.'!$B$155:$B$175,$B229,'11.2. Нови активи отч.год.'!U$155:U$175)</f>
        <v>5.6819600000000005E-2</v>
      </c>
      <c r="V229" s="2786">
        <f>$S229-SUMIF('11.2. Нови активи отч.год.'!$B$155:$B$175,$B229,'11.2. Нови активи отч.год.'!$S$155:$S$175)+SUMIF('11.2. Нови активи отч.год.'!$B$155:$B$175,$B229,'11.2. Нови активи отч.год.'!V$155:V$175)</f>
        <v>5.6819600000000005E-2</v>
      </c>
      <c r="W229" s="2786">
        <f>$S229-SUMIF('11.2. Нови активи отч.год.'!$B$155:$B$175,$B229,'11.2. Нови активи отч.год.'!$S$155:$S$175)+SUMIF('11.2. Нови активи отч.год.'!$B$155:$B$175,$B229,'11.2. Нови активи отч.год.'!W$155:W$175)</f>
        <v>5.6819600000000005E-2</v>
      </c>
      <c r="X229" s="2786">
        <f>$S229-SUMIF('11.2. Нови активи отч.год.'!$B$155:$B$175,$B229,'11.2. Нови активи отч.год.'!$S$155:$S$175)+SUMIF('11.2. Нови активи отч.год.'!$B$155:$B$175,$B229,'11.2. Нови активи отч.год.'!X$155:X$175)</f>
        <v>5.6819600000000005E-2</v>
      </c>
      <c r="Y229" s="2787">
        <f>$S229-SUMIF('11.2. Нови активи отч.год.'!$B$155:$B$175,$B229,'11.2. Нови активи отч.год.'!$S$155:$S$175)+SUMIF('11.2. Нови активи отч.год.'!$B$155:$B$175,$B229,'11.2. Нови активи отч.год.'!Y$155:Y$175)</f>
        <v>5.6819600000000005E-2</v>
      </c>
      <c r="Z229" s="1680"/>
      <c r="AA229" s="1702"/>
      <c r="AB229" s="1726"/>
    </row>
    <row r="230" spans="1:28" s="1642" customFormat="1">
      <c r="A230" s="1729">
        <v>17</v>
      </c>
      <c r="B230" s="1674" t="s">
        <v>956</v>
      </c>
      <c r="C230" s="1675">
        <v>0.02</v>
      </c>
      <c r="D230" s="1625" t="s">
        <v>593</v>
      </c>
      <c r="E230" s="2250">
        <f t="shared" si="108"/>
        <v>0</v>
      </c>
      <c r="F230" s="2785">
        <f>$E230-SUMIF('11.2. Нови активи отч.год.'!$B$155:$B$175,$B230,'11.2. Нови активи отч.год.'!$E$155:$E$175)+SUMIF('11.2. Нови активи отч.год.'!$B$155:$B$175,$B230,'11.2. Нови активи отч.год.'!F$155:F$175)</f>
        <v>0</v>
      </c>
      <c r="G230" s="2786">
        <f>$E230-SUMIF('11.2. Нови активи отч.год.'!$B$155:$B$175,$B230,'11.2. Нови активи отч.год.'!$E$155:$E$175)+SUMIF('11.2. Нови активи отч.год.'!$B$155:$B$175,$B230,'11.2. Нови активи отч.год.'!G$155:G$175)</f>
        <v>0</v>
      </c>
      <c r="H230" s="2786">
        <f>$E230-SUMIF('11.2. Нови активи отч.год.'!$B$155:$B$175,$B230,'11.2. Нови активи отч.год.'!$E$155:$E$175)+SUMIF('11.2. Нови активи отч.год.'!$B$155:$B$175,$B230,'11.2. Нови активи отч.год.'!H$155:H$175)</f>
        <v>0</v>
      </c>
      <c r="I230" s="2786">
        <f>$E230-SUMIF('11.2. Нови активи отч.год.'!$B$155:$B$175,$B230,'11.2. Нови активи отч.год.'!$E$155:$E$175)+SUMIF('11.2. Нови активи отч.год.'!$B$155:$B$175,$B230,'11.2. Нови активи отч.год.'!I$155:I$175)</f>
        <v>0</v>
      </c>
      <c r="J230" s="2786">
        <f>$E230-SUMIF('11.2. Нови активи отч.год.'!$B$155:$B$175,$B230,'11.2. Нови активи отч.год.'!$E$155:$E$175)+SUMIF('11.2. Нови активи отч.год.'!$B$155:$B$175,$B230,'11.2. Нови активи отч.год.'!J$155:J$175)</f>
        <v>0</v>
      </c>
      <c r="K230" s="2787">
        <f>$E230-SUMIF('11.2. Нови активи отч.год.'!$B$155:$B$175,$B230,'11.2. Нови активи отч.год.'!$E$155:$E$175)+SUMIF('11.2. Нови активи отч.год.'!$B$155:$B$175,$B230,'11.2. Нови активи отч.год.'!K$155:K$175)</f>
        <v>0</v>
      </c>
      <c r="L230" s="2250">
        <f t="shared" si="106"/>
        <v>1031.3420980000001</v>
      </c>
      <c r="M230" s="2785">
        <f>$L230-SUMIF('11.2. Нови активи отч.год.'!$B$155:$B$175,$B230,'11.2. Нови активи отч.год.'!$L$155:$L$175)+SUMIF('11.2. Нови активи отч.год.'!$B$155:$B$175,$B230,'11.2. Нови активи отч.год.'!M$155:M$175)</f>
        <v>1031.3420980000001</v>
      </c>
      <c r="N230" s="2786">
        <f>$L230-SUMIF('11.2. Нови активи отч.год.'!$B$155:$B$175,$B230,'11.2. Нови активи отч.год.'!$L$155:$L$175)+SUMIF('11.2. Нови активи отч.год.'!$B$155:$B$175,$B230,'11.2. Нови активи отч.год.'!N$155:N$175)</f>
        <v>1031.3420980000001</v>
      </c>
      <c r="O230" s="2786">
        <f>$L230-SUMIF('11.2. Нови активи отч.год.'!$B$155:$B$175,$B230,'11.2. Нови активи отч.год.'!$L$155:$L$175)+SUMIF('11.2. Нови активи отч.год.'!$B$155:$B$175,$B230,'11.2. Нови активи отч.год.'!O$155:O$175)</f>
        <v>1031.3420980000001</v>
      </c>
      <c r="P230" s="2786">
        <f>$L230-SUMIF('11.2. Нови активи отч.год.'!$B$155:$B$175,$B230,'11.2. Нови активи отч.год.'!$L$155:$L$175)+SUMIF('11.2. Нови активи отч.год.'!$B$155:$B$175,$B230,'11.2. Нови активи отч.год.'!P$155:P$175)</f>
        <v>1031.3420980000001</v>
      </c>
      <c r="Q230" s="2786">
        <f>$L230-SUMIF('11.2. Нови активи отч.год.'!$B$155:$B$175,$B230,'11.2. Нови активи отч.год.'!$L$155:$L$175)+SUMIF('11.2. Нови активи отч.год.'!$B$155:$B$175,$B230,'11.2. Нови активи отч.год.'!Q$155:Q$175)</f>
        <v>1031.3420980000001</v>
      </c>
      <c r="R230" s="2787">
        <f>$L230-SUMIF('11.2. Нови активи отч.год.'!$B$155:$B$175,$B230,'11.2. Нови активи отч.год.'!$L$155:$L$175)+SUMIF('11.2. Нови активи отч.год.'!$B$155:$B$175,$B230,'11.2. Нови активи отч.год.'!R$155:R$175)</f>
        <v>1031.3420980000001</v>
      </c>
      <c r="S230" s="2250">
        <f t="shared" si="107"/>
        <v>1.0523937999999999</v>
      </c>
      <c r="T230" s="2785">
        <f>$S230-SUMIF('11.2. Нови активи отч.год.'!$B$155:$B$175,$B230,'11.2. Нови активи отч.год.'!$S$155:$S$175)+SUMIF('11.2. Нови активи отч.год.'!$B$155:$B$175,$B230,'11.2. Нови активи отч.год.'!T$155:T$175)</f>
        <v>1.0523937999999999</v>
      </c>
      <c r="U230" s="2786">
        <f>$S230-SUMIF('11.2. Нови активи отч.год.'!$B$155:$B$175,$B230,'11.2. Нови активи отч.год.'!$S$155:$S$175)+SUMIF('11.2. Нови активи отч.год.'!$B$155:$B$175,$B230,'11.2. Нови активи отч.год.'!U$155:U$175)</f>
        <v>1.0523937999999999</v>
      </c>
      <c r="V230" s="2786">
        <f>$S230-SUMIF('11.2. Нови активи отч.год.'!$B$155:$B$175,$B230,'11.2. Нови активи отч.год.'!$S$155:$S$175)+SUMIF('11.2. Нови активи отч.год.'!$B$155:$B$175,$B230,'11.2. Нови активи отч.год.'!V$155:V$175)</f>
        <v>1.0523937999999999</v>
      </c>
      <c r="W230" s="2786">
        <f>$S230-SUMIF('11.2. Нови активи отч.год.'!$B$155:$B$175,$B230,'11.2. Нови активи отч.год.'!$S$155:$S$175)+SUMIF('11.2. Нови активи отч.год.'!$B$155:$B$175,$B230,'11.2. Нови активи отч.год.'!W$155:W$175)</f>
        <v>1.0523937999999999</v>
      </c>
      <c r="X230" s="2786">
        <f>$S230-SUMIF('11.2. Нови активи отч.год.'!$B$155:$B$175,$B230,'11.2. Нови активи отч.год.'!$S$155:$S$175)+SUMIF('11.2. Нови активи отч.год.'!$B$155:$B$175,$B230,'11.2. Нови активи отч.год.'!X$155:X$175)</f>
        <v>1.0523937999999999</v>
      </c>
      <c r="Y230" s="2787">
        <f>$S230-SUMIF('11.2. Нови активи отч.год.'!$B$155:$B$175,$B230,'11.2. Нови активи отч.год.'!$S$155:$S$175)+SUMIF('11.2. Нови активи отч.год.'!$B$155:$B$175,$B230,'11.2. Нови активи отч.год.'!Y$155:Y$175)</f>
        <v>1.0523937999999999</v>
      </c>
      <c r="Z230" s="1680"/>
      <c r="AA230" s="1702"/>
      <c r="AB230" s="1726"/>
    </row>
    <row r="231" spans="1:28" s="1642" customFormat="1" ht="24">
      <c r="A231" s="1729">
        <v>18</v>
      </c>
      <c r="B231" s="1674" t="s">
        <v>957</v>
      </c>
      <c r="C231" s="1675">
        <v>0.04</v>
      </c>
      <c r="D231" s="1625" t="s">
        <v>594</v>
      </c>
      <c r="E231" s="2250">
        <f t="shared" si="108"/>
        <v>0</v>
      </c>
      <c r="F231" s="2785">
        <f>$E231-SUMIF('11.2. Нови активи отч.год.'!$B$155:$B$175,$B231,'11.2. Нови активи отч.год.'!$E$155:$E$175)+SUMIF('11.2. Нови активи отч.год.'!$B$155:$B$175,$B231,'11.2. Нови активи отч.год.'!F$155:F$175)</f>
        <v>0</v>
      </c>
      <c r="G231" s="2786">
        <f>$E231-SUMIF('11.2. Нови активи отч.год.'!$B$155:$B$175,$B231,'11.2. Нови активи отч.год.'!$E$155:$E$175)+SUMIF('11.2. Нови активи отч.год.'!$B$155:$B$175,$B231,'11.2. Нови активи отч.год.'!G$155:G$175)</f>
        <v>0</v>
      </c>
      <c r="H231" s="2786">
        <f>$E231-SUMIF('11.2. Нови активи отч.год.'!$B$155:$B$175,$B231,'11.2. Нови активи отч.год.'!$E$155:$E$175)+SUMIF('11.2. Нови активи отч.год.'!$B$155:$B$175,$B231,'11.2. Нови активи отч.год.'!H$155:H$175)</f>
        <v>0</v>
      </c>
      <c r="I231" s="2786">
        <f>$E231-SUMIF('11.2. Нови активи отч.год.'!$B$155:$B$175,$B231,'11.2. Нови активи отч.год.'!$E$155:$E$175)+SUMIF('11.2. Нови активи отч.год.'!$B$155:$B$175,$B231,'11.2. Нови активи отч.год.'!I$155:I$175)</f>
        <v>0</v>
      </c>
      <c r="J231" s="2786">
        <f>$E231-SUMIF('11.2. Нови активи отч.год.'!$B$155:$B$175,$B231,'11.2. Нови активи отч.год.'!$E$155:$E$175)+SUMIF('11.2. Нови активи отч.год.'!$B$155:$B$175,$B231,'11.2. Нови активи отч.год.'!J$155:J$175)</f>
        <v>0</v>
      </c>
      <c r="K231" s="2787">
        <f>$E231-SUMIF('11.2. Нови активи отч.год.'!$B$155:$B$175,$B231,'11.2. Нови активи отч.год.'!$E$155:$E$175)+SUMIF('11.2. Нови активи отч.год.'!$B$155:$B$175,$B231,'11.2. Нови активи отч.год.'!K$155:K$175)</f>
        <v>0</v>
      </c>
      <c r="L231" s="2250">
        <f t="shared" si="106"/>
        <v>0</v>
      </c>
      <c r="M231" s="2785">
        <f>$L231-SUMIF('11.2. Нови активи отч.год.'!$B$155:$B$175,$B231,'11.2. Нови активи отч.год.'!$L$155:$L$175)+SUMIF('11.2. Нови активи отч.год.'!$B$155:$B$175,$B231,'11.2. Нови активи отч.год.'!M$155:M$175)</f>
        <v>0</v>
      </c>
      <c r="N231" s="2786">
        <f>$L231-SUMIF('11.2. Нови активи отч.год.'!$B$155:$B$175,$B231,'11.2. Нови активи отч.год.'!$L$155:$L$175)+SUMIF('11.2. Нови активи отч.год.'!$B$155:$B$175,$B231,'11.2. Нови активи отч.год.'!N$155:N$175)</f>
        <v>0</v>
      </c>
      <c r="O231" s="2786">
        <f>$L231-SUMIF('11.2. Нови активи отч.год.'!$B$155:$B$175,$B231,'11.2. Нови активи отч.год.'!$L$155:$L$175)+SUMIF('11.2. Нови активи отч.год.'!$B$155:$B$175,$B231,'11.2. Нови активи отч.год.'!O$155:O$175)</f>
        <v>0</v>
      </c>
      <c r="P231" s="2786">
        <f>$L231-SUMIF('11.2. Нови активи отч.год.'!$B$155:$B$175,$B231,'11.2. Нови активи отч.год.'!$L$155:$L$175)+SUMIF('11.2. Нови активи отч.год.'!$B$155:$B$175,$B231,'11.2. Нови активи отч.год.'!P$155:P$175)</f>
        <v>0</v>
      </c>
      <c r="Q231" s="2786">
        <f>$L231-SUMIF('11.2. Нови активи отч.год.'!$B$155:$B$175,$B231,'11.2. Нови активи отч.год.'!$L$155:$L$175)+SUMIF('11.2. Нови активи отч.год.'!$B$155:$B$175,$B231,'11.2. Нови активи отч.год.'!Q$155:Q$175)</f>
        <v>0</v>
      </c>
      <c r="R231" s="2787">
        <f>$L231-SUMIF('11.2. Нови активи отч.год.'!$B$155:$B$175,$B231,'11.2. Нови активи отч.год.'!$L$155:$L$175)+SUMIF('11.2. Нови активи отч.год.'!$B$155:$B$175,$B231,'11.2. Нови активи отч.год.'!R$155:R$175)</f>
        <v>0</v>
      </c>
      <c r="S231" s="2250">
        <f t="shared" si="107"/>
        <v>399.6811548</v>
      </c>
      <c r="T231" s="2785">
        <f>$S231-SUMIF('11.2. Нови активи отч.год.'!$B$155:$B$175,$B231,'11.2. Нови активи отч.год.'!$S$155:$S$175)+SUMIF('11.2. Нови активи отч.год.'!$B$155:$B$175,$B231,'11.2. Нови активи отч.год.'!T$155:T$175)</f>
        <v>399.6811548</v>
      </c>
      <c r="U231" s="2786">
        <f>$S231-SUMIF('11.2. Нови активи отч.год.'!$B$155:$B$175,$B231,'11.2. Нови активи отч.год.'!$S$155:$S$175)+SUMIF('11.2. Нови активи отч.год.'!$B$155:$B$175,$B231,'11.2. Нови активи отч.год.'!U$155:U$175)</f>
        <v>399.6811548</v>
      </c>
      <c r="V231" s="2786">
        <f>$S231-SUMIF('11.2. Нови активи отч.год.'!$B$155:$B$175,$B231,'11.2. Нови активи отч.год.'!$S$155:$S$175)+SUMIF('11.2. Нови активи отч.год.'!$B$155:$B$175,$B231,'11.2. Нови активи отч.год.'!V$155:V$175)</f>
        <v>399.6811548</v>
      </c>
      <c r="W231" s="2786">
        <f>$S231-SUMIF('11.2. Нови активи отч.год.'!$B$155:$B$175,$B231,'11.2. Нови активи отч.год.'!$S$155:$S$175)+SUMIF('11.2. Нови активи отч.год.'!$B$155:$B$175,$B231,'11.2. Нови активи отч.год.'!W$155:W$175)</f>
        <v>399.6811548</v>
      </c>
      <c r="X231" s="2786">
        <f>$S231-SUMIF('11.2. Нови активи отч.год.'!$B$155:$B$175,$B231,'11.2. Нови активи отч.год.'!$S$155:$S$175)+SUMIF('11.2. Нови активи отч.год.'!$B$155:$B$175,$B231,'11.2. Нови активи отч.год.'!X$155:X$175)</f>
        <v>399.6811548</v>
      </c>
      <c r="Y231" s="2787">
        <f>$S231-SUMIF('11.2. Нови активи отч.год.'!$B$155:$B$175,$B231,'11.2. Нови активи отч.год.'!$S$155:$S$175)+SUMIF('11.2. Нови активи отч.год.'!$B$155:$B$175,$B231,'11.2. Нови активи отч.год.'!Y$155:Y$175)</f>
        <v>399.6811548</v>
      </c>
      <c r="Z231" s="1680"/>
      <c r="AA231" s="1702"/>
      <c r="AB231" s="1726"/>
    </row>
    <row r="232" spans="1:28" s="1642" customFormat="1">
      <c r="A232" s="1729">
        <v>19</v>
      </c>
      <c r="B232" s="1674" t="s">
        <v>958</v>
      </c>
      <c r="C232" s="1675">
        <v>0.04</v>
      </c>
      <c r="D232" s="1625" t="s">
        <v>595</v>
      </c>
      <c r="E232" s="2250">
        <f t="shared" si="108"/>
        <v>13.238032</v>
      </c>
      <c r="F232" s="2785">
        <f>$E232-SUMIF('11.2. Нови активи отч.год.'!$B$155:$B$175,$B232,'11.2. Нови активи отч.год.'!$E$155:$E$175)+SUMIF('11.2. Нови активи отч.год.'!$B$155:$B$175,$B232,'11.2. Нови активи отч.год.'!F$155:F$175)</f>
        <v>13.238032</v>
      </c>
      <c r="G232" s="2786">
        <f>$E232-SUMIF('11.2. Нови активи отч.год.'!$B$155:$B$175,$B232,'11.2. Нови активи отч.год.'!$E$155:$E$175)+SUMIF('11.2. Нови активи отч.год.'!$B$155:$B$175,$B232,'11.2. Нови активи отч.год.'!G$155:G$175)</f>
        <v>13.238032</v>
      </c>
      <c r="H232" s="2786">
        <f>$E232-SUMIF('11.2. Нови активи отч.год.'!$B$155:$B$175,$B232,'11.2. Нови активи отч.год.'!$E$155:$E$175)+SUMIF('11.2. Нови активи отч.год.'!$B$155:$B$175,$B232,'11.2. Нови активи отч.год.'!H$155:H$175)</f>
        <v>13.238032</v>
      </c>
      <c r="I232" s="2786">
        <f>$E232-SUMIF('11.2. Нови активи отч.год.'!$B$155:$B$175,$B232,'11.2. Нови активи отч.год.'!$E$155:$E$175)+SUMIF('11.2. Нови активи отч.год.'!$B$155:$B$175,$B232,'11.2. Нови активи отч.год.'!I$155:I$175)</f>
        <v>13.238032</v>
      </c>
      <c r="J232" s="2786">
        <f>$E232-SUMIF('11.2. Нови активи отч.год.'!$B$155:$B$175,$B232,'11.2. Нови активи отч.год.'!$E$155:$E$175)+SUMIF('11.2. Нови активи отч.год.'!$B$155:$B$175,$B232,'11.2. Нови активи отч.год.'!J$155:J$175)</f>
        <v>13.238032</v>
      </c>
      <c r="K232" s="2787">
        <f>$E232-SUMIF('11.2. Нови активи отч.год.'!$B$155:$B$175,$B232,'11.2. Нови активи отч.год.'!$E$155:$E$175)+SUMIF('11.2. Нови активи отч.год.'!$B$155:$B$175,$B232,'11.2. Нови активи отч.год.'!K$155:K$175)</f>
        <v>13.238032</v>
      </c>
      <c r="L232" s="2250">
        <f t="shared" si="106"/>
        <v>0</v>
      </c>
      <c r="M232" s="2785">
        <f>$L232-SUMIF('11.2. Нови активи отч.год.'!$B$155:$B$175,$B232,'11.2. Нови активи отч.год.'!$L$155:$L$175)+SUMIF('11.2. Нови активи отч.год.'!$B$155:$B$175,$B232,'11.2. Нови активи отч.год.'!M$155:M$175)</f>
        <v>0</v>
      </c>
      <c r="N232" s="2786">
        <f>$L232-SUMIF('11.2. Нови активи отч.год.'!$B$155:$B$175,$B232,'11.2. Нови активи отч.год.'!$L$155:$L$175)+SUMIF('11.2. Нови активи отч.год.'!$B$155:$B$175,$B232,'11.2. Нови активи отч.год.'!N$155:N$175)</f>
        <v>0</v>
      </c>
      <c r="O232" s="2786">
        <f>$L232-SUMIF('11.2. Нови активи отч.год.'!$B$155:$B$175,$B232,'11.2. Нови активи отч.год.'!$L$155:$L$175)+SUMIF('11.2. Нови активи отч.год.'!$B$155:$B$175,$B232,'11.2. Нови активи отч.год.'!O$155:O$175)</f>
        <v>0</v>
      </c>
      <c r="P232" s="2786">
        <f>$L232-SUMIF('11.2. Нови активи отч.год.'!$B$155:$B$175,$B232,'11.2. Нови активи отч.год.'!$L$155:$L$175)+SUMIF('11.2. Нови активи отч.год.'!$B$155:$B$175,$B232,'11.2. Нови активи отч.год.'!P$155:P$175)</f>
        <v>0</v>
      </c>
      <c r="Q232" s="2786">
        <f>$L232-SUMIF('11.2. Нови активи отч.год.'!$B$155:$B$175,$B232,'11.2. Нови активи отч.год.'!$L$155:$L$175)+SUMIF('11.2. Нови активи отч.год.'!$B$155:$B$175,$B232,'11.2. Нови активи отч.год.'!Q$155:Q$175)</f>
        <v>0</v>
      </c>
      <c r="R232" s="2787">
        <f>$L232-SUMIF('11.2. Нови активи отч.год.'!$B$155:$B$175,$B232,'11.2. Нови активи отч.год.'!$L$155:$L$175)+SUMIF('11.2. Нови активи отч.год.'!$B$155:$B$175,$B232,'11.2. Нови активи отч.год.'!R$155:R$175)</f>
        <v>0</v>
      </c>
      <c r="S232" s="2250">
        <f t="shared" si="107"/>
        <v>0</v>
      </c>
      <c r="T232" s="2785">
        <f>$S232-SUMIF('11.2. Нови активи отч.год.'!$B$155:$B$175,$B232,'11.2. Нови активи отч.год.'!$S$155:$S$175)+SUMIF('11.2. Нови активи отч.год.'!$B$155:$B$175,$B232,'11.2. Нови активи отч.год.'!T$155:T$175)</f>
        <v>0</v>
      </c>
      <c r="U232" s="2786">
        <f>$S232-SUMIF('11.2. Нови активи отч.год.'!$B$155:$B$175,$B232,'11.2. Нови активи отч.год.'!$S$155:$S$175)+SUMIF('11.2. Нови активи отч.год.'!$B$155:$B$175,$B232,'11.2. Нови активи отч.год.'!U$155:U$175)</f>
        <v>0</v>
      </c>
      <c r="V232" s="2786">
        <f>$S232-SUMIF('11.2. Нови активи отч.год.'!$B$155:$B$175,$B232,'11.2. Нови активи отч.год.'!$S$155:$S$175)+SUMIF('11.2. Нови активи отч.год.'!$B$155:$B$175,$B232,'11.2. Нови активи отч.год.'!V$155:V$175)</f>
        <v>0</v>
      </c>
      <c r="W232" s="2786">
        <f>$S232-SUMIF('11.2. Нови активи отч.год.'!$B$155:$B$175,$B232,'11.2. Нови активи отч.год.'!$S$155:$S$175)+SUMIF('11.2. Нови активи отч.год.'!$B$155:$B$175,$B232,'11.2. Нови активи отч.год.'!W$155:W$175)</f>
        <v>0</v>
      </c>
      <c r="X232" s="2786">
        <f>$S232-SUMIF('11.2. Нови активи отч.год.'!$B$155:$B$175,$B232,'11.2. Нови активи отч.год.'!$S$155:$S$175)+SUMIF('11.2. Нови активи отч.год.'!$B$155:$B$175,$B232,'11.2. Нови активи отч.год.'!X$155:X$175)</f>
        <v>0</v>
      </c>
      <c r="Y232" s="2787">
        <f>$S232-SUMIF('11.2. Нови активи отч.год.'!$B$155:$B$175,$B232,'11.2. Нови активи отч.год.'!$S$155:$S$175)+SUMIF('11.2. Нови активи отч.год.'!$B$155:$B$175,$B232,'11.2. Нови активи отч.год.'!Y$155:Y$175)</f>
        <v>0</v>
      </c>
      <c r="Z232" s="1680"/>
      <c r="AA232" s="1702"/>
      <c r="AB232" s="1726"/>
    </row>
    <row r="233" spans="1:28" s="1642" customFormat="1">
      <c r="A233" s="1729">
        <v>20</v>
      </c>
      <c r="B233" s="1674" t="s">
        <v>970</v>
      </c>
      <c r="C233" s="1675">
        <v>0.04</v>
      </c>
      <c r="D233" s="1727" t="s">
        <v>606</v>
      </c>
      <c r="E233" s="2250">
        <f t="shared" si="108"/>
        <v>2.1401004000000001</v>
      </c>
      <c r="F233" s="2785">
        <f>$E233-SUMIF('11.2. Нови активи отч.год.'!$B$155:$B$175,$B233,'11.2. Нови активи отч.год.'!$E$155:$E$175)+SUMIF('11.2. Нови активи отч.год.'!$B$155:$B$175,$B233,'11.2. Нови активи отч.год.'!F$155:F$175)</f>
        <v>2.1401004000000001</v>
      </c>
      <c r="G233" s="2786">
        <f>$E233-SUMIF('11.2. Нови активи отч.год.'!$B$155:$B$175,$B233,'11.2. Нови активи отч.год.'!$E$155:$E$175)+SUMIF('11.2. Нови активи отч.год.'!$B$155:$B$175,$B233,'11.2. Нови активи отч.год.'!G$155:G$175)</f>
        <v>2.1401004000000001</v>
      </c>
      <c r="H233" s="2786">
        <f>$E233-SUMIF('11.2. Нови активи отч.год.'!$B$155:$B$175,$B233,'11.2. Нови активи отч.год.'!$E$155:$E$175)+SUMIF('11.2. Нови активи отч.год.'!$B$155:$B$175,$B233,'11.2. Нови активи отч.год.'!H$155:H$175)</f>
        <v>2.1401004000000001</v>
      </c>
      <c r="I233" s="2786">
        <f>$E233-SUMIF('11.2. Нови активи отч.год.'!$B$155:$B$175,$B233,'11.2. Нови активи отч.год.'!$E$155:$E$175)+SUMIF('11.2. Нови активи отч.год.'!$B$155:$B$175,$B233,'11.2. Нови активи отч.год.'!I$155:I$175)</f>
        <v>2.1401004000000001</v>
      </c>
      <c r="J233" s="2786">
        <f>$E233-SUMIF('11.2. Нови активи отч.год.'!$B$155:$B$175,$B233,'11.2. Нови активи отч.год.'!$E$155:$E$175)+SUMIF('11.2. Нови активи отч.год.'!$B$155:$B$175,$B233,'11.2. Нови активи отч.год.'!J$155:J$175)</f>
        <v>2.1401004000000001</v>
      </c>
      <c r="K233" s="2787">
        <f>$E233-SUMIF('11.2. Нови активи отч.год.'!$B$155:$B$175,$B233,'11.2. Нови активи отч.год.'!$E$155:$E$175)+SUMIF('11.2. Нови активи отч.год.'!$B$155:$B$175,$B233,'11.2. Нови активи отч.год.'!K$155:K$175)</f>
        <v>2.1401004000000001</v>
      </c>
      <c r="L233" s="2250">
        <f t="shared" si="106"/>
        <v>0</v>
      </c>
      <c r="M233" s="2785">
        <f>$L233-SUMIF('11.2. Нови активи отч.год.'!$B$155:$B$175,$B233,'11.2. Нови активи отч.год.'!$L$155:$L$175)+SUMIF('11.2. Нови активи отч.год.'!$B$155:$B$175,$B233,'11.2. Нови активи отч.год.'!M$155:M$175)</f>
        <v>0</v>
      </c>
      <c r="N233" s="2786">
        <f>$L233-SUMIF('11.2. Нови активи отч.год.'!$B$155:$B$175,$B233,'11.2. Нови активи отч.год.'!$L$155:$L$175)+SUMIF('11.2. Нови активи отч.год.'!$B$155:$B$175,$B233,'11.2. Нови активи отч.год.'!N$155:N$175)</f>
        <v>0</v>
      </c>
      <c r="O233" s="2786">
        <f>$L233-SUMIF('11.2. Нови активи отч.год.'!$B$155:$B$175,$B233,'11.2. Нови активи отч.год.'!$L$155:$L$175)+SUMIF('11.2. Нови активи отч.год.'!$B$155:$B$175,$B233,'11.2. Нови активи отч.год.'!O$155:O$175)</f>
        <v>0</v>
      </c>
      <c r="P233" s="2786">
        <f>$L233-SUMIF('11.2. Нови активи отч.год.'!$B$155:$B$175,$B233,'11.2. Нови активи отч.год.'!$L$155:$L$175)+SUMIF('11.2. Нови активи отч.год.'!$B$155:$B$175,$B233,'11.2. Нови активи отч.год.'!P$155:P$175)</f>
        <v>0</v>
      </c>
      <c r="Q233" s="2786">
        <f>$L233-SUMIF('11.2. Нови активи отч.год.'!$B$155:$B$175,$B233,'11.2. Нови активи отч.год.'!$L$155:$L$175)+SUMIF('11.2. Нови активи отч.год.'!$B$155:$B$175,$B233,'11.2. Нови активи отч.год.'!Q$155:Q$175)</f>
        <v>0</v>
      </c>
      <c r="R233" s="2787">
        <f>$L233-SUMIF('11.2. Нови активи отч.год.'!$B$155:$B$175,$B233,'11.2. Нови активи отч.год.'!$L$155:$L$175)+SUMIF('11.2. Нови активи отч.год.'!$B$155:$B$175,$B233,'11.2. Нови активи отч.год.'!R$155:R$175)</f>
        <v>0</v>
      </c>
      <c r="S233" s="2250">
        <f t="shared" si="107"/>
        <v>1.9791444000000002</v>
      </c>
      <c r="T233" s="2785">
        <f>$S233-SUMIF('11.2. Нови активи отч.год.'!$B$155:$B$175,$B233,'11.2. Нови активи отч.год.'!$S$155:$S$175)+SUMIF('11.2. Нови активи отч.год.'!$B$155:$B$175,$B233,'11.2. Нови активи отч.год.'!T$155:T$175)</f>
        <v>1.9791444000000002</v>
      </c>
      <c r="U233" s="2786">
        <f>$S233-SUMIF('11.2. Нови активи отч.год.'!$B$155:$B$175,$B233,'11.2. Нови активи отч.год.'!$S$155:$S$175)+SUMIF('11.2. Нови активи отч.год.'!$B$155:$B$175,$B233,'11.2. Нови активи отч.год.'!U$155:U$175)</f>
        <v>1.9791444000000002</v>
      </c>
      <c r="V233" s="2786">
        <f>$S233-SUMIF('11.2. Нови активи отч.год.'!$B$155:$B$175,$B233,'11.2. Нови активи отч.год.'!$S$155:$S$175)+SUMIF('11.2. Нови активи отч.год.'!$B$155:$B$175,$B233,'11.2. Нови активи отч.год.'!V$155:V$175)</f>
        <v>1.9791444000000002</v>
      </c>
      <c r="W233" s="2786">
        <f>$S233-SUMIF('11.2. Нови активи отч.год.'!$B$155:$B$175,$B233,'11.2. Нови активи отч.год.'!$S$155:$S$175)+SUMIF('11.2. Нови активи отч.год.'!$B$155:$B$175,$B233,'11.2. Нови активи отч.год.'!W$155:W$175)</f>
        <v>1.9791444000000002</v>
      </c>
      <c r="X233" s="2786">
        <f>$S233-SUMIF('11.2. Нови активи отч.год.'!$B$155:$B$175,$B233,'11.2. Нови активи отч.год.'!$S$155:$S$175)+SUMIF('11.2. Нови активи отч.год.'!$B$155:$B$175,$B233,'11.2. Нови активи отч.год.'!X$155:X$175)</f>
        <v>1.9791444000000002</v>
      </c>
      <c r="Y233" s="2787">
        <f>$S233-SUMIF('11.2. Нови активи отч.год.'!$B$155:$B$175,$B233,'11.2. Нови активи отч.год.'!$S$155:$S$175)+SUMIF('11.2. Нови активи отч.год.'!$B$155:$B$175,$B233,'11.2. Нови активи отч.год.'!Y$155:Y$175)</f>
        <v>1.9791444000000002</v>
      </c>
      <c r="Z233" s="1680"/>
      <c r="AA233" s="1702"/>
      <c r="AB233" s="1726"/>
    </row>
    <row r="234" spans="1:28" s="1642" customFormat="1" ht="24.75" thickBot="1">
      <c r="A234" s="1729">
        <v>21</v>
      </c>
      <c r="B234" s="1674" t="s">
        <v>960</v>
      </c>
      <c r="C234" s="1679">
        <v>0.2</v>
      </c>
      <c r="D234" s="1625" t="s">
        <v>911</v>
      </c>
      <c r="E234" s="2250">
        <f t="shared" si="108"/>
        <v>12.141254000000002</v>
      </c>
      <c r="F234" s="2788">
        <f>$E234-SUMIF('11.2. Нови активи отч.год.'!$B$155:$B$175,$B234,'11.2. Нови активи отч.год.'!$E$155:$E$175)+SUMIF('11.2. Нови активи отч.год.'!$B$155:$B$175,$B234,'11.2. Нови активи отч.год.'!F$155:F$175)</f>
        <v>4.1412540000000018</v>
      </c>
      <c r="G234" s="2789">
        <f>$E234-SUMIF('11.2. Нови активи отч.год.'!$B$155:$B$175,$B234,'11.2. Нови активи отч.год.'!$E$155:$E$175)+SUMIF('11.2. Нови активи отч.год.'!$B$155:$B$175,$B234,'11.2. Нови активи отч.год.'!G$155:G$175)</f>
        <v>0.14125400000000177</v>
      </c>
      <c r="H234" s="2789">
        <f>$E234-SUMIF('11.2. Нови активи отч.год.'!$B$155:$B$175,$B234,'11.2. Нови активи отч.год.'!$E$155:$E$175)+SUMIF('11.2. Нови активи отч.год.'!$B$155:$B$175,$B234,'11.2. Нови активи отч.год.'!H$155:H$175)</f>
        <v>0.14125400000000177</v>
      </c>
      <c r="I234" s="2789">
        <f>$E234-SUMIF('11.2. Нови активи отч.год.'!$B$155:$B$175,$B234,'11.2. Нови активи отч.год.'!$E$155:$E$175)+SUMIF('11.2. Нови активи отч.год.'!$B$155:$B$175,$B234,'11.2. Нови активи отч.год.'!I$155:I$175)</f>
        <v>0.14125400000000177</v>
      </c>
      <c r="J234" s="2789">
        <f>$E234-SUMIF('11.2. Нови активи отч.год.'!$B$155:$B$175,$B234,'11.2. Нови активи отч.год.'!$E$155:$E$175)+SUMIF('11.2. Нови активи отч.год.'!$B$155:$B$175,$B234,'11.2. Нови активи отч.год.'!J$155:J$175)</f>
        <v>-0.25874599999999859</v>
      </c>
      <c r="K234" s="2790">
        <f>$E234-SUMIF('11.2. Нови активи отч.год.'!$B$155:$B$175,$B234,'11.2. Нови активи отч.год.'!$E$155:$E$175)+SUMIF('11.2. Нови активи отч.год.'!$B$155:$B$175,$B234,'11.2. Нови активи отч.год.'!K$155:K$175)</f>
        <v>-0.25874599999999859</v>
      </c>
      <c r="L234" s="2250">
        <f t="shared" si="106"/>
        <v>6.2058480000000005</v>
      </c>
      <c r="M234" s="2788">
        <f>$L234-SUMIF('11.2. Нови активи отч.год.'!$B$155:$B$175,$B234,'11.2. Нови активи отч.год.'!$L$155:$L$175)+SUMIF('11.2. Нови активи отч.год.'!$B$155:$B$175,$B234,'11.2. Нови активи отч.год.'!M$155:M$175)</f>
        <v>0.20584800000000048</v>
      </c>
      <c r="N234" s="2789">
        <f>$L234-SUMIF('11.2. Нови активи отч.год.'!$B$155:$B$175,$B234,'11.2. Нови активи отч.год.'!$L$155:$L$175)+SUMIF('11.2. Нови активи отч.год.'!$B$155:$B$175,$B234,'11.2. Нови активи отч.год.'!N$155:N$175)</f>
        <v>0.20584800000000048</v>
      </c>
      <c r="O234" s="2789">
        <f>$L234-SUMIF('11.2. Нови активи отч.год.'!$B$155:$B$175,$B234,'11.2. Нови активи отч.год.'!$L$155:$L$175)+SUMIF('11.2. Нови активи отч.год.'!$B$155:$B$175,$B234,'11.2. Нови активи отч.год.'!O$155:O$175)</f>
        <v>-0.19415199999999988</v>
      </c>
      <c r="P234" s="2789">
        <f>$L234-SUMIF('11.2. Нови активи отч.год.'!$B$155:$B$175,$B234,'11.2. Нови активи отч.год.'!$L$155:$L$175)+SUMIF('11.2. Нови активи отч.год.'!$B$155:$B$175,$B234,'11.2. Нови активи отч.год.'!P$155:P$175)</f>
        <v>-0.19415199999999988</v>
      </c>
      <c r="Q234" s="2789">
        <f>$L234-SUMIF('11.2. Нови активи отч.год.'!$B$155:$B$175,$B234,'11.2. Нови активи отч.год.'!$L$155:$L$175)+SUMIF('11.2. Нови активи отч.год.'!$B$155:$B$175,$B234,'11.2. Нови активи отч.год.'!Q$155:Q$175)</f>
        <v>-0.19415199999999988</v>
      </c>
      <c r="R234" s="2790">
        <f>$L234-SUMIF('11.2. Нови активи отч.год.'!$B$155:$B$175,$B234,'11.2. Нови активи отч.год.'!$L$155:$L$175)+SUMIF('11.2. Нови активи отч.год.'!$B$155:$B$175,$B234,'11.2. Нови активи отч.год.'!R$155:R$175)</f>
        <v>-0.19415199999999988</v>
      </c>
      <c r="S234" s="2250">
        <f t="shared" si="107"/>
        <v>0</v>
      </c>
      <c r="T234" s="2788">
        <f>$S234-SUMIF('11.2. Нови активи отч.год.'!$B$155:$B$175,$B234,'11.2. Нови активи отч.год.'!$S$155:$S$175)+SUMIF('11.2. Нови активи отч.год.'!$B$155:$B$175,$B234,'11.2. Нови активи отч.год.'!T$155:T$175)</f>
        <v>0</v>
      </c>
      <c r="U234" s="2789">
        <f>$S234-SUMIF('11.2. Нови активи отч.год.'!$B$155:$B$175,$B234,'11.2. Нови активи отч.год.'!$S$155:$S$175)+SUMIF('11.2. Нови активи отч.год.'!$B$155:$B$175,$B234,'11.2. Нови активи отч.год.'!U$155:U$175)</f>
        <v>0</v>
      </c>
      <c r="V234" s="2789">
        <f>$S234-SUMIF('11.2. Нови активи отч.год.'!$B$155:$B$175,$B234,'11.2. Нови активи отч.год.'!$S$155:$S$175)+SUMIF('11.2. Нови активи отч.год.'!$B$155:$B$175,$B234,'11.2. Нови активи отч.год.'!V$155:V$175)</f>
        <v>0</v>
      </c>
      <c r="W234" s="2789">
        <f>$S234-SUMIF('11.2. Нови активи отч.год.'!$B$155:$B$175,$B234,'11.2. Нови активи отч.год.'!$S$155:$S$175)+SUMIF('11.2. Нови активи отч.год.'!$B$155:$B$175,$B234,'11.2. Нови активи отч.год.'!W$155:W$175)</f>
        <v>0</v>
      </c>
      <c r="X234" s="2789">
        <f>$S234-SUMIF('11.2. Нови активи отч.год.'!$B$155:$B$175,$B234,'11.2. Нови активи отч.год.'!$S$155:$S$175)+SUMIF('11.2. Нови активи отч.год.'!$B$155:$B$175,$B234,'11.2. Нови активи отч.год.'!X$155:X$175)</f>
        <v>0</v>
      </c>
      <c r="Y234" s="2790">
        <f>$S234-SUMIF('11.2. Нови активи отч.год.'!$B$155:$B$175,$B234,'11.2. Нови активи отч.год.'!$S$155:$S$175)+SUMIF('11.2. Нови активи отч.год.'!$B$155:$B$175,$B234,'11.2. Нови активи отч.год.'!Y$155:Y$175)</f>
        <v>0</v>
      </c>
      <c r="Z234" s="1680"/>
      <c r="AA234" s="1702"/>
      <c r="AB234" s="1726"/>
    </row>
    <row r="235" spans="1:28" s="1642" customFormat="1" ht="13.5" thickBot="1">
      <c r="A235" s="1694" t="s">
        <v>282</v>
      </c>
      <c r="B235" s="1695"/>
      <c r="C235" s="1695"/>
      <c r="D235" s="1665" t="s">
        <v>283</v>
      </c>
      <c r="E235" s="2765">
        <f t="shared" ref="E235:Y235" si="109">SUM(E236:E256)</f>
        <v>13083.52291999999</v>
      </c>
      <c r="F235" s="2760">
        <f t="shared" si="109"/>
        <v>14401.694217699993</v>
      </c>
      <c r="G235" s="1097">
        <f t="shared" si="109"/>
        <v>15691.865515399992</v>
      </c>
      <c r="H235" s="1097">
        <f t="shared" si="109"/>
        <v>16766.536813099992</v>
      </c>
      <c r="I235" s="1097">
        <f t="shared" si="109"/>
        <v>17820.708110799995</v>
      </c>
      <c r="J235" s="1097">
        <f t="shared" si="109"/>
        <v>18763.879408499997</v>
      </c>
      <c r="K235" s="1099">
        <f t="shared" si="109"/>
        <v>19673.850706199995</v>
      </c>
      <c r="L235" s="2765">
        <f t="shared" si="109"/>
        <v>2046.11283</v>
      </c>
      <c r="M235" s="2760">
        <f t="shared" si="109"/>
        <v>3088.5717961</v>
      </c>
      <c r="N235" s="1097">
        <f t="shared" si="109"/>
        <v>4131.0307622</v>
      </c>
      <c r="O235" s="1097">
        <f t="shared" si="109"/>
        <v>5173.0897283000004</v>
      </c>
      <c r="P235" s="2080">
        <f t="shared" si="109"/>
        <v>6214.7486944000002</v>
      </c>
      <c r="Q235" s="1097">
        <f t="shared" si="109"/>
        <v>7256.4076605</v>
      </c>
      <c r="R235" s="1097">
        <f t="shared" si="109"/>
        <v>8298.0666266000007</v>
      </c>
      <c r="S235" s="2765">
        <f t="shared" si="109"/>
        <v>1471.65678</v>
      </c>
      <c r="T235" s="2778">
        <f t="shared" si="109"/>
        <v>2120.1937938999999</v>
      </c>
      <c r="U235" s="2779">
        <f t="shared" si="109"/>
        <v>2765.7308077999996</v>
      </c>
      <c r="V235" s="2779">
        <f t="shared" si="109"/>
        <v>3411.2678216999998</v>
      </c>
      <c r="W235" s="2780">
        <f t="shared" si="109"/>
        <v>4055.7048356</v>
      </c>
      <c r="X235" s="2779">
        <f t="shared" si="109"/>
        <v>4700.1418494999998</v>
      </c>
      <c r="Y235" s="2781">
        <f t="shared" si="109"/>
        <v>5344.5788634</v>
      </c>
      <c r="Z235" s="1671"/>
      <c r="AA235" s="1702"/>
      <c r="AB235" s="1726"/>
    </row>
    <row r="236" spans="1:28" s="1642" customFormat="1">
      <c r="A236" s="1673">
        <v>1</v>
      </c>
      <c r="B236" s="1731" t="s">
        <v>949</v>
      </c>
      <c r="C236" s="1690">
        <v>0</v>
      </c>
      <c r="D236" s="280" t="s">
        <v>760</v>
      </c>
      <c r="E236" s="2250">
        <v>0</v>
      </c>
      <c r="F236" s="2751">
        <f t="shared" ref="F236:K237" si="110">E236+F214</f>
        <v>0</v>
      </c>
      <c r="G236" s="2752">
        <f t="shared" si="110"/>
        <v>0</v>
      </c>
      <c r="H236" s="2752">
        <f t="shared" si="110"/>
        <v>0</v>
      </c>
      <c r="I236" s="2752">
        <f t="shared" si="110"/>
        <v>0</v>
      </c>
      <c r="J236" s="2752">
        <f t="shared" si="110"/>
        <v>0</v>
      </c>
      <c r="K236" s="2753">
        <f t="shared" si="110"/>
        <v>0</v>
      </c>
      <c r="L236" s="2250">
        <v>0</v>
      </c>
      <c r="M236" s="2751">
        <f t="shared" ref="M236:R237" si="111">L236+M214</f>
        <v>0</v>
      </c>
      <c r="N236" s="2752">
        <f t="shared" si="111"/>
        <v>0</v>
      </c>
      <c r="O236" s="2752">
        <f t="shared" si="111"/>
        <v>0</v>
      </c>
      <c r="P236" s="2752">
        <f t="shared" si="111"/>
        <v>0</v>
      </c>
      <c r="Q236" s="2752">
        <f t="shared" si="111"/>
        <v>0</v>
      </c>
      <c r="R236" s="2753">
        <f t="shared" si="111"/>
        <v>0</v>
      </c>
      <c r="S236" s="2250">
        <v>0</v>
      </c>
      <c r="T236" s="2751">
        <f t="shared" ref="T236:Y237" si="112">S236+T214</f>
        <v>0</v>
      </c>
      <c r="U236" s="2752">
        <f t="shared" si="112"/>
        <v>0</v>
      </c>
      <c r="V236" s="2752">
        <f t="shared" si="112"/>
        <v>0</v>
      </c>
      <c r="W236" s="2752">
        <f t="shared" si="112"/>
        <v>0</v>
      </c>
      <c r="X236" s="2752">
        <f t="shared" si="112"/>
        <v>0</v>
      </c>
      <c r="Y236" s="2753">
        <f t="shared" si="112"/>
        <v>0</v>
      </c>
      <c r="Z236" s="1671"/>
      <c r="AA236" s="1702"/>
      <c r="AB236" s="1726"/>
    </row>
    <row r="237" spans="1:28" s="1642" customFormat="1">
      <c r="A237" s="1673">
        <v>2</v>
      </c>
      <c r="B237" s="1674" t="s">
        <v>950</v>
      </c>
      <c r="C237" s="1675">
        <v>0.03</v>
      </c>
      <c r="D237" s="1727" t="s">
        <v>598</v>
      </c>
      <c r="E237" s="2250">
        <v>367.47714000000008</v>
      </c>
      <c r="F237" s="2754">
        <f t="shared" si="110"/>
        <v>415.6356459000001</v>
      </c>
      <c r="G237" s="2755">
        <f t="shared" si="110"/>
        <v>463.79415180000012</v>
      </c>
      <c r="H237" s="2755">
        <f t="shared" si="110"/>
        <v>511.95265770000015</v>
      </c>
      <c r="I237" s="2755">
        <f t="shared" si="110"/>
        <v>560.11116360000017</v>
      </c>
      <c r="J237" s="2755">
        <f t="shared" si="110"/>
        <v>608.26966950000019</v>
      </c>
      <c r="K237" s="2756">
        <f t="shared" si="110"/>
        <v>656.42817540000021</v>
      </c>
      <c r="L237" s="2250">
        <v>62.658929999999998</v>
      </c>
      <c r="M237" s="2754">
        <f t="shared" si="111"/>
        <v>71.444750099999993</v>
      </c>
      <c r="N237" s="2755">
        <f t="shared" si="111"/>
        <v>80.230570199999988</v>
      </c>
      <c r="O237" s="2755">
        <f t="shared" si="111"/>
        <v>89.016390299999983</v>
      </c>
      <c r="P237" s="2755">
        <f t="shared" si="111"/>
        <v>97.802210399999979</v>
      </c>
      <c r="Q237" s="2755">
        <f t="shared" si="111"/>
        <v>106.58803049999997</v>
      </c>
      <c r="R237" s="2756">
        <f t="shared" si="111"/>
        <v>115.37385059999997</v>
      </c>
      <c r="S237" s="2250">
        <v>257.00287999999995</v>
      </c>
      <c r="T237" s="2754">
        <f t="shared" si="112"/>
        <v>356.10438769999996</v>
      </c>
      <c r="U237" s="2755">
        <f t="shared" si="112"/>
        <v>455.20589539999992</v>
      </c>
      <c r="V237" s="2755">
        <f t="shared" si="112"/>
        <v>554.30740309999987</v>
      </c>
      <c r="W237" s="2755">
        <f t="shared" si="112"/>
        <v>653.40891079999983</v>
      </c>
      <c r="X237" s="2755">
        <f t="shared" si="112"/>
        <v>752.51041849999979</v>
      </c>
      <c r="Y237" s="2756">
        <f t="shared" si="112"/>
        <v>851.61192619999974</v>
      </c>
      <c r="Z237" s="1671"/>
      <c r="AA237" s="1702"/>
      <c r="AB237" s="1726"/>
    </row>
    <row r="238" spans="1:28" s="1642" customFormat="1">
      <c r="A238" s="1673">
        <v>3</v>
      </c>
      <c r="B238" s="1674">
        <v>911301</v>
      </c>
      <c r="C238" s="1675">
        <v>0.1</v>
      </c>
      <c r="D238" s="1727" t="s">
        <v>599</v>
      </c>
      <c r="E238" s="2250">
        <v>1902.7195700000013</v>
      </c>
      <c r="F238" s="2754">
        <f t="shared" ref="F238:K238" si="113">E238+F216</f>
        <v>2153.8763700000013</v>
      </c>
      <c r="G238" s="2755">
        <f t="shared" si="113"/>
        <v>2381.0331700000015</v>
      </c>
      <c r="H238" s="2755">
        <f t="shared" si="113"/>
        <v>2404.6899700000017</v>
      </c>
      <c r="I238" s="2755">
        <f t="shared" si="113"/>
        <v>2420.3467700000019</v>
      </c>
      <c r="J238" s="2755">
        <f t="shared" si="113"/>
        <v>2435.5035700000021</v>
      </c>
      <c r="K238" s="2756">
        <f t="shared" si="113"/>
        <v>2450.4603700000021</v>
      </c>
      <c r="L238" s="2250">
        <v>0</v>
      </c>
      <c r="M238" s="2754">
        <f t="shared" ref="M238:R238" si="114">L238+M216</f>
        <v>0</v>
      </c>
      <c r="N238" s="2755">
        <f t="shared" si="114"/>
        <v>0</v>
      </c>
      <c r="O238" s="2755">
        <f t="shared" si="114"/>
        <v>0</v>
      </c>
      <c r="P238" s="2755">
        <f t="shared" si="114"/>
        <v>0</v>
      </c>
      <c r="Q238" s="2755">
        <f t="shared" si="114"/>
        <v>0</v>
      </c>
      <c r="R238" s="2756">
        <f t="shared" si="114"/>
        <v>0</v>
      </c>
      <c r="S238" s="2250">
        <v>58.458740000000006</v>
      </c>
      <c r="T238" s="2754">
        <f t="shared" ref="T238:Y238" si="115">S238+T216</f>
        <v>132.629536</v>
      </c>
      <c r="U238" s="2755">
        <f t="shared" si="115"/>
        <v>206.800332</v>
      </c>
      <c r="V238" s="2755">
        <f t="shared" si="115"/>
        <v>280.97112800000002</v>
      </c>
      <c r="W238" s="2755">
        <f t="shared" si="115"/>
        <v>355.14192400000002</v>
      </c>
      <c r="X238" s="2755">
        <f t="shared" si="115"/>
        <v>429.31272000000001</v>
      </c>
      <c r="Y238" s="2756">
        <f t="shared" si="115"/>
        <v>503.48351600000001</v>
      </c>
      <c r="Z238" s="1671"/>
      <c r="AA238" s="1702"/>
      <c r="AB238" s="1726"/>
    </row>
    <row r="239" spans="1:28" s="1642" customFormat="1">
      <c r="A239" s="1673">
        <v>4</v>
      </c>
      <c r="B239" s="1674">
        <v>911302</v>
      </c>
      <c r="C239" s="1675">
        <v>0.1</v>
      </c>
      <c r="D239" s="1727" t="s">
        <v>600</v>
      </c>
      <c r="E239" s="2250">
        <v>0</v>
      </c>
      <c r="F239" s="2754">
        <f t="shared" ref="F239:K239" si="116">E239+F217</f>
        <v>0</v>
      </c>
      <c r="G239" s="2755">
        <f t="shared" si="116"/>
        <v>0</v>
      </c>
      <c r="H239" s="2755">
        <f t="shared" si="116"/>
        <v>0</v>
      </c>
      <c r="I239" s="2755">
        <f t="shared" si="116"/>
        <v>0</v>
      </c>
      <c r="J239" s="2755">
        <f t="shared" si="116"/>
        <v>0</v>
      </c>
      <c r="K239" s="2756">
        <f t="shared" si="116"/>
        <v>0</v>
      </c>
      <c r="L239" s="2250">
        <v>0</v>
      </c>
      <c r="M239" s="2754">
        <f t="shared" ref="M239:R239" si="117">L239+M217</f>
        <v>0</v>
      </c>
      <c r="N239" s="2755">
        <f t="shared" si="117"/>
        <v>0</v>
      </c>
      <c r="O239" s="2755">
        <f t="shared" si="117"/>
        <v>0</v>
      </c>
      <c r="P239" s="2755">
        <f t="shared" si="117"/>
        <v>0</v>
      </c>
      <c r="Q239" s="2755">
        <f t="shared" si="117"/>
        <v>0</v>
      </c>
      <c r="R239" s="2756">
        <f t="shared" si="117"/>
        <v>0</v>
      </c>
      <c r="S239" s="2250">
        <v>0</v>
      </c>
      <c r="T239" s="2754">
        <f t="shared" ref="T239:Y239" si="118">S239+T217</f>
        <v>0</v>
      </c>
      <c r="U239" s="2755">
        <f t="shared" si="118"/>
        <v>0</v>
      </c>
      <c r="V239" s="2755">
        <f t="shared" si="118"/>
        <v>0</v>
      </c>
      <c r="W239" s="2755">
        <f t="shared" si="118"/>
        <v>0</v>
      </c>
      <c r="X239" s="2755">
        <f t="shared" si="118"/>
        <v>0</v>
      </c>
      <c r="Y239" s="2756">
        <f t="shared" si="118"/>
        <v>0</v>
      </c>
      <c r="Z239" s="1671"/>
      <c r="AA239" s="1702"/>
      <c r="AB239" s="1726"/>
    </row>
    <row r="240" spans="1:28" s="1642" customFormat="1">
      <c r="A240" s="1673">
        <v>5</v>
      </c>
      <c r="B240" s="1674" t="s">
        <v>967</v>
      </c>
      <c r="C240" s="1675">
        <v>0.1</v>
      </c>
      <c r="D240" s="1625" t="s">
        <v>579</v>
      </c>
      <c r="E240" s="2250">
        <v>748.40271000000007</v>
      </c>
      <c r="F240" s="2754">
        <f t="shared" ref="F240:K240" si="119">E240+F218</f>
        <v>760.87541300000009</v>
      </c>
      <c r="G240" s="2755">
        <f t="shared" si="119"/>
        <v>773.34811600000012</v>
      </c>
      <c r="H240" s="2755">
        <f t="shared" si="119"/>
        <v>785.82081900000014</v>
      </c>
      <c r="I240" s="2755">
        <f t="shared" si="119"/>
        <v>796.29352200000017</v>
      </c>
      <c r="J240" s="2755">
        <f t="shared" si="119"/>
        <v>797.66622500000017</v>
      </c>
      <c r="K240" s="2756">
        <f t="shared" si="119"/>
        <v>799.03892800000017</v>
      </c>
      <c r="L240" s="2250">
        <v>4.1100000000000003</v>
      </c>
      <c r="M240" s="2754">
        <f t="shared" ref="M240:R240" si="120">L240+M218</f>
        <v>5.5210000000000008</v>
      </c>
      <c r="N240" s="2755">
        <f t="shared" si="120"/>
        <v>6.9320000000000004</v>
      </c>
      <c r="O240" s="2755">
        <f t="shared" si="120"/>
        <v>8.343</v>
      </c>
      <c r="P240" s="2755">
        <f t="shared" si="120"/>
        <v>9.7539999999999996</v>
      </c>
      <c r="Q240" s="2755">
        <f t="shared" si="120"/>
        <v>11.164999999999999</v>
      </c>
      <c r="R240" s="2756">
        <f t="shared" si="120"/>
        <v>12.575999999999999</v>
      </c>
      <c r="S240" s="2250">
        <v>45.893380000000001</v>
      </c>
      <c r="T240" s="2754">
        <f t="shared" ref="T240:Y240" si="121">S240+T218</f>
        <v>68.122134000000003</v>
      </c>
      <c r="U240" s="2755">
        <f t="shared" si="121"/>
        <v>90.350887999999998</v>
      </c>
      <c r="V240" s="2755">
        <f t="shared" si="121"/>
        <v>112.57964199999999</v>
      </c>
      <c r="W240" s="2755">
        <f t="shared" si="121"/>
        <v>134.80839599999999</v>
      </c>
      <c r="X240" s="2755">
        <f t="shared" si="121"/>
        <v>157.03715</v>
      </c>
      <c r="Y240" s="2756">
        <f t="shared" si="121"/>
        <v>179.26590400000001</v>
      </c>
      <c r="Z240" s="1671"/>
      <c r="AA240" s="1702"/>
      <c r="AB240" s="1726"/>
    </row>
    <row r="241" spans="1:28" s="1642" customFormat="1">
      <c r="A241" s="1673">
        <v>6</v>
      </c>
      <c r="B241" s="1674" t="s">
        <v>968</v>
      </c>
      <c r="C241" s="1675">
        <v>0.1</v>
      </c>
      <c r="D241" s="1625" t="s">
        <v>1391</v>
      </c>
      <c r="E241" s="2250">
        <v>128.00620999999998</v>
      </c>
      <c r="F241" s="2754">
        <f t="shared" ref="F241:K241" si="122">E241+F219</f>
        <v>144.61535499999999</v>
      </c>
      <c r="G241" s="2755">
        <f t="shared" si="122"/>
        <v>161.22450000000001</v>
      </c>
      <c r="H241" s="2755">
        <f t="shared" si="122"/>
        <v>165.83364500000002</v>
      </c>
      <c r="I241" s="2755">
        <f t="shared" si="122"/>
        <v>165.94279000000003</v>
      </c>
      <c r="J241" s="2755">
        <f t="shared" si="122"/>
        <v>166.05193500000004</v>
      </c>
      <c r="K241" s="2756">
        <f t="shared" si="122"/>
        <v>166.16108000000006</v>
      </c>
      <c r="L241" s="2250">
        <v>3.2171999999999996</v>
      </c>
      <c r="M241" s="2754">
        <f t="shared" ref="M241:R241" si="123">L241+M219</f>
        <v>3.6997999999999998</v>
      </c>
      <c r="N241" s="2755">
        <f t="shared" si="123"/>
        <v>4.1823999999999995</v>
      </c>
      <c r="O241" s="2755">
        <f t="shared" si="123"/>
        <v>4.6649999999999991</v>
      </c>
      <c r="P241" s="2755">
        <f t="shared" si="123"/>
        <v>4.7475999999999994</v>
      </c>
      <c r="Q241" s="2755">
        <f t="shared" si="123"/>
        <v>4.8301999999999996</v>
      </c>
      <c r="R241" s="2756">
        <f t="shared" si="123"/>
        <v>4.9127999999999998</v>
      </c>
      <c r="S241" s="2250">
        <v>30.177799999999998</v>
      </c>
      <c r="T241" s="2754">
        <f t="shared" ref="T241:Y241" si="124">S241+T219</f>
        <v>76.39614499999999</v>
      </c>
      <c r="U241" s="2755">
        <f t="shared" si="124"/>
        <v>122.61448999999999</v>
      </c>
      <c r="V241" s="2755">
        <f t="shared" si="124"/>
        <v>168.83283499999999</v>
      </c>
      <c r="W241" s="2755">
        <f t="shared" si="124"/>
        <v>215.05117999999999</v>
      </c>
      <c r="X241" s="2755">
        <f t="shared" si="124"/>
        <v>261.26952499999999</v>
      </c>
      <c r="Y241" s="2756">
        <f t="shared" si="124"/>
        <v>307.48786999999999</v>
      </c>
      <c r="Z241" s="1671"/>
      <c r="AA241" s="1702"/>
      <c r="AB241" s="1726"/>
    </row>
    <row r="242" spans="1:28" s="1642" customFormat="1" ht="24">
      <c r="A242" s="1673">
        <v>7</v>
      </c>
      <c r="B242" s="1674" t="s">
        <v>959</v>
      </c>
      <c r="C242" s="1675">
        <v>0.1</v>
      </c>
      <c r="D242" s="1625" t="s">
        <v>948</v>
      </c>
      <c r="E242" s="2250">
        <v>346.5923499999999</v>
      </c>
      <c r="F242" s="2754">
        <f t="shared" ref="F242:K242" si="125">E242+F220</f>
        <v>409.95550099999991</v>
      </c>
      <c r="G242" s="2755">
        <f t="shared" si="125"/>
        <v>473.31865199999993</v>
      </c>
      <c r="H242" s="2755">
        <f t="shared" si="125"/>
        <v>536.68180299999995</v>
      </c>
      <c r="I242" s="2755">
        <f t="shared" si="125"/>
        <v>600.04495399999996</v>
      </c>
      <c r="J242" s="2755">
        <f t="shared" si="125"/>
        <v>633.40810499999998</v>
      </c>
      <c r="K242" s="2756">
        <f t="shared" si="125"/>
        <v>633.77125599999999</v>
      </c>
      <c r="L242" s="2250">
        <v>0</v>
      </c>
      <c r="M242" s="2754">
        <f t="shared" ref="M242:R242" si="126">L242+M220</f>
        <v>0</v>
      </c>
      <c r="N242" s="2755">
        <f t="shared" si="126"/>
        <v>0</v>
      </c>
      <c r="O242" s="2755">
        <f t="shared" si="126"/>
        <v>0</v>
      </c>
      <c r="P242" s="2755">
        <f t="shared" si="126"/>
        <v>0</v>
      </c>
      <c r="Q242" s="2755">
        <f t="shared" si="126"/>
        <v>0</v>
      </c>
      <c r="R242" s="2756">
        <f t="shared" si="126"/>
        <v>0</v>
      </c>
      <c r="S242" s="2250">
        <v>6.5279099999999994</v>
      </c>
      <c r="T242" s="2754">
        <f t="shared" ref="T242:Y242" si="127">S242+T220</f>
        <v>6.6807009999999991</v>
      </c>
      <c r="U242" s="2755">
        <f t="shared" si="127"/>
        <v>6.8334919999999988</v>
      </c>
      <c r="V242" s="2755">
        <f t="shared" si="127"/>
        <v>6.9862829999999985</v>
      </c>
      <c r="W242" s="2755">
        <f t="shared" si="127"/>
        <v>6.9390739999999989</v>
      </c>
      <c r="X242" s="2755">
        <f t="shared" si="127"/>
        <v>6.8918649999999992</v>
      </c>
      <c r="Y242" s="2756">
        <f t="shared" si="127"/>
        <v>6.8446559999999996</v>
      </c>
      <c r="Z242" s="1671"/>
      <c r="AA242" s="1702"/>
      <c r="AB242" s="1726"/>
    </row>
    <row r="243" spans="1:28" s="1642" customFormat="1">
      <c r="A243" s="1673">
        <v>8</v>
      </c>
      <c r="B243" s="1674" t="s">
        <v>969</v>
      </c>
      <c r="C243" s="1675">
        <v>0.1</v>
      </c>
      <c r="D243" s="1625" t="s">
        <v>966</v>
      </c>
      <c r="E243" s="2250">
        <v>13.833880000000001</v>
      </c>
      <c r="F243" s="2754">
        <f t="shared" ref="F243:F255" si="128">E243+F221</f>
        <v>18.852809000000001</v>
      </c>
      <c r="G243" s="2755">
        <f t="shared" ref="G243:K244" si="129">F243+G221</f>
        <v>23.871738000000001</v>
      </c>
      <c r="H243" s="2755">
        <f t="shared" si="129"/>
        <v>28.890667000000001</v>
      </c>
      <c r="I243" s="2755">
        <f t="shared" si="129"/>
        <v>33.909596000000001</v>
      </c>
      <c r="J243" s="2755">
        <f t="shared" si="129"/>
        <v>38.928525</v>
      </c>
      <c r="K243" s="2756">
        <f t="shared" si="129"/>
        <v>43.947454</v>
      </c>
      <c r="L243" s="2250">
        <v>0</v>
      </c>
      <c r="M243" s="2754">
        <f t="shared" ref="M243:R243" si="130">L243+M221</f>
        <v>0</v>
      </c>
      <c r="N243" s="2755">
        <f t="shared" si="130"/>
        <v>0</v>
      </c>
      <c r="O243" s="2755">
        <f t="shared" si="130"/>
        <v>0</v>
      </c>
      <c r="P243" s="2755">
        <f t="shared" si="130"/>
        <v>0</v>
      </c>
      <c r="Q243" s="2755">
        <f t="shared" si="130"/>
        <v>0</v>
      </c>
      <c r="R243" s="2756">
        <f t="shared" si="130"/>
        <v>0</v>
      </c>
      <c r="S243" s="2250">
        <v>0</v>
      </c>
      <c r="T243" s="2754">
        <f t="shared" ref="T243:Y243" si="131">S243+T221</f>
        <v>0</v>
      </c>
      <c r="U243" s="2755">
        <f t="shared" si="131"/>
        <v>0</v>
      </c>
      <c r="V243" s="2755">
        <f t="shared" si="131"/>
        <v>0</v>
      </c>
      <c r="W243" s="2755">
        <f t="shared" si="131"/>
        <v>0</v>
      </c>
      <c r="X243" s="2755">
        <f t="shared" si="131"/>
        <v>0</v>
      </c>
      <c r="Y243" s="2756">
        <f t="shared" si="131"/>
        <v>0</v>
      </c>
      <c r="Z243" s="1671"/>
      <c r="AA243" s="1702"/>
      <c r="AB243" s="1726"/>
    </row>
    <row r="244" spans="1:28" s="1642" customFormat="1">
      <c r="A244" s="1729">
        <v>9</v>
      </c>
      <c r="B244" s="1674">
        <v>911306</v>
      </c>
      <c r="C244" s="1675">
        <v>0.1</v>
      </c>
      <c r="D244" s="1625" t="s">
        <v>1471</v>
      </c>
      <c r="E244" s="2250">
        <v>0</v>
      </c>
      <c r="F244" s="2754">
        <f t="shared" si="128"/>
        <v>0</v>
      </c>
      <c r="G244" s="2755">
        <f t="shared" si="129"/>
        <v>0</v>
      </c>
      <c r="H244" s="2755">
        <f t="shared" si="129"/>
        <v>0</v>
      </c>
      <c r="I244" s="2755">
        <f t="shared" si="129"/>
        <v>0</v>
      </c>
      <c r="J244" s="2755">
        <f t="shared" si="129"/>
        <v>0</v>
      </c>
      <c r="K244" s="2756">
        <f t="shared" si="129"/>
        <v>0</v>
      </c>
      <c r="L244" s="2250">
        <v>0</v>
      </c>
      <c r="M244" s="2754">
        <f t="shared" ref="M244:R244" si="132">L244+M222</f>
        <v>0</v>
      </c>
      <c r="N244" s="2755">
        <f t="shared" si="132"/>
        <v>0</v>
      </c>
      <c r="O244" s="2755">
        <f t="shared" si="132"/>
        <v>0</v>
      </c>
      <c r="P244" s="2755">
        <f t="shared" si="132"/>
        <v>0</v>
      </c>
      <c r="Q244" s="2755">
        <f t="shared" si="132"/>
        <v>0</v>
      </c>
      <c r="R244" s="2756">
        <f t="shared" si="132"/>
        <v>0</v>
      </c>
      <c r="S244" s="2250">
        <v>0</v>
      </c>
      <c r="T244" s="2754">
        <f t="shared" ref="T244:Y244" si="133">S244+T222</f>
        <v>0</v>
      </c>
      <c r="U244" s="2755">
        <f t="shared" si="133"/>
        <v>0</v>
      </c>
      <c r="V244" s="2755">
        <f t="shared" si="133"/>
        <v>0</v>
      </c>
      <c r="W244" s="2755">
        <f t="shared" si="133"/>
        <v>0</v>
      </c>
      <c r="X244" s="2755">
        <f t="shared" si="133"/>
        <v>0</v>
      </c>
      <c r="Y244" s="2756">
        <f t="shared" si="133"/>
        <v>0</v>
      </c>
      <c r="Z244" s="1671"/>
      <c r="AA244" s="1702"/>
      <c r="AB244" s="1726"/>
    </row>
    <row r="245" spans="1:28" s="1642" customFormat="1">
      <c r="A245" s="1729">
        <v>10</v>
      </c>
      <c r="B245" s="1674">
        <v>91140101</v>
      </c>
      <c r="C245" s="1728">
        <v>0.1</v>
      </c>
      <c r="D245" s="1637" t="s">
        <v>1442</v>
      </c>
      <c r="E245" s="2250">
        <v>466.50219000000004</v>
      </c>
      <c r="F245" s="2754">
        <f t="shared" si="128"/>
        <v>543.22003000000007</v>
      </c>
      <c r="G245" s="2755">
        <f t="shared" ref="G245:K255" si="134">F245+G223</f>
        <v>619.93787000000009</v>
      </c>
      <c r="H245" s="2755">
        <f t="shared" si="134"/>
        <v>696.65571000000011</v>
      </c>
      <c r="I245" s="2755">
        <f t="shared" si="134"/>
        <v>767.37355000000014</v>
      </c>
      <c r="J245" s="2755">
        <f t="shared" si="134"/>
        <v>767.09139000000016</v>
      </c>
      <c r="K245" s="2756">
        <f t="shared" si="134"/>
        <v>766.80923000000018</v>
      </c>
      <c r="L245" s="2250">
        <v>0</v>
      </c>
      <c r="M245" s="2754">
        <f t="shared" ref="M245:R256" si="135">L245+M223</f>
        <v>0</v>
      </c>
      <c r="N245" s="2755">
        <f t="shared" si="135"/>
        <v>0</v>
      </c>
      <c r="O245" s="2755">
        <f t="shared" si="135"/>
        <v>0</v>
      </c>
      <c r="P245" s="2755">
        <f t="shared" si="135"/>
        <v>0</v>
      </c>
      <c r="Q245" s="2755">
        <f t="shared" si="135"/>
        <v>0</v>
      </c>
      <c r="R245" s="2756">
        <f t="shared" si="135"/>
        <v>0</v>
      </c>
      <c r="S245" s="2250">
        <v>30.400959999999998</v>
      </c>
      <c r="T245" s="2754">
        <f t="shared" ref="T245:Y256" si="136">S245+T223</f>
        <v>33.856307999999999</v>
      </c>
      <c r="U245" s="2755">
        <f t="shared" si="136"/>
        <v>34.311655999999999</v>
      </c>
      <c r="V245" s="2755">
        <f t="shared" si="136"/>
        <v>34.767004</v>
      </c>
      <c r="W245" s="2755">
        <f t="shared" si="136"/>
        <v>34.722352000000001</v>
      </c>
      <c r="X245" s="2755">
        <f t="shared" si="136"/>
        <v>34.677700000000002</v>
      </c>
      <c r="Y245" s="2756">
        <f t="shared" si="136"/>
        <v>34.633048000000002</v>
      </c>
      <c r="Z245" s="1671"/>
      <c r="AA245" s="1702"/>
      <c r="AB245" s="1726"/>
    </row>
    <row r="246" spans="1:28" s="1642" customFormat="1">
      <c r="A246" s="1729">
        <v>11</v>
      </c>
      <c r="B246" s="1674">
        <v>91140102</v>
      </c>
      <c r="C246" s="1728">
        <v>0.04</v>
      </c>
      <c r="D246" s="1637" t="s">
        <v>604</v>
      </c>
      <c r="E246" s="2250">
        <v>200.56658000000002</v>
      </c>
      <c r="F246" s="2754">
        <f t="shared" si="128"/>
        <v>235.51126600000003</v>
      </c>
      <c r="G246" s="2755">
        <f t="shared" si="134"/>
        <v>270.45595200000002</v>
      </c>
      <c r="H246" s="2755">
        <f t="shared" si="134"/>
        <v>305.40063800000001</v>
      </c>
      <c r="I246" s="2755">
        <f t="shared" si="134"/>
        <v>340.34532400000001</v>
      </c>
      <c r="J246" s="2755">
        <f t="shared" si="134"/>
        <v>375.29001</v>
      </c>
      <c r="K246" s="2756">
        <f t="shared" si="134"/>
        <v>410.23469599999999</v>
      </c>
      <c r="L246" s="2250">
        <v>1.0035999999999994</v>
      </c>
      <c r="M246" s="2754">
        <f t="shared" si="135"/>
        <v>1.2351999999999994</v>
      </c>
      <c r="N246" s="2755">
        <f t="shared" si="135"/>
        <v>1.4667999999999994</v>
      </c>
      <c r="O246" s="2755">
        <f t="shared" si="135"/>
        <v>1.6983999999999995</v>
      </c>
      <c r="P246" s="2755">
        <f t="shared" si="135"/>
        <v>1.9299999999999995</v>
      </c>
      <c r="Q246" s="2755">
        <f t="shared" si="135"/>
        <v>2.1615999999999995</v>
      </c>
      <c r="R246" s="2756">
        <f t="shared" si="135"/>
        <v>2.3931999999999993</v>
      </c>
      <c r="S246" s="2250">
        <v>10.014379999999999</v>
      </c>
      <c r="T246" s="2754">
        <f t="shared" si="136"/>
        <v>10.454339599999999</v>
      </c>
      <c r="U246" s="2755">
        <f t="shared" si="136"/>
        <v>10.894299199999999</v>
      </c>
      <c r="V246" s="2755">
        <f t="shared" si="136"/>
        <v>11.334258799999999</v>
      </c>
      <c r="W246" s="2755">
        <f t="shared" si="136"/>
        <v>11.374218399999998</v>
      </c>
      <c r="X246" s="2755">
        <f t="shared" si="136"/>
        <v>11.414177999999998</v>
      </c>
      <c r="Y246" s="2756">
        <f t="shared" si="136"/>
        <v>11.454137599999997</v>
      </c>
      <c r="Z246" s="1671"/>
      <c r="AA246" s="1702"/>
      <c r="AB246" s="1726"/>
    </row>
    <row r="247" spans="1:28" s="1642" customFormat="1">
      <c r="A247" s="1729">
        <v>12</v>
      </c>
      <c r="B247" s="1674" t="s">
        <v>951</v>
      </c>
      <c r="C247" s="1675">
        <v>0.02</v>
      </c>
      <c r="D247" s="1623" t="s">
        <v>1007</v>
      </c>
      <c r="E247" s="2250">
        <v>0</v>
      </c>
      <c r="F247" s="2754">
        <f t="shared" si="128"/>
        <v>4.1988000000000003</v>
      </c>
      <c r="G247" s="2755">
        <f t="shared" si="134"/>
        <v>8.3976000000000006</v>
      </c>
      <c r="H247" s="2755">
        <f t="shared" si="134"/>
        <v>12.596400000000001</v>
      </c>
      <c r="I247" s="2755">
        <f t="shared" si="134"/>
        <v>16.795200000000001</v>
      </c>
      <c r="J247" s="2755">
        <f t="shared" si="134"/>
        <v>20.994</v>
      </c>
      <c r="K247" s="2756">
        <f t="shared" si="134"/>
        <v>25.192799999999998</v>
      </c>
      <c r="L247" s="2250">
        <v>0</v>
      </c>
      <c r="M247" s="2754">
        <f t="shared" si="135"/>
        <v>0</v>
      </c>
      <c r="N247" s="2755">
        <f t="shared" si="135"/>
        <v>0</v>
      </c>
      <c r="O247" s="2755">
        <f t="shared" si="135"/>
        <v>0</v>
      </c>
      <c r="P247" s="2755">
        <f t="shared" si="135"/>
        <v>0</v>
      </c>
      <c r="Q247" s="2755">
        <f t="shared" si="135"/>
        <v>0</v>
      </c>
      <c r="R247" s="2756">
        <f t="shared" si="135"/>
        <v>0</v>
      </c>
      <c r="S247" s="2250">
        <v>0</v>
      </c>
      <c r="T247" s="2754">
        <f t="shared" si="136"/>
        <v>0</v>
      </c>
      <c r="U247" s="2755">
        <f t="shared" si="136"/>
        <v>0</v>
      </c>
      <c r="V247" s="2755">
        <f t="shared" si="136"/>
        <v>0</v>
      </c>
      <c r="W247" s="2755">
        <f t="shared" si="136"/>
        <v>0</v>
      </c>
      <c r="X247" s="2755">
        <f t="shared" si="136"/>
        <v>0</v>
      </c>
      <c r="Y247" s="2756">
        <f t="shared" si="136"/>
        <v>0</v>
      </c>
      <c r="Z247" s="1671"/>
      <c r="AA247" s="1702"/>
      <c r="AB247" s="1726"/>
    </row>
    <row r="248" spans="1:28" s="1642" customFormat="1">
      <c r="A248" s="1729">
        <v>13</v>
      </c>
      <c r="B248" s="1674" t="s">
        <v>952</v>
      </c>
      <c r="C248" s="1675">
        <v>0.02</v>
      </c>
      <c r="D248" s="1623" t="s">
        <v>1008</v>
      </c>
      <c r="E248" s="2250">
        <v>693.79125999999997</v>
      </c>
      <c r="F248" s="2754">
        <f t="shared" si="128"/>
        <v>721.86159899999996</v>
      </c>
      <c r="G248" s="2755">
        <f t="shared" si="134"/>
        <v>749.93193799999995</v>
      </c>
      <c r="H248" s="2755">
        <f t="shared" si="134"/>
        <v>778.00227699999994</v>
      </c>
      <c r="I248" s="2755">
        <f t="shared" si="134"/>
        <v>806.07261599999993</v>
      </c>
      <c r="J248" s="2755">
        <f t="shared" si="134"/>
        <v>834.14295499999992</v>
      </c>
      <c r="K248" s="2756">
        <f t="shared" si="134"/>
        <v>862.21329399999991</v>
      </c>
      <c r="L248" s="2250">
        <v>0</v>
      </c>
      <c r="M248" s="2754">
        <f t="shared" si="135"/>
        <v>0</v>
      </c>
      <c r="N248" s="2755">
        <f t="shared" si="135"/>
        <v>0</v>
      </c>
      <c r="O248" s="2755">
        <f t="shared" si="135"/>
        <v>0</v>
      </c>
      <c r="P248" s="2755">
        <f t="shared" si="135"/>
        <v>0</v>
      </c>
      <c r="Q248" s="2755">
        <f t="shared" si="135"/>
        <v>0</v>
      </c>
      <c r="R248" s="2756">
        <f t="shared" si="135"/>
        <v>0</v>
      </c>
      <c r="S248" s="2250">
        <v>0</v>
      </c>
      <c r="T248" s="2754">
        <f t="shared" si="136"/>
        <v>0</v>
      </c>
      <c r="U248" s="2755">
        <f t="shared" si="136"/>
        <v>0</v>
      </c>
      <c r="V248" s="2755">
        <f t="shared" si="136"/>
        <v>0</v>
      </c>
      <c r="W248" s="2755">
        <f t="shared" si="136"/>
        <v>0</v>
      </c>
      <c r="X248" s="2755">
        <f t="shared" si="136"/>
        <v>0</v>
      </c>
      <c r="Y248" s="2756">
        <f t="shared" si="136"/>
        <v>0</v>
      </c>
      <c r="Z248" s="1671"/>
      <c r="AA248" s="1702"/>
      <c r="AB248" s="1726"/>
    </row>
    <row r="249" spans="1:28" s="1642" customFormat="1">
      <c r="A249" s="1729">
        <v>14</v>
      </c>
      <c r="B249" s="1674" t="s">
        <v>953</v>
      </c>
      <c r="C249" s="1675">
        <v>0.02</v>
      </c>
      <c r="D249" s="1623" t="s">
        <v>590</v>
      </c>
      <c r="E249" s="2250">
        <v>10.147959999999999</v>
      </c>
      <c r="F249" s="2754">
        <f t="shared" si="128"/>
        <v>10.4979084</v>
      </c>
      <c r="G249" s="2755">
        <f t="shared" si="134"/>
        <v>10.847856800000001</v>
      </c>
      <c r="H249" s="2755">
        <f t="shared" si="134"/>
        <v>11.197805200000001</v>
      </c>
      <c r="I249" s="2755">
        <f t="shared" si="134"/>
        <v>11.547753600000002</v>
      </c>
      <c r="J249" s="2755">
        <f t="shared" si="134"/>
        <v>11.897702000000002</v>
      </c>
      <c r="K249" s="2756">
        <f t="shared" si="134"/>
        <v>12.247650400000003</v>
      </c>
      <c r="L249" s="2250">
        <v>0</v>
      </c>
      <c r="M249" s="2754">
        <f t="shared" si="135"/>
        <v>0</v>
      </c>
      <c r="N249" s="2755">
        <f t="shared" si="135"/>
        <v>0</v>
      </c>
      <c r="O249" s="2755">
        <f t="shared" si="135"/>
        <v>0</v>
      </c>
      <c r="P249" s="2755">
        <f t="shared" si="135"/>
        <v>0</v>
      </c>
      <c r="Q249" s="2755">
        <f t="shared" si="135"/>
        <v>0</v>
      </c>
      <c r="R249" s="2756">
        <f t="shared" si="135"/>
        <v>0</v>
      </c>
      <c r="S249" s="2250">
        <v>0</v>
      </c>
      <c r="T249" s="2754">
        <f t="shared" si="136"/>
        <v>0</v>
      </c>
      <c r="U249" s="2755">
        <f t="shared" si="136"/>
        <v>0</v>
      </c>
      <c r="V249" s="2755">
        <f t="shared" si="136"/>
        <v>0</v>
      </c>
      <c r="W249" s="2755">
        <f t="shared" si="136"/>
        <v>0</v>
      </c>
      <c r="X249" s="2755">
        <f t="shared" si="136"/>
        <v>0</v>
      </c>
      <c r="Y249" s="2756">
        <f t="shared" si="136"/>
        <v>0</v>
      </c>
      <c r="Z249" s="1671"/>
      <c r="AA249" s="1702"/>
      <c r="AB249" s="1726"/>
    </row>
    <row r="250" spans="1:28" s="1642" customFormat="1">
      <c r="A250" s="1729">
        <v>15</v>
      </c>
      <c r="B250" s="1674" t="s">
        <v>954</v>
      </c>
      <c r="C250" s="1675">
        <v>0.02</v>
      </c>
      <c r="D250" s="1637" t="s">
        <v>591</v>
      </c>
      <c r="E250" s="2250">
        <v>656.67792000000009</v>
      </c>
      <c r="F250" s="2754">
        <f t="shared" si="128"/>
        <v>678.27026560000013</v>
      </c>
      <c r="G250" s="2755">
        <f t="shared" si="134"/>
        <v>699.86261120000017</v>
      </c>
      <c r="H250" s="2755">
        <f t="shared" si="134"/>
        <v>721.45495680000022</v>
      </c>
      <c r="I250" s="2755">
        <f t="shared" si="134"/>
        <v>743.04730240000026</v>
      </c>
      <c r="J250" s="2755">
        <f t="shared" si="134"/>
        <v>764.63964800000031</v>
      </c>
      <c r="K250" s="2756">
        <f t="shared" si="134"/>
        <v>786.23199360000035</v>
      </c>
      <c r="L250" s="2250">
        <v>0</v>
      </c>
      <c r="M250" s="2754">
        <f t="shared" si="135"/>
        <v>0</v>
      </c>
      <c r="N250" s="2755">
        <f t="shared" si="135"/>
        <v>0</v>
      </c>
      <c r="O250" s="2755">
        <f t="shared" si="135"/>
        <v>0</v>
      </c>
      <c r="P250" s="2755">
        <f t="shared" si="135"/>
        <v>0</v>
      </c>
      <c r="Q250" s="2755">
        <f t="shared" si="135"/>
        <v>0</v>
      </c>
      <c r="R250" s="2756">
        <f t="shared" si="135"/>
        <v>0</v>
      </c>
      <c r="S250" s="2250">
        <v>0</v>
      </c>
      <c r="T250" s="2754">
        <f t="shared" si="136"/>
        <v>0</v>
      </c>
      <c r="U250" s="2755">
        <f t="shared" si="136"/>
        <v>0</v>
      </c>
      <c r="V250" s="2755">
        <f t="shared" si="136"/>
        <v>0</v>
      </c>
      <c r="W250" s="2755">
        <f t="shared" si="136"/>
        <v>0</v>
      </c>
      <c r="X250" s="2755">
        <f t="shared" si="136"/>
        <v>0</v>
      </c>
      <c r="Y250" s="2756">
        <f t="shared" si="136"/>
        <v>0</v>
      </c>
      <c r="Z250" s="1671"/>
      <c r="AA250" s="1702"/>
      <c r="AB250" s="1726"/>
    </row>
    <row r="251" spans="1:28" s="1642" customFormat="1">
      <c r="A251" s="1729">
        <v>16</v>
      </c>
      <c r="B251" s="1674" t="s">
        <v>955</v>
      </c>
      <c r="C251" s="1675">
        <v>0.02</v>
      </c>
      <c r="D251" s="1623" t="s">
        <v>592</v>
      </c>
      <c r="E251" s="2250">
        <v>7263.14461999999</v>
      </c>
      <c r="F251" s="2754">
        <f t="shared" si="128"/>
        <v>7999.1433383999902</v>
      </c>
      <c r="G251" s="2755">
        <f t="shared" si="134"/>
        <v>8735.1420567999903</v>
      </c>
      <c r="H251" s="2755">
        <f t="shared" si="134"/>
        <v>9471.1407751999905</v>
      </c>
      <c r="I251" s="2755">
        <f t="shared" si="134"/>
        <v>10207.139493599991</v>
      </c>
      <c r="J251" s="2755">
        <f t="shared" si="134"/>
        <v>10943.138211999991</v>
      </c>
      <c r="K251" s="2756">
        <f t="shared" si="134"/>
        <v>11679.136930399991</v>
      </c>
      <c r="L251" s="2250">
        <v>0</v>
      </c>
      <c r="M251" s="2754">
        <f t="shared" si="135"/>
        <v>0</v>
      </c>
      <c r="N251" s="2755">
        <f t="shared" si="135"/>
        <v>0</v>
      </c>
      <c r="O251" s="2755">
        <f t="shared" si="135"/>
        <v>0</v>
      </c>
      <c r="P251" s="2755">
        <f t="shared" si="135"/>
        <v>0</v>
      </c>
      <c r="Q251" s="2755">
        <f t="shared" si="135"/>
        <v>0</v>
      </c>
      <c r="R251" s="2756">
        <f t="shared" si="135"/>
        <v>0</v>
      </c>
      <c r="S251" s="2250">
        <v>2.50543</v>
      </c>
      <c r="T251" s="2754">
        <f t="shared" si="136"/>
        <v>2.5622495999999999</v>
      </c>
      <c r="U251" s="2755">
        <f t="shared" si="136"/>
        <v>2.6190691999999998</v>
      </c>
      <c r="V251" s="2755">
        <f t="shared" si="136"/>
        <v>2.6758887999999996</v>
      </c>
      <c r="W251" s="2755">
        <f t="shared" si="136"/>
        <v>2.7327083999999995</v>
      </c>
      <c r="X251" s="2755">
        <f t="shared" si="136"/>
        <v>2.7895279999999993</v>
      </c>
      <c r="Y251" s="2756">
        <f t="shared" si="136"/>
        <v>2.8463475999999992</v>
      </c>
      <c r="Z251" s="1671"/>
      <c r="AA251" s="1702"/>
      <c r="AB251" s="1726"/>
    </row>
    <row r="252" spans="1:28" s="1642" customFormat="1">
      <c r="A252" s="1729">
        <v>17</v>
      </c>
      <c r="B252" s="1674" t="s">
        <v>956</v>
      </c>
      <c r="C252" s="1675">
        <v>0.02</v>
      </c>
      <c r="D252" s="1625" t="s">
        <v>593</v>
      </c>
      <c r="E252" s="2250">
        <v>0</v>
      </c>
      <c r="F252" s="2754">
        <f t="shared" si="128"/>
        <v>0</v>
      </c>
      <c r="G252" s="2755">
        <f t="shared" si="134"/>
        <v>0</v>
      </c>
      <c r="H252" s="2755">
        <f t="shared" si="134"/>
        <v>0</v>
      </c>
      <c r="I252" s="2755">
        <f t="shared" si="134"/>
        <v>0</v>
      </c>
      <c r="J252" s="2755">
        <f t="shared" si="134"/>
        <v>0</v>
      </c>
      <c r="K252" s="2756">
        <f t="shared" si="134"/>
        <v>0</v>
      </c>
      <c r="L252" s="2250">
        <v>1944.0938599999999</v>
      </c>
      <c r="M252" s="2754">
        <f t="shared" si="135"/>
        <v>2975.435958</v>
      </c>
      <c r="N252" s="2755">
        <f t="shared" si="135"/>
        <v>4006.7780560000001</v>
      </c>
      <c r="O252" s="2755">
        <f t="shared" si="135"/>
        <v>5038.1201540000002</v>
      </c>
      <c r="P252" s="2755">
        <f t="shared" si="135"/>
        <v>6069.4622520000003</v>
      </c>
      <c r="Q252" s="2755">
        <f t="shared" si="135"/>
        <v>7100.8043500000003</v>
      </c>
      <c r="R252" s="2756">
        <f t="shared" si="135"/>
        <v>8132.1464480000004</v>
      </c>
      <c r="S252" s="2250">
        <v>45.892989999999998</v>
      </c>
      <c r="T252" s="2754">
        <f t="shared" si="136"/>
        <v>46.945383799999995</v>
      </c>
      <c r="U252" s="2755">
        <f t="shared" si="136"/>
        <v>47.997777599999992</v>
      </c>
      <c r="V252" s="2755">
        <f t="shared" si="136"/>
        <v>49.050171399999989</v>
      </c>
      <c r="W252" s="2755">
        <f t="shared" si="136"/>
        <v>50.102565199999987</v>
      </c>
      <c r="X252" s="2755">
        <f t="shared" si="136"/>
        <v>51.154958999999984</v>
      </c>
      <c r="Y252" s="2756">
        <f t="shared" si="136"/>
        <v>52.207352799999981</v>
      </c>
      <c r="Z252" s="1671"/>
      <c r="AA252" s="1702"/>
      <c r="AB252" s="1726"/>
    </row>
    <row r="253" spans="1:28" s="1642" customFormat="1" ht="24">
      <c r="A253" s="1729">
        <v>18</v>
      </c>
      <c r="B253" s="1674" t="s">
        <v>957</v>
      </c>
      <c r="C253" s="1675">
        <v>0.04</v>
      </c>
      <c r="D253" s="1625" t="s">
        <v>594</v>
      </c>
      <c r="E253" s="2250">
        <v>0</v>
      </c>
      <c r="F253" s="2754">
        <f t="shared" si="128"/>
        <v>0</v>
      </c>
      <c r="G253" s="2755">
        <f t="shared" si="134"/>
        <v>0</v>
      </c>
      <c r="H253" s="2755">
        <f t="shared" si="134"/>
        <v>0</v>
      </c>
      <c r="I253" s="2755">
        <f t="shared" si="134"/>
        <v>0</v>
      </c>
      <c r="J253" s="2755">
        <f t="shared" si="134"/>
        <v>0</v>
      </c>
      <c r="K253" s="2756">
        <f t="shared" si="134"/>
        <v>0</v>
      </c>
      <c r="L253" s="2250">
        <v>0</v>
      </c>
      <c r="M253" s="2754">
        <f t="shared" si="135"/>
        <v>0</v>
      </c>
      <c r="N253" s="2755">
        <f t="shared" si="135"/>
        <v>0</v>
      </c>
      <c r="O253" s="2755">
        <f t="shared" si="135"/>
        <v>0</v>
      </c>
      <c r="P253" s="2755">
        <f t="shared" si="135"/>
        <v>0</v>
      </c>
      <c r="Q253" s="2755">
        <f t="shared" si="135"/>
        <v>0</v>
      </c>
      <c r="R253" s="2756">
        <f t="shared" si="135"/>
        <v>0</v>
      </c>
      <c r="S253" s="2250">
        <v>948.82323000000008</v>
      </c>
      <c r="T253" s="2754">
        <f t="shared" si="136"/>
        <v>1348.5043848</v>
      </c>
      <c r="U253" s="2755">
        <f t="shared" si="136"/>
        <v>1748.1855396000001</v>
      </c>
      <c r="V253" s="2755">
        <f t="shared" si="136"/>
        <v>2147.8666944000001</v>
      </c>
      <c r="W253" s="2755">
        <f t="shared" si="136"/>
        <v>2547.5478492000002</v>
      </c>
      <c r="X253" s="2755">
        <f t="shared" si="136"/>
        <v>2947.2290040000003</v>
      </c>
      <c r="Y253" s="2756">
        <f t="shared" si="136"/>
        <v>3346.9101588000003</v>
      </c>
      <c r="Z253" s="1671"/>
      <c r="AA253" s="1702"/>
      <c r="AB253" s="1726"/>
    </row>
    <row r="254" spans="1:28" s="1642" customFormat="1">
      <c r="A254" s="1729">
        <v>19</v>
      </c>
      <c r="B254" s="1674" t="s">
        <v>958</v>
      </c>
      <c r="C254" s="1675">
        <v>0.04</v>
      </c>
      <c r="D254" s="1625" t="s">
        <v>595</v>
      </c>
      <c r="E254" s="2250">
        <v>191.40772000000001</v>
      </c>
      <c r="F254" s="2754">
        <f t="shared" si="128"/>
        <v>204.64575200000002</v>
      </c>
      <c r="G254" s="2755">
        <f t="shared" si="134"/>
        <v>217.88378400000002</v>
      </c>
      <c r="H254" s="2755">
        <f t="shared" si="134"/>
        <v>231.12181600000002</v>
      </c>
      <c r="I254" s="2755">
        <f t="shared" si="134"/>
        <v>244.35984800000003</v>
      </c>
      <c r="J254" s="2755">
        <f t="shared" si="134"/>
        <v>257.59788000000003</v>
      </c>
      <c r="K254" s="2756">
        <f t="shared" si="134"/>
        <v>270.83591200000001</v>
      </c>
      <c r="L254" s="2250">
        <v>0</v>
      </c>
      <c r="M254" s="2754">
        <f t="shared" si="135"/>
        <v>0</v>
      </c>
      <c r="N254" s="2755">
        <f t="shared" si="135"/>
        <v>0</v>
      </c>
      <c r="O254" s="2755">
        <f t="shared" si="135"/>
        <v>0</v>
      </c>
      <c r="P254" s="2755">
        <f t="shared" si="135"/>
        <v>0</v>
      </c>
      <c r="Q254" s="2755">
        <f t="shared" si="135"/>
        <v>0</v>
      </c>
      <c r="R254" s="2756">
        <f t="shared" si="135"/>
        <v>0</v>
      </c>
      <c r="S254" s="2250">
        <v>0</v>
      </c>
      <c r="T254" s="2754">
        <f t="shared" si="136"/>
        <v>0</v>
      </c>
      <c r="U254" s="2755">
        <f t="shared" si="136"/>
        <v>0</v>
      </c>
      <c r="V254" s="2755">
        <f t="shared" si="136"/>
        <v>0</v>
      </c>
      <c r="W254" s="2755">
        <f t="shared" si="136"/>
        <v>0</v>
      </c>
      <c r="X254" s="2755">
        <f t="shared" si="136"/>
        <v>0</v>
      </c>
      <c r="Y254" s="2756">
        <f t="shared" si="136"/>
        <v>0</v>
      </c>
      <c r="Z254" s="1671"/>
      <c r="AA254" s="1702"/>
      <c r="AB254" s="1726"/>
    </row>
    <row r="255" spans="1:28" s="1642" customFormat="1">
      <c r="A255" s="1729">
        <v>20</v>
      </c>
      <c r="B255" s="1674" t="s">
        <v>970</v>
      </c>
      <c r="C255" s="1675">
        <v>0.04</v>
      </c>
      <c r="D255" s="1727" t="s">
        <v>606</v>
      </c>
      <c r="E255" s="2250">
        <v>37.633720000000004</v>
      </c>
      <c r="F255" s="2754">
        <f t="shared" si="128"/>
        <v>39.773820400000005</v>
      </c>
      <c r="G255" s="2755">
        <f t="shared" si="134"/>
        <v>41.913920800000007</v>
      </c>
      <c r="H255" s="2755">
        <f t="shared" si="134"/>
        <v>44.054021200000008</v>
      </c>
      <c r="I255" s="2755">
        <f t="shared" si="134"/>
        <v>46.19412160000001</v>
      </c>
      <c r="J255" s="2755">
        <f t="shared" si="134"/>
        <v>48.334222000000011</v>
      </c>
      <c r="K255" s="2756">
        <f t="shared" si="134"/>
        <v>50.474322400000013</v>
      </c>
      <c r="L255" s="2250">
        <v>0</v>
      </c>
      <c r="M255" s="2754">
        <f t="shared" si="135"/>
        <v>0</v>
      </c>
      <c r="N255" s="2755">
        <f t="shared" si="135"/>
        <v>0</v>
      </c>
      <c r="O255" s="2755">
        <f t="shared" si="135"/>
        <v>0</v>
      </c>
      <c r="P255" s="2755">
        <f t="shared" si="135"/>
        <v>0</v>
      </c>
      <c r="Q255" s="2755">
        <f t="shared" si="135"/>
        <v>0</v>
      </c>
      <c r="R255" s="2756">
        <f t="shared" si="135"/>
        <v>0</v>
      </c>
      <c r="S255" s="2250">
        <v>35.95908</v>
      </c>
      <c r="T255" s="2754">
        <f t="shared" si="136"/>
        <v>37.938224400000003</v>
      </c>
      <c r="U255" s="2755">
        <f t="shared" si="136"/>
        <v>39.917368800000006</v>
      </c>
      <c r="V255" s="2755">
        <f t="shared" si="136"/>
        <v>41.896513200000008</v>
      </c>
      <c r="W255" s="2755">
        <f t="shared" si="136"/>
        <v>43.875657600000011</v>
      </c>
      <c r="X255" s="2755">
        <f t="shared" si="136"/>
        <v>45.854802000000014</v>
      </c>
      <c r="Y255" s="2756">
        <f t="shared" si="136"/>
        <v>47.833946400000016</v>
      </c>
      <c r="Z255" s="1671"/>
      <c r="AA255" s="1702"/>
      <c r="AB255" s="1726"/>
    </row>
    <row r="256" spans="1:28" s="1642" customFormat="1" ht="24.75" thickBot="1">
      <c r="A256" s="1729">
        <v>21</v>
      </c>
      <c r="B256" s="1674" t="s">
        <v>960</v>
      </c>
      <c r="C256" s="1679">
        <v>0.2</v>
      </c>
      <c r="D256" s="1625" t="s">
        <v>911</v>
      </c>
      <c r="E256" s="2250">
        <v>56.61909</v>
      </c>
      <c r="F256" s="2757">
        <f t="shared" ref="F256:K256" si="137">E256+F234</f>
        <v>60.760344000000003</v>
      </c>
      <c r="G256" s="2758">
        <f t="shared" si="137"/>
        <v>60.901598000000007</v>
      </c>
      <c r="H256" s="2758">
        <f t="shared" si="137"/>
        <v>61.042852000000011</v>
      </c>
      <c r="I256" s="2758">
        <f t="shared" si="137"/>
        <v>61.184106000000014</v>
      </c>
      <c r="J256" s="2758">
        <f t="shared" si="137"/>
        <v>60.925360000000012</v>
      </c>
      <c r="K256" s="2759">
        <f t="shared" si="137"/>
        <v>60.66661400000001</v>
      </c>
      <c r="L256" s="2250">
        <v>31.029240000000001</v>
      </c>
      <c r="M256" s="2757">
        <f t="shared" si="135"/>
        <v>31.235088000000001</v>
      </c>
      <c r="N256" s="2758">
        <f t="shared" si="135"/>
        <v>31.440936000000001</v>
      </c>
      <c r="O256" s="2758">
        <f t="shared" si="135"/>
        <v>31.246784000000002</v>
      </c>
      <c r="P256" s="2758">
        <f t="shared" si="135"/>
        <v>31.052632000000003</v>
      </c>
      <c r="Q256" s="2758">
        <f t="shared" si="135"/>
        <v>30.858480000000004</v>
      </c>
      <c r="R256" s="2759">
        <f t="shared" si="135"/>
        <v>30.664328000000005</v>
      </c>
      <c r="S256" s="2250">
        <v>0</v>
      </c>
      <c r="T256" s="2757">
        <f t="shared" si="136"/>
        <v>0</v>
      </c>
      <c r="U256" s="2758">
        <f t="shared" si="136"/>
        <v>0</v>
      </c>
      <c r="V256" s="2758">
        <f t="shared" si="136"/>
        <v>0</v>
      </c>
      <c r="W256" s="2758">
        <f t="shared" si="136"/>
        <v>0</v>
      </c>
      <c r="X256" s="2758">
        <f t="shared" si="136"/>
        <v>0</v>
      </c>
      <c r="Y256" s="2759">
        <f t="shared" si="136"/>
        <v>0</v>
      </c>
      <c r="Z256" s="1671"/>
      <c r="AA256" s="1702"/>
      <c r="AB256" s="1726"/>
    </row>
    <row r="257" spans="1:28" s="1642" customFormat="1" ht="13.5" thickBot="1">
      <c r="A257" s="1694" t="s">
        <v>284</v>
      </c>
      <c r="B257" s="1695"/>
      <c r="C257" s="1695"/>
      <c r="D257" s="1665" t="s">
        <v>285</v>
      </c>
      <c r="E257" s="2765">
        <f t="shared" ref="E257:Y257" si="138">SUM(E258:E278)</f>
        <v>35320.45812000001</v>
      </c>
      <c r="F257" s="2760">
        <f t="shared" si="138"/>
        <v>34002.286822300004</v>
      </c>
      <c r="G257" s="1097">
        <f t="shared" si="138"/>
        <v>32712.115524600005</v>
      </c>
      <c r="H257" s="1097">
        <f t="shared" si="138"/>
        <v>31637.444226900006</v>
      </c>
      <c r="I257" s="2080">
        <f t="shared" si="138"/>
        <v>30583.272929200004</v>
      </c>
      <c r="J257" s="1097">
        <f t="shared" si="138"/>
        <v>29640.101631500005</v>
      </c>
      <c r="K257" s="1097">
        <f t="shared" si="138"/>
        <v>28730.130333800007</v>
      </c>
      <c r="L257" s="1718">
        <f t="shared" si="138"/>
        <v>50567.899979999995</v>
      </c>
      <c r="M257" s="1722">
        <f t="shared" si="138"/>
        <v>49525.441013899996</v>
      </c>
      <c r="N257" s="1723">
        <f t="shared" si="138"/>
        <v>48482.982047799997</v>
      </c>
      <c r="O257" s="1723">
        <f t="shared" si="138"/>
        <v>47440.923081700006</v>
      </c>
      <c r="P257" s="1724">
        <f t="shared" si="138"/>
        <v>46399.264115599995</v>
      </c>
      <c r="Q257" s="1723">
        <f t="shared" si="138"/>
        <v>45357.605149499999</v>
      </c>
      <c r="R257" s="1723">
        <f t="shared" si="138"/>
        <v>44315.946183399996</v>
      </c>
      <c r="S257" s="1718">
        <f t="shared" si="138"/>
        <v>14173.95429</v>
      </c>
      <c r="T257" s="1722">
        <f t="shared" si="138"/>
        <v>13525.417276099999</v>
      </c>
      <c r="U257" s="1723">
        <f t="shared" si="138"/>
        <v>12879.880262199998</v>
      </c>
      <c r="V257" s="1723">
        <f t="shared" si="138"/>
        <v>12234.3432483</v>
      </c>
      <c r="W257" s="1724">
        <f t="shared" si="138"/>
        <v>11589.906234399999</v>
      </c>
      <c r="X257" s="1723">
        <f t="shared" si="138"/>
        <v>10945.469220499999</v>
      </c>
      <c r="Y257" s="1730">
        <f t="shared" si="138"/>
        <v>10301.032206599999</v>
      </c>
      <c r="Z257" s="1671"/>
      <c r="AA257" s="1702"/>
      <c r="AB257" s="1726"/>
    </row>
    <row r="258" spans="1:28">
      <c r="A258" s="1673">
        <v>1</v>
      </c>
      <c r="B258" s="1731" t="s">
        <v>949</v>
      </c>
      <c r="C258" s="1690">
        <v>0</v>
      </c>
      <c r="D258" s="280" t="s">
        <v>760</v>
      </c>
      <c r="E258" s="2766">
        <f>E192-E236</f>
        <v>1036.0275300000001</v>
      </c>
      <c r="F258" s="2751">
        <f t="shared" ref="F258:K259" si="139">F192-F236</f>
        <v>1036.0275300000001</v>
      </c>
      <c r="G258" s="2752">
        <f t="shared" si="139"/>
        <v>1036.0275300000001</v>
      </c>
      <c r="H258" s="2752">
        <f t="shared" si="139"/>
        <v>1036.0275300000001</v>
      </c>
      <c r="I258" s="2752">
        <f t="shared" si="139"/>
        <v>1036.0275300000001</v>
      </c>
      <c r="J258" s="2752">
        <f t="shared" si="139"/>
        <v>1036.0275300000001</v>
      </c>
      <c r="K258" s="2753">
        <f t="shared" si="139"/>
        <v>1036.0275300000001</v>
      </c>
      <c r="L258" s="2769">
        <f t="shared" ref="L258:L276" si="140">L192-L236</f>
        <v>698.29200000000003</v>
      </c>
      <c r="M258" s="2770">
        <f t="shared" ref="M258:R259" si="141">M192-M236</f>
        <v>698.29200000000003</v>
      </c>
      <c r="N258" s="2752">
        <f t="shared" si="141"/>
        <v>698.29200000000003</v>
      </c>
      <c r="O258" s="2752">
        <f t="shared" si="141"/>
        <v>698.29200000000003</v>
      </c>
      <c r="P258" s="2752">
        <f t="shared" si="141"/>
        <v>698.29200000000003</v>
      </c>
      <c r="Q258" s="2752">
        <f t="shared" si="141"/>
        <v>698.29200000000003</v>
      </c>
      <c r="R258" s="2753">
        <f t="shared" si="141"/>
        <v>698.29200000000003</v>
      </c>
      <c r="S258" s="2766">
        <f t="shared" ref="S258:S276" si="142">S192-S236</f>
        <v>767</v>
      </c>
      <c r="T258" s="2751">
        <f t="shared" ref="T258:Y259" si="143">T192-T236</f>
        <v>767</v>
      </c>
      <c r="U258" s="2752">
        <f t="shared" si="143"/>
        <v>767</v>
      </c>
      <c r="V258" s="2752">
        <f t="shared" si="143"/>
        <v>767</v>
      </c>
      <c r="W258" s="2752">
        <f t="shared" si="143"/>
        <v>767</v>
      </c>
      <c r="X258" s="2752">
        <f t="shared" si="143"/>
        <v>767</v>
      </c>
      <c r="Y258" s="2753">
        <f t="shared" si="143"/>
        <v>767</v>
      </c>
      <c r="Z258" s="1671"/>
      <c r="AA258" s="1702"/>
    </row>
    <row r="259" spans="1:28">
      <c r="A259" s="1673">
        <v>2</v>
      </c>
      <c r="B259" s="1674" t="s">
        <v>950</v>
      </c>
      <c r="C259" s="1675">
        <v>0.03</v>
      </c>
      <c r="D259" s="1727" t="s">
        <v>598</v>
      </c>
      <c r="E259" s="2766">
        <f>E193-E237</f>
        <v>1237.8063900000002</v>
      </c>
      <c r="F259" s="2754">
        <f t="shared" si="139"/>
        <v>1189.6478841000001</v>
      </c>
      <c r="G259" s="2755">
        <f t="shared" si="139"/>
        <v>1141.4893781999999</v>
      </c>
      <c r="H259" s="2755">
        <f t="shared" si="139"/>
        <v>1093.3308723</v>
      </c>
      <c r="I259" s="2755">
        <f t="shared" si="139"/>
        <v>1045.1723664000001</v>
      </c>
      <c r="J259" s="2755">
        <f t="shared" si="139"/>
        <v>997.01386049999996</v>
      </c>
      <c r="K259" s="2756">
        <f t="shared" si="139"/>
        <v>948.85535459999994</v>
      </c>
      <c r="L259" s="2771">
        <f t="shared" si="140"/>
        <v>230.20174000000003</v>
      </c>
      <c r="M259" s="2772">
        <f t="shared" si="141"/>
        <v>221.41591990000003</v>
      </c>
      <c r="N259" s="2755">
        <f t="shared" si="141"/>
        <v>212.63009980000004</v>
      </c>
      <c r="O259" s="2755">
        <f t="shared" si="141"/>
        <v>203.84427970000004</v>
      </c>
      <c r="P259" s="2755">
        <f t="shared" si="141"/>
        <v>195.05845960000005</v>
      </c>
      <c r="Q259" s="2755">
        <f t="shared" si="141"/>
        <v>186.27263950000005</v>
      </c>
      <c r="R259" s="2756">
        <f t="shared" si="141"/>
        <v>177.48681940000006</v>
      </c>
      <c r="S259" s="2766">
        <f t="shared" si="142"/>
        <v>3046.3807099999995</v>
      </c>
      <c r="T259" s="2754">
        <f t="shared" si="143"/>
        <v>2947.2792022999993</v>
      </c>
      <c r="U259" s="2755">
        <f t="shared" si="143"/>
        <v>2848.1776945999995</v>
      </c>
      <c r="V259" s="2755">
        <f t="shared" si="143"/>
        <v>2749.0761868999998</v>
      </c>
      <c r="W259" s="2755">
        <f t="shared" si="143"/>
        <v>2649.9746791999996</v>
      </c>
      <c r="X259" s="2755">
        <f t="shared" si="143"/>
        <v>2550.8731714999994</v>
      </c>
      <c r="Y259" s="2756">
        <f t="shared" si="143"/>
        <v>2451.7716637999997</v>
      </c>
      <c r="Z259" s="1671"/>
      <c r="AA259" s="1702"/>
    </row>
    <row r="260" spans="1:28">
      <c r="A260" s="1673">
        <v>3</v>
      </c>
      <c r="B260" s="1674">
        <v>911301</v>
      </c>
      <c r="C260" s="1675">
        <v>0.1</v>
      </c>
      <c r="D260" s="1727" t="s">
        <v>599</v>
      </c>
      <c r="E260" s="2766">
        <f>E194-E238</f>
        <v>608.84842999999887</v>
      </c>
      <c r="F260" s="2754">
        <f t="shared" ref="F260:K260" si="144">F194-F238</f>
        <v>357.6916299999989</v>
      </c>
      <c r="G260" s="2755">
        <f t="shared" si="144"/>
        <v>130.53482999999869</v>
      </c>
      <c r="H260" s="2755">
        <f t="shared" si="144"/>
        <v>106.87802999999849</v>
      </c>
      <c r="I260" s="2755">
        <f t="shared" si="144"/>
        <v>91.221229999998286</v>
      </c>
      <c r="J260" s="2755">
        <f t="shared" si="144"/>
        <v>76.064429999998083</v>
      </c>
      <c r="K260" s="2756">
        <f t="shared" si="144"/>
        <v>61.107629999998153</v>
      </c>
      <c r="L260" s="2771">
        <f t="shared" si="140"/>
        <v>0</v>
      </c>
      <c r="M260" s="2772">
        <f t="shared" ref="M260:R260" si="145">M194-M238</f>
        <v>0</v>
      </c>
      <c r="N260" s="2755">
        <f t="shared" si="145"/>
        <v>0</v>
      </c>
      <c r="O260" s="2755">
        <f t="shared" si="145"/>
        <v>0</v>
      </c>
      <c r="P260" s="2755">
        <f t="shared" si="145"/>
        <v>0</v>
      </c>
      <c r="Q260" s="2755">
        <f t="shared" si="145"/>
        <v>0</v>
      </c>
      <c r="R260" s="2756">
        <f t="shared" si="145"/>
        <v>0</v>
      </c>
      <c r="S260" s="2766">
        <f t="shared" si="142"/>
        <v>683.24921999999992</v>
      </c>
      <c r="T260" s="2754">
        <f t="shared" ref="T260:Y260" si="146">T194-T238</f>
        <v>609.07842399999993</v>
      </c>
      <c r="U260" s="2755">
        <f t="shared" si="146"/>
        <v>534.90762799999993</v>
      </c>
      <c r="V260" s="2755">
        <f t="shared" si="146"/>
        <v>460.73683199999994</v>
      </c>
      <c r="W260" s="2755">
        <f t="shared" si="146"/>
        <v>386.56603599999994</v>
      </c>
      <c r="X260" s="2755">
        <f t="shared" si="146"/>
        <v>312.39523999999994</v>
      </c>
      <c r="Y260" s="2756">
        <f t="shared" si="146"/>
        <v>238.22444399999995</v>
      </c>
      <c r="Z260" s="1671"/>
      <c r="AA260" s="1702"/>
    </row>
    <row r="261" spans="1:28">
      <c r="A261" s="1673">
        <v>4</v>
      </c>
      <c r="B261" s="1674">
        <v>911302</v>
      </c>
      <c r="C261" s="1675">
        <v>0.1</v>
      </c>
      <c r="D261" s="1727" t="s">
        <v>600</v>
      </c>
      <c r="E261" s="2766">
        <f t="shared" ref="E261:E278" si="147">E195-E239</f>
        <v>0</v>
      </c>
      <c r="F261" s="2754">
        <f t="shared" ref="F261:K261" si="148">F195-F239</f>
        <v>0</v>
      </c>
      <c r="G261" s="2755">
        <f t="shared" si="148"/>
        <v>0</v>
      </c>
      <c r="H261" s="2755">
        <f t="shared" si="148"/>
        <v>0</v>
      </c>
      <c r="I261" s="2755">
        <f t="shared" si="148"/>
        <v>0</v>
      </c>
      <c r="J261" s="2755">
        <f t="shared" si="148"/>
        <v>0</v>
      </c>
      <c r="K261" s="2756">
        <f t="shared" si="148"/>
        <v>0</v>
      </c>
      <c r="L261" s="2771">
        <f t="shared" si="140"/>
        <v>0</v>
      </c>
      <c r="M261" s="2772">
        <f t="shared" ref="M261:R261" si="149">M195-M239</f>
        <v>0</v>
      </c>
      <c r="N261" s="2755">
        <f t="shared" si="149"/>
        <v>0</v>
      </c>
      <c r="O261" s="2755">
        <f t="shared" si="149"/>
        <v>0</v>
      </c>
      <c r="P261" s="2755">
        <f t="shared" si="149"/>
        <v>0</v>
      </c>
      <c r="Q261" s="2755">
        <f t="shared" si="149"/>
        <v>0</v>
      </c>
      <c r="R261" s="2756">
        <f t="shared" si="149"/>
        <v>0</v>
      </c>
      <c r="S261" s="2766">
        <f t="shared" si="142"/>
        <v>0</v>
      </c>
      <c r="T261" s="2754">
        <f t="shared" ref="T261:Y261" si="150">T195-T239</f>
        <v>0</v>
      </c>
      <c r="U261" s="2755">
        <f t="shared" si="150"/>
        <v>0</v>
      </c>
      <c r="V261" s="2755">
        <f t="shared" si="150"/>
        <v>0</v>
      </c>
      <c r="W261" s="2755">
        <f t="shared" si="150"/>
        <v>0</v>
      </c>
      <c r="X261" s="2755">
        <f t="shared" si="150"/>
        <v>0</v>
      </c>
      <c r="Y261" s="2756">
        <f t="shared" si="150"/>
        <v>0</v>
      </c>
      <c r="Z261" s="1671"/>
      <c r="AA261" s="1702"/>
    </row>
    <row r="262" spans="1:28">
      <c r="A262" s="1673">
        <v>5</v>
      </c>
      <c r="B262" s="1674" t="s">
        <v>967</v>
      </c>
      <c r="C262" s="1675">
        <v>0.1</v>
      </c>
      <c r="D262" s="1625" t="s">
        <v>579</v>
      </c>
      <c r="E262" s="2766">
        <f t="shared" si="147"/>
        <v>56.324319999999943</v>
      </c>
      <c r="F262" s="2754">
        <f t="shared" ref="F262:K266" si="151">F196-F240</f>
        <v>43.851616999999919</v>
      </c>
      <c r="G262" s="2755">
        <f t="shared" si="151"/>
        <v>31.378913999999895</v>
      </c>
      <c r="H262" s="2755">
        <f t="shared" si="151"/>
        <v>18.906210999999871</v>
      </c>
      <c r="I262" s="2755">
        <f t="shared" si="151"/>
        <v>8.433507999999847</v>
      </c>
      <c r="J262" s="2755">
        <f t="shared" si="151"/>
        <v>7.0608049999998457</v>
      </c>
      <c r="K262" s="2756">
        <f t="shared" si="151"/>
        <v>5.6881019999998443</v>
      </c>
      <c r="L262" s="2771">
        <f t="shared" si="140"/>
        <v>10</v>
      </c>
      <c r="M262" s="2772">
        <f t="shared" ref="M262:R266" si="152">M196-M240</f>
        <v>8.5889999999999986</v>
      </c>
      <c r="N262" s="2755">
        <f t="shared" si="152"/>
        <v>7.177999999999999</v>
      </c>
      <c r="O262" s="2755">
        <f t="shared" si="152"/>
        <v>5.7669999999999995</v>
      </c>
      <c r="P262" s="2755">
        <f t="shared" si="152"/>
        <v>4.3559999999999999</v>
      </c>
      <c r="Q262" s="2755">
        <f t="shared" si="152"/>
        <v>2.9450000000000003</v>
      </c>
      <c r="R262" s="2756">
        <f t="shared" si="152"/>
        <v>1.5340000000000007</v>
      </c>
      <c r="S262" s="2766">
        <f t="shared" si="142"/>
        <v>176.39415999999997</v>
      </c>
      <c r="T262" s="2754">
        <f t="shared" ref="T262:Y266" si="153">T196-T240</f>
        <v>154.16540599999996</v>
      </c>
      <c r="U262" s="2755">
        <f t="shared" si="153"/>
        <v>131.93665199999998</v>
      </c>
      <c r="V262" s="2755">
        <f t="shared" si="153"/>
        <v>109.70789799999999</v>
      </c>
      <c r="W262" s="2755">
        <f t="shared" si="153"/>
        <v>87.479143999999991</v>
      </c>
      <c r="X262" s="2755">
        <f t="shared" si="153"/>
        <v>65.250389999999982</v>
      </c>
      <c r="Y262" s="2756">
        <f t="shared" si="153"/>
        <v>43.021635999999972</v>
      </c>
      <c r="Z262" s="1671"/>
      <c r="AA262" s="1702"/>
    </row>
    <row r="263" spans="1:28">
      <c r="A263" s="1673">
        <v>6</v>
      </c>
      <c r="B263" s="1674" t="s">
        <v>968</v>
      </c>
      <c r="C263" s="1675">
        <v>0.1</v>
      </c>
      <c r="D263" s="1625" t="s">
        <v>1391</v>
      </c>
      <c r="E263" s="2766">
        <f t="shared" si="147"/>
        <v>38.085240000000056</v>
      </c>
      <c r="F263" s="2754">
        <f t="shared" si="151"/>
        <v>21.476095000000043</v>
      </c>
      <c r="G263" s="2755">
        <f t="shared" si="151"/>
        <v>4.8669500000000312</v>
      </c>
      <c r="H263" s="2755">
        <f t="shared" si="151"/>
        <v>0.25780500000001894</v>
      </c>
      <c r="I263" s="2755">
        <f t="shared" si="151"/>
        <v>0.14866000000000668</v>
      </c>
      <c r="J263" s="2755">
        <f t="shared" si="151"/>
        <v>3.9514999999994416E-2</v>
      </c>
      <c r="K263" s="2756">
        <f t="shared" si="151"/>
        <v>-6.9630000000017844E-2</v>
      </c>
      <c r="L263" s="2771">
        <f t="shared" si="140"/>
        <v>1.6088</v>
      </c>
      <c r="M263" s="2772">
        <f t="shared" si="152"/>
        <v>1.1261999999999999</v>
      </c>
      <c r="N263" s="2755">
        <f t="shared" si="152"/>
        <v>0.64360000000000017</v>
      </c>
      <c r="O263" s="2755">
        <f t="shared" si="152"/>
        <v>0.16100000000000048</v>
      </c>
      <c r="P263" s="2755">
        <f t="shared" si="152"/>
        <v>7.8400000000000247E-2</v>
      </c>
      <c r="Q263" s="2755">
        <f t="shared" si="152"/>
        <v>-4.1999999999999815E-3</v>
      </c>
      <c r="R263" s="2756">
        <f t="shared" si="152"/>
        <v>-8.680000000000021E-2</v>
      </c>
      <c r="S263" s="2766">
        <f t="shared" si="142"/>
        <v>432.00565</v>
      </c>
      <c r="T263" s="2754">
        <f t="shared" si="153"/>
        <v>385.787305</v>
      </c>
      <c r="U263" s="2755">
        <f t="shared" si="153"/>
        <v>339.56896</v>
      </c>
      <c r="V263" s="2755">
        <f t="shared" si="153"/>
        <v>293.350615</v>
      </c>
      <c r="W263" s="2755">
        <f t="shared" si="153"/>
        <v>247.13227000000001</v>
      </c>
      <c r="X263" s="2755">
        <f t="shared" si="153"/>
        <v>200.91392500000001</v>
      </c>
      <c r="Y263" s="2756">
        <f t="shared" si="153"/>
        <v>154.69558000000001</v>
      </c>
      <c r="Z263" s="1671"/>
      <c r="AA263" s="1702"/>
    </row>
    <row r="264" spans="1:28" ht="24">
      <c r="A264" s="1673">
        <v>7</v>
      </c>
      <c r="B264" s="1674" t="s">
        <v>959</v>
      </c>
      <c r="C264" s="1675">
        <v>0.1</v>
      </c>
      <c r="D264" s="1625" t="s">
        <v>948</v>
      </c>
      <c r="E264" s="2766">
        <f t="shared" si="147"/>
        <v>287.03916000000015</v>
      </c>
      <c r="F264" s="2754">
        <f t="shared" si="151"/>
        <v>223.67600900000014</v>
      </c>
      <c r="G264" s="2755">
        <f t="shared" si="151"/>
        <v>160.31285800000012</v>
      </c>
      <c r="H264" s="2755">
        <f t="shared" si="151"/>
        <v>96.949707000000103</v>
      </c>
      <c r="I264" s="2755">
        <f t="shared" si="151"/>
        <v>33.586556000000087</v>
      </c>
      <c r="J264" s="2755">
        <f t="shared" si="151"/>
        <v>0.22340500000007069</v>
      </c>
      <c r="K264" s="2756">
        <f t="shared" si="151"/>
        <v>-0.13974599999994552</v>
      </c>
      <c r="L264" s="2771">
        <f t="shared" si="140"/>
        <v>0</v>
      </c>
      <c r="M264" s="2772">
        <f t="shared" si="152"/>
        <v>0</v>
      </c>
      <c r="N264" s="2755">
        <f t="shared" si="152"/>
        <v>0</v>
      </c>
      <c r="O264" s="2755">
        <f t="shared" si="152"/>
        <v>0</v>
      </c>
      <c r="P264" s="2755">
        <f t="shared" si="152"/>
        <v>0</v>
      </c>
      <c r="Q264" s="2755">
        <f t="shared" si="152"/>
        <v>0</v>
      </c>
      <c r="R264" s="2756">
        <f t="shared" si="152"/>
        <v>0</v>
      </c>
      <c r="S264" s="2766">
        <f t="shared" si="142"/>
        <v>0</v>
      </c>
      <c r="T264" s="2754">
        <f t="shared" si="153"/>
        <v>-0.15279099999999968</v>
      </c>
      <c r="U264" s="2755">
        <f t="shared" si="153"/>
        <v>-0.30558199999999935</v>
      </c>
      <c r="V264" s="2755">
        <f t="shared" si="153"/>
        <v>-0.45837299999999903</v>
      </c>
      <c r="W264" s="2755">
        <f t="shared" si="153"/>
        <v>-0.41116399999999942</v>
      </c>
      <c r="X264" s="2755">
        <f t="shared" si="153"/>
        <v>-0.36395499999999981</v>
      </c>
      <c r="Y264" s="2756">
        <f t="shared" si="153"/>
        <v>-0.31674600000000019</v>
      </c>
      <c r="Z264" s="1671"/>
      <c r="AA264" s="1702"/>
    </row>
    <row r="265" spans="1:28">
      <c r="A265" s="1673">
        <v>8</v>
      </c>
      <c r="B265" s="1674" t="s">
        <v>969</v>
      </c>
      <c r="C265" s="1675">
        <v>0.1</v>
      </c>
      <c r="D265" s="1625" t="s">
        <v>966</v>
      </c>
      <c r="E265" s="2766">
        <f t="shared" si="147"/>
        <v>36.355409999999999</v>
      </c>
      <c r="F265" s="2754">
        <f t="shared" si="151"/>
        <v>31.336480999999999</v>
      </c>
      <c r="G265" s="2755">
        <f t="shared" si="151"/>
        <v>26.317551999999999</v>
      </c>
      <c r="H265" s="2755">
        <f t="shared" si="151"/>
        <v>21.298622999999999</v>
      </c>
      <c r="I265" s="2755">
        <f t="shared" si="151"/>
        <v>16.279693999999999</v>
      </c>
      <c r="J265" s="2755">
        <f t="shared" si="151"/>
        <v>11.260764999999999</v>
      </c>
      <c r="K265" s="2756">
        <f t="shared" si="151"/>
        <v>6.2418359999999993</v>
      </c>
      <c r="L265" s="2771">
        <f t="shared" si="140"/>
        <v>0</v>
      </c>
      <c r="M265" s="2772">
        <f t="shared" si="152"/>
        <v>0</v>
      </c>
      <c r="N265" s="2755">
        <f t="shared" si="152"/>
        <v>0</v>
      </c>
      <c r="O265" s="2755">
        <f t="shared" si="152"/>
        <v>0</v>
      </c>
      <c r="P265" s="2755">
        <f t="shared" si="152"/>
        <v>0</v>
      </c>
      <c r="Q265" s="2755">
        <f t="shared" si="152"/>
        <v>0</v>
      </c>
      <c r="R265" s="2756">
        <f t="shared" si="152"/>
        <v>0</v>
      </c>
      <c r="S265" s="2766">
        <f t="shared" si="142"/>
        <v>0</v>
      </c>
      <c r="T265" s="2754">
        <f t="shared" si="153"/>
        <v>0</v>
      </c>
      <c r="U265" s="2755">
        <f t="shared" si="153"/>
        <v>0</v>
      </c>
      <c r="V265" s="2755">
        <f t="shared" si="153"/>
        <v>0</v>
      </c>
      <c r="W265" s="2755">
        <f t="shared" si="153"/>
        <v>0</v>
      </c>
      <c r="X265" s="2755">
        <f t="shared" si="153"/>
        <v>0</v>
      </c>
      <c r="Y265" s="2756">
        <f t="shared" si="153"/>
        <v>0</v>
      </c>
      <c r="Z265" s="1671"/>
      <c r="AA265" s="1702"/>
    </row>
    <row r="266" spans="1:28">
      <c r="A266" s="1729">
        <v>9</v>
      </c>
      <c r="B266" s="1674">
        <v>911306</v>
      </c>
      <c r="C266" s="1675">
        <v>0.1</v>
      </c>
      <c r="D266" s="1625" t="s">
        <v>1471</v>
      </c>
      <c r="E266" s="2766">
        <f t="shared" si="147"/>
        <v>0</v>
      </c>
      <c r="F266" s="2754">
        <f t="shared" si="151"/>
        <v>0</v>
      </c>
      <c r="G266" s="2755">
        <f t="shared" si="151"/>
        <v>0</v>
      </c>
      <c r="H266" s="2755">
        <f t="shared" si="151"/>
        <v>0</v>
      </c>
      <c r="I266" s="2755">
        <f t="shared" si="151"/>
        <v>0</v>
      </c>
      <c r="J266" s="2755">
        <f t="shared" si="151"/>
        <v>0</v>
      </c>
      <c r="K266" s="2756">
        <f t="shared" si="151"/>
        <v>0</v>
      </c>
      <c r="L266" s="2771">
        <f t="shared" si="140"/>
        <v>0</v>
      </c>
      <c r="M266" s="2772">
        <f t="shared" si="152"/>
        <v>0</v>
      </c>
      <c r="N266" s="2755">
        <f t="shared" si="152"/>
        <v>0</v>
      </c>
      <c r="O266" s="2755">
        <f t="shared" si="152"/>
        <v>0</v>
      </c>
      <c r="P266" s="2755">
        <f t="shared" si="152"/>
        <v>0</v>
      </c>
      <c r="Q266" s="2755">
        <f t="shared" si="152"/>
        <v>0</v>
      </c>
      <c r="R266" s="2756">
        <f t="shared" si="152"/>
        <v>0</v>
      </c>
      <c r="S266" s="2766">
        <f t="shared" si="142"/>
        <v>0</v>
      </c>
      <c r="T266" s="2754">
        <f t="shared" si="153"/>
        <v>0</v>
      </c>
      <c r="U266" s="2755">
        <f t="shared" si="153"/>
        <v>0</v>
      </c>
      <c r="V266" s="2755">
        <f t="shared" si="153"/>
        <v>0</v>
      </c>
      <c r="W266" s="2755">
        <f t="shared" si="153"/>
        <v>0</v>
      </c>
      <c r="X266" s="2755">
        <f t="shared" si="153"/>
        <v>0</v>
      </c>
      <c r="Y266" s="2756">
        <f t="shared" si="153"/>
        <v>0</v>
      </c>
      <c r="Z266" s="1671"/>
      <c r="AA266" s="1702"/>
    </row>
    <row r="267" spans="1:28">
      <c r="A267" s="1729">
        <v>10</v>
      </c>
      <c r="B267" s="1674">
        <v>91140101</v>
      </c>
      <c r="C267" s="1728">
        <v>0.1</v>
      </c>
      <c r="D267" s="1637" t="s">
        <v>1442</v>
      </c>
      <c r="E267" s="2766">
        <f t="shared" si="147"/>
        <v>300.67620999999997</v>
      </c>
      <c r="F267" s="2754">
        <f t="shared" ref="F267:K267" si="154">F201-F245</f>
        <v>223.95836999999995</v>
      </c>
      <c r="G267" s="2755">
        <f t="shared" si="154"/>
        <v>147.24052999999992</v>
      </c>
      <c r="H267" s="2755">
        <f t="shared" si="154"/>
        <v>70.522689999999898</v>
      </c>
      <c r="I267" s="2755">
        <f t="shared" si="154"/>
        <v>-0.19515000000012606</v>
      </c>
      <c r="J267" s="2755">
        <f t="shared" si="154"/>
        <v>8.7009999999850152E-2</v>
      </c>
      <c r="K267" s="2756">
        <f t="shared" si="154"/>
        <v>0.36916999999982636</v>
      </c>
      <c r="L267" s="2771">
        <f t="shared" si="140"/>
        <v>0</v>
      </c>
      <c r="M267" s="2772">
        <f t="shared" ref="M267:R267" si="155">M201-M245</f>
        <v>0</v>
      </c>
      <c r="N267" s="2755">
        <f t="shared" si="155"/>
        <v>0</v>
      </c>
      <c r="O267" s="2755">
        <f t="shared" si="155"/>
        <v>0</v>
      </c>
      <c r="P267" s="2755">
        <f t="shared" si="155"/>
        <v>0</v>
      </c>
      <c r="Q267" s="2755">
        <f t="shared" si="155"/>
        <v>0</v>
      </c>
      <c r="R267" s="2756">
        <f t="shared" si="155"/>
        <v>0</v>
      </c>
      <c r="S267" s="2766">
        <f t="shared" si="142"/>
        <v>4.1525199999999955</v>
      </c>
      <c r="T267" s="2754">
        <f t="shared" ref="T267:Y267" si="156">T201-T245</f>
        <v>0.6971719999999948</v>
      </c>
      <c r="U267" s="2755">
        <f t="shared" si="156"/>
        <v>0.24182399999999404</v>
      </c>
      <c r="V267" s="2755">
        <f t="shared" si="156"/>
        <v>-0.21352400000000671</v>
      </c>
      <c r="W267" s="2755">
        <f t="shared" si="156"/>
        <v>-0.16887200000000746</v>
      </c>
      <c r="X267" s="2755">
        <f t="shared" si="156"/>
        <v>-0.12422000000000821</v>
      </c>
      <c r="Y267" s="2756">
        <f t="shared" si="156"/>
        <v>-7.9568000000008965E-2</v>
      </c>
      <c r="Z267" s="1671"/>
      <c r="AA267" s="1702"/>
    </row>
    <row r="268" spans="1:28">
      <c r="A268" s="1729">
        <v>11</v>
      </c>
      <c r="B268" s="1674">
        <v>91140102</v>
      </c>
      <c r="C268" s="1728">
        <v>0.04</v>
      </c>
      <c r="D268" s="1637" t="s">
        <v>604</v>
      </c>
      <c r="E268" s="2766">
        <f t="shared" si="147"/>
        <v>673.05056999999999</v>
      </c>
      <c r="F268" s="2754">
        <f t="shared" ref="F268:K268" si="157">F202-F246</f>
        <v>638.10588400000006</v>
      </c>
      <c r="G268" s="2755">
        <f t="shared" si="157"/>
        <v>603.16119800000001</v>
      </c>
      <c r="H268" s="2755">
        <f t="shared" si="157"/>
        <v>568.21651199999997</v>
      </c>
      <c r="I268" s="2755">
        <f t="shared" si="157"/>
        <v>533.27182600000003</v>
      </c>
      <c r="J268" s="2755">
        <f t="shared" si="157"/>
        <v>498.32714000000004</v>
      </c>
      <c r="K268" s="2756">
        <f t="shared" si="157"/>
        <v>463.38245400000005</v>
      </c>
      <c r="L268" s="2771">
        <f t="shared" si="140"/>
        <v>4.7864000000000004</v>
      </c>
      <c r="M268" s="2772">
        <f t="shared" ref="M268:R268" si="158">M202-M246</f>
        <v>4.5548000000000002</v>
      </c>
      <c r="N268" s="2755">
        <f t="shared" si="158"/>
        <v>4.3232000000000008</v>
      </c>
      <c r="O268" s="2755">
        <f t="shared" si="158"/>
        <v>4.0916000000000006</v>
      </c>
      <c r="P268" s="2755">
        <f t="shared" si="158"/>
        <v>3.8600000000000003</v>
      </c>
      <c r="Q268" s="2755">
        <f t="shared" si="158"/>
        <v>3.6284000000000005</v>
      </c>
      <c r="R268" s="2756">
        <f t="shared" si="158"/>
        <v>3.3968000000000007</v>
      </c>
      <c r="S268" s="2766">
        <f t="shared" si="142"/>
        <v>0.98460999999999999</v>
      </c>
      <c r="T268" s="2754">
        <f t="shared" ref="T268:Y268" si="159">T202-T246</f>
        <v>0.54465040000000009</v>
      </c>
      <c r="U268" s="2755">
        <f t="shared" si="159"/>
        <v>0.10469080000000019</v>
      </c>
      <c r="V268" s="2755">
        <f t="shared" si="159"/>
        <v>-0.3352687999999997</v>
      </c>
      <c r="W268" s="2755">
        <f t="shared" si="159"/>
        <v>-0.37522839999999924</v>
      </c>
      <c r="X268" s="2755">
        <f t="shared" si="159"/>
        <v>-0.41518799999999878</v>
      </c>
      <c r="Y268" s="2756">
        <f t="shared" si="159"/>
        <v>-0.45514759999999832</v>
      </c>
      <c r="Z268" s="1671"/>
      <c r="AA268" s="1702"/>
    </row>
    <row r="269" spans="1:28">
      <c r="A269" s="1729">
        <v>12</v>
      </c>
      <c r="B269" s="1674" t="s">
        <v>951</v>
      </c>
      <c r="C269" s="1675">
        <v>0.02</v>
      </c>
      <c r="D269" s="1623" t="s">
        <v>1007</v>
      </c>
      <c r="E269" s="2766">
        <f t="shared" si="147"/>
        <v>209.94</v>
      </c>
      <c r="F269" s="2754">
        <f t="shared" ref="F269:K269" si="160">F203-F247</f>
        <v>205.74119999999999</v>
      </c>
      <c r="G269" s="2755">
        <f t="shared" si="160"/>
        <v>201.54239999999999</v>
      </c>
      <c r="H269" s="2755">
        <f t="shared" si="160"/>
        <v>197.34360000000001</v>
      </c>
      <c r="I269" s="2755">
        <f t="shared" si="160"/>
        <v>193.1448</v>
      </c>
      <c r="J269" s="2755">
        <f t="shared" si="160"/>
        <v>188.946</v>
      </c>
      <c r="K269" s="2756">
        <f t="shared" si="160"/>
        <v>184.74719999999999</v>
      </c>
      <c r="L269" s="2771">
        <f t="shared" si="140"/>
        <v>0</v>
      </c>
      <c r="M269" s="2772">
        <f t="shared" ref="M269:R269" si="161">M203-M247</f>
        <v>0</v>
      </c>
      <c r="N269" s="2755">
        <f t="shared" si="161"/>
        <v>0</v>
      </c>
      <c r="O269" s="2755">
        <f t="shared" si="161"/>
        <v>0</v>
      </c>
      <c r="P269" s="2755">
        <f t="shared" si="161"/>
        <v>0</v>
      </c>
      <c r="Q269" s="2755">
        <f t="shared" si="161"/>
        <v>0</v>
      </c>
      <c r="R269" s="2756">
        <f t="shared" si="161"/>
        <v>0</v>
      </c>
      <c r="S269" s="2766">
        <f t="shared" si="142"/>
        <v>0</v>
      </c>
      <c r="T269" s="2754">
        <f t="shared" ref="T269:Y269" si="162">T203-T247</f>
        <v>0</v>
      </c>
      <c r="U269" s="2755">
        <f t="shared" si="162"/>
        <v>0</v>
      </c>
      <c r="V269" s="2755">
        <f t="shared" si="162"/>
        <v>0</v>
      </c>
      <c r="W269" s="2755">
        <f t="shared" si="162"/>
        <v>0</v>
      </c>
      <c r="X269" s="2755">
        <f t="shared" si="162"/>
        <v>0</v>
      </c>
      <c r="Y269" s="2756">
        <f t="shared" si="162"/>
        <v>0</v>
      </c>
      <c r="Z269" s="1671"/>
      <c r="AA269" s="1702"/>
    </row>
    <row r="270" spans="1:28">
      <c r="A270" s="1729">
        <v>13</v>
      </c>
      <c r="B270" s="1674" t="s">
        <v>952</v>
      </c>
      <c r="C270" s="1675">
        <v>0.02</v>
      </c>
      <c r="D270" s="1623" t="s">
        <v>1008</v>
      </c>
      <c r="E270" s="2766">
        <f t="shared" si="147"/>
        <v>709.72569000000021</v>
      </c>
      <c r="F270" s="2754">
        <f t="shared" ref="F270:K270" si="163">F204-F248</f>
        <v>681.65535100000022</v>
      </c>
      <c r="G270" s="2755">
        <f t="shared" si="163"/>
        <v>653.58501200000023</v>
      </c>
      <c r="H270" s="2755">
        <f t="shared" si="163"/>
        <v>625.51467300000024</v>
      </c>
      <c r="I270" s="2755">
        <f t="shared" si="163"/>
        <v>597.44433400000025</v>
      </c>
      <c r="J270" s="2755">
        <f t="shared" si="163"/>
        <v>569.37399500000026</v>
      </c>
      <c r="K270" s="2756">
        <f t="shared" si="163"/>
        <v>541.30365600000027</v>
      </c>
      <c r="L270" s="2771">
        <f t="shared" si="140"/>
        <v>0</v>
      </c>
      <c r="M270" s="2772">
        <f t="shared" ref="M270:R270" si="164">M204-M248</f>
        <v>0</v>
      </c>
      <c r="N270" s="2755">
        <f t="shared" si="164"/>
        <v>0</v>
      </c>
      <c r="O270" s="2755">
        <f t="shared" si="164"/>
        <v>0</v>
      </c>
      <c r="P270" s="2755">
        <f t="shared" si="164"/>
        <v>0</v>
      </c>
      <c r="Q270" s="2755">
        <f t="shared" si="164"/>
        <v>0</v>
      </c>
      <c r="R270" s="2756">
        <f t="shared" si="164"/>
        <v>0</v>
      </c>
      <c r="S270" s="2766">
        <f t="shared" si="142"/>
        <v>0</v>
      </c>
      <c r="T270" s="2754">
        <f t="shared" ref="T270:Y270" si="165">T204-T248</f>
        <v>0</v>
      </c>
      <c r="U270" s="2755">
        <f t="shared" si="165"/>
        <v>0</v>
      </c>
      <c r="V270" s="2755">
        <f t="shared" si="165"/>
        <v>0</v>
      </c>
      <c r="W270" s="2755">
        <f t="shared" si="165"/>
        <v>0</v>
      </c>
      <c r="X270" s="2755">
        <f t="shared" si="165"/>
        <v>0</v>
      </c>
      <c r="Y270" s="2756">
        <f t="shared" si="165"/>
        <v>0</v>
      </c>
      <c r="Z270" s="1671"/>
      <c r="AA270" s="1702"/>
    </row>
    <row r="271" spans="1:28">
      <c r="A271" s="1729">
        <v>14</v>
      </c>
      <c r="B271" s="1674" t="s">
        <v>953</v>
      </c>
      <c r="C271" s="1675">
        <v>0.02</v>
      </c>
      <c r="D271" s="1623" t="s">
        <v>590</v>
      </c>
      <c r="E271" s="2766">
        <f t="shared" si="147"/>
        <v>7.3494599999999988</v>
      </c>
      <c r="F271" s="2754">
        <f t="shared" ref="F271:K271" si="166">F205-F249</f>
        <v>6.9995115999999982</v>
      </c>
      <c r="G271" s="2755">
        <f t="shared" si="166"/>
        <v>6.6495631999999976</v>
      </c>
      <c r="H271" s="2755">
        <f t="shared" si="166"/>
        <v>6.299614799999997</v>
      </c>
      <c r="I271" s="2755">
        <f t="shared" si="166"/>
        <v>5.9496663999999964</v>
      </c>
      <c r="J271" s="2755">
        <f t="shared" si="166"/>
        <v>5.5997179999999958</v>
      </c>
      <c r="K271" s="2756">
        <f t="shared" si="166"/>
        <v>5.2497695999999952</v>
      </c>
      <c r="L271" s="2771">
        <f t="shared" si="140"/>
        <v>0</v>
      </c>
      <c r="M271" s="2772">
        <f t="shared" ref="M271:R271" si="167">M205-M249</f>
        <v>0</v>
      </c>
      <c r="N271" s="2755">
        <f t="shared" si="167"/>
        <v>0</v>
      </c>
      <c r="O271" s="2755">
        <f t="shared" si="167"/>
        <v>0</v>
      </c>
      <c r="P271" s="2755">
        <f t="shared" si="167"/>
        <v>0</v>
      </c>
      <c r="Q271" s="2755">
        <f t="shared" si="167"/>
        <v>0</v>
      </c>
      <c r="R271" s="2756">
        <f t="shared" si="167"/>
        <v>0</v>
      </c>
      <c r="S271" s="2766">
        <f t="shared" si="142"/>
        <v>0</v>
      </c>
      <c r="T271" s="2754">
        <f t="shared" ref="T271:Y271" si="168">T205-T249</f>
        <v>0</v>
      </c>
      <c r="U271" s="2755">
        <f t="shared" si="168"/>
        <v>0</v>
      </c>
      <c r="V271" s="2755">
        <f t="shared" si="168"/>
        <v>0</v>
      </c>
      <c r="W271" s="2755">
        <f t="shared" si="168"/>
        <v>0</v>
      </c>
      <c r="X271" s="2755">
        <f t="shared" si="168"/>
        <v>0</v>
      </c>
      <c r="Y271" s="2756">
        <f t="shared" si="168"/>
        <v>0</v>
      </c>
      <c r="Z271" s="1671"/>
      <c r="AA271" s="1702"/>
    </row>
    <row r="272" spans="1:28">
      <c r="A272" s="1729">
        <v>15</v>
      </c>
      <c r="B272" s="1674" t="s">
        <v>954</v>
      </c>
      <c r="C272" s="1675">
        <v>0.02</v>
      </c>
      <c r="D272" s="1637" t="s">
        <v>591</v>
      </c>
      <c r="E272" s="2766">
        <f t="shared" si="147"/>
        <v>422.93935999999985</v>
      </c>
      <c r="F272" s="2754">
        <f t="shared" ref="F272:K272" si="169">F206-F250</f>
        <v>401.34701439999981</v>
      </c>
      <c r="G272" s="2755">
        <f t="shared" si="169"/>
        <v>379.75466879999976</v>
      </c>
      <c r="H272" s="2755">
        <f t="shared" si="169"/>
        <v>358.16232319999972</v>
      </c>
      <c r="I272" s="2755">
        <f t="shared" si="169"/>
        <v>336.56997759999967</v>
      </c>
      <c r="J272" s="2755">
        <f t="shared" si="169"/>
        <v>314.97763199999963</v>
      </c>
      <c r="K272" s="2756">
        <f t="shared" si="169"/>
        <v>293.38528639999959</v>
      </c>
      <c r="L272" s="2771">
        <f t="shared" si="140"/>
        <v>0</v>
      </c>
      <c r="M272" s="2772">
        <f t="shared" ref="M272:R272" si="170">M206-M250</f>
        <v>0</v>
      </c>
      <c r="N272" s="2755">
        <f t="shared" si="170"/>
        <v>0</v>
      </c>
      <c r="O272" s="2755">
        <f t="shared" si="170"/>
        <v>0</v>
      </c>
      <c r="P272" s="2755">
        <f t="shared" si="170"/>
        <v>0</v>
      </c>
      <c r="Q272" s="2755">
        <f t="shared" si="170"/>
        <v>0</v>
      </c>
      <c r="R272" s="2756">
        <f t="shared" si="170"/>
        <v>0</v>
      </c>
      <c r="S272" s="2766">
        <f t="shared" si="142"/>
        <v>0</v>
      </c>
      <c r="T272" s="2754">
        <f t="shared" ref="T272:Y272" si="171">T206-T250</f>
        <v>0</v>
      </c>
      <c r="U272" s="2755">
        <f t="shared" si="171"/>
        <v>0</v>
      </c>
      <c r="V272" s="2755">
        <f t="shared" si="171"/>
        <v>0</v>
      </c>
      <c r="W272" s="2755">
        <f t="shared" si="171"/>
        <v>0</v>
      </c>
      <c r="X272" s="2755">
        <f t="shared" si="171"/>
        <v>0</v>
      </c>
      <c r="Y272" s="2756">
        <f t="shared" si="171"/>
        <v>0</v>
      </c>
      <c r="Z272" s="1671"/>
      <c r="AA272" s="1702"/>
    </row>
    <row r="273" spans="1:28">
      <c r="A273" s="1729">
        <v>16</v>
      </c>
      <c r="B273" s="1674" t="s">
        <v>955</v>
      </c>
      <c r="C273" s="1675">
        <v>0.02</v>
      </c>
      <c r="D273" s="1623" t="s">
        <v>592</v>
      </c>
      <c r="E273" s="2766">
        <f t="shared" si="147"/>
        <v>29536.791300000004</v>
      </c>
      <c r="F273" s="2754">
        <f t="shared" ref="F273:K273" si="172">F207-F251</f>
        <v>28800.792581600006</v>
      </c>
      <c r="G273" s="2755">
        <f t="shared" si="172"/>
        <v>28064.793863200008</v>
      </c>
      <c r="H273" s="2755">
        <f t="shared" si="172"/>
        <v>27328.795144800006</v>
      </c>
      <c r="I273" s="2755">
        <f t="shared" si="172"/>
        <v>26592.796426400004</v>
      </c>
      <c r="J273" s="2755">
        <f t="shared" si="172"/>
        <v>25856.797708000006</v>
      </c>
      <c r="K273" s="2756">
        <f t="shared" si="172"/>
        <v>25120.798989600007</v>
      </c>
      <c r="L273" s="2771">
        <f t="shared" si="140"/>
        <v>0</v>
      </c>
      <c r="M273" s="2772">
        <f t="shared" ref="M273:R273" si="173">M207-M251</f>
        <v>0</v>
      </c>
      <c r="N273" s="2755">
        <f t="shared" si="173"/>
        <v>0</v>
      </c>
      <c r="O273" s="2755">
        <f t="shared" si="173"/>
        <v>0</v>
      </c>
      <c r="P273" s="2755">
        <f t="shared" si="173"/>
        <v>0</v>
      </c>
      <c r="Q273" s="2755">
        <f t="shared" si="173"/>
        <v>0</v>
      </c>
      <c r="R273" s="2756">
        <f t="shared" si="173"/>
        <v>0</v>
      </c>
      <c r="S273" s="2766">
        <f t="shared" si="142"/>
        <v>0.33555000000000001</v>
      </c>
      <c r="T273" s="2754">
        <f t="shared" ref="T273:Y273" si="174">T207-T251</f>
        <v>0.27873040000000016</v>
      </c>
      <c r="U273" s="2755">
        <f t="shared" si="174"/>
        <v>0.2219108000000003</v>
      </c>
      <c r="V273" s="2755">
        <f t="shared" si="174"/>
        <v>0.16509120000000044</v>
      </c>
      <c r="W273" s="2755">
        <f t="shared" si="174"/>
        <v>0.10827160000000058</v>
      </c>
      <c r="X273" s="2755">
        <f t="shared" si="174"/>
        <v>5.1452000000000719E-2</v>
      </c>
      <c r="Y273" s="2756">
        <f t="shared" si="174"/>
        <v>-5.3675999999991397E-3</v>
      </c>
      <c r="Z273" s="1671"/>
      <c r="AA273" s="1702"/>
    </row>
    <row r="274" spans="1:28">
      <c r="A274" s="1729">
        <v>17</v>
      </c>
      <c r="B274" s="1674" t="s">
        <v>956</v>
      </c>
      <c r="C274" s="1675">
        <v>0.02</v>
      </c>
      <c r="D274" s="1625" t="s">
        <v>593</v>
      </c>
      <c r="E274" s="2766">
        <f t="shared" si="147"/>
        <v>0</v>
      </c>
      <c r="F274" s="2754">
        <f t="shared" ref="F274:K274" si="175">F208-F252</f>
        <v>0</v>
      </c>
      <c r="G274" s="2755">
        <f t="shared" si="175"/>
        <v>0</v>
      </c>
      <c r="H274" s="2755">
        <f t="shared" si="175"/>
        <v>0</v>
      </c>
      <c r="I274" s="2755">
        <f t="shared" si="175"/>
        <v>0</v>
      </c>
      <c r="J274" s="2755">
        <f t="shared" si="175"/>
        <v>0</v>
      </c>
      <c r="K274" s="2756">
        <f t="shared" si="175"/>
        <v>0</v>
      </c>
      <c r="L274" s="2771">
        <f t="shared" si="140"/>
        <v>49623.011039999998</v>
      </c>
      <c r="M274" s="2772">
        <f t="shared" ref="M274:R274" si="176">M208-M252</f>
        <v>48591.668941999997</v>
      </c>
      <c r="N274" s="2755">
        <f t="shared" si="176"/>
        <v>47560.326843999996</v>
      </c>
      <c r="O274" s="2755">
        <f t="shared" si="176"/>
        <v>46528.984746000002</v>
      </c>
      <c r="P274" s="2755">
        <f t="shared" si="176"/>
        <v>45497.642648000001</v>
      </c>
      <c r="Q274" s="2755">
        <f t="shared" si="176"/>
        <v>44466.30055</v>
      </c>
      <c r="R274" s="2756">
        <f t="shared" si="176"/>
        <v>43434.958451999999</v>
      </c>
      <c r="S274" s="2766">
        <f t="shared" si="142"/>
        <v>6.726700000000001</v>
      </c>
      <c r="T274" s="2754">
        <f t="shared" ref="T274:Y274" si="177">T208-T252</f>
        <v>5.6743062000000037</v>
      </c>
      <c r="U274" s="2755">
        <f t="shared" si="177"/>
        <v>4.6219124000000065</v>
      </c>
      <c r="V274" s="2755">
        <f t="shared" si="177"/>
        <v>3.5695186000000092</v>
      </c>
      <c r="W274" s="2755">
        <f t="shared" si="177"/>
        <v>2.5171248000000119</v>
      </c>
      <c r="X274" s="2755">
        <f t="shared" si="177"/>
        <v>1.4647310000000147</v>
      </c>
      <c r="Y274" s="2756">
        <f t="shared" si="177"/>
        <v>0.41233720000001739</v>
      </c>
      <c r="Z274" s="1671"/>
      <c r="AA274" s="1702"/>
    </row>
    <row r="275" spans="1:28" ht="24">
      <c r="A275" s="1729">
        <v>18</v>
      </c>
      <c r="B275" s="1674" t="s">
        <v>957</v>
      </c>
      <c r="C275" s="1675">
        <v>0.04</v>
      </c>
      <c r="D275" s="1625" t="s">
        <v>594</v>
      </c>
      <c r="E275" s="2766">
        <f t="shared" si="147"/>
        <v>0</v>
      </c>
      <c r="F275" s="2754">
        <f t="shared" ref="F275:K275" si="178">F209-F253</f>
        <v>0</v>
      </c>
      <c r="G275" s="2755">
        <f t="shared" si="178"/>
        <v>0</v>
      </c>
      <c r="H275" s="2755">
        <f t="shared" si="178"/>
        <v>0</v>
      </c>
      <c r="I275" s="2755">
        <f t="shared" si="178"/>
        <v>0</v>
      </c>
      <c r="J275" s="2755">
        <f t="shared" si="178"/>
        <v>0</v>
      </c>
      <c r="K275" s="2756">
        <f t="shared" si="178"/>
        <v>0</v>
      </c>
      <c r="L275" s="2771">
        <f t="shared" si="140"/>
        <v>0</v>
      </c>
      <c r="M275" s="2772">
        <f t="shared" ref="M275:R275" si="179">M209-M253</f>
        <v>0</v>
      </c>
      <c r="N275" s="2755">
        <f t="shared" si="179"/>
        <v>0</v>
      </c>
      <c r="O275" s="2755">
        <f t="shared" si="179"/>
        <v>0</v>
      </c>
      <c r="P275" s="2755">
        <f t="shared" si="179"/>
        <v>0</v>
      </c>
      <c r="Q275" s="2755">
        <f t="shared" si="179"/>
        <v>0</v>
      </c>
      <c r="R275" s="2756">
        <f t="shared" si="179"/>
        <v>0</v>
      </c>
      <c r="S275" s="2766">
        <f t="shared" si="142"/>
        <v>9043.2056400000001</v>
      </c>
      <c r="T275" s="2754">
        <f t="shared" ref="T275:Y275" si="180">T209-T253</f>
        <v>8643.5244851999996</v>
      </c>
      <c r="U275" s="2755">
        <f t="shared" si="180"/>
        <v>8243.8433303999991</v>
      </c>
      <c r="V275" s="2755">
        <f t="shared" si="180"/>
        <v>7844.1621756000004</v>
      </c>
      <c r="W275" s="2755">
        <f t="shared" si="180"/>
        <v>7444.4810207999999</v>
      </c>
      <c r="X275" s="2755">
        <f t="shared" si="180"/>
        <v>7044.7998659999994</v>
      </c>
      <c r="Y275" s="2756">
        <f t="shared" si="180"/>
        <v>6645.1187111999998</v>
      </c>
      <c r="Z275" s="1671"/>
      <c r="AA275" s="1702"/>
    </row>
    <row r="276" spans="1:28" ht="15.75" customHeight="1">
      <c r="A276" s="1729">
        <v>19</v>
      </c>
      <c r="B276" s="1674" t="s">
        <v>958</v>
      </c>
      <c r="C276" s="1675">
        <v>0.04</v>
      </c>
      <c r="D276" s="1625" t="s">
        <v>595</v>
      </c>
      <c r="E276" s="2766">
        <f t="shared" si="147"/>
        <v>139.54308</v>
      </c>
      <c r="F276" s="2754">
        <f t="shared" ref="F276:K276" si="181">F210-F254</f>
        <v>126.305048</v>
      </c>
      <c r="G276" s="2755">
        <f t="shared" si="181"/>
        <v>113.067016</v>
      </c>
      <c r="H276" s="2755">
        <f t="shared" si="181"/>
        <v>99.828983999999991</v>
      </c>
      <c r="I276" s="2755">
        <f t="shared" si="181"/>
        <v>86.590951999999987</v>
      </c>
      <c r="J276" s="2755">
        <f t="shared" si="181"/>
        <v>73.352919999999983</v>
      </c>
      <c r="K276" s="2756">
        <f t="shared" si="181"/>
        <v>60.114888000000008</v>
      </c>
      <c r="L276" s="2771">
        <f t="shared" si="140"/>
        <v>0</v>
      </c>
      <c r="M276" s="2772">
        <f t="shared" ref="M276:R276" si="182">M210-M254</f>
        <v>0</v>
      </c>
      <c r="N276" s="2755">
        <f t="shared" si="182"/>
        <v>0</v>
      </c>
      <c r="O276" s="2755">
        <f t="shared" si="182"/>
        <v>0</v>
      </c>
      <c r="P276" s="2755">
        <f t="shared" si="182"/>
        <v>0</v>
      </c>
      <c r="Q276" s="2755">
        <f t="shared" si="182"/>
        <v>0</v>
      </c>
      <c r="R276" s="2756">
        <f t="shared" si="182"/>
        <v>0</v>
      </c>
      <c r="S276" s="2766">
        <f t="shared" si="142"/>
        <v>0</v>
      </c>
      <c r="T276" s="2754">
        <f t="shared" ref="T276:Y276" si="183">T210-T254</f>
        <v>0</v>
      </c>
      <c r="U276" s="2755">
        <f t="shared" si="183"/>
        <v>0</v>
      </c>
      <c r="V276" s="2755">
        <f t="shared" si="183"/>
        <v>0</v>
      </c>
      <c r="W276" s="2755">
        <f t="shared" si="183"/>
        <v>0</v>
      </c>
      <c r="X276" s="2755">
        <f t="shared" si="183"/>
        <v>0</v>
      </c>
      <c r="Y276" s="2756">
        <f t="shared" si="183"/>
        <v>0</v>
      </c>
      <c r="Z276" s="1671"/>
      <c r="AA276" s="1702"/>
    </row>
    <row r="277" spans="1:28" ht="15.75" customHeight="1">
      <c r="A277" s="1729">
        <v>20</v>
      </c>
      <c r="B277" s="1674" t="s">
        <v>970</v>
      </c>
      <c r="C277" s="1675">
        <v>0.04</v>
      </c>
      <c r="D277" s="1727" t="s">
        <v>606</v>
      </c>
      <c r="E277" s="2766">
        <f t="shared" si="147"/>
        <v>15.868789999999997</v>
      </c>
      <c r="F277" s="2754">
        <f t="shared" ref="F277:L278" si="184">F211-F255</f>
        <v>13.728689599999996</v>
      </c>
      <c r="G277" s="2755">
        <f t="shared" si="184"/>
        <v>11.588589199999994</v>
      </c>
      <c r="H277" s="2755">
        <f t="shared" si="184"/>
        <v>9.4484887999999927</v>
      </c>
      <c r="I277" s="2755">
        <f t="shared" si="184"/>
        <v>7.3083883999999912</v>
      </c>
      <c r="J277" s="2755">
        <f t="shared" si="184"/>
        <v>5.1682879999999898</v>
      </c>
      <c r="K277" s="2756">
        <f t="shared" si="184"/>
        <v>3.0281875999999883</v>
      </c>
      <c r="L277" s="2771">
        <f t="shared" si="184"/>
        <v>0</v>
      </c>
      <c r="M277" s="2772">
        <f t="shared" ref="M277:S278" si="185">M211-M255</f>
        <v>0</v>
      </c>
      <c r="N277" s="2755">
        <f t="shared" si="185"/>
        <v>0</v>
      </c>
      <c r="O277" s="2755">
        <f t="shared" si="185"/>
        <v>0</v>
      </c>
      <c r="P277" s="2755">
        <f t="shared" si="185"/>
        <v>0</v>
      </c>
      <c r="Q277" s="2755">
        <f t="shared" si="185"/>
        <v>0</v>
      </c>
      <c r="R277" s="2756">
        <f t="shared" si="185"/>
        <v>0</v>
      </c>
      <c r="S277" s="2766">
        <f t="shared" si="185"/>
        <v>13.519530000000003</v>
      </c>
      <c r="T277" s="2754">
        <f t="shared" ref="T277:Y277" si="186">T211-T255</f>
        <v>11.5403856</v>
      </c>
      <c r="U277" s="2755">
        <f t="shared" si="186"/>
        <v>9.5612411999999978</v>
      </c>
      <c r="V277" s="2755">
        <f t="shared" si="186"/>
        <v>7.5820967999999951</v>
      </c>
      <c r="W277" s="2755">
        <f t="shared" si="186"/>
        <v>5.6029523999999924</v>
      </c>
      <c r="X277" s="2755">
        <f t="shared" si="186"/>
        <v>3.6238079999999897</v>
      </c>
      <c r="Y277" s="2756">
        <f t="shared" si="186"/>
        <v>1.644663599999987</v>
      </c>
      <c r="Z277" s="1671"/>
      <c r="AA277" s="1702"/>
    </row>
    <row r="278" spans="1:28" ht="24.75" thickBot="1">
      <c r="A278" s="1729">
        <v>21</v>
      </c>
      <c r="B278" s="1674" t="s">
        <v>960</v>
      </c>
      <c r="C278" s="1679">
        <v>0.2</v>
      </c>
      <c r="D278" s="1625" t="s">
        <v>911</v>
      </c>
      <c r="E278" s="2766">
        <f t="shared" si="147"/>
        <v>4.0871800000000036</v>
      </c>
      <c r="F278" s="2754">
        <f t="shared" ref="F278:K278" si="187">F212-F256</f>
        <v>-5.4073999999999955E-2</v>
      </c>
      <c r="G278" s="2755">
        <f t="shared" si="187"/>
        <v>-0.1953280000000035</v>
      </c>
      <c r="H278" s="2755">
        <f t="shared" si="187"/>
        <v>-0.33658200000000704</v>
      </c>
      <c r="I278" s="2755">
        <f t="shared" si="187"/>
        <v>-0.47783600000001059</v>
      </c>
      <c r="J278" s="2755">
        <f t="shared" si="187"/>
        <v>-0.21909000000000844</v>
      </c>
      <c r="K278" s="2756">
        <f t="shared" si="187"/>
        <v>3.9655999999993696E-2</v>
      </c>
      <c r="L278" s="2771">
        <f t="shared" si="184"/>
        <v>0</v>
      </c>
      <c r="M278" s="2773">
        <f t="shared" ref="M278:R278" si="188">M212-M256</f>
        <v>-0.20584799999999959</v>
      </c>
      <c r="N278" s="2774">
        <f t="shared" si="188"/>
        <v>-0.41169599999999917</v>
      </c>
      <c r="O278" s="2774">
        <f t="shared" si="188"/>
        <v>-0.21754400000000018</v>
      </c>
      <c r="P278" s="2774">
        <f t="shared" si="188"/>
        <v>-2.339200000000119E-2</v>
      </c>
      <c r="Q278" s="2774">
        <f t="shared" si="188"/>
        <v>0.1707599999999978</v>
      </c>
      <c r="R278" s="2775">
        <f t="shared" si="188"/>
        <v>0.36491199999999679</v>
      </c>
      <c r="S278" s="2766">
        <f t="shared" si="185"/>
        <v>0</v>
      </c>
      <c r="T278" s="2776">
        <f t="shared" ref="T278:Y278" si="189">T212-T256</f>
        <v>0</v>
      </c>
      <c r="U278" s="2774">
        <f t="shared" si="189"/>
        <v>0</v>
      </c>
      <c r="V278" s="2774">
        <f t="shared" si="189"/>
        <v>0</v>
      </c>
      <c r="W278" s="2774">
        <f t="shared" si="189"/>
        <v>0</v>
      </c>
      <c r="X278" s="2774">
        <f t="shared" si="189"/>
        <v>0</v>
      </c>
      <c r="Y278" s="2775">
        <f t="shared" si="189"/>
        <v>0</v>
      </c>
      <c r="Z278" s="1671"/>
      <c r="AA278" s="1702"/>
    </row>
    <row r="279" spans="1:28" ht="18" customHeight="1" thickBot="1">
      <c r="A279" s="1732"/>
      <c r="B279" s="1732"/>
      <c r="C279" s="1732"/>
      <c r="D279" s="1733" t="s">
        <v>761</v>
      </c>
      <c r="E279" s="2767">
        <f>E9+E110+E191</f>
        <v>54813.422541493252</v>
      </c>
      <c r="F279" s="2761">
        <f t="shared" ref="F279:Y279" si="190">F9+F110+F191</f>
        <v>58451.477023596512</v>
      </c>
      <c r="G279" s="2762">
        <f t="shared" si="190"/>
        <v>59927.691434660097</v>
      </c>
      <c r="H279" s="2762">
        <f t="shared" si="190"/>
        <v>61521.007868871588</v>
      </c>
      <c r="I279" s="2762">
        <f t="shared" si="190"/>
        <v>63265.839925442007</v>
      </c>
      <c r="J279" s="2762">
        <f t="shared" si="190"/>
        <v>65076.705666182745</v>
      </c>
      <c r="K279" s="2763">
        <f t="shared" si="190"/>
        <v>67130.215100145011</v>
      </c>
      <c r="L279" s="2767">
        <f t="shared" si="190"/>
        <v>53523.859131128695</v>
      </c>
      <c r="M279" s="2761">
        <f t="shared" si="190"/>
        <v>53583.32032846794</v>
      </c>
      <c r="N279" s="2762">
        <f t="shared" si="190"/>
        <v>53669.03247896774</v>
      </c>
      <c r="O279" s="2762">
        <f t="shared" si="190"/>
        <v>53884.13741587277</v>
      </c>
      <c r="P279" s="2762">
        <f t="shared" si="190"/>
        <v>54091.789154234582</v>
      </c>
      <c r="Q279" s="2762">
        <f t="shared" si="190"/>
        <v>54277.590080160509</v>
      </c>
      <c r="R279" s="2763">
        <f t="shared" si="190"/>
        <v>54438.252553955055</v>
      </c>
      <c r="S279" s="2767">
        <f t="shared" si="190"/>
        <v>15792.442361824473</v>
      </c>
      <c r="T279" s="2761">
        <f t="shared" si="190"/>
        <v>15925.926682381963</v>
      </c>
      <c r="U279" s="2762">
        <f t="shared" si="190"/>
        <v>16300.917340818585</v>
      </c>
      <c r="V279" s="2762">
        <f t="shared" si="190"/>
        <v>16666.162636368728</v>
      </c>
      <c r="W279" s="2762">
        <f t="shared" si="190"/>
        <v>17078.678841436496</v>
      </c>
      <c r="X279" s="2762">
        <f t="shared" si="190"/>
        <v>17478.012174769829</v>
      </c>
      <c r="Y279" s="2777">
        <f t="shared" si="190"/>
        <v>17839.840267013016</v>
      </c>
      <c r="Z279" s="1717"/>
      <c r="AA279" s="1701"/>
      <c r="AB279" s="1663"/>
    </row>
    <row r="280" spans="1:28" ht="18" customHeight="1" thickBot="1">
      <c r="A280" s="1732"/>
      <c r="B280" s="1732"/>
      <c r="C280" s="1732"/>
      <c r="D280" s="1733" t="s">
        <v>762</v>
      </c>
      <c r="E280" s="2767">
        <f t="shared" ref="E280:Y280" si="191">E34+E130+E213</f>
        <v>1734.5297795614838</v>
      </c>
      <c r="F280" s="2761">
        <f t="shared" si="191"/>
        <v>1668.5078213218806</v>
      </c>
      <c r="G280" s="2762">
        <f t="shared" si="191"/>
        <v>1659.8541246690472</v>
      </c>
      <c r="H280" s="2762">
        <f t="shared" si="191"/>
        <v>1558.7706667038815</v>
      </c>
      <c r="I280" s="2762">
        <f t="shared" si="191"/>
        <v>1593.3247541864371</v>
      </c>
      <c r="J280" s="2762">
        <f t="shared" si="191"/>
        <v>1566.474113374747</v>
      </c>
      <c r="K280" s="2763">
        <f t="shared" si="191"/>
        <v>1587.4013902388328</v>
      </c>
      <c r="L280" s="2767">
        <f t="shared" si="191"/>
        <v>1102.01204302612</v>
      </c>
      <c r="M280" s="2761">
        <f t="shared" si="191"/>
        <v>1084.254413678482</v>
      </c>
      <c r="N280" s="2762">
        <f t="shared" si="191"/>
        <v>1070.9026164469587</v>
      </c>
      <c r="O280" s="2762">
        <f t="shared" si="191"/>
        <v>1064.2741151198575</v>
      </c>
      <c r="P280" s="2762">
        <f t="shared" si="191"/>
        <v>1077.2763791405034</v>
      </c>
      <c r="Q280" s="2762">
        <f t="shared" si="191"/>
        <v>1090.1691550123503</v>
      </c>
      <c r="R280" s="2763">
        <f t="shared" si="191"/>
        <v>1101.9491707351901</v>
      </c>
      <c r="S280" s="2767">
        <f t="shared" si="191"/>
        <v>662.57003195822927</v>
      </c>
      <c r="T280" s="2761">
        <f t="shared" si="191"/>
        <v>662.75295287880374</v>
      </c>
      <c r="U280" s="2762">
        <f t="shared" si="191"/>
        <v>670.28179116316073</v>
      </c>
      <c r="V280" s="2762">
        <f t="shared" si="191"/>
        <v>695.91376152209398</v>
      </c>
      <c r="W280" s="2762">
        <f t="shared" si="191"/>
        <v>727.84407668555889</v>
      </c>
      <c r="X280" s="2762">
        <f t="shared" si="191"/>
        <v>763.52194162540252</v>
      </c>
      <c r="Y280" s="2777">
        <f t="shared" si="191"/>
        <v>797.82464903847676</v>
      </c>
      <c r="Z280" s="1717"/>
      <c r="AA280" s="1701"/>
      <c r="AB280" s="1663"/>
    </row>
    <row r="281" spans="1:28" ht="18" customHeight="1" thickBot="1">
      <c r="A281" s="1732"/>
      <c r="B281" s="1732"/>
      <c r="C281" s="1732"/>
      <c r="D281" s="1733" t="s">
        <v>763</v>
      </c>
      <c r="E281" s="2767">
        <f t="shared" ref="E281:Y281" si="192">E59+E150+E235</f>
        <v>15848.074655571454</v>
      </c>
      <c r="F281" s="2761">
        <f t="shared" si="192"/>
        <v>17516.582476893338</v>
      </c>
      <c r="G281" s="2762">
        <f t="shared" si="192"/>
        <v>19176.436601562385</v>
      </c>
      <c r="H281" s="2762">
        <f t="shared" si="192"/>
        <v>20735.207268266266</v>
      </c>
      <c r="I281" s="2762">
        <f t="shared" si="192"/>
        <v>22328.532022452702</v>
      </c>
      <c r="J281" s="2762">
        <f t="shared" si="192"/>
        <v>23895.006135827458</v>
      </c>
      <c r="K281" s="2763">
        <f t="shared" si="192"/>
        <v>25482.407526066287</v>
      </c>
      <c r="L281" s="2767">
        <f t="shared" si="192"/>
        <v>2546.2185644946412</v>
      </c>
      <c r="M281" s="2761">
        <f t="shared" si="192"/>
        <v>3630.472978173123</v>
      </c>
      <c r="N281" s="2762">
        <f t="shared" si="192"/>
        <v>4701.3755946200818</v>
      </c>
      <c r="O281" s="2762">
        <f t="shared" si="192"/>
        <v>5765.6497097399397</v>
      </c>
      <c r="P281" s="2762">
        <f t="shared" si="192"/>
        <v>6842.9260888804429</v>
      </c>
      <c r="Q281" s="2762">
        <f t="shared" si="192"/>
        <v>7933.0952438927925</v>
      </c>
      <c r="R281" s="2763">
        <f t="shared" si="192"/>
        <v>9035.0444146279824</v>
      </c>
      <c r="S281" s="2767">
        <f t="shared" si="192"/>
        <v>1573.672967363656</v>
      </c>
      <c r="T281" s="2761">
        <f t="shared" si="192"/>
        <v>2236.4259202424596</v>
      </c>
      <c r="U281" s="2762">
        <f t="shared" si="192"/>
        <v>2906.7077114056201</v>
      </c>
      <c r="V281" s="2762">
        <f t="shared" si="192"/>
        <v>3602.621472927714</v>
      </c>
      <c r="W281" s="2762">
        <f t="shared" si="192"/>
        <v>4330.4655496132727</v>
      </c>
      <c r="X281" s="2762">
        <f t="shared" si="192"/>
        <v>5093.9874912386758</v>
      </c>
      <c r="Y281" s="2777">
        <f t="shared" si="192"/>
        <v>5891.8121402771521</v>
      </c>
      <c r="Z281" s="1717"/>
      <c r="AA281" s="1701"/>
      <c r="AB281" s="1663"/>
    </row>
    <row r="282" spans="1:28" ht="18" customHeight="1" thickBot="1">
      <c r="A282" s="1732"/>
      <c r="B282" s="1732"/>
      <c r="C282" s="1732"/>
      <c r="D282" s="1733" t="s">
        <v>764</v>
      </c>
      <c r="E282" s="2767">
        <f t="shared" ref="E282:Y282" si="193">E84+E170+E257</f>
        <v>38965.347885921801</v>
      </c>
      <c r="F282" s="2761">
        <f>F84+F170+F257</f>
        <v>40934.894546703174</v>
      </c>
      <c r="G282" s="2762">
        <f t="shared" si="193"/>
        <v>40751.254833097708</v>
      </c>
      <c r="H282" s="2762">
        <f t="shared" si="193"/>
        <v>40785.800600605326</v>
      </c>
      <c r="I282" s="2762">
        <f t="shared" si="193"/>
        <v>40937.307902989305</v>
      </c>
      <c r="J282" s="2762">
        <f t="shared" si="193"/>
        <v>41181.699530355298</v>
      </c>
      <c r="K282" s="2763">
        <f t="shared" si="193"/>
        <v>41647.807574078732</v>
      </c>
      <c r="L282" s="2767">
        <f t="shared" si="193"/>
        <v>50977.640566634051</v>
      </c>
      <c r="M282" s="2761">
        <f t="shared" si="193"/>
        <v>49952.847350294818</v>
      </c>
      <c r="N282" s="2762">
        <f t="shared" si="193"/>
        <v>48967.656884347656</v>
      </c>
      <c r="O282" s="2762">
        <f t="shared" si="193"/>
        <v>48118.487706132837</v>
      </c>
      <c r="P282" s="2762">
        <f t="shared" si="193"/>
        <v>47248.863065354133</v>
      </c>
      <c r="Q282" s="2762">
        <f t="shared" si="193"/>
        <v>46344.494836267717</v>
      </c>
      <c r="R282" s="2763">
        <f t="shared" si="193"/>
        <v>45403.208139327071</v>
      </c>
      <c r="S282" s="2767">
        <f t="shared" si="193"/>
        <v>14218.769394460816</v>
      </c>
      <c r="T282" s="2761">
        <f t="shared" si="193"/>
        <v>13689.500762139503</v>
      </c>
      <c r="U282" s="2762">
        <f t="shared" si="193"/>
        <v>13394.209629412964</v>
      </c>
      <c r="V282" s="2762">
        <f t="shared" si="193"/>
        <v>13063.541163441016</v>
      </c>
      <c r="W282" s="2762">
        <f t="shared" si="193"/>
        <v>12748.213291823222</v>
      </c>
      <c r="X282" s="2762">
        <f t="shared" si="193"/>
        <v>12384.024683531154</v>
      </c>
      <c r="Y282" s="2777">
        <f t="shared" si="193"/>
        <v>11948.028126735862</v>
      </c>
      <c r="Z282" s="1717"/>
      <c r="AA282" s="1734"/>
      <c r="AB282" s="1663"/>
    </row>
    <row r="283" spans="1:28" ht="13.5" thickBot="1">
      <c r="A283" s="1620"/>
      <c r="B283" s="285"/>
      <c r="C283" s="285"/>
      <c r="D283" s="286"/>
      <c r="E283" s="2768"/>
      <c r="F283" s="2764"/>
      <c r="G283" s="2764"/>
      <c r="H283" s="2764"/>
      <c r="I283" s="2764"/>
      <c r="J283" s="2764"/>
      <c r="K283" s="2764"/>
      <c r="L283" s="2768"/>
      <c r="M283" s="2764"/>
      <c r="N283" s="2764"/>
      <c r="O283" s="2764"/>
      <c r="P283" s="2764"/>
      <c r="Q283" s="2764"/>
      <c r="R283" s="2764"/>
      <c r="S283" s="2768"/>
      <c r="T283" s="2764"/>
      <c r="U283" s="2764"/>
      <c r="V283" s="2764"/>
      <c r="W283" s="2764"/>
      <c r="X283" s="2764"/>
      <c r="Y283" s="2764"/>
    </row>
    <row r="284" spans="1:28" ht="13.5" thickBot="1">
      <c r="A284" s="1737"/>
      <c r="B284" s="1738"/>
      <c r="C284" s="1738"/>
      <c r="D284" s="2234" t="s">
        <v>1482</v>
      </c>
      <c r="E284" s="2235">
        <f>E279-E281-E282</f>
        <v>0</v>
      </c>
      <c r="F284" s="2235">
        <f t="shared" ref="F284:Y284" si="194">F279-F281-F282</f>
        <v>0</v>
      </c>
      <c r="G284" s="2235">
        <f t="shared" si="194"/>
        <v>0</v>
      </c>
      <c r="H284" s="2235">
        <f t="shared" si="194"/>
        <v>0</v>
      </c>
      <c r="I284" s="2235">
        <f t="shared" si="194"/>
        <v>0</v>
      </c>
      <c r="J284" s="2235">
        <f t="shared" si="194"/>
        <v>0</v>
      </c>
      <c r="K284" s="2235">
        <f t="shared" si="194"/>
        <v>0</v>
      </c>
      <c r="L284" s="2235">
        <f t="shared" si="194"/>
        <v>0</v>
      </c>
      <c r="M284" s="2235">
        <f t="shared" si="194"/>
        <v>0</v>
      </c>
      <c r="N284" s="2235">
        <f t="shared" si="194"/>
        <v>0</v>
      </c>
      <c r="O284" s="2235">
        <f t="shared" si="194"/>
        <v>0</v>
      </c>
      <c r="P284" s="2235">
        <f t="shared" si="194"/>
        <v>0</v>
      </c>
      <c r="Q284" s="2235">
        <f t="shared" si="194"/>
        <v>0</v>
      </c>
      <c r="R284" s="2235">
        <f t="shared" si="194"/>
        <v>0</v>
      </c>
      <c r="S284" s="2235">
        <f t="shared" si="194"/>
        <v>0</v>
      </c>
      <c r="T284" s="2235">
        <f t="shared" si="194"/>
        <v>0</v>
      </c>
      <c r="U284" s="2235">
        <f t="shared" si="194"/>
        <v>0</v>
      </c>
      <c r="V284" s="2235">
        <f t="shared" si="194"/>
        <v>0</v>
      </c>
      <c r="W284" s="2235">
        <f t="shared" si="194"/>
        <v>0</v>
      </c>
      <c r="X284" s="2235">
        <f t="shared" si="194"/>
        <v>0</v>
      </c>
      <c r="Y284" s="2235">
        <f t="shared" si="194"/>
        <v>0</v>
      </c>
    </row>
    <row r="285" spans="1:28">
      <c r="A285" s="1620"/>
      <c r="B285" s="285"/>
      <c r="C285" s="285"/>
      <c r="D285" s="286"/>
      <c r="E285" s="1735"/>
      <c r="F285" s="1736"/>
      <c r="G285" s="1736"/>
      <c r="H285" s="1736"/>
      <c r="I285" s="1736"/>
      <c r="J285" s="1736"/>
      <c r="K285" s="1736"/>
      <c r="L285" s="1735"/>
      <c r="M285" s="1736"/>
      <c r="N285" s="1736"/>
      <c r="O285" s="1736"/>
      <c r="P285" s="1736"/>
      <c r="Q285" s="1736"/>
      <c r="R285" s="1736"/>
      <c r="S285" s="1735"/>
      <c r="T285" s="1736"/>
      <c r="U285" s="1736"/>
      <c r="V285" s="1736"/>
      <c r="W285" s="1736"/>
      <c r="X285" s="1736"/>
      <c r="Y285" s="1736"/>
    </row>
    <row r="286" spans="1:28">
      <c r="A286" s="1737"/>
      <c r="B286" s="1738"/>
      <c r="C286" s="287" t="str">
        <f>'10. Финансиране на ИП'!B71</f>
        <v>Дата: 10.11.2017 г.</v>
      </c>
      <c r="E286" s="1739"/>
      <c r="F286" s="1740"/>
      <c r="G286" s="1740"/>
      <c r="H286" s="1740"/>
      <c r="I286" s="1740"/>
      <c r="J286" s="1740"/>
      <c r="K286" s="1741"/>
      <c r="M286" s="1741"/>
      <c r="N286" s="1640"/>
      <c r="O286" s="1742"/>
      <c r="P286" s="289" t="str">
        <f>'10. Финансиране на ИП'!F72</f>
        <v>Главен счетоводител:</v>
      </c>
      <c r="Q286" s="219" t="s">
        <v>262</v>
      </c>
      <c r="R286" s="1744"/>
      <c r="S286" s="1745"/>
    </row>
    <row r="287" spans="1:28">
      <c r="A287" s="1737"/>
      <c r="B287" s="1738"/>
      <c r="C287" s="1738"/>
      <c r="D287" s="1738"/>
      <c r="E287" s="1737"/>
      <c r="F287" s="1738"/>
      <c r="G287" s="1738"/>
      <c r="H287" s="1738"/>
      <c r="I287" s="1738"/>
      <c r="J287" s="1738"/>
      <c r="O287" s="1742"/>
      <c r="P287" s="1746"/>
      <c r="Q287" s="1747"/>
      <c r="R287" s="1748" t="s">
        <v>5</v>
      </c>
      <c r="S287" s="1745"/>
    </row>
    <row r="288" spans="1:28">
      <c r="A288" s="1737"/>
      <c r="B288" s="1738"/>
      <c r="C288" s="1738"/>
      <c r="D288" s="1738"/>
      <c r="E288" s="1737"/>
      <c r="F288" s="1738"/>
      <c r="G288" s="1738"/>
      <c r="H288" s="1738"/>
      <c r="I288" s="1738"/>
      <c r="J288" s="1738"/>
      <c r="O288" s="1742"/>
      <c r="P288" s="1746"/>
      <c r="Q288" s="1747"/>
      <c r="R288" s="1748"/>
      <c r="S288" s="1745"/>
    </row>
    <row r="289" spans="1:19">
      <c r="A289" s="1737"/>
      <c r="B289" s="1738"/>
      <c r="C289" s="1738"/>
      <c r="D289" s="1738"/>
      <c r="E289" s="1737"/>
      <c r="F289" s="1738"/>
      <c r="G289" s="1738"/>
      <c r="H289" s="1738"/>
      <c r="I289" s="1738"/>
      <c r="J289" s="1738"/>
      <c r="O289" s="1742"/>
      <c r="P289" s="1746"/>
      <c r="Q289" s="1747"/>
      <c r="R289" s="1748"/>
      <c r="S289" s="1745"/>
    </row>
    <row r="290" spans="1:19">
      <c r="A290" s="1737"/>
      <c r="B290" s="1738"/>
      <c r="C290" s="1738"/>
      <c r="D290" s="1738"/>
      <c r="E290" s="1737"/>
      <c r="F290" s="1738"/>
      <c r="G290" s="1738"/>
      <c r="H290" s="1738"/>
      <c r="I290" s="1738"/>
      <c r="J290" s="1738"/>
      <c r="O290" s="292" t="str">
        <f>'10. Финансиране на ИП'!F76</f>
        <v>Управител:</v>
      </c>
      <c r="Q290" s="219" t="s">
        <v>262</v>
      </c>
      <c r="R290" s="1743"/>
      <c r="S290" s="1745"/>
    </row>
    <row r="291" spans="1:19">
      <c r="A291" s="1737"/>
      <c r="B291" s="1738"/>
      <c r="C291" s="1738"/>
      <c r="D291" s="1738"/>
      <c r="E291" s="1737"/>
      <c r="F291" s="1738"/>
      <c r="G291" s="1738"/>
      <c r="H291" s="1738"/>
      <c r="I291" s="1738"/>
      <c r="J291" s="1738"/>
      <c r="O291" s="1742"/>
      <c r="P291" s="1749"/>
      <c r="Q291" s="1747"/>
      <c r="R291" s="291" t="s">
        <v>6</v>
      </c>
      <c r="S291" s="1750"/>
    </row>
    <row r="292" spans="1:19">
      <c r="O292" s="1747"/>
      <c r="P292" s="1747"/>
      <c r="Q292" s="1747"/>
      <c r="R292" s="1747"/>
      <c r="S292" s="1745"/>
    </row>
    <row r="293" spans="1:19">
      <c r="A293" s="3563" t="s">
        <v>247</v>
      </c>
      <c r="B293" s="3563"/>
      <c r="C293" s="3563"/>
      <c r="D293" s="3563"/>
      <c r="E293" s="3563"/>
      <c r="F293" s="3563"/>
      <c r="G293" s="1751"/>
      <c r="H293" s="1751"/>
      <c r="I293" s="1751"/>
      <c r="J293" s="1751"/>
    </row>
    <row r="294" spans="1:19">
      <c r="A294" s="3558" t="s">
        <v>248</v>
      </c>
      <c r="B294" s="3558"/>
      <c r="C294" s="3558"/>
      <c r="D294" s="3558"/>
      <c r="E294" s="3558"/>
      <c r="F294" s="3558"/>
      <c r="G294" s="1751"/>
      <c r="H294" s="1751"/>
      <c r="I294" s="1751"/>
      <c r="J294" s="1751"/>
      <c r="L294" s="1639"/>
    </row>
    <row r="295" spans="1:19" ht="26.25" customHeight="1">
      <c r="A295" s="3558" t="s">
        <v>1443</v>
      </c>
      <c r="B295" s="3558"/>
      <c r="C295" s="3558"/>
      <c r="D295" s="3558"/>
      <c r="E295" s="3558"/>
      <c r="F295" s="3558"/>
      <c r="G295" s="3558"/>
      <c r="H295" s="3558"/>
      <c r="I295" s="3558"/>
      <c r="J295" s="3558"/>
      <c r="K295" s="3558"/>
      <c r="L295" s="3558"/>
      <c r="M295" s="3558"/>
      <c r="N295" s="3558"/>
      <c r="O295" s="3558"/>
      <c r="P295" s="3558"/>
      <c r="Q295" s="1647"/>
    </row>
    <row r="296" spans="1:19" ht="26.25" customHeight="1">
      <c r="A296" s="3559" t="s">
        <v>1479</v>
      </c>
      <c r="B296" s="3559"/>
      <c r="C296" s="3559"/>
      <c r="D296" s="3559"/>
      <c r="E296" s="3559"/>
      <c r="F296" s="3559"/>
      <c r="G296" s="3559"/>
      <c r="H296" s="3559"/>
      <c r="I296" s="3559"/>
      <c r="J296" s="3559"/>
      <c r="K296" s="3559"/>
      <c r="L296" s="3559"/>
      <c r="M296" s="3559"/>
      <c r="N296" s="3559"/>
      <c r="O296" s="3559"/>
      <c r="P296" s="3559"/>
    </row>
    <row r="297" spans="1:19" ht="53.25" customHeight="1">
      <c r="A297" s="3560" t="s">
        <v>1469</v>
      </c>
      <c r="B297" s="3560"/>
      <c r="C297" s="3560"/>
      <c r="D297" s="3560"/>
      <c r="E297" s="3560"/>
      <c r="F297" s="3560"/>
      <c r="G297" s="3560"/>
      <c r="H297" s="3560"/>
      <c r="I297" s="3560"/>
      <c r="J297" s="3560"/>
      <c r="K297" s="3560"/>
      <c r="L297" s="3560"/>
      <c r="M297" s="3560"/>
      <c r="N297" s="3560"/>
      <c r="O297" s="3560"/>
      <c r="P297" s="3560"/>
    </row>
    <row r="298" spans="1:19" ht="30" customHeight="1">
      <c r="A298" s="3557" t="s">
        <v>1493</v>
      </c>
      <c r="B298" s="3557"/>
      <c r="C298" s="3557"/>
      <c r="D298" s="3557"/>
      <c r="E298" s="3557"/>
      <c r="F298" s="3557"/>
      <c r="G298" s="3557"/>
      <c r="H298" s="3557"/>
      <c r="I298" s="3557"/>
      <c r="J298" s="3557"/>
      <c r="K298" s="3557"/>
      <c r="L298" s="3557"/>
      <c r="M298" s="3557"/>
      <c r="N298" s="3557"/>
      <c r="O298" s="3557"/>
      <c r="P298" s="3557"/>
    </row>
    <row r="299" spans="1:19">
      <c r="A299" s="3090" t="s">
        <v>1487</v>
      </c>
      <c r="B299" s="181"/>
      <c r="C299" s="181"/>
      <c r="D299" s="181"/>
      <c r="E299" s="181"/>
      <c r="F299" s="181"/>
      <c r="G299" s="181"/>
      <c r="H299" s="181"/>
      <c r="I299" s="181"/>
      <c r="J299" s="181"/>
      <c r="K299" s="181"/>
    </row>
  </sheetData>
  <sheetProtection password="C6DB" sheet="1" objects="1" scenarios="1" formatCells="0" formatColumns="0" formatRows="0"/>
  <mergeCells count="17">
    <mergeCell ref="A3:Y3"/>
    <mergeCell ref="A4:Y4"/>
    <mergeCell ref="A2:Y2"/>
    <mergeCell ref="A6:A7"/>
    <mergeCell ref="D6:D7"/>
    <mergeCell ref="E6:K6"/>
    <mergeCell ref="L6:R6"/>
    <mergeCell ref="S6:Y6"/>
    <mergeCell ref="B6:B7"/>
    <mergeCell ref="C6:C7"/>
    <mergeCell ref="A298:P298"/>
    <mergeCell ref="A295:P295"/>
    <mergeCell ref="A296:P296"/>
    <mergeCell ref="A297:P297"/>
    <mergeCell ref="AA6:AA7"/>
    <mergeCell ref="A293:F293"/>
    <mergeCell ref="A294:F294"/>
  </mergeCells>
  <printOptions horizontalCentered="1" verticalCentered="1"/>
  <pageMargins left="0.31496062992125984" right="0.31496062992125984" top="0.74803149606299213" bottom="0.35433070866141736" header="0.31496062992125984" footer="0.31496062992125984"/>
  <pageSetup paperSize="9" scale="60" orientation="landscape" r:id="rId1"/>
  <headerFooter>
    <oddFooter>&amp;A&amp;RPage &amp;P</oddFooter>
  </headerFooter>
  <rowBreaks count="4" manualBreakCount="4">
    <brk id="58" max="26" man="1"/>
    <brk id="108" max="26" man="1"/>
    <brk id="149" max="26" man="1"/>
    <brk id="189" max="26" man="1"/>
  </rowBreaks>
  <ignoredErrors>
    <ignoredError sqref="F12:K12 F37:K37 F18:K18 F43:K43 G62:J62 F68:K68 F87:K87 F93:K93 M62:R62 M12:R12 M18:R18 T12:Y12 T18:Y18 M37:R37 M43:R43 T37:Y37 T43:Y43 M68:R68 T62:Y62 T68:Y68 M87:R87 M93:R93 T87:Y87 T93:Y93" formula="1"/>
    <ignoredError sqref="F256:K256 M278:R278 F267:K278 M267:R277 T267:Y277 M254:R255 M245:R253 T245:Y253 F245:K255 F175:K189 M175:R189 T175:Y189 T171:Y173 M171:R173 F171:K173 F151:K169 M151:R169 T151:Y169 F174:K174 F262:K266 F240:K244 F236:K237 F258:K259 F260:K261 F238:K239 M174:R174 T174:Y174 M262:R266 M258:R259 M260:R261 T278:Y278 T262:Y266 T258:Y259 T260:Y261 M240:R244 M236:R237 M238:R239 M256:R256 T254:Y255 T240:Y244 T236:Y237 T238:Y239 T256:Y256" unlockedFormula="1"/>
    <ignoredError sqref="B192:C192 B225:B234 B247:B256 B269:B278 B211:B212 B205:C210 B203:B204 B196:B199 B218:B221 B240:B243 B262:B265 B193 B214:B215 B236:B237 B258:B25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CF6C6"/>
  </sheetPr>
  <dimension ref="A1:AI130"/>
  <sheetViews>
    <sheetView view="pageBreakPreview" zoomScale="85" zoomScaleNormal="100" zoomScaleSheetLayoutView="85" workbookViewId="0">
      <pane xSplit="4" ySplit="9" topLeftCell="S10" activePane="bottomRight" state="frozen"/>
      <selection pane="topRight" activeCell="E1" sqref="E1"/>
      <selection pane="bottomLeft" activeCell="A10" sqref="A10"/>
      <selection pane="bottomRight" activeCell="M20" sqref="M20:Q20 C69 E6"/>
    </sheetView>
  </sheetViews>
  <sheetFormatPr defaultColWidth="9.140625" defaultRowHeight="12.75"/>
  <cols>
    <col min="1" max="1" width="3.140625" style="651" customWidth="1"/>
    <col min="2" max="2" width="8.85546875" style="259" customWidth="1"/>
    <col min="3" max="3" width="7" style="259" customWidth="1"/>
    <col min="4" max="4" width="46.7109375" style="259" customWidth="1"/>
    <col min="5" max="5" width="10.42578125" style="259" customWidth="1"/>
    <col min="6" max="6" width="10.28515625" style="259" customWidth="1"/>
    <col min="7" max="11" width="9.85546875" style="259" customWidth="1"/>
    <col min="12" max="12" width="9.140625" style="259" customWidth="1"/>
    <col min="13" max="18" width="8.7109375" style="259" customWidth="1"/>
    <col min="19" max="19" width="9.7109375" style="259" customWidth="1"/>
    <col min="20" max="25" width="7.7109375" style="259" customWidth="1"/>
    <col min="26" max="26" width="9.140625" style="259" customWidth="1"/>
    <col min="27" max="32" width="7.7109375" style="259" customWidth="1"/>
    <col min="33" max="33" width="1.5703125" style="339" customWidth="1"/>
    <col min="34" max="34" width="17.28515625" style="539" customWidth="1"/>
    <col min="35" max="16384" width="9.140625" style="339"/>
  </cols>
  <sheetData>
    <row r="1" spans="1:35" ht="13.5">
      <c r="A1" s="2934"/>
      <c r="B1" s="651"/>
      <c r="C1" s="651"/>
      <c r="D1" s="651"/>
      <c r="E1" s="651"/>
      <c r="F1" s="651"/>
      <c r="G1" s="651"/>
      <c r="H1" s="651"/>
      <c r="I1" s="651"/>
      <c r="J1" s="651"/>
      <c r="K1" s="651"/>
      <c r="L1" s="651"/>
      <c r="M1" s="651"/>
      <c r="N1" s="651"/>
      <c r="O1" s="651"/>
      <c r="P1" s="651"/>
      <c r="Q1" s="348" t="s">
        <v>249</v>
      </c>
      <c r="R1" s="651"/>
      <c r="S1" s="347"/>
      <c r="Z1" s="294"/>
      <c r="AF1" s="348" t="s">
        <v>249</v>
      </c>
    </row>
    <row r="2" spans="1:35" ht="42" customHeight="1">
      <c r="A2" s="3565" t="s">
        <v>1415</v>
      </c>
      <c r="B2" s="3565"/>
      <c r="C2" s="3565"/>
      <c r="D2" s="3565"/>
      <c r="E2" s="3565"/>
      <c r="F2" s="3565"/>
      <c r="G2" s="3565"/>
      <c r="H2" s="3565"/>
      <c r="I2" s="3565"/>
      <c r="J2" s="3565"/>
      <c r="K2" s="3565"/>
      <c r="L2" s="3565"/>
      <c r="M2" s="3565"/>
      <c r="N2" s="3565"/>
      <c r="O2" s="3565"/>
      <c r="P2" s="3565"/>
      <c r="Q2" s="3565"/>
      <c r="R2" s="3565"/>
      <c r="S2" s="2030"/>
      <c r="T2" s="2030"/>
      <c r="U2" s="2030"/>
      <c r="V2" s="2030"/>
      <c r="W2" s="2030"/>
      <c r="X2" s="2030"/>
      <c r="Y2" s="2030"/>
      <c r="Z2" s="2030"/>
      <c r="AA2" s="2030"/>
      <c r="AB2" s="2030"/>
      <c r="AC2" s="2030"/>
      <c r="AD2" s="2030"/>
      <c r="AE2" s="2030"/>
      <c r="AF2" s="2030"/>
    </row>
    <row r="3" spans="1:35" ht="15.75">
      <c r="A3" s="3572" t="str">
        <f>'1. Анкетна карта'!A3:J3</f>
        <v>на "ВОДОСНАБДЯВАНЕ И КАНАЛИЗАЦИЯ ДОБРИЧ" АД, гр. Добрич</v>
      </c>
      <c r="B3" s="3572"/>
      <c r="C3" s="3572"/>
      <c r="D3" s="3572"/>
      <c r="E3" s="3572"/>
      <c r="F3" s="3572"/>
      <c r="G3" s="3572"/>
      <c r="H3" s="3572"/>
      <c r="I3" s="3572"/>
      <c r="J3" s="3572"/>
      <c r="K3" s="3572"/>
      <c r="L3" s="3572"/>
      <c r="M3" s="3572"/>
      <c r="N3" s="3572"/>
      <c r="O3" s="3572"/>
      <c r="P3" s="3572"/>
      <c r="Q3" s="3572"/>
      <c r="R3" s="3572"/>
      <c r="S3" s="2031"/>
      <c r="T3" s="2031"/>
      <c r="U3" s="2031"/>
      <c r="V3" s="2031"/>
      <c r="W3" s="2031"/>
      <c r="X3" s="2031"/>
      <c r="Y3" s="2031"/>
      <c r="Z3" s="2031"/>
      <c r="AA3" s="2031"/>
      <c r="AB3" s="2031"/>
      <c r="AC3" s="2031"/>
      <c r="AD3" s="2031"/>
      <c r="AE3" s="2031"/>
      <c r="AF3" s="2031"/>
    </row>
    <row r="4" spans="1:35" ht="16.5" thickBot="1">
      <c r="A4" s="3572" t="str">
        <f>'1. Анкетна карта'!A4:J4</f>
        <v>ЕИК по БУЛСТАТ: 204219357</v>
      </c>
      <c r="B4" s="3572"/>
      <c r="C4" s="3572"/>
      <c r="D4" s="3572"/>
      <c r="E4" s="3572"/>
      <c r="F4" s="3572"/>
      <c r="G4" s="3572"/>
      <c r="H4" s="3572"/>
      <c r="I4" s="3572"/>
      <c r="J4" s="3572"/>
      <c r="K4" s="3572"/>
      <c r="L4" s="3572"/>
      <c r="M4" s="3572"/>
      <c r="N4" s="3572"/>
      <c r="O4" s="3572"/>
      <c r="P4" s="3572"/>
      <c r="Q4" s="3572"/>
      <c r="R4" s="3572"/>
      <c r="S4" s="2031"/>
      <c r="T4" s="2031"/>
      <c r="U4" s="2031"/>
      <c r="V4" s="2031"/>
      <c r="W4" s="2031"/>
      <c r="X4" s="2031"/>
      <c r="Y4" s="2031"/>
      <c r="Z4" s="2031"/>
      <c r="AA4" s="2031"/>
      <c r="AB4" s="2031"/>
      <c r="AC4" s="2031"/>
      <c r="AD4" s="2031"/>
      <c r="AE4" s="2031"/>
      <c r="AF4" s="2031"/>
    </row>
    <row r="5" spans="1:35" ht="16.5" thickBot="1">
      <c r="A5" s="2935"/>
      <c r="B5" s="339"/>
      <c r="C5" s="527"/>
      <c r="D5" s="528" t="s">
        <v>843</v>
      </c>
      <c r="E5" s="604">
        <v>1</v>
      </c>
      <c r="F5" s="524"/>
      <c r="G5" s="2935"/>
      <c r="H5" s="517"/>
      <c r="I5" s="2935"/>
      <c r="J5" s="2935"/>
      <c r="K5" s="2935"/>
      <c r="L5" s="2935"/>
      <c r="M5" s="2935"/>
      <c r="N5" s="2935"/>
      <c r="O5" s="2935"/>
      <c r="P5" s="2935"/>
      <c r="Q5" s="2935"/>
      <c r="R5" s="2935"/>
      <c r="S5" s="2935"/>
      <c r="T5" s="2935"/>
      <c r="U5" s="2935"/>
      <c r="V5" s="2935"/>
      <c r="W5" s="2935"/>
      <c r="X5" s="2935"/>
      <c r="Y5" s="2935"/>
      <c r="Z5" s="2935"/>
      <c r="AA5" s="2935"/>
      <c r="AB5" s="2935"/>
      <c r="AC5" s="2935"/>
      <c r="AD5" s="2935"/>
      <c r="AE5" s="2935"/>
      <c r="AF5" s="2935"/>
    </row>
    <row r="6" spans="1:35" ht="16.5" thickBot="1">
      <c r="A6" s="2935"/>
      <c r="B6" s="339"/>
      <c r="C6" s="529"/>
      <c r="D6" s="528" t="s">
        <v>865</v>
      </c>
      <c r="E6" s="530">
        <f>12/6</f>
        <v>2</v>
      </c>
      <c r="F6" s="2935"/>
      <c r="G6" s="2935"/>
      <c r="H6" s="517"/>
      <c r="I6" s="2935"/>
      <c r="J6" s="2935"/>
      <c r="K6" s="2935"/>
      <c r="L6" s="2935"/>
      <c r="M6" s="2935"/>
      <c r="N6" s="2935"/>
      <c r="O6" s="2935"/>
      <c r="P6" s="2935"/>
      <c r="Q6" s="2935"/>
      <c r="R6" s="2935"/>
      <c r="S6" s="2935"/>
      <c r="T6" s="2935"/>
      <c r="U6" s="2935"/>
      <c r="V6" s="2935"/>
      <c r="W6" s="2935"/>
      <c r="X6" s="2935"/>
      <c r="Y6" s="2935"/>
      <c r="Z6" s="2935"/>
      <c r="AA6" s="2935"/>
      <c r="AB6" s="2935"/>
      <c r="AC6" s="2935"/>
      <c r="AD6" s="2935"/>
      <c r="AE6" s="2935"/>
      <c r="AF6" s="2935"/>
    </row>
    <row r="7" spans="1:35" ht="13.5" thickBot="1">
      <c r="H7" s="518"/>
      <c r="AA7" s="295"/>
      <c r="AB7" s="296"/>
      <c r="AF7" s="38" t="s">
        <v>250</v>
      </c>
    </row>
    <row r="8" spans="1:35" ht="13.5" thickBot="1">
      <c r="A8" s="3575" t="s">
        <v>1</v>
      </c>
      <c r="B8" s="3570" t="s">
        <v>1489</v>
      </c>
      <c r="C8" s="3570" t="s">
        <v>1488</v>
      </c>
      <c r="D8" s="3575" t="s">
        <v>95</v>
      </c>
      <c r="E8" s="3575" t="s">
        <v>273</v>
      </c>
      <c r="F8" s="3577"/>
      <c r="G8" s="3577"/>
      <c r="H8" s="3577"/>
      <c r="I8" s="3577"/>
      <c r="J8" s="3577"/>
      <c r="K8" s="3578"/>
      <c r="L8" s="3575" t="s">
        <v>230</v>
      </c>
      <c r="M8" s="3577"/>
      <c r="N8" s="3577"/>
      <c r="O8" s="3577"/>
      <c r="P8" s="3577"/>
      <c r="Q8" s="3577"/>
      <c r="R8" s="3578"/>
      <c r="S8" s="3575" t="s">
        <v>241</v>
      </c>
      <c r="T8" s="3577"/>
      <c r="U8" s="3577"/>
      <c r="V8" s="3577"/>
      <c r="W8" s="3577"/>
      <c r="X8" s="3577"/>
      <c r="Y8" s="3578"/>
      <c r="Z8" s="3575" t="s">
        <v>894</v>
      </c>
      <c r="AA8" s="3577"/>
      <c r="AB8" s="3577"/>
      <c r="AC8" s="3577"/>
      <c r="AD8" s="3577"/>
      <c r="AE8" s="3577"/>
      <c r="AF8" s="3578"/>
      <c r="AH8" s="3573" t="s">
        <v>912</v>
      </c>
    </row>
    <row r="9" spans="1:35" ht="20.25" customHeight="1" thickBot="1">
      <c r="A9" s="3576"/>
      <c r="B9" s="3571"/>
      <c r="C9" s="3571"/>
      <c r="D9" s="3576"/>
      <c r="E9" s="1176" t="str">
        <f>'Приложение '!G12</f>
        <v>2015 г.</v>
      </c>
      <c r="F9" s="1171" t="str">
        <f>'Приложение '!G13</f>
        <v>2016 г.</v>
      </c>
      <c r="G9" s="1172" t="str">
        <f>'Приложение '!G14</f>
        <v>2017 г.</v>
      </c>
      <c r="H9" s="1172" t="str">
        <f>'Приложение '!G15</f>
        <v>2018 г.</v>
      </c>
      <c r="I9" s="1172" t="str">
        <f>'Приложение '!G16</f>
        <v>2019 г.</v>
      </c>
      <c r="J9" s="1172" t="str">
        <f>'Приложение '!G17</f>
        <v>2020 г.</v>
      </c>
      <c r="K9" s="1173" t="str">
        <f>'Приложение '!G18</f>
        <v>2021 г.</v>
      </c>
      <c r="L9" s="1176" t="str">
        <f t="shared" ref="L9:AF9" si="0">E9</f>
        <v>2015 г.</v>
      </c>
      <c r="M9" s="1171" t="str">
        <f t="shared" si="0"/>
        <v>2016 г.</v>
      </c>
      <c r="N9" s="1172" t="str">
        <f t="shared" si="0"/>
        <v>2017 г.</v>
      </c>
      <c r="O9" s="1172" t="str">
        <f t="shared" si="0"/>
        <v>2018 г.</v>
      </c>
      <c r="P9" s="1172" t="str">
        <f t="shared" si="0"/>
        <v>2019 г.</v>
      </c>
      <c r="Q9" s="1172" t="str">
        <f t="shared" si="0"/>
        <v>2020 г.</v>
      </c>
      <c r="R9" s="1173" t="str">
        <f t="shared" si="0"/>
        <v>2021 г.</v>
      </c>
      <c r="S9" s="1177" t="str">
        <f t="shared" si="0"/>
        <v>2015 г.</v>
      </c>
      <c r="T9" s="1174" t="str">
        <f t="shared" si="0"/>
        <v>2016 г.</v>
      </c>
      <c r="U9" s="1172" t="str">
        <f t="shared" si="0"/>
        <v>2017 г.</v>
      </c>
      <c r="V9" s="1172" t="str">
        <f t="shared" si="0"/>
        <v>2018 г.</v>
      </c>
      <c r="W9" s="1174" t="str">
        <f t="shared" si="0"/>
        <v>2019 г.</v>
      </c>
      <c r="X9" s="1172" t="str">
        <f t="shared" si="0"/>
        <v>2020 г.</v>
      </c>
      <c r="Y9" s="1173" t="str">
        <f t="shared" si="0"/>
        <v>2021 г.</v>
      </c>
      <c r="Z9" s="1177" t="str">
        <f t="shared" si="0"/>
        <v>2015 г.</v>
      </c>
      <c r="AA9" s="1174" t="str">
        <f t="shared" si="0"/>
        <v>2016 г.</v>
      </c>
      <c r="AB9" s="1172" t="str">
        <f t="shared" si="0"/>
        <v>2017 г.</v>
      </c>
      <c r="AC9" s="1172" t="str">
        <f t="shared" si="0"/>
        <v>2018 г.</v>
      </c>
      <c r="AD9" s="1172" t="str">
        <f t="shared" si="0"/>
        <v>2019 г.</v>
      </c>
      <c r="AE9" s="1172" t="str">
        <f t="shared" si="0"/>
        <v>2020 г.</v>
      </c>
      <c r="AF9" s="1173" t="str">
        <f t="shared" si="0"/>
        <v>2021 г.</v>
      </c>
      <c r="AH9" s="3574"/>
    </row>
    <row r="10" spans="1:35" s="298" customFormat="1" ht="17.25" customHeight="1" thickBot="1">
      <c r="A10" s="1618" t="s">
        <v>268</v>
      </c>
      <c r="B10" s="246"/>
      <c r="C10" s="246"/>
      <c r="D10" s="246" t="s">
        <v>483</v>
      </c>
      <c r="E10" s="920">
        <f t="shared" ref="E10:AF10" si="1">E11+E14+E17+E29+E44+E49+SUM(E53:E58)</f>
        <v>102</v>
      </c>
      <c r="F10" s="921">
        <f t="shared" si="1"/>
        <v>2998</v>
      </c>
      <c r="G10" s="243">
        <f t="shared" si="1"/>
        <v>688.91722000000004</v>
      </c>
      <c r="H10" s="243">
        <f t="shared" si="1"/>
        <v>1103.6666666666665</v>
      </c>
      <c r="I10" s="243">
        <f t="shared" si="1"/>
        <v>1252</v>
      </c>
      <c r="J10" s="243">
        <f t="shared" si="1"/>
        <v>1306</v>
      </c>
      <c r="K10" s="244">
        <f t="shared" si="1"/>
        <v>1521</v>
      </c>
      <c r="L10" s="2046">
        <f t="shared" si="1"/>
        <v>7</v>
      </c>
      <c r="M10" s="921">
        <f t="shared" si="1"/>
        <v>49</v>
      </c>
      <c r="N10" s="243">
        <f t="shared" si="1"/>
        <v>40</v>
      </c>
      <c r="O10" s="243">
        <f t="shared" si="1"/>
        <v>149</v>
      </c>
      <c r="P10" s="243">
        <f t="shared" si="1"/>
        <v>149</v>
      </c>
      <c r="Q10" s="243">
        <f t="shared" si="1"/>
        <v>134</v>
      </c>
      <c r="R10" s="244">
        <f t="shared" si="1"/>
        <v>119</v>
      </c>
      <c r="S10" s="650">
        <f t="shared" si="1"/>
        <v>2</v>
      </c>
      <c r="T10" s="242">
        <f t="shared" si="1"/>
        <v>110</v>
      </c>
      <c r="U10" s="243">
        <f t="shared" si="1"/>
        <v>175</v>
      </c>
      <c r="V10" s="243">
        <f t="shared" si="1"/>
        <v>253</v>
      </c>
      <c r="W10" s="243">
        <f t="shared" si="1"/>
        <v>296</v>
      </c>
      <c r="X10" s="243">
        <f t="shared" si="1"/>
        <v>288</v>
      </c>
      <c r="Y10" s="244">
        <f t="shared" si="1"/>
        <v>268</v>
      </c>
      <c r="Z10" s="650">
        <f t="shared" si="1"/>
        <v>0</v>
      </c>
      <c r="AA10" s="242">
        <f t="shared" si="1"/>
        <v>674</v>
      </c>
      <c r="AB10" s="243">
        <f t="shared" si="1"/>
        <v>1033</v>
      </c>
      <c r="AC10" s="243">
        <f t="shared" si="1"/>
        <v>668</v>
      </c>
      <c r="AD10" s="243">
        <f t="shared" si="1"/>
        <v>668</v>
      </c>
      <c r="AE10" s="243">
        <f t="shared" si="1"/>
        <v>668</v>
      </c>
      <c r="AF10" s="244">
        <f t="shared" si="1"/>
        <v>668</v>
      </c>
      <c r="AG10" s="297"/>
      <c r="AH10" s="3025">
        <f>SUM(F10:AF10)-L10-S10-Z10-('9.Инвестиционна програма'!L86+'9.Инвестиционна програма'!F86)*'11.1.Амортиз.нови активи'!E5</f>
        <v>0</v>
      </c>
      <c r="AI10" s="299"/>
    </row>
    <row r="11" spans="1:35" s="262" customFormat="1">
      <c r="A11" s="1802">
        <v>1</v>
      </c>
      <c r="B11" s="1802">
        <v>201</v>
      </c>
      <c r="C11" s="1803">
        <v>0</v>
      </c>
      <c r="D11" s="1804" t="s">
        <v>280</v>
      </c>
      <c r="E11" s="1805">
        <f t="shared" ref="E11:AF11" si="2">SUM(E12:E13)</f>
        <v>0</v>
      </c>
      <c r="F11" s="926">
        <f t="shared" si="2"/>
        <v>0</v>
      </c>
      <c r="G11" s="927">
        <f t="shared" si="2"/>
        <v>0</v>
      </c>
      <c r="H11" s="927">
        <f t="shared" si="2"/>
        <v>0</v>
      </c>
      <c r="I11" s="927">
        <f t="shared" si="2"/>
        <v>0</v>
      </c>
      <c r="J11" s="927">
        <f t="shared" si="2"/>
        <v>0</v>
      </c>
      <c r="K11" s="928">
        <f t="shared" si="2"/>
        <v>0</v>
      </c>
      <c r="L11" s="2066">
        <f t="shared" si="2"/>
        <v>0</v>
      </c>
      <c r="M11" s="926">
        <f t="shared" si="2"/>
        <v>0</v>
      </c>
      <c r="N11" s="927">
        <f t="shared" si="2"/>
        <v>0</v>
      </c>
      <c r="O11" s="927">
        <f t="shared" si="2"/>
        <v>0</v>
      </c>
      <c r="P11" s="927">
        <f t="shared" si="2"/>
        <v>0</v>
      </c>
      <c r="Q11" s="927">
        <f t="shared" si="2"/>
        <v>0</v>
      </c>
      <c r="R11" s="928">
        <f t="shared" si="2"/>
        <v>0</v>
      </c>
      <c r="S11" s="975">
        <f t="shared" si="2"/>
        <v>0</v>
      </c>
      <c r="T11" s="2915">
        <f t="shared" si="2"/>
        <v>0</v>
      </c>
      <c r="U11" s="927">
        <f t="shared" si="2"/>
        <v>0</v>
      </c>
      <c r="V11" s="927">
        <f t="shared" si="2"/>
        <v>0</v>
      </c>
      <c r="W11" s="927">
        <f t="shared" si="2"/>
        <v>0</v>
      </c>
      <c r="X11" s="927">
        <f t="shared" si="2"/>
        <v>0</v>
      </c>
      <c r="Y11" s="928">
        <f t="shared" si="2"/>
        <v>0</v>
      </c>
      <c r="Z11" s="975">
        <f t="shared" si="2"/>
        <v>0</v>
      </c>
      <c r="AA11" s="926">
        <f t="shared" si="2"/>
        <v>0</v>
      </c>
      <c r="AB11" s="927">
        <f t="shared" si="2"/>
        <v>0</v>
      </c>
      <c r="AC11" s="927">
        <f t="shared" si="2"/>
        <v>0</v>
      </c>
      <c r="AD11" s="927">
        <f t="shared" si="2"/>
        <v>0</v>
      </c>
      <c r="AE11" s="927">
        <f t="shared" si="2"/>
        <v>0</v>
      </c>
      <c r="AF11" s="928">
        <f t="shared" si="2"/>
        <v>0</v>
      </c>
      <c r="AG11" s="306"/>
      <c r="AH11" s="565"/>
    </row>
    <row r="12" spans="1:35" s="294" customFormat="1">
      <c r="A12" s="279"/>
      <c r="B12" s="279">
        <v>20101</v>
      </c>
      <c r="C12" s="881">
        <v>0</v>
      </c>
      <c r="D12" s="265" t="s">
        <v>758</v>
      </c>
      <c r="E12" s="929">
        <f>'11.2. Нови активи отч.год.'!E13</f>
        <v>0</v>
      </c>
      <c r="F12" s="897">
        <f>SUMIF('9.Инвестиционна програма'!$B$11:$B$34,$B12,'9.Инвестиционна програма'!F$11:F$34)*$E$5</f>
        <v>0</v>
      </c>
      <c r="G12" s="886">
        <f>SUMIF('9.Инвестиционна програма'!$B$11:$B$34,$B12,'9.Инвестиционна програма'!G$11:G$34)*$E$5</f>
        <v>0</v>
      </c>
      <c r="H12" s="886">
        <f>SUMIF('9.Инвестиционна програма'!$B$11:$B$34,$B12,'9.Инвестиционна програма'!H$11:H$34)*$E$5</f>
        <v>0</v>
      </c>
      <c r="I12" s="886">
        <f>SUMIF('9.Инвестиционна програма'!$B$11:$B$34,$B12,'9.Инвестиционна програма'!I$11:I$34)*$E$5</f>
        <v>0</v>
      </c>
      <c r="J12" s="886">
        <f>SUMIF('9.Инвестиционна програма'!$B$11:$B$34,$B12,'9.Инвестиционна програма'!J$11:J$34)*$E$5</f>
        <v>0</v>
      </c>
      <c r="K12" s="887">
        <f>SUMIF('9.Инвестиционна програма'!$B$11:$B$34,$B12,'9.Инвестиционна програма'!K$11:K$34)*$E$5</f>
        <v>0</v>
      </c>
      <c r="L12" s="1486">
        <f>'11.2. Нови активи отч.год.'!L13</f>
        <v>0</v>
      </c>
      <c r="M12" s="885">
        <f>SUMIF('9.Инвестиционна програма'!$B$36:$B$46,$B12,'9.Инвестиционна програма'!F$36:F$46)*$E$5</f>
        <v>0</v>
      </c>
      <c r="N12" s="886">
        <f>SUMIF('9.Инвестиционна програма'!$B$36:$B$46,$B12,'9.Инвестиционна програма'!G$36:G$46)*$E$5</f>
        <v>0</v>
      </c>
      <c r="O12" s="886">
        <f>SUMIF('9.Инвестиционна програма'!$B$36:$B$46,$B12,'9.Инвестиционна програма'!H$36:H$46)*$E$5</f>
        <v>0</v>
      </c>
      <c r="P12" s="886">
        <f>SUMIF('9.Инвестиционна програма'!$B$36:$B$46,$B12,'9.Инвестиционна програма'!I$36:I$46)*$E$5</f>
        <v>0</v>
      </c>
      <c r="Q12" s="886">
        <f>SUMIF('9.Инвестиционна програма'!$B$36:$B$46,$B12,'9.Инвестиционна програма'!J$36:J$46)*$E$5</f>
        <v>0</v>
      </c>
      <c r="R12" s="887">
        <f>SUMIF('9.Инвестиционна програма'!$B$36:$B$46,$B12,'9.Инвестиционна програма'!K$36:K$46)*$E$5</f>
        <v>0</v>
      </c>
      <c r="S12" s="930">
        <f>'11.2. Нови активи отч.год.'!S13</f>
        <v>0</v>
      </c>
      <c r="T12" s="931">
        <f>SUMIF('9.Инвестиционна програма'!$B$48:$B$55,$B12,'9.Инвестиционна програма'!F$48:F$55)*$E$5</f>
        <v>0</v>
      </c>
      <c r="U12" s="931">
        <f>SUMIF('9.Инвестиционна програма'!$B$48:$B$55,$B12,'9.Инвестиционна програма'!G$48:G$55)*$E$5</f>
        <v>0</v>
      </c>
      <c r="V12" s="931">
        <f>SUMIF('9.Инвестиционна програма'!$B$48:$B$55,$B12,'9.Инвестиционна програма'!H$48:H$55)*$E$5</f>
        <v>0</v>
      </c>
      <c r="W12" s="931">
        <f>SUMIF('9.Инвестиционна програма'!$B$48:$B$55,$B12,'9.Инвестиционна програма'!I$48:I$55)*$E$5</f>
        <v>0</v>
      </c>
      <c r="X12" s="931">
        <f>SUMIF('9.Инвестиционна програма'!$B$48:$B$55,$B12,'9.Инвестиционна програма'!J$48:J$55)*$E$5</f>
        <v>0</v>
      </c>
      <c r="Y12" s="931">
        <f>SUMIF('9.Инвестиционна програма'!$B$48:$B$55,$B12,'9.Инвестиционна програма'!K$48:K$55)*$E$5</f>
        <v>0</v>
      </c>
      <c r="Z12" s="930">
        <f>'11.2. Нови активи отч.год.'!Z13</f>
        <v>0</v>
      </c>
      <c r="AA12" s="885">
        <f>(SUMIF('9.Инвестиционна програма'!$B$57:$B$58,$B12,'9.Инвестиционна програма'!F$57:F$58)+SUMIF('9.Инвестиционна програма'!$B$60:$B$67,$B12,'9.Инвестиционна програма'!F$60:F$67))*$E$5</f>
        <v>0</v>
      </c>
      <c r="AB12" s="932">
        <f>(SUMIF('9.Инвестиционна програма'!$B$57:$B$58,$B12,'9.Инвестиционна програма'!G$57:G$58)+SUMIF('9.Инвестиционна програма'!$B$60:$B$67,$B12,'9.Инвестиционна програма'!G$60:G$67))*$E$5</f>
        <v>0</v>
      </c>
      <c r="AC12" s="932">
        <f>(SUMIF('9.Инвестиционна програма'!$B$57:$B$58,$B12,'9.Инвестиционна програма'!H$57:H$58)+SUMIF('9.Инвестиционна програма'!$B$60:$B$67,$B12,'9.Инвестиционна програма'!H$60:H$67))*$E$5</f>
        <v>0</v>
      </c>
      <c r="AD12" s="932">
        <f>(SUMIF('9.Инвестиционна програма'!$B$57:$B$58,$B12,'9.Инвестиционна програма'!I$57:I$58)+SUMIF('9.Инвестиционна програма'!$B$60:$B$67,$B12,'9.Инвестиционна програма'!I$60:I$67))*$E$5</f>
        <v>0</v>
      </c>
      <c r="AE12" s="932">
        <f>(SUMIF('9.Инвестиционна програма'!$B$57:$B$58,$B12,'9.Инвестиционна програма'!J$57:J$58)+SUMIF('9.Инвестиционна програма'!$B$60:$B$67,$B12,'9.Инвестиционна програма'!J$60:J$67))*$E$5</f>
        <v>0</v>
      </c>
      <c r="AF12" s="933">
        <f>(SUMIF('9.Инвестиционна програма'!$B$57:$B$58,$B12,'9.Инвестиционна програма'!K$57:K$58)+SUMIF('9.Инвестиционна програма'!$B$60:$B$67,$B12,'9.Инвестиционна програма'!K$60:K$67))*$E$5</f>
        <v>0</v>
      </c>
      <c r="AG12" s="512"/>
      <c r="AH12" s="566"/>
    </row>
    <row r="13" spans="1:35" s="294" customFormat="1">
      <c r="A13" s="279"/>
      <c r="B13" s="1629">
        <v>20102</v>
      </c>
      <c r="C13" s="1630">
        <v>0</v>
      </c>
      <c r="D13" s="1637" t="s">
        <v>760</v>
      </c>
      <c r="E13" s="929">
        <f>'11.2. Нови активи отч.год.'!E14</f>
        <v>0</v>
      </c>
      <c r="F13" s="885">
        <f>SUMIF('9.Инвестиционна програма'!$B$11:$B$34,$B13,'9.Инвестиционна програма'!F$11:F$34)*$E$5</f>
        <v>0</v>
      </c>
      <c r="G13" s="886">
        <f>SUMIF('9.Инвестиционна програма'!$B$11:$B$34,$B13,'9.Инвестиционна програма'!G$11:G$34)*$E$5</f>
        <v>0</v>
      </c>
      <c r="H13" s="886">
        <f>SUMIF('9.Инвестиционна програма'!$B$11:$B$34,$B13,'9.Инвестиционна програма'!H$11:H$34)*$E$5</f>
        <v>0</v>
      </c>
      <c r="I13" s="886">
        <f>SUMIF('9.Инвестиционна програма'!$B$11:$B$34,$B13,'9.Инвестиционна програма'!I$11:I$34)*$E$5</f>
        <v>0</v>
      </c>
      <c r="J13" s="886">
        <f>SUMIF('9.Инвестиционна програма'!$B$11:$B$34,$B13,'9.Инвестиционна програма'!J$11:J$34)*$E$5</f>
        <v>0</v>
      </c>
      <c r="K13" s="887">
        <f>SUMIF('9.Инвестиционна програма'!$B$11:$B$34,$B13,'9.Инвестиционна програма'!K$11:K$34)*$E$5</f>
        <v>0</v>
      </c>
      <c r="L13" s="1486">
        <f>'11.2. Нови активи отч.год.'!L14</f>
        <v>0</v>
      </c>
      <c r="M13" s="934">
        <f>SUMIF('9.Инвестиционна програма'!$B$36:$B$46,$B13,'9.Инвестиционна програма'!F$36:F$46)*$E$5</f>
        <v>0</v>
      </c>
      <c r="N13" s="935">
        <f>SUMIF('9.Инвестиционна програма'!$B$36:$B$46,$B13,'9.Инвестиционна програма'!G$36:G$46)*$E$5</f>
        <v>0</v>
      </c>
      <c r="O13" s="935">
        <f>SUMIF('9.Инвестиционна програма'!$B$36:$B$46,$B13,'9.Инвестиционна програма'!H$36:H$46)*$E$5</f>
        <v>0</v>
      </c>
      <c r="P13" s="935">
        <f>SUMIF('9.Инвестиционна програма'!$B$36:$B$46,$B13,'9.Инвестиционна програма'!I$36:I$46)*$E$5</f>
        <v>0</v>
      </c>
      <c r="Q13" s="935">
        <f>SUMIF('9.Инвестиционна програма'!$B$36:$B$46,$B13,'9.Инвестиционна програма'!J$36:J$46)*$E$5</f>
        <v>0</v>
      </c>
      <c r="R13" s="936">
        <f>SUMIF('9.Инвестиционна програма'!$B$36:$B$46,$B13,'9.Инвестиционна програма'!K$36:K$46)*$E$5</f>
        <v>0</v>
      </c>
      <c r="S13" s="930">
        <f>'11.2. Нови активи отч.год.'!S14</f>
        <v>0</v>
      </c>
      <c r="T13" s="931">
        <f>SUMIF('9.Инвестиционна програма'!$B$48:$B$55,$B13,'9.Инвестиционна програма'!F$48:F$55)*$E$5</f>
        <v>0</v>
      </c>
      <c r="U13" s="931">
        <f>SUMIF('9.Инвестиционна програма'!$B$48:$B$55,$B13,'9.Инвестиционна програма'!G$48:G$55)*$E$5</f>
        <v>0</v>
      </c>
      <c r="V13" s="931">
        <f>SUMIF('9.Инвестиционна програма'!$B$48:$B$55,$B13,'9.Инвестиционна програма'!H$48:H$55)*$E$5</f>
        <v>0</v>
      </c>
      <c r="W13" s="931">
        <f>SUMIF('9.Инвестиционна програма'!$B$48:$B$55,$B13,'9.Инвестиционна програма'!I$48:I$55)*$E$5</f>
        <v>0</v>
      </c>
      <c r="X13" s="931">
        <f>SUMIF('9.Инвестиционна програма'!$B$48:$B$55,$B13,'9.Инвестиционна програма'!J$48:J$55)*$E$5</f>
        <v>0</v>
      </c>
      <c r="Y13" s="931">
        <f>SUMIF('9.Инвестиционна програма'!$B$48:$B$55,$B13,'9.Инвестиционна програма'!K$48:K$55)*$E$5</f>
        <v>0</v>
      </c>
      <c r="Z13" s="930">
        <f>'11.2. Нови активи отч.год.'!Z14</f>
        <v>0</v>
      </c>
      <c r="AA13" s="934">
        <f>(SUMIF('9.Инвестиционна програма'!$B$57:$B$58,$B13,'9.Инвестиционна програма'!F$57:F$58)+SUMIF('9.Инвестиционна програма'!$B$60:$B$67,$B13,'9.Инвестиционна програма'!F$60:F$67))*$E$5</f>
        <v>0</v>
      </c>
      <c r="AB13" s="931">
        <f>(SUMIF('9.Инвестиционна програма'!$B$57:$B$58,$B13,'9.Инвестиционна програма'!G$57:G$58)+SUMIF('9.Инвестиционна програма'!$B$60:$B$67,$B13,'9.Инвестиционна програма'!G$60:G$67))*$E$5</f>
        <v>0</v>
      </c>
      <c r="AC13" s="931">
        <f>(SUMIF('9.Инвестиционна програма'!$B$57:$B$58,$B13,'9.Инвестиционна програма'!H$57:H$58)+SUMIF('9.Инвестиционна програма'!$B$60:$B$67,$B13,'9.Инвестиционна програма'!H$60:H$67))*$E$5</f>
        <v>0</v>
      </c>
      <c r="AD13" s="931">
        <f>(SUMIF('9.Инвестиционна програма'!$B$57:$B$58,$B13,'9.Инвестиционна програма'!I$57:I$58)+SUMIF('9.Инвестиционна програма'!$B$60:$B$67,$B13,'9.Инвестиционна програма'!I$60:I$67))*$E$5</f>
        <v>0</v>
      </c>
      <c r="AE13" s="931">
        <f>(SUMIF('9.Инвестиционна програма'!$B$57:$B$58,$B13,'9.Инвестиционна програма'!J$57:J$58)+SUMIF('9.Инвестиционна програма'!$B$60:$B$67,$B13,'9.Инвестиционна програма'!J$60:J$67))*$E$5</f>
        <v>0</v>
      </c>
      <c r="AF13" s="937">
        <f>(SUMIF('9.Инвестиционна програма'!$B$57:$B$58,$B13,'9.Инвестиционна програма'!K$57:K$58)+SUMIF('9.Инвестиционна програма'!$B$60:$B$67,$B13,'9.Инвестиционна програма'!K$60:K$67))*$E$5</f>
        <v>0</v>
      </c>
      <c r="AG13" s="307"/>
      <c r="AH13" s="566"/>
    </row>
    <row r="14" spans="1:35" s="262" customFormat="1">
      <c r="A14" s="938">
        <v>2</v>
      </c>
      <c r="B14" s="1807">
        <v>202</v>
      </c>
      <c r="C14" s="1808">
        <v>0.03</v>
      </c>
      <c r="D14" s="1809" t="s">
        <v>576</v>
      </c>
      <c r="E14" s="941">
        <f>SUM(E15:E16)</f>
        <v>0</v>
      </c>
      <c r="F14" s="889">
        <f>SUM(F15:F16)</f>
        <v>0</v>
      </c>
      <c r="G14" s="890">
        <f t="shared" ref="G14:AF14" si="3">SUM(G15:G16)</f>
        <v>10</v>
      </c>
      <c r="H14" s="890">
        <f t="shared" si="3"/>
        <v>10</v>
      </c>
      <c r="I14" s="890">
        <f t="shared" si="3"/>
        <v>10</v>
      </c>
      <c r="J14" s="890">
        <f t="shared" si="3"/>
        <v>10</v>
      </c>
      <c r="K14" s="891">
        <f t="shared" si="3"/>
        <v>10</v>
      </c>
      <c r="L14" s="2067">
        <f t="shared" si="3"/>
        <v>0</v>
      </c>
      <c r="M14" s="889">
        <f t="shared" si="3"/>
        <v>0</v>
      </c>
      <c r="N14" s="890">
        <f t="shared" si="3"/>
        <v>0</v>
      </c>
      <c r="O14" s="890">
        <f t="shared" si="3"/>
        <v>0</v>
      </c>
      <c r="P14" s="890">
        <f t="shared" si="3"/>
        <v>0</v>
      </c>
      <c r="Q14" s="890">
        <f t="shared" si="3"/>
        <v>0</v>
      </c>
      <c r="R14" s="891">
        <f t="shared" si="3"/>
        <v>0</v>
      </c>
      <c r="S14" s="888">
        <f t="shared" si="3"/>
        <v>0</v>
      </c>
      <c r="T14" s="892">
        <f t="shared" si="3"/>
        <v>0</v>
      </c>
      <c r="U14" s="890">
        <f t="shared" si="3"/>
        <v>0</v>
      </c>
      <c r="V14" s="890">
        <f t="shared" si="3"/>
        <v>0</v>
      </c>
      <c r="W14" s="890">
        <f t="shared" si="3"/>
        <v>0</v>
      </c>
      <c r="X14" s="890">
        <f t="shared" si="3"/>
        <v>0</v>
      </c>
      <c r="Y14" s="891">
        <f t="shared" si="3"/>
        <v>0</v>
      </c>
      <c r="Z14" s="888">
        <f t="shared" si="3"/>
        <v>0</v>
      </c>
      <c r="AA14" s="892">
        <f t="shared" si="3"/>
        <v>0</v>
      </c>
      <c r="AB14" s="890">
        <f t="shared" si="3"/>
        <v>10</v>
      </c>
      <c r="AC14" s="890">
        <f t="shared" si="3"/>
        <v>10</v>
      </c>
      <c r="AD14" s="890">
        <f t="shared" si="3"/>
        <v>10</v>
      </c>
      <c r="AE14" s="890">
        <f t="shared" si="3"/>
        <v>10</v>
      </c>
      <c r="AF14" s="891">
        <f t="shared" si="3"/>
        <v>10</v>
      </c>
      <c r="AH14" s="565"/>
    </row>
    <row r="15" spans="1:35">
      <c r="A15" s="278"/>
      <c r="B15" s="1631">
        <v>20201</v>
      </c>
      <c r="C15" s="1632">
        <v>0.03</v>
      </c>
      <c r="D15" s="1635" t="s">
        <v>597</v>
      </c>
      <c r="E15" s="929">
        <f>'11.2. Нови активи отч.год.'!E16</f>
        <v>0</v>
      </c>
      <c r="F15" s="885">
        <f>SUMIF('9.Инвестиционна програма'!$B$11:$B$34,$B15,'9.Инвестиционна програма'!F$11:F$34)*$E$5</f>
        <v>0</v>
      </c>
      <c r="G15" s="886">
        <f>SUMIF('9.Инвестиционна програма'!$B$11:$B$34,$B15,'9.Инвестиционна програма'!G$11:G$34)*$E$5</f>
        <v>0</v>
      </c>
      <c r="H15" s="886">
        <f>SUMIF('9.Инвестиционна програма'!$B$11:$B$34,$B15,'9.Инвестиционна програма'!H$11:H$34)*$E$5</f>
        <v>0</v>
      </c>
      <c r="I15" s="886">
        <f>SUMIF('9.Инвестиционна програма'!$B$11:$B$34,$B15,'9.Инвестиционна програма'!I$11:I$34)*$E$5</f>
        <v>0</v>
      </c>
      <c r="J15" s="886">
        <f>SUMIF('9.Инвестиционна програма'!$B$11:$B$34,$B15,'9.Инвестиционна програма'!J$11:J$34)*$E$5</f>
        <v>0</v>
      </c>
      <c r="K15" s="887">
        <f>SUMIF('9.Инвестиционна програма'!$B$11:$B$34,$B15,'9.Инвестиционна програма'!K$11:K$34)*$E$5</f>
        <v>0</v>
      </c>
      <c r="L15" s="1486">
        <f>'11.2. Нови активи отч.год.'!L16</f>
        <v>0</v>
      </c>
      <c r="M15" s="934">
        <f>SUMIF('9.Инвестиционна програма'!$B$36:$B$46,$B15,'9.Инвестиционна програма'!F$36:F$46)*$E$5</f>
        <v>0</v>
      </c>
      <c r="N15" s="935">
        <f>SUMIF('9.Инвестиционна програма'!$B$36:$B$46,$B15,'9.Инвестиционна програма'!G$36:G$46)*$E$5</f>
        <v>0</v>
      </c>
      <c r="O15" s="935">
        <f>SUMIF('9.Инвестиционна програма'!$B$36:$B$46,$B15,'9.Инвестиционна програма'!H$36:H$46)*$E$5</f>
        <v>0</v>
      </c>
      <c r="P15" s="935">
        <f>SUMIF('9.Инвестиционна програма'!$B$36:$B$46,$B15,'9.Инвестиционна програма'!I$36:I$46)*$E$5</f>
        <v>0</v>
      </c>
      <c r="Q15" s="935">
        <f>SUMIF('9.Инвестиционна програма'!$B$36:$B$46,$B15,'9.Инвестиционна програма'!J$36:J$46)*$E$5</f>
        <v>0</v>
      </c>
      <c r="R15" s="936">
        <f>SUMIF('9.Инвестиционна програма'!$B$36:$B$46,$B15,'9.Инвестиционна програма'!K$36:K$46)*$E$5</f>
        <v>0</v>
      </c>
      <c r="S15" s="930">
        <f>'11.2. Нови активи отч.год.'!S16</f>
        <v>0</v>
      </c>
      <c r="T15" s="931">
        <f>SUMIF('9.Инвестиционна програма'!$B$48:$B$55,$B15,'9.Инвестиционна програма'!F$48:F$55)*$E$5</f>
        <v>0</v>
      </c>
      <c r="U15" s="931">
        <f>SUMIF('9.Инвестиционна програма'!$B$48:$B$55,$B15,'9.Инвестиционна програма'!G$48:G$55)*$E$5</f>
        <v>0</v>
      </c>
      <c r="V15" s="931">
        <f>SUMIF('9.Инвестиционна програма'!$B$48:$B$55,$B15,'9.Инвестиционна програма'!H$48:H$55)*$E$5</f>
        <v>0</v>
      </c>
      <c r="W15" s="931">
        <f>SUMIF('9.Инвестиционна програма'!$B$48:$B$55,$B15,'9.Инвестиционна програма'!I$48:I$55)*$E$5</f>
        <v>0</v>
      </c>
      <c r="X15" s="931">
        <f>SUMIF('9.Инвестиционна програма'!$B$48:$B$55,$B15,'9.Инвестиционна програма'!J$48:J$55)*$E$5</f>
        <v>0</v>
      </c>
      <c r="Y15" s="931">
        <f>SUMIF('9.Инвестиционна програма'!$B$48:$B$55,$B15,'9.Инвестиционна програма'!K$48:K$55)*$E$5</f>
        <v>0</v>
      </c>
      <c r="Z15" s="930">
        <f>'11.2. Нови активи отч.год.'!Z16</f>
        <v>0</v>
      </c>
      <c r="AA15" s="934">
        <f>(SUMIF('9.Инвестиционна програма'!$B$57:$B$58,$B15,'9.Инвестиционна програма'!F$57:F$58)+SUMIF('9.Инвестиционна програма'!$B$60:$B$67,$B15,'9.Инвестиционна програма'!F$60:F$67))*$E$5</f>
        <v>0</v>
      </c>
      <c r="AB15" s="931">
        <f>(SUMIF('9.Инвестиционна програма'!$B$57:$B$58,$B15,'9.Инвестиционна програма'!G$57:G$58)+SUMIF('9.Инвестиционна програма'!$B$60:$B$67,$B15,'9.Инвестиционна програма'!G$60:G$67))*$E$5</f>
        <v>10</v>
      </c>
      <c r="AC15" s="931">
        <f>(SUMIF('9.Инвестиционна програма'!$B$57:$B$58,$B15,'9.Инвестиционна програма'!H$57:H$58)+SUMIF('9.Инвестиционна програма'!$B$60:$B$67,$B15,'9.Инвестиционна програма'!H$60:H$67))*$E$5</f>
        <v>10</v>
      </c>
      <c r="AD15" s="931">
        <f>(SUMIF('9.Инвестиционна програма'!$B$57:$B$58,$B15,'9.Инвестиционна програма'!I$57:I$58)+SUMIF('9.Инвестиционна програма'!$B$60:$B$67,$B15,'9.Инвестиционна програма'!I$60:I$67))*$E$5</f>
        <v>10</v>
      </c>
      <c r="AE15" s="931">
        <f>(SUMIF('9.Инвестиционна програма'!$B$57:$B$58,$B15,'9.Инвестиционна програма'!J$57:J$58)+SUMIF('9.Инвестиционна програма'!$B$60:$B$67,$B15,'9.Инвестиционна програма'!J$60:J$67))*$E$5</f>
        <v>10</v>
      </c>
      <c r="AF15" s="937">
        <f>(SUMIF('9.Инвестиционна програма'!$B$57:$B$58,$B15,'9.Инвестиционна програма'!K$57:K$58)+SUMIF('9.Инвестиционна програма'!$B$60:$B$67,$B15,'9.Инвестиционна програма'!K$60:K$67))*$E$5</f>
        <v>10</v>
      </c>
      <c r="AG15" s="307"/>
      <c r="AH15" s="566"/>
    </row>
    <row r="16" spans="1:35">
      <c r="A16" s="278"/>
      <c r="B16" s="1631">
        <v>20202</v>
      </c>
      <c r="C16" s="1632">
        <v>0.03</v>
      </c>
      <c r="D16" s="1635" t="s">
        <v>598</v>
      </c>
      <c r="E16" s="929">
        <f>'11.2. Нови активи отч.год.'!E17</f>
        <v>0</v>
      </c>
      <c r="F16" s="885">
        <f>SUMIF('9.Инвестиционна програма'!$B$11:$B$34,$B16,'9.Инвестиционна програма'!F$11:F$34)*$E$5</f>
        <v>0</v>
      </c>
      <c r="G16" s="886">
        <f>SUMIF('9.Инвестиционна програма'!$B$11:$B$34,$B16,'9.Инвестиционна програма'!G$11:G$34)*$E$5</f>
        <v>10</v>
      </c>
      <c r="H16" s="886">
        <f>SUMIF('9.Инвестиционна програма'!$B$11:$B$34,$B16,'9.Инвестиционна програма'!H$11:H$34)*$E$5</f>
        <v>10</v>
      </c>
      <c r="I16" s="886">
        <f>SUMIF('9.Инвестиционна програма'!$B$11:$B$34,$B16,'9.Инвестиционна програма'!I$11:I$34)*$E$5</f>
        <v>10</v>
      </c>
      <c r="J16" s="886">
        <f>SUMIF('9.Инвестиционна програма'!$B$11:$B$34,$B16,'9.Инвестиционна програма'!J$11:J$34)*$E$5</f>
        <v>10</v>
      </c>
      <c r="K16" s="887">
        <f>SUMIF('9.Инвестиционна програма'!$B$11:$B$34,$B16,'9.Инвестиционна програма'!K$11:K$34)*$E$5</f>
        <v>10</v>
      </c>
      <c r="L16" s="1486">
        <f>'11.2. Нови активи отч.год.'!L17</f>
        <v>0</v>
      </c>
      <c r="M16" s="934">
        <f>SUMIF('9.Инвестиционна програма'!$B$36:$B$46,$B16,'9.Инвестиционна програма'!F$36:F$46)*$E$5</f>
        <v>0</v>
      </c>
      <c r="N16" s="935">
        <f>SUMIF('9.Инвестиционна програма'!$B$36:$B$46,$B16,'9.Инвестиционна програма'!G$36:G$46)*$E$5</f>
        <v>0</v>
      </c>
      <c r="O16" s="935">
        <f>SUMIF('9.Инвестиционна програма'!$B$36:$B$46,$B16,'9.Инвестиционна програма'!H$36:H$46)*$E$5</f>
        <v>0</v>
      </c>
      <c r="P16" s="935">
        <f>SUMIF('9.Инвестиционна програма'!$B$36:$B$46,$B16,'9.Инвестиционна програма'!I$36:I$46)*$E$5</f>
        <v>0</v>
      </c>
      <c r="Q16" s="935">
        <f>SUMIF('9.Инвестиционна програма'!$B$36:$B$46,$B16,'9.Инвестиционна програма'!J$36:J$46)*$E$5</f>
        <v>0</v>
      </c>
      <c r="R16" s="936">
        <f>SUMIF('9.Инвестиционна програма'!$B$36:$B$46,$B16,'9.Инвестиционна програма'!K$36:K$46)*$E$5</f>
        <v>0</v>
      </c>
      <c r="S16" s="930">
        <f>'11.2. Нови активи отч.год.'!S17</f>
        <v>0</v>
      </c>
      <c r="T16" s="931">
        <f>SUMIF('9.Инвестиционна програма'!$B$48:$B$55,$B16,'9.Инвестиционна програма'!F$48:F$55)*$E$5</f>
        <v>0</v>
      </c>
      <c r="U16" s="931">
        <f>SUMIF('9.Инвестиционна програма'!$B$48:$B$55,$B16,'9.Инвестиционна програма'!G$48:G$55)*$E$5</f>
        <v>0</v>
      </c>
      <c r="V16" s="931">
        <f>SUMIF('9.Инвестиционна програма'!$B$48:$B$55,$B16,'9.Инвестиционна програма'!H$48:H$55)*$E$5</f>
        <v>0</v>
      </c>
      <c r="W16" s="931">
        <f>SUMIF('9.Инвестиционна програма'!$B$48:$B$55,$B16,'9.Инвестиционна програма'!I$48:I$55)*$E$5</f>
        <v>0</v>
      </c>
      <c r="X16" s="931">
        <f>SUMIF('9.Инвестиционна програма'!$B$48:$B$55,$B16,'9.Инвестиционна програма'!J$48:J$55)*$E$5</f>
        <v>0</v>
      </c>
      <c r="Y16" s="931">
        <f>SUMIF('9.Инвестиционна програма'!$B$48:$B$55,$B16,'9.Инвестиционна програма'!K$48:K$55)*$E$5</f>
        <v>0</v>
      </c>
      <c r="Z16" s="930">
        <f>'11.2. Нови активи отч.год.'!Z17</f>
        <v>0</v>
      </c>
      <c r="AA16" s="934">
        <f>(SUMIF('9.Инвестиционна програма'!$B$57:$B$58,$B16,'9.Инвестиционна програма'!F$57:F$58)+SUMIF('9.Инвестиционна програма'!$B$60:$B$67,$B16,'9.Инвестиционна програма'!F$60:F$67))*$E$5</f>
        <v>0</v>
      </c>
      <c r="AB16" s="931">
        <f>(SUMIF('9.Инвестиционна програма'!$B$57:$B$58,$B16,'9.Инвестиционна програма'!G$57:G$58)+SUMIF('9.Инвестиционна програма'!$B$60:$B$67,$B16,'9.Инвестиционна програма'!G$60:G$67))*$E$5</f>
        <v>0</v>
      </c>
      <c r="AC16" s="931">
        <f>(SUMIF('9.Инвестиционна програма'!$B$57:$B$58,$B16,'9.Инвестиционна програма'!H$57:H$58)+SUMIF('9.Инвестиционна програма'!$B$60:$B$67,$B16,'9.Инвестиционна програма'!H$60:H$67))*$E$5</f>
        <v>0</v>
      </c>
      <c r="AD16" s="931">
        <f>(SUMIF('9.Инвестиционна програма'!$B$57:$B$58,$B16,'9.Инвестиционна програма'!I$57:I$58)+SUMIF('9.Инвестиционна програма'!$B$60:$B$67,$B16,'9.Инвестиционна програма'!I$60:I$67))*$E$5</f>
        <v>0</v>
      </c>
      <c r="AE16" s="931">
        <f>(SUMIF('9.Инвестиционна програма'!$B$57:$B$58,$B16,'9.Инвестиционна програма'!J$57:J$58)+SUMIF('9.Инвестиционна програма'!$B$60:$B$67,$B16,'9.Инвестиционна програма'!J$60:J$67))*$E$5</f>
        <v>0</v>
      </c>
      <c r="AF16" s="937">
        <f>(SUMIF('9.Инвестиционна програма'!$B$57:$B$58,$B16,'9.Инвестиционна програма'!K$57:K$58)+SUMIF('9.Инвестиционна програма'!$B$60:$B$67,$B16,'9.Инвестиционна програма'!K$60:K$67))*$E$5</f>
        <v>0</v>
      </c>
      <c r="AG16" s="307"/>
      <c r="AH16" s="566"/>
    </row>
    <row r="17" spans="1:34" s="317" customFormat="1" ht="12.75" customHeight="1">
      <c r="A17" s="942">
        <v>3</v>
      </c>
      <c r="B17" s="1807">
        <v>203</v>
      </c>
      <c r="C17" s="1808"/>
      <c r="D17" s="1810" t="s">
        <v>577</v>
      </c>
      <c r="E17" s="944">
        <f t="shared" ref="E17:AF17" si="4">SUM(E18:E28)-E21-E24</f>
        <v>57</v>
      </c>
      <c r="F17" s="889">
        <f t="shared" si="4"/>
        <v>522</v>
      </c>
      <c r="G17" s="890">
        <f t="shared" si="4"/>
        <v>461</v>
      </c>
      <c r="H17" s="890">
        <f t="shared" si="4"/>
        <v>269</v>
      </c>
      <c r="I17" s="890">
        <f t="shared" si="4"/>
        <v>219</v>
      </c>
      <c r="J17" s="890">
        <f t="shared" si="4"/>
        <v>178</v>
      </c>
      <c r="K17" s="891">
        <f t="shared" si="4"/>
        <v>178</v>
      </c>
      <c r="L17" s="2067">
        <f t="shared" si="4"/>
        <v>0</v>
      </c>
      <c r="M17" s="889">
        <f t="shared" si="4"/>
        <v>5</v>
      </c>
      <c r="N17" s="890">
        <f t="shared" si="4"/>
        <v>14</v>
      </c>
      <c r="O17" s="890">
        <f t="shared" si="4"/>
        <v>14</v>
      </c>
      <c r="P17" s="890">
        <f t="shared" si="4"/>
        <v>14</v>
      </c>
      <c r="Q17" s="890">
        <f t="shared" si="4"/>
        <v>14</v>
      </c>
      <c r="R17" s="891">
        <f t="shared" si="4"/>
        <v>14</v>
      </c>
      <c r="S17" s="888">
        <f t="shared" si="4"/>
        <v>2</v>
      </c>
      <c r="T17" s="892">
        <f t="shared" si="4"/>
        <v>0</v>
      </c>
      <c r="U17" s="890">
        <f t="shared" si="4"/>
        <v>75</v>
      </c>
      <c r="V17" s="890">
        <f t="shared" si="4"/>
        <v>83</v>
      </c>
      <c r="W17" s="890">
        <f t="shared" si="4"/>
        <v>126</v>
      </c>
      <c r="X17" s="890">
        <f t="shared" si="4"/>
        <v>118</v>
      </c>
      <c r="Y17" s="891">
        <f t="shared" si="4"/>
        <v>98</v>
      </c>
      <c r="Z17" s="888">
        <f t="shared" si="4"/>
        <v>0</v>
      </c>
      <c r="AA17" s="892">
        <f t="shared" si="4"/>
        <v>674</v>
      </c>
      <c r="AB17" s="890">
        <f t="shared" si="4"/>
        <v>998</v>
      </c>
      <c r="AC17" s="890">
        <f t="shared" si="4"/>
        <v>623</v>
      </c>
      <c r="AD17" s="890">
        <f t="shared" si="4"/>
        <v>623</v>
      </c>
      <c r="AE17" s="890">
        <f t="shared" si="4"/>
        <v>623</v>
      </c>
      <c r="AF17" s="891">
        <f t="shared" si="4"/>
        <v>623</v>
      </c>
      <c r="AH17" s="567"/>
    </row>
    <row r="18" spans="1:34">
      <c r="A18" s="278"/>
      <c r="B18" s="1631">
        <v>20301</v>
      </c>
      <c r="C18" s="1632">
        <v>0.1</v>
      </c>
      <c r="D18" s="1625" t="s">
        <v>599</v>
      </c>
      <c r="E18" s="929">
        <f>'11.2. Нови активи отч.год.'!E19</f>
        <v>0</v>
      </c>
      <c r="F18" s="885">
        <f>SUMIF('9.Инвестиционна програма'!$B$11:$B$34,$B18,'9.Инвестиционна програма'!F$11:F$34)*$E$5</f>
        <v>0</v>
      </c>
      <c r="G18" s="886">
        <f>SUMIF('9.Инвестиционна програма'!$B$11:$B$34,$B18,'9.Инвестиционна програма'!G$11:G$34)*$E$5</f>
        <v>0</v>
      </c>
      <c r="H18" s="886">
        <f>SUMIF('9.Инвестиционна програма'!$B$11:$B$34,$B18,'9.Инвестиционна програма'!H$11:H$34)*$E$5</f>
        <v>0</v>
      </c>
      <c r="I18" s="886">
        <f>SUMIF('9.Инвестиционна програма'!$B$11:$B$34,$B18,'9.Инвестиционна програма'!I$11:I$34)*$E$5</f>
        <v>0</v>
      </c>
      <c r="J18" s="886">
        <f>SUMIF('9.Инвестиционна програма'!$B$11:$B$34,$B18,'9.Инвестиционна програма'!J$11:J$34)*$E$5</f>
        <v>0</v>
      </c>
      <c r="K18" s="887">
        <f>SUMIF('9.Инвестиционна програма'!$B$11:$B$34,$B18,'9.Инвестиционна програма'!K$11:K$34)*$E$5</f>
        <v>0</v>
      </c>
      <c r="L18" s="1486">
        <f>'11.2. Нови активи отч.год.'!L19</f>
        <v>0</v>
      </c>
      <c r="M18" s="934">
        <f>SUMIF('9.Инвестиционна програма'!$B$36:$B$46,$B18,'9.Инвестиционна програма'!F$36:F$46)*$E$5</f>
        <v>0</v>
      </c>
      <c r="N18" s="935">
        <f>SUMIF('9.Инвестиционна програма'!$B$36:$B$46,$B18,'9.Инвестиционна програма'!G$36:G$46)*$E$5</f>
        <v>0</v>
      </c>
      <c r="O18" s="935">
        <f>SUMIF('9.Инвестиционна програма'!$B$36:$B$46,$B18,'9.Инвестиционна програма'!H$36:H$46)*$E$5</f>
        <v>0</v>
      </c>
      <c r="P18" s="935">
        <f>SUMIF('9.Инвестиционна програма'!$B$36:$B$46,$B18,'9.Инвестиционна програма'!I$36:I$46)*$E$5</f>
        <v>0</v>
      </c>
      <c r="Q18" s="935">
        <f>SUMIF('9.Инвестиционна програма'!$B$36:$B$46,$B18,'9.Инвестиционна програма'!J$36:J$46)*$E$5</f>
        <v>0</v>
      </c>
      <c r="R18" s="936">
        <f>SUMIF('9.Инвестиционна програма'!$B$36:$B$46,$B18,'9.Инвестиционна програма'!K$36:K$46)*$E$5</f>
        <v>0</v>
      </c>
      <c r="S18" s="930">
        <f>'11.2. Нови активи отч.год.'!S19</f>
        <v>0</v>
      </c>
      <c r="T18" s="931">
        <f>SUMIF('9.Инвестиционна програма'!$B$48:$B$55,$B18,'9.Инвестиционна програма'!F$48:F$55)*$E$5</f>
        <v>0</v>
      </c>
      <c r="U18" s="931">
        <f>SUMIF('9.Инвестиционна програма'!$B$48:$B$55,$B18,'9.Инвестиционна програма'!G$48:G$55)*$E$5</f>
        <v>0</v>
      </c>
      <c r="V18" s="931">
        <f>SUMIF('9.Инвестиционна програма'!$B$48:$B$55,$B18,'9.Инвестиционна програма'!H$48:H$55)*$E$5</f>
        <v>0</v>
      </c>
      <c r="W18" s="931">
        <f>SUMIF('9.Инвестиционна програма'!$B$48:$B$55,$B18,'9.Инвестиционна програма'!I$48:I$55)*$E$5</f>
        <v>0</v>
      </c>
      <c r="X18" s="931">
        <f>SUMIF('9.Инвестиционна програма'!$B$48:$B$55,$B18,'9.Инвестиционна програма'!J$48:J$55)*$E$5</f>
        <v>0</v>
      </c>
      <c r="Y18" s="931">
        <f>SUMIF('9.Инвестиционна програма'!$B$48:$B$55,$B18,'9.Инвестиционна програма'!K$48:K$55)*$E$5</f>
        <v>0</v>
      </c>
      <c r="Z18" s="930">
        <f>'11.2. Нови активи отч.год.'!Z19</f>
        <v>0</v>
      </c>
      <c r="AA18" s="934">
        <f>(SUMIF('9.Инвестиционна програма'!$B$57:$B$58,$B18,'9.Инвестиционна програма'!F$57:F$58)+SUMIF('9.Инвестиционна програма'!$B$60:$B$67,$B18,'9.Инвестиционна програма'!F$60:F$67))*$E$5</f>
        <v>0</v>
      </c>
      <c r="AB18" s="931">
        <f>(SUMIF('9.Инвестиционна програма'!$B$57:$B$58,$B18,'9.Инвестиционна програма'!G$57:G$58)+SUMIF('9.Инвестиционна програма'!$B$60:$B$67,$B18,'9.Инвестиционна програма'!G$60:G$67))*$E$5</f>
        <v>0</v>
      </c>
      <c r="AC18" s="931">
        <f>(SUMIF('9.Инвестиционна програма'!$B$57:$B$58,$B18,'9.Инвестиционна програма'!H$57:H$58)+SUMIF('9.Инвестиционна програма'!$B$60:$B$67,$B18,'9.Инвестиционна програма'!H$60:H$67))*$E$5</f>
        <v>0</v>
      </c>
      <c r="AD18" s="931">
        <f>(SUMIF('9.Инвестиционна програма'!$B$57:$B$58,$B18,'9.Инвестиционна програма'!I$57:I$58)+SUMIF('9.Инвестиционна програма'!$B$60:$B$67,$B18,'9.Инвестиционна програма'!I$60:I$67))*$E$5</f>
        <v>0</v>
      </c>
      <c r="AE18" s="931">
        <f>(SUMIF('9.Инвестиционна програма'!$B$57:$B$58,$B18,'9.Инвестиционна програма'!J$57:J$58)+SUMIF('9.Инвестиционна програма'!$B$60:$B$67,$B18,'9.Инвестиционна програма'!J$60:J$67))*$E$5</f>
        <v>0</v>
      </c>
      <c r="AF18" s="937">
        <f>(SUMIF('9.Инвестиционна програма'!$B$57:$B$58,$B18,'9.Инвестиционна програма'!K$57:K$58)+SUMIF('9.Инвестиционна програма'!$B$60:$B$67,$B18,'9.Инвестиционна програма'!K$60:K$67))*$E$5</f>
        <v>0</v>
      </c>
      <c r="AG18" s="307"/>
      <c r="AH18" s="566"/>
    </row>
    <row r="19" spans="1:34">
      <c r="A19" s="278"/>
      <c r="B19" s="1631">
        <v>20302</v>
      </c>
      <c r="C19" s="1632">
        <v>0.1</v>
      </c>
      <c r="D19" s="1625" t="s">
        <v>600</v>
      </c>
      <c r="E19" s="929">
        <f>'11.2. Нови активи отч.год.'!E20</f>
        <v>0</v>
      </c>
      <c r="F19" s="885">
        <f>SUMIF('9.Инвестиционна програма'!$B$11:$B$34,$B19,'9.Инвестиционна програма'!F$11:F$34)*$E$5</f>
        <v>0</v>
      </c>
      <c r="G19" s="886">
        <f>SUMIF('9.Инвестиционна програма'!$B$11:$B$34,$B19,'9.Инвестиционна програма'!G$11:G$34)*$E$5</f>
        <v>5</v>
      </c>
      <c r="H19" s="886">
        <f>SUMIF('9.Инвестиционна програма'!$B$11:$B$34,$B19,'9.Инвестиционна програма'!H$11:H$34)*$E$5</f>
        <v>5</v>
      </c>
      <c r="I19" s="886">
        <f>SUMIF('9.Инвестиционна програма'!$B$11:$B$34,$B19,'9.Инвестиционна програма'!I$11:I$34)*$E$5</f>
        <v>5</v>
      </c>
      <c r="J19" s="886">
        <f>SUMIF('9.Инвестиционна програма'!$B$11:$B$34,$B19,'9.Инвестиционна програма'!J$11:J$34)*$E$5</f>
        <v>5</v>
      </c>
      <c r="K19" s="887">
        <f>SUMIF('9.Инвестиционна програма'!$B$11:$B$34,$B19,'9.Инвестиционна програма'!K$11:K$34)*$E$5</f>
        <v>5</v>
      </c>
      <c r="L19" s="1486">
        <f>'11.2. Нови активи отч.год.'!L20</f>
        <v>0</v>
      </c>
      <c r="M19" s="934">
        <f>SUMIF('9.Инвестиционна програма'!$B$36:$B$46,$B19,'9.Инвестиционна програма'!F$36:F$46)*$E$5</f>
        <v>0</v>
      </c>
      <c r="N19" s="935">
        <f>SUMIF('9.Инвестиционна програма'!$B$36:$B$46,$B19,'9.Инвестиционна програма'!G$36:G$46)*$E$5</f>
        <v>0</v>
      </c>
      <c r="O19" s="935">
        <f>SUMIF('9.Инвестиционна програма'!$B$36:$B$46,$B19,'9.Инвестиционна програма'!H$36:H$46)*$E$5</f>
        <v>0</v>
      </c>
      <c r="P19" s="935">
        <f>SUMIF('9.Инвестиционна програма'!$B$36:$B$46,$B19,'9.Инвестиционна програма'!I$36:I$46)*$E$5</f>
        <v>0</v>
      </c>
      <c r="Q19" s="935">
        <f>SUMIF('9.Инвестиционна програма'!$B$36:$B$46,$B19,'9.Инвестиционна програма'!J$36:J$46)*$E$5</f>
        <v>0</v>
      </c>
      <c r="R19" s="936">
        <f>SUMIF('9.Инвестиционна програма'!$B$36:$B$46,$B19,'9.Инвестиционна програма'!K$36:K$46)*$E$5</f>
        <v>0</v>
      </c>
      <c r="S19" s="930">
        <f>'11.2. Нови активи отч.год.'!S20</f>
        <v>0</v>
      </c>
      <c r="T19" s="931">
        <f>SUMIF('9.Инвестиционна програма'!$B$48:$B$55,$B19,'9.Инвестиционна програма'!F$48:F$55)*$E$5</f>
        <v>0</v>
      </c>
      <c r="U19" s="931">
        <f>SUMIF('9.Инвестиционна програма'!$B$48:$B$55,$B19,'9.Инвестиционна програма'!G$48:G$55)*$E$5</f>
        <v>49</v>
      </c>
      <c r="V19" s="931">
        <f>SUMIF('9.Инвестиционна програма'!$B$48:$B$55,$B19,'9.Инвестиционна програма'!H$48:H$55)*$E$5</f>
        <v>53</v>
      </c>
      <c r="W19" s="931">
        <f>SUMIF('9.Инвестиционна програма'!$B$48:$B$55,$B19,'9.Инвестиционна програма'!I$48:I$55)*$E$5</f>
        <v>91</v>
      </c>
      <c r="X19" s="931">
        <f>SUMIF('9.Инвестиционна програма'!$B$48:$B$55,$B19,'9.Инвестиционна програма'!J$48:J$55)*$E$5</f>
        <v>78</v>
      </c>
      <c r="Y19" s="931">
        <f>SUMIF('9.Инвестиционна програма'!$B$48:$B$55,$B19,'9.Инвестиционна програма'!K$48:K$55)*$E$5</f>
        <v>48</v>
      </c>
      <c r="Z19" s="930">
        <f>'11.2. Нови активи отч.год.'!Z20</f>
        <v>0</v>
      </c>
      <c r="AA19" s="934">
        <f>(SUMIF('9.Инвестиционна програма'!$B$57:$B$58,$B19,'9.Инвестиционна програма'!F$57:F$58)+SUMIF('9.Инвестиционна програма'!$B$60:$B$67,$B19,'9.Инвестиционна програма'!F$60:F$67))*$E$5</f>
        <v>0</v>
      </c>
      <c r="AB19" s="931">
        <f>(SUMIF('9.Инвестиционна програма'!$B$57:$B$58,$B19,'9.Инвестиционна програма'!G$57:G$58)+SUMIF('9.Инвестиционна програма'!$B$60:$B$67,$B19,'9.Инвестиционна програма'!G$60:G$67))*$E$5</f>
        <v>0</v>
      </c>
      <c r="AC19" s="931">
        <f>(SUMIF('9.Инвестиционна програма'!$B$57:$B$58,$B19,'9.Инвестиционна програма'!H$57:H$58)+SUMIF('9.Инвестиционна програма'!$B$60:$B$67,$B19,'9.Инвестиционна програма'!H$60:H$67))*$E$5</f>
        <v>0</v>
      </c>
      <c r="AD19" s="931">
        <f>(SUMIF('9.Инвестиционна програма'!$B$57:$B$58,$B19,'9.Инвестиционна програма'!I$57:I$58)+SUMIF('9.Инвестиционна програма'!$B$60:$B$67,$B19,'9.Инвестиционна програма'!I$60:I$67))*$E$5</f>
        <v>0</v>
      </c>
      <c r="AE19" s="931">
        <f>(SUMIF('9.Инвестиционна програма'!$B$57:$B$58,$B19,'9.Инвестиционна програма'!J$57:J$58)+SUMIF('9.Инвестиционна програма'!$B$60:$B$67,$B19,'9.Инвестиционна програма'!J$60:J$67))*$E$5</f>
        <v>0</v>
      </c>
      <c r="AF19" s="937">
        <f>(SUMIF('9.Инвестиционна програма'!$B$57:$B$58,$B19,'9.Инвестиционна програма'!K$57:K$58)+SUMIF('9.Инвестиционна програма'!$B$60:$B$67,$B19,'9.Инвестиционна програма'!K$60:K$67))*$E$5</f>
        <v>0</v>
      </c>
      <c r="AG19" s="307"/>
      <c r="AH19" s="566"/>
    </row>
    <row r="20" spans="1:34">
      <c r="A20" s="278"/>
      <c r="B20" s="1631">
        <v>20303</v>
      </c>
      <c r="C20" s="1632">
        <v>0.1</v>
      </c>
      <c r="D20" s="1625" t="s">
        <v>578</v>
      </c>
      <c r="E20" s="929">
        <f>'11.2. Нови активи отч.год.'!E21</f>
        <v>0</v>
      </c>
      <c r="F20" s="885">
        <f>SUMIF('9.Инвестиционна програма'!$B$11:$B$34,$B20,'9.Инвестиционна програма'!F$11:F$34)*$E$5</f>
        <v>0</v>
      </c>
      <c r="G20" s="886">
        <f>SUMIF('9.Инвестиционна програма'!$B$11:$B$34,$B20,'9.Инвестиционна програма'!G$11:G$34)*$E$5</f>
        <v>0</v>
      </c>
      <c r="H20" s="886">
        <f>SUMIF('9.Инвестиционна програма'!$B$11:$B$34,$B20,'9.Инвестиционна програма'!H$11:H$34)*$E$5</f>
        <v>55</v>
      </c>
      <c r="I20" s="886">
        <f>SUMIF('9.Инвестиционна програма'!$B$11:$B$34,$B20,'9.Инвестиционна програма'!I$11:I$34)*$E$5</f>
        <v>30</v>
      </c>
      <c r="J20" s="886">
        <f>SUMIF('9.Инвестиционна програма'!$B$11:$B$34,$B20,'9.Инвестиционна програма'!J$11:J$34)*$E$5</f>
        <v>0</v>
      </c>
      <c r="K20" s="887">
        <f>SUMIF('9.Инвестиционна програма'!$B$11:$B$34,$B20,'9.Инвестиционна програма'!K$11:K$34)*$E$5</f>
        <v>0</v>
      </c>
      <c r="L20" s="1486">
        <f>'11.2. Нови активи отч.год.'!L21</f>
        <v>0</v>
      </c>
      <c r="M20" s="934">
        <f>SUMIF('9.Инвестиционна програма'!$B$36:$B$46,$B20,'9.Инвестиционна програма'!F$36:F$46)*$E$5</f>
        <v>0</v>
      </c>
      <c r="N20" s="935">
        <f>SUMIF('9.Инвестиционна програма'!$B$36:$B$46,$B20,'9.Инвестиционна програма'!G$36:G$46)*$E$5</f>
        <v>9</v>
      </c>
      <c r="O20" s="935">
        <f>SUMIF('9.Инвестиционна програма'!$B$36:$B$46,$B20,'9.Инвестиционна програма'!H$36:H$46)*$E$5</f>
        <v>9</v>
      </c>
      <c r="P20" s="935">
        <f>SUMIF('9.Инвестиционна програма'!$B$36:$B$46,$B20,'9.Инвестиционна програма'!I$36:I$46)*$E$5</f>
        <v>9</v>
      </c>
      <c r="Q20" s="935">
        <f>SUMIF('9.Инвестиционна програма'!$B$36:$B$46,$B20,'9.Инвестиционна програма'!J$36:J$46)*$E$5</f>
        <v>9</v>
      </c>
      <c r="R20" s="936">
        <f>SUMIF('9.Инвестиционна програма'!$B$36:$B$46,$B20,'9.Инвестиционна програма'!K$36:K$46)*$E$5</f>
        <v>9</v>
      </c>
      <c r="S20" s="930">
        <f>'11.2. Нови активи отч.год.'!S21</f>
        <v>0</v>
      </c>
      <c r="T20" s="931">
        <f>SUMIF('9.Инвестиционна програма'!$B$48:$B$55,$B20,'9.Инвестиционна програма'!F$48:F$55)*$E$5</f>
        <v>0</v>
      </c>
      <c r="U20" s="931">
        <f>SUMIF('9.Инвестиционна програма'!$B$48:$B$55,$B20,'9.Инвестиционна програма'!G$48:G$55)*$E$5</f>
        <v>0</v>
      </c>
      <c r="V20" s="931">
        <f>SUMIF('9.Инвестиционна програма'!$B$48:$B$55,$B20,'9.Инвестиционна програма'!H$48:H$55)*$E$5</f>
        <v>0</v>
      </c>
      <c r="W20" s="931">
        <f>SUMIF('9.Инвестиционна програма'!$B$48:$B$55,$B20,'9.Инвестиционна програма'!I$48:I$55)*$E$5</f>
        <v>5</v>
      </c>
      <c r="X20" s="931">
        <f>SUMIF('9.Инвестиционна програма'!$B$48:$B$55,$B20,'9.Инвестиционна програма'!J$48:J$55)*$E$5</f>
        <v>10</v>
      </c>
      <c r="Y20" s="931">
        <f>SUMIF('9.Инвестиционна програма'!$B$48:$B$55,$B20,'9.Инвестиционна програма'!K$48:K$55)*$E$5</f>
        <v>20</v>
      </c>
      <c r="Z20" s="930">
        <f>'11.2. Нови активи отч.год.'!Z21</f>
        <v>0</v>
      </c>
      <c r="AA20" s="934">
        <f>(SUMIF('9.Инвестиционна програма'!$B$57:$B$58,$B20,'9.Инвестиционна програма'!F$57:F$58)+SUMIF('9.Инвестиционна програма'!$B$60:$B$67,$B20,'9.Инвестиционна програма'!F$60:F$67))*$E$5</f>
        <v>0</v>
      </c>
      <c r="AB20" s="931">
        <f>(SUMIF('9.Инвестиционна програма'!$B$57:$B$58,$B20,'9.Инвестиционна програма'!G$57:G$58)+SUMIF('9.Инвестиционна програма'!$B$60:$B$67,$B20,'9.Инвестиционна програма'!G$60:G$67))*$E$5</f>
        <v>0</v>
      </c>
      <c r="AC20" s="931">
        <f>(SUMIF('9.Инвестиционна програма'!$B$57:$B$58,$B20,'9.Инвестиционна програма'!H$57:H$58)+SUMIF('9.Инвестиционна програма'!$B$60:$B$67,$B20,'9.Инвестиционна програма'!H$60:H$67))*$E$5</f>
        <v>0</v>
      </c>
      <c r="AD20" s="931">
        <f>(SUMIF('9.Инвестиционна програма'!$B$57:$B$58,$B20,'9.Инвестиционна програма'!I$57:I$58)+SUMIF('9.Инвестиционна програма'!$B$60:$B$67,$B20,'9.Инвестиционна програма'!I$60:I$67))*$E$5</f>
        <v>0</v>
      </c>
      <c r="AE20" s="931">
        <f>(SUMIF('9.Инвестиционна програма'!$B$57:$B$58,$B20,'9.Инвестиционна програма'!J$57:J$58)+SUMIF('9.Инвестиционна програма'!$B$60:$B$67,$B20,'9.Инвестиционна програма'!J$60:J$67))*$E$5</f>
        <v>0</v>
      </c>
      <c r="AF20" s="937">
        <f>(SUMIF('9.Инвестиционна програма'!$B$57:$B$58,$B20,'9.Инвестиционна програма'!K$57:K$58)+SUMIF('9.Инвестиционна програма'!$B$60:$B$67,$B20,'9.Инвестиционна програма'!K$60:K$67))*$E$5</f>
        <v>0</v>
      </c>
      <c r="AG20" s="307"/>
      <c r="AH20" s="566"/>
    </row>
    <row r="21" spans="1:34">
      <c r="A21" s="278"/>
      <c r="B21" s="1631">
        <v>20304</v>
      </c>
      <c r="C21" s="1632">
        <v>0.1</v>
      </c>
      <c r="D21" s="1625" t="s">
        <v>579</v>
      </c>
      <c r="E21" s="945">
        <f t="shared" ref="E21:AF21" si="5">SUM(E22:E23)</f>
        <v>0</v>
      </c>
      <c r="F21" s="946">
        <f t="shared" si="5"/>
        <v>80</v>
      </c>
      <c r="G21" s="947">
        <f t="shared" si="5"/>
        <v>10</v>
      </c>
      <c r="H21" s="947">
        <f t="shared" si="5"/>
        <v>10</v>
      </c>
      <c r="I21" s="947">
        <f t="shared" si="5"/>
        <v>10</v>
      </c>
      <c r="J21" s="947">
        <f t="shared" si="5"/>
        <v>0</v>
      </c>
      <c r="K21" s="948">
        <f t="shared" si="5"/>
        <v>0</v>
      </c>
      <c r="L21" s="2068">
        <f t="shared" si="5"/>
        <v>0</v>
      </c>
      <c r="M21" s="946">
        <f t="shared" si="5"/>
        <v>0</v>
      </c>
      <c r="N21" s="947">
        <f t="shared" si="5"/>
        <v>0</v>
      </c>
      <c r="O21" s="947">
        <f t="shared" si="5"/>
        <v>0</v>
      </c>
      <c r="P21" s="947">
        <f t="shared" si="5"/>
        <v>0</v>
      </c>
      <c r="Q21" s="947">
        <f t="shared" si="5"/>
        <v>0</v>
      </c>
      <c r="R21" s="948">
        <f t="shared" si="5"/>
        <v>0</v>
      </c>
      <c r="S21" s="949">
        <f t="shared" si="5"/>
        <v>0</v>
      </c>
      <c r="T21" s="950">
        <f t="shared" si="5"/>
        <v>0</v>
      </c>
      <c r="U21" s="947">
        <f t="shared" si="5"/>
        <v>0</v>
      </c>
      <c r="V21" s="947">
        <f t="shared" si="5"/>
        <v>0</v>
      </c>
      <c r="W21" s="947">
        <f t="shared" si="5"/>
        <v>0</v>
      </c>
      <c r="X21" s="947">
        <f t="shared" si="5"/>
        <v>0</v>
      </c>
      <c r="Y21" s="948">
        <f t="shared" si="5"/>
        <v>0</v>
      </c>
      <c r="Z21" s="949">
        <f t="shared" si="5"/>
        <v>0</v>
      </c>
      <c r="AA21" s="950">
        <f t="shared" si="5"/>
        <v>0</v>
      </c>
      <c r="AB21" s="947">
        <f t="shared" si="5"/>
        <v>0</v>
      </c>
      <c r="AC21" s="947">
        <f t="shared" si="5"/>
        <v>0</v>
      </c>
      <c r="AD21" s="947">
        <f t="shared" si="5"/>
        <v>0</v>
      </c>
      <c r="AE21" s="947">
        <f t="shared" si="5"/>
        <v>0</v>
      </c>
      <c r="AF21" s="948">
        <f t="shared" si="5"/>
        <v>0</v>
      </c>
      <c r="AH21" s="566"/>
    </row>
    <row r="22" spans="1:34">
      <c r="A22" s="278"/>
      <c r="B22" s="1811">
        <v>2030401</v>
      </c>
      <c r="C22" s="1812">
        <v>0.1</v>
      </c>
      <c r="D22" s="1813" t="s">
        <v>1375</v>
      </c>
      <c r="E22" s="929">
        <f>'11.2. Нови активи отч.год.'!E23</f>
        <v>0</v>
      </c>
      <c r="F22" s="885">
        <f>SUMIF('9.Инвестиционна програма'!$B$11:$B$34,$B22,'9.Инвестиционна програма'!F$11:F$34)*$E$5</f>
        <v>80</v>
      </c>
      <c r="G22" s="886">
        <f>SUMIF('9.Инвестиционна програма'!$B$11:$B$34,$B22,'9.Инвестиционна програма'!G$11:G$34)*$E$5</f>
        <v>10</v>
      </c>
      <c r="H22" s="886">
        <f>SUMIF('9.Инвестиционна програма'!$B$11:$B$34,$B22,'9.Инвестиционна програма'!H$11:H$34)*$E$5</f>
        <v>10</v>
      </c>
      <c r="I22" s="886">
        <f>SUMIF('9.Инвестиционна програма'!$B$11:$B$34,$B22,'9.Инвестиционна програма'!I$11:I$34)*$E$5</f>
        <v>10</v>
      </c>
      <c r="J22" s="886">
        <f>SUMIF('9.Инвестиционна програма'!$B$11:$B$34,$B22,'9.Инвестиционна програма'!J$11:J$34)*$E$5</f>
        <v>0</v>
      </c>
      <c r="K22" s="887">
        <f>SUMIF('9.Инвестиционна програма'!$B$11:$B$34,$B22,'9.Инвестиционна програма'!K$11:K$34)*$E$5</f>
        <v>0</v>
      </c>
      <c r="L22" s="1486">
        <f>'11.2. Нови активи отч.год.'!L23</f>
        <v>0</v>
      </c>
      <c r="M22" s="934">
        <f>SUMIF('9.Инвестиционна програма'!$B$36:$B$46,$B22,'9.Инвестиционна програма'!F$36:F$46)*$E$5</f>
        <v>0</v>
      </c>
      <c r="N22" s="935">
        <f>SUMIF('9.Инвестиционна програма'!$B$36:$B$46,$B22,'9.Инвестиционна програма'!G$36:G$46)*$E$5</f>
        <v>0</v>
      </c>
      <c r="O22" s="935">
        <f>SUMIF('9.Инвестиционна програма'!$B$36:$B$46,$B22,'9.Инвестиционна програма'!H$36:H$46)*$E$5</f>
        <v>0</v>
      </c>
      <c r="P22" s="935">
        <f>SUMIF('9.Инвестиционна програма'!$B$36:$B$46,$B22,'9.Инвестиционна програма'!I$36:I$46)*$E$5</f>
        <v>0</v>
      </c>
      <c r="Q22" s="935">
        <f>SUMIF('9.Инвестиционна програма'!$B$36:$B$46,$B22,'9.Инвестиционна програма'!J$36:J$46)*$E$5</f>
        <v>0</v>
      </c>
      <c r="R22" s="936">
        <f>SUMIF('9.Инвестиционна програма'!$B$36:$B$46,$B22,'9.Инвестиционна програма'!K$36:K$46)*$E$5</f>
        <v>0</v>
      </c>
      <c r="S22" s="930">
        <f>'11.2. Нови активи отч.год.'!S23</f>
        <v>0</v>
      </c>
      <c r="T22" s="931">
        <f>SUMIF('9.Инвестиционна програма'!$B$48:$B$55,$B22,'9.Инвестиционна програма'!F$48:F$55)*$E$5</f>
        <v>0</v>
      </c>
      <c r="U22" s="931">
        <f>SUMIF('9.Инвестиционна програма'!$B$48:$B$55,$B22,'9.Инвестиционна програма'!G$48:G$55)*$E$5</f>
        <v>0</v>
      </c>
      <c r="V22" s="931">
        <f>SUMIF('9.Инвестиционна програма'!$B$48:$B$55,$B22,'9.Инвестиционна програма'!H$48:H$55)*$E$5</f>
        <v>0</v>
      </c>
      <c r="W22" s="931">
        <f>SUMIF('9.Инвестиционна програма'!$B$48:$B$55,$B22,'9.Инвестиционна програма'!I$48:I$55)*$E$5</f>
        <v>0</v>
      </c>
      <c r="X22" s="931">
        <f>SUMIF('9.Инвестиционна програма'!$B$48:$B$55,$B22,'9.Инвестиционна програма'!J$48:J$55)*$E$5</f>
        <v>0</v>
      </c>
      <c r="Y22" s="931">
        <f>SUMIF('9.Инвестиционна програма'!$B$48:$B$55,$B22,'9.Инвестиционна програма'!K$48:K$55)*$E$5</f>
        <v>0</v>
      </c>
      <c r="Z22" s="930">
        <f>'11.2. Нови активи отч.год.'!Z23</f>
        <v>0</v>
      </c>
      <c r="AA22" s="934">
        <f>(SUMIF('9.Инвестиционна програма'!$B$57:$B$58,$B22,'9.Инвестиционна програма'!F$57:F$58)+SUMIF('9.Инвестиционна програма'!$B$60:$B$67,$B22,'9.Инвестиционна програма'!F$60:F$67))*$E$5</f>
        <v>0</v>
      </c>
      <c r="AB22" s="931">
        <f>(SUMIF('9.Инвестиционна програма'!$B$57:$B$58,$B22,'9.Инвестиционна програма'!G$57:G$58)+SUMIF('9.Инвестиционна програма'!$B$60:$B$67,$B22,'9.Инвестиционна програма'!G$60:G$67))*$E$5</f>
        <v>0</v>
      </c>
      <c r="AC22" s="931">
        <f>(SUMIF('9.Инвестиционна програма'!$B$57:$B$58,$B22,'9.Инвестиционна програма'!H$57:H$58)+SUMIF('9.Инвестиционна програма'!$B$60:$B$67,$B22,'9.Инвестиционна програма'!H$60:H$67))*$E$5</f>
        <v>0</v>
      </c>
      <c r="AD22" s="931">
        <f>(SUMIF('9.Инвестиционна програма'!$B$57:$B$58,$B22,'9.Инвестиционна програма'!I$57:I$58)+SUMIF('9.Инвестиционна програма'!$B$60:$B$67,$B22,'9.Инвестиционна програма'!I$60:I$67))*$E$5</f>
        <v>0</v>
      </c>
      <c r="AE22" s="931">
        <f>(SUMIF('9.Инвестиционна програма'!$B$57:$B$58,$B22,'9.Инвестиционна програма'!J$57:J$58)+SUMIF('9.Инвестиционна програма'!$B$60:$B$67,$B22,'9.Инвестиционна програма'!J$60:J$67))*$E$5</f>
        <v>0</v>
      </c>
      <c r="AF22" s="937">
        <f>(SUMIF('9.Инвестиционна програма'!$B$57:$B$58,$B22,'9.Инвестиционна програма'!K$57:K$58)+SUMIF('9.Инвестиционна програма'!$B$60:$B$67,$B22,'9.Инвестиционна програма'!K$60:K$67))*$E$5</f>
        <v>0</v>
      </c>
      <c r="AG22" s="307"/>
      <c r="AH22" s="566"/>
    </row>
    <row r="23" spans="1:34">
      <c r="A23" s="278"/>
      <c r="B23" s="1811">
        <v>2030402</v>
      </c>
      <c r="C23" s="1812">
        <v>0.1</v>
      </c>
      <c r="D23" s="1813" t="s">
        <v>601</v>
      </c>
      <c r="E23" s="929">
        <f>'11.2. Нови активи отч.год.'!E24</f>
        <v>0</v>
      </c>
      <c r="F23" s="885">
        <f>SUMIF('9.Инвестиционна програма'!$B$11:$B$34,$B23,'9.Инвестиционна програма'!F$11:F$34)*$E$5</f>
        <v>0</v>
      </c>
      <c r="G23" s="886">
        <f>SUMIF('9.Инвестиционна програма'!$B$11:$B$34,$B23,'9.Инвестиционна програма'!G$11:G$34)*$E$5</f>
        <v>0</v>
      </c>
      <c r="H23" s="886">
        <f>SUMIF('9.Инвестиционна програма'!$B$11:$B$34,$B23,'9.Инвестиционна програма'!H$11:H$34)*$E$5</f>
        <v>0</v>
      </c>
      <c r="I23" s="886">
        <f>SUMIF('9.Инвестиционна програма'!$B$11:$B$34,$B23,'9.Инвестиционна програма'!I$11:I$34)*$E$5</f>
        <v>0</v>
      </c>
      <c r="J23" s="886">
        <f>SUMIF('9.Инвестиционна програма'!$B$11:$B$34,$B23,'9.Инвестиционна програма'!J$11:J$34)*$E$5</f>
        <v>0</v>
      </c>
      <c r="K23" s="887">
        <f>SUMIF('9.Инвестиционна програма'!$B$11:$B$34,$B23,'9.Инвестиционна програма'!K$11:K$34)*$E$5</f>
        <v>0</v>
      </c>
      <c r="L23" s="1486">
        <f>'11.2. Нови активи отч.год.'!L24</f>
        <v>0</v>
      </c>
      <c r="M23" s="934">
        <f>SUMIF('9.Инвестиционна програма'!$B$36:$B$46,$B23,'9.Инвестиционна програма'!F$36:F$46)*$E$5</f>
        <v>0</v>
      </c>
      <c r="N23" s="935">
        <f>SUMIF('9.Инвестиционна програма'!$B$36:$B$46,$B23,'9.Инвестиционна програма'!G$36:G$46)*$E$5</f>
        <v>0</v>
      </c>
      <c r="O23" s="935">
        <f>SUMIF('9.Инвестиционна програма'!$B$36:$B$46,$B23,'9.Инвестиционна програма'!H$36:H$46)*$E$5</f>
        <v>0</v>
      </c>
      <c r="P23" s="935">
        <f>SUMIF('9.Инвестиционна програма'!$B$36:$B$46,$B23,'9.Инвестиционна програма'!I$36:I$46)*$E$5</f>
        <v>0</v>
      </c>
      <c r="Q23" s="935">
        <f>SUMIF('9.Инвестиционна програма'!$B$36:$B$46,$B23,'9.Инвестиционна програма'!J$36:J$46)*$E$5</f>
        <v>0</v>
      </c>
      <c r="R23" s="936">
        <f>SUMIF('9.Инвестиционна програма'!$B$36:$B$46,$B23,'9.Инвестиционна програма'!K$36:K$46)*$E$5</f>
        <v>0</v>
      </c>
      <c r="S23" s="930">
        <f>'11.2. Нови активи отч.год.'!S24</f>
        <v>0</v>
      </c>
      <c r="T23" s="931">
        <f>SUMIF('9.Инвестиционна програма'!$B$48:$B$55,$B23,'9.Инвестиционна програма'!F$48:F$55)*$E$5</f>
        <v>0</v>
      </c>
      <c r="U23" s="931">
        <f>SUMIF('9.Инвестиционна програма'!$B$48:$B$55,$B23,'9.Инвестиционна програма'!G$48:G$55)*$E$5</f>
        <v>0</v>
      </c>
      <c r="V23" s="931">
        <f>SUMIF('9.Инвестиционна програма'!$B$48:$B$55,$B23,'9.Инвестиционна програма'!H$48:H$55)*$E$5</f>
        <v>0</v>
      </c>
      <c r="W23" s="931">
        <f>SUMIF('9.Инвестиционна програма'!$B$48:$B$55,$B23,'9.Инвестиционна програма'!I$48:I$55)*$E$5</f>
        <v>0</v>
      </c>
      <c r="X23" s="931">
        <f>SUMIF('9.Инвестиционна програма'!$B$48:$B$55,$B23,'9.Инвестиционна програма'!J$48:J$55)*$E$5</f>
        <v>0</v>
      </c>
      <c r="Y23" s="931">
        <f>SUMIF('9.Инвестиционна програма'!$B$48:$B$55,$B23,'9.Инвестиционна програма'!K$48:K$55)*$E$5</f>
        <v>0</v>
      </c>
      <c r="Z23" s="930">
        <f>'11.2. Нови активи отч.год.'!Z24</f>
        <v>0</v>
      </c>
      <c r="AA23" s="934">
        <f>(SUMIF('9.Инвестиционна програма'!$B$57:$B$58,$B23,'9.Инвестиционна програма'!F$57:F$58)+SUMIF('9.Инвестиционна програма'!$B$60:$B$67,$B23,'9.Инвестиционна програма'!F$60:F$67))*$E$5</f>
        <v>0</v>
      </c>
      <c r="AB23" s="931">
        <f>(SUMIF('9.Инвестиционна програма'!$B$57:$B$58,$B23,'9.Инвестиционна програма'!G$57:G$58)+SUMIF('9.Инвестиционна програма'!$B$60:$B$67,$B23,'9.Инвестиционна програма'!G$60:G$67))*$E$5</f>
        <v>0</v>
      </c>
      <c r="AC23" s="931">
        <f>(SUMIF('9.Инвестиционна програма'!$B$57:$B$58,$B23,'9.Инвестиционна програма'!H$57:H$58)+SUMIF('9.Инвестиционна програма'!$B$60:$B$67,$B23,'9.Инвестиционна програма'!H$60:H$67))*$E$5</f>
        <v>0</v>
      </c>
      <c r="AD23" s="931">
        <f>(SUMIF('9.Инвестиционна програма'!$B$57:$B$58,$B23,'9.Инвестиционна програма'!I$57:I$58)+SUMIF('9.Инвестиционна програма'!$B$60:$B$67,$B23,'9.Инвестиционна програма'!I$60:I$67))*$E$5</f>
        <v>0</v>
      </c>
      <c r="AE23" s="931">
        <f>(SUMIF('9.Инвестиционна програма'!$B$57:$B$58,$B23,'9.Инвестиционна програма'!J$57:J$58)+SUMIF('9.Инвестиционна програма'!$B$60:$B$67,$B23,'9.Инвестиционна програма'!J$60:J$67))*$E$5</f>
        <v>0</v>
      </c>
      <c r="AF23" s="937">
        <f>(SUMIF('9.Инвестиционна програма'!$B$57:$B$58,$B23,'9.Инвестиционна програма'!K$57:K$58)+SUMIF('9.Инвестиционна програма'!$B$60:$B$67,$B23,'9.Инвестиционна програма'!K$60:K$67))*$E$5</f>
        <v>0</v>
      </c>
      <c r="AG23" s="307"/>
      <c r="AH23" s="566"/>
    </row>
    <row r="24" spans="1:34">
      <c r="A24" s="278"/>
      <c r="B24" s="1631">
        <v>20305</v>
      </c>
      <c r="C24" s="1636"/>
      <c r="D24" s="1625" t="s">
        <v>602</v>
      </c>
      <c r="E24" s="945">
        <f>SUM(E25:E27)</f>
        <v>0</v>
      </c>
      <c r="F24" s="946">
        <f t="shared" ref="F24:AF24" si="6">SUM(F25:F27)</f>
        <v>442</v>
      </c>
      <c r="G24" s="947">
        <f t="shared" si="6"/>
        <v>436</v>
      </c>
      <c r="H24" s="947">
        <f t="shared" si="6"/>
        <v>189</v>
      </c>
      <c r="I24" s="947">
        <f t="shared" si="6"/>
        <v>164</v>
      </c>
      <c r="J24" s="947">
        <f t="shared" si="6"/>
        <v>163</v>
      </c>
      <c r="K24" s="948">
        <f t="shared" si="6"/>
        <v>163</v>
      </c>
      <c r="L24" s="2068">
        <f t="shared" si="6"/>
        <v>0</v>
      </c>
      <c r="M24" s="946">
        <f t="shared" si="6"/>
        <v>0</v>
      </c>
      <c r="N24" s="947">
        <f t="shared" si="6"/>
        <v>0</v>
      </c>
      <c r="O24" s="947">
        <f t="shared" si="6"/>
        <v>5</v>
      </c>
      <c r="P24" s="947">
        <f t="shared" si="6"/>
        <v>5</v>
      </c>
      <c r="Q24" s="947">
        <f t="shared" si="6"/>
        <v>5</v>
      </c>
      <c r="R24" s="948">
        <f t="shared" si="6"/>
        <v>5</v>
      </c>
      <c r="S24" s="949">
        <f t="shared" si="6"/>
        <v>0</v>
      </c>
      <c r="T24" s="950">
        <f t="shared" si="6"/>
        <v>0</v>
      </c>
      <c r="U24" s="947">
        <f t="shared" si="6"/>
        <v>20</v>
      </c>
      <c r="V24" s="947">
        <f t="shared" si="6"/>
        <v>20</v>
      </c>
      <c r="W24" s="947">
        <f t="shared" si="6"/>
        <v>20</v>
      </c>
      <c r="X24" s="947">
        <f t="shared" si="6"/>
        <v>20</v>
      </c>
      <c r="Y24" s="948">
        <f t="shared" si="6"/>
        <v>20</v>
      </c>
      <c r="Z24" s="949">
        <f t="shared" si="6"/>
        <v>0</v>
      </c>
      <c r="AA24" s="950">
        <f t="shared" si="6"/>
        <v>674</v>
      </c>
      <c r="AB24" s="947">
        <f t="shared" si="6"/>
        <v>998</v>
      </c>
      <c r="AC24" s="947">
        <f t="shared" si="6"/>
        <v>623</v>
      </c>
      <c r="AD24" s="947">
        <f t="shared" si="6"/>
        <v>623</v>
      </c>
      <c r="AE24" s="947">
        <f t="shared" si="6"/>
        <v>623</v>
      </c>
      <c r="AF24" s="948">
        <f t="shared" si="6"/>
        <v>623</v>
      </c>
      <c r="AH24" s="566"/>
    </row>
    <row r="25" spans="1:34">
      <c r="A25" s="278"/>
      <c r="B25" s="1631">
        <v>2030501</v>
      </c>
      <c r="C25" s="1814">
        <v>0.1</v>
      </c>
      <c r="D25" s="1813" t="s">
        <v>1391</v>
      </c>
      <c r="E25" s="929">
        <f>'11.2. Нови активи отч.год.'!E26</f>
        <v>0</v>
      </c>
      <c r="F25" s="885">
        <f>SUMIF('9.Инвестиционна програма'!$B$11:$B$34,$B25,'9.Инвестиционна програма'!F$11:F$34)*$E$5</f>
        <v>359</v>
      </c>
      <c r="G25" s="886">
        <f>SUMIF('9.Инвестиционна програма'!$B$11:$B$34,$B25,'9.Инвестиционна програма'!G$11:G$34)*$E$5</f>
        <v>226</v>
      </c>
      <c r="H25" s="886">
        <f>SUMIF('9.Инвестиционна програма'!$B$11:$B$34,$B25,'9.Инвестиционна програма'!H$11:H$34)*$E$5</f>
        <v>144</v>
      </c>
      <c r="I25" s="886">
        <f>SUMIF('9.Инвестиционна програма'!$B$11:$B$34,$B25,'9.Инвестиционна програма'!I$11:I$34)*$E$5</f>
        <v>139</v>
      </c>
      <c r="J25" s="886">
        <f>SUMIF('9.Инвестиционна програма'!$B$11:$B$34,$B25,'9.Инвестиционна програма'!J$11:J$34)*$E$5</f>
        <v>138</v>
      </c>
      <c r="K25" s="887">
        <f>SUMIF('9.Инвестиционна програма'!$B$11:$B$34,$B25,'9.Инвестиционна програма'!K$11:K$34)*$E$5</f>
        <v>138</v>
      </c>
      <c r="L25" s="1486">
        <f>'11.2. Нови активи отч.год.'!L26</f>
        <v>0</v>
      </c>
      <c r="M25" s="934">
        <f>SUMIF('9.Инвестиционна програма'!$B$36:$B$46,$B25,'9.Инвестиционна програма'!F$36:F$46)*$E$5</f>
        <v>0</v>
      </c>
      <c r="N25" s="935">
        <f>SUMIF('9.Инвестиционна програма'!$B$36:$B$46,$B25,'9.Инвестиционна програма'!G$36:G$46)*$E$5</f>
        <v>0</v>
      </c>
      <c r="O25" s="935">
        <f>SUMIF('9.Инвестиционна програма'!$B$36:$B$46,$B25,'9.Инвестиционна програма'!H$36:H$46)*$E$5</f>
        <v>0</v>
      </c>
      <c r="P25" s="935">
        <f>SUMIF('9.Инвестиционна програма'!$B$36:$B$46,$B25,'9.Инвестиционна програма'!I$36:I$46)*$E$5</f>
        <v>0</v>
      </c>
      <c r="Q25" s="935">
        <f>SUMIF('9.Инвестиционна програма'!$B$36:$B$46,$B25,'9.Инвестиционна програма'!J$36:J$46)*$E$5</f>
        <v>0</v>
      </c>
      <c r="R25" s="936">
        <f>SUMIF('9.Инвестиционна програма'!$B$36:$B$46,$B25,'9.Инвестиционна програма'!K$36:K$46)*$E$5</f>
        <v>0</v>
      </c>
      <c r="S25" s="930">
        <f>'11.2. Нови активи отч.год.'!S26</f>
        <v>0</v>
      </c>
      <c r="T25" s="931">
        <f>SUMIF('9.Инвестиционна програма'!$B$48:$B$55,$B25,'9.Инвестиционна програма'!F$48:F$55)*$E$5</f>
        <v>0</v>
      </c>
      <c r="U25" s="931">
        <f>SUMIF('9.Инвестиционна програма'!$B$48:$B$55,$B25,'9.Инвестиционна програма'!G$48:G$55)*$E$5</f>
        <v>0</v>
      </c>
      <c r="V25" s="931">
        <f>SUMIF('9.Инвестиционна програма'!$B$48:$B$55,$B25,'9.Инвестиционна програма'!H$48:H$55)*$E$5</f>
        <v>0</v>
      </c>
      <c r="W25" s="931">
        <f>SUMIF('9.Инвестиционна програма'!$B$48:$B$55,$B25,'9.Инвестиционна програма'!I$48:I$55)*$E$5</f>
        <v>0</v>
      </c>
      <c r="X25" s="931">
        <f>SUMIF('9.Инвестиционна програма'!$B$48:$B$55,$B25,'9.Инвестиционна програма'!J$48:J$55)*$E$5</f>
        <v>0</v>
      </c>
      <c r="Y25" s="931">
        <f>SUMIF('9.Инвестиционна програма'!$B$48:$B$55,$B25,'9.Инвестиционна програма'!K$48:K$55)*$E$5</f>
        <v>0</v>
      </c>
      <c r="Z25" s="930">
        <f>'11.2. Нови активи отч.год.'!Z26</f>
        <v>0</v>
      </c>
      <c r="AA25" s="934">
        <f>(SUMIF('9.Инвестиционна програма'!$B$57:$B$58,$B25,'9.Инвестиционна програма'!F$57:F$58)+SUMIF('9.Инвестиционна програма'!$B$60:$B$67,$B25,'9.Инвестиционна програма'!F$60:F$67))*$E$5</f>
        <v>674</v>
      </c>
      <c r="AB25" s="931">
        <f>(SUMIF('9.Инвестиционна програма'!$B$57:$B$58,$B25,'9.Инвестиционна програма'!G$57:G$58)+SUMIF('9.Инвестиционна програма'!$B$60:$B$67,$B25,'9.Инвестиционна програма'!G$60:G$67))*$E$5</f>
        <v>998</v>
      </c>
      <c r="AC25" s="931">
        <f>(SUMIF('9.Инвестиционна програма'!$B$57:$B$58,$B25,'9.Инвестиционна програма'!H$57:H$58)+SUMIF('9.Инвестиционна програма'!$B$60:$B$67,$B25,'9.Инвестиционна програма'!H$60:H$67))*$E$5</f>
        <v>623</v>
      </c>
      <c r="AD25" s="931">
        <f>(SUMIF('9.Инвестиционна програма'!$B$57:$B$58,$B25,'9.Инвестиционна програма'!I$57:I$58)+SUMIF('9.Инвестиционна програма'!$B$60:$B$67,$B25,'9.Инвестиционна програма'!I$60:I$67))*$E$5</f>
        <v>623</v>
      </c>
      <c r="AE25" s="931">
        <f>(SUMIF('9.Инвестиционна програма'!$B$57:$B$58,$B25,'9.Инвестиционна програма'!J$57:J$58)+SUMIF('9.Инвестиционна програма'!$B$60:$B$67,$B25,'9.Инвестиционна програма'!J$60:J$67))*$E$5</f>
        <v>623</v>
      </c>
      <c r="AF25" s="937">
        <f>(SUMIF('9.Инвестиционна програма'!$B$57:$B$58,$B25,'9.Инвестиционна програма'!K$57:K$58)+SUMIF('9.Инвестиционна програма'!$B$60:$B$67,$B25,'9.Инвестиционна програма'!K$60:K$67))*$E$5</f>
        <v>623</v>
      </c>
      <c r="AG25" s="307"/>
      <c r="AH25" s="566"/>
    </row>
    <row r="26" spans="1:34" ht="24">
      <c r="A26" s="278"/>
      <c r="B26" s="1631">
        <v>2030502</v>
      </c>
      <c r="C26" s="1814">
        <v>0.1</v>
      </c>
      <c r="D26" s="1813" t="s">
        <v>948</v>
      </c>
      <c r="E26" s="929">
        <f>'11.2. Нови активи отч.год.'!E27</f>
        <v>0</v>
      </c>
      <c r="F26" s="885">
        <f>SUMIF('9.Инвестиционна програма'!$B$11:$B$34,$B26,'9.Инвестиционна програма'!F$11:F$34)*$E$5</f>
        <v>83</v>
      </c>
      <c r="G26" s="886">
        <f>SUMIF('9.Инвестиционна програма'!$B$11:$B$34,$B26,'9.Инвестиционна програма'!G$11:G$34)*$E$5</f>
        <v>205</v>
      </c>
      <c r="H26" s="886">
        <f>SUMIF('9.Инвестиционна програма'!$B$11:$B$34,$B26,'9.Инвестиционна програма'!H$11:H$34)*$E$5</f>
        <v>40</v>
      </c>
      <c r="I26" s="886">
        <f>SUMIF('9.Инвестиционна програма'!$B$11:$B$34,$B26,'9.Инвестиционна програма'!I$11:I$34)*$E$5</f>
        <v>20</v>
      </c>
      <c r="J26" s="886">
        <f>SUMIF('9.Инвестиционна програма'!$B$11:$B$34,$B26,'9.Инвестиционна програма'!J$11:J$34)*$E$5</f>
        <v>20</v>
      </c>
      <c r="K26" s="887">
        <f>SUMIF('9.Инвестиционна програма'!$B$11:$B$34,$B26,'9.Инвестиционна програма'!K$11:K$34)*$E$5</f>
        <v>20</v>
      </c>
      <c r="L26" s="1486">
        <f>'11.2. Нови активи отч.год.'!L27</f>
        <v>0</v>
      </c>
      <c r="M26" s="934">
        <f>SUMIF('9.Инвестиционна програма'!$B$36:$B$46,$B26,'9.Инвестиционна програма'!F$36:F$46)*$E$5</f>
        <v>0</v>
      </c>
      <c r="N26" s="935">
        <f>SUMIF('9.Инвестиционна програма'!$B$36:$B$46,$B26,'9.Инвестиционна програма'!G$36:G$46)*$E$5</f>
        <v>0</v>
      </c>
      <c r="O26" s="935">
        <f>SUMIF('9.Инвестиционна програма'!$B$36:$B$46,$B26,'9.Инвестиционна програма'!H$36:H$46)*$E$5</f>
        <v>0</v>
      </c>
      <c r="P26" s="935">
        <f>SUMIF('9.Инвестиционна програма'!$B$36:$B$46,$B26,'9.Инвестиционна програма'!I$36:I$46)*$E$5</f>
        <v>0</v>
      </c>
      <c r="Q26" s="935">
        <f>SUMIF('9.Инвестиционна програма'!$B$36:$B$46,$B26,'9.Инвестиционна програма'!J$36:J$46)*$E$5</f>
        <v>0</v>
      </c>
      <c r="R26" s="936">
        <f>SUMIF('9.Инвестиционна програма'!$B$36:$B$46,$B26,'9.Инвестиционна програма'!K$36:K$46)*$E$5</f>
        <v>0</v>
      </c>
      <c r="S26" s="930">
        <f>'11.2. Нови активи отч.год.'!S27</f>
        <v>0</v>
      </c>
      <c r="T26" s="931">
        <f>SUMIF('9.Инвестиционна програма'!$B$48:$B$55,$B26,'9.Инвестиционна програма'!F$48:F$55)*$E$5</f>
        <v>0</v>
      </c>
      <c r="U26" s="931">
        <f>SUMIF('9.Инвестиционна програма'!$B$48:$B$55,$B26,'9.Инвестиционна програма'!G$48:G$55)*$E$5</f>
        <v>0</v>
      </c>
      <c r="V26" s="931">
        <f>SUMIF('9.Инвестиционна програма'!$B$48:$B$55,$B26,'9.Инвестиционна програма'!H$48:H$55)*$E$5</f>
        <v>0</v>
      </c>
      <c r="W26" s="931">
        <f>SUMIF('9.Инвестиционна програма'!$B$48:$B$55,$B26,'9.Инвестиционна програма'!I$48:I$55)*$E$5</f>
        <v>0</v>
      </c>
      <c r="X26" s="931">
        <f>SUMIF('9.Инвестиционна програма'!$B$48:$B$55,$B26,'9.Инвестиционна програма'!J$48:J$55)*$E$5</f>
        <v>0</v>
      </c>
      <c r="Y26" s="931">
        <f>SUMIF('9.Инвестиционна програма'!$B$48:$B$55,$B26,'9.Инвестиционна програма'!K$48:K$55)*$E$5</f>
        <v>0</v>
      </c>
      <c r="Z26" s="930">
        <f>'11.2. Нови активи отч.год.'!Z27</f>
        <v>0</v>
      </c>
      <c r="AA26" s="934">
        <f>(SUMIF('9.Инвестиционна програма'!$B$57:$B$58,$B26,'9.Инвестиционна програма'!F$57:F$58)+SUMIF('9.Инвестиционна програма'!$B$60:$B$67,$B26,'9.Инвестиционна програма'!F$60:F$67))*$E$5</f>
        <v>0</v>
      </c>
      <c r="AB26" s="931">
        <f>(SUMIF('9.Инвестиционна програма'!$B$57:$B$58,$B26,'9.Инвестиционна програма'!G$57:G$58)+SUMIF('9.Инвестиционна програма'!$B$60:$B$67,$B26,'9.Инвестиционна програма'!G$60:G$67))*$E$5</f>
        <v>0</v>
      </c>
      <c r="AC26" s="931">
        <f>(SUMIF('9.Инвестиционна програма'!$B$57:$B$58,$B26,'9.Инвестиционна програма'!H$57:H$58)+SUMIF('9.Инвестиционна програма'!$B$60:$B$67,$B26,'9.Инвестиционна програма'!H$60:H$67))*$E$5</f>
        <v>0</v>
      </c>
      <c r="AD26" s="931">
        <f>(SUMIF('9.Инвестиционна програма'!$B$57:$B$58,$B26,'9.Инвестиционна програма'!I$57:I$58)+SUMIF('9.Инвестиционна програма'!$B$60:$B$67,$B26,'9.Инвестиционна програма'!I$60:I$67))*$E$5</f>
        <v>0</v>
      </c>
      <c r="AE26" s="931">
        <f>(SUMIF('9.Инвестиционна програма'!$B$57:$B$58,$B26,'9.Инвестиционна програма'!J$57:J$58)+SUMIF('9.Инвестиционна програма'!$B$60:$B$67,$B26,'9.Инвестиционна програма'!J$60:J$67))*$E$5</f>
        <v>0</v>
      </c>
      <c r="AF26" s="937">
        <f>(SUMIF('9.Инвестиционна програма'!$B$57:$B$58,$B26,'9.Инвестиционна програма'!K$57:K$58)+SUMIF('9.Инвестиционна програма'!$B$60:$B$67,$B26,'9.Инвестиционна програма'!K$60:K$67))*$E$5</f>
        <v>0</v>
      </c>
      <c r="AG26" s="307"/>
      <c r="AH26" s="566"/>
    </row>
    <row r="27" spans="1:34">
      <c r="A27" s="278"/>
      <c r="B27" s="1631">
        <v>2030503</v>
      </c>
      <c r="C27" s="1814">
        <v>0.1</v>
      </c>
      <c r="D27" s="1813" t="s">
        <v>966</v>
      </c>
      <c r="E27" s="929">
        <f>'11.2. Нови активи отч.год.'!E28</f>
        <v>0</v>
      </c>
      <c r="F27" s="885">
        <f>SUMIF('9.Инвестиционна програма'!$B$11:$B$34,$B27,'9.Инвестиционна програма'!F$11:F$34)*$E$5</f>
        <v>0</v>
      </c>
      <c r="G27" s="886">
        <f>SUMIF('9.Инвестиционна програма'!$B$11:$B$34,$B27,'9.Инвестиционна програма'!G$11:G$34)*$E$5</f>
        <v>5</v>
      </c>
      <c r="H27" s="886">
        <f>SUMIF('9.Инвестиционна програма'!$B$11:$B$34,$B27,'9.Инвестиционна програма'!H$11:H$34)*$E$5</f>
        <v>5</v>
      </c>
      <c r="I27" s="886">
        <f>SUMIF('9.Инвестиционна програма'!$B$11:$B$34,$B27,'9.Инвестиционна програма'!I$11:I$34)*$E$5</f>
        <v>5</v>
      </c>
      <c r="J27" s="886">
        <f>SUMIF('9.Инвестиционна програма'!$B$11:$B$34,$B27,'9.Инвестиционна програма'!J$11:J$34)*$E$5</f>
        <v>5</v>
      </c>
      <c r="K27" s="887">
        <f>SUMIF('9.Инвестиционна програма'!$B$11:$B$34,$B27,'9.Инвестиционна програма'!K$11:K$34)*$E$5</f>
        <v>5</v>
      </c>
      <c r="L27" s="1486">
        <f>'11.2. Нови активи отч.год.'!L28</f>
        <v>0</v>
      </c>
      <c r="M27" s="934">
        <f>SUMIF('9.Инвестиционна програма'!$B$36:$B$46,$B27,'9.Инвестиционна програма'!F$36:F$46)*$E$5</f>
        <v>0</v>
      </c>
      <c r="N27" s="935">
        <f>SUMIF('9.Инвестиционна програма'!$B$36:$B$46,$B27,'9.Инвестиционна програма'!G$36:G$46)*$E$5</f>
        <v>0</v>
      </c>
      <c r="O27" s="935">
        <f>SUMIF('9.Инвестиционна програма'!$B$36:$B$46,$B27,'9.Инвестиционна програма'!H$36:H$46)*$E$5</f>
        <v>5</v>
      </c>
      <c r="P27" s="935">
        <f>SUMIF('9.Инвестиционна програма'!$B$36:$B$46,$B27,'9.Инвестиционна програма'!I$36:I$46)*$E$5</f>
        <v>5</v>
      </c>
      <c r="Q27" s="935">
        <f>SUMIF('9.Инвестиционна програма'!$B$36:$B$46,$B27,'9.Инвестиционна програма'!J$36:J$46)*$E$5</f>
        <v>5</v>
      </c>
      <c r="R27" s="936">
        <f>SUMIF('9.Инвестиционна програма'!$B$36:$B$46,$B27,'9.Инвестиционна програма'!K$36:K$46)*$E$5</f>
        <v>5</v>
      </c>
      <c r="S27" s="930">
        <f>'11.2. Нови активи отч.год.'!S28</f>
        <v>0</v>
      </c>
      <c r="T27" s="931">
        <f>SUMIF('9.Инвестиционна програма'!$B$48:$B$55,$B27,'9.Инвестиционна програма'!F$48:F$55)*$E$5</f>
        <v>0</v>
      </c>
      <c r="U27" s="931">
        <f>SUMIF('9.Инвестиционна програма'!$B$48:$B$55,$B27,'9.Инвестиционна програма'!G$48:G$55)*$E$5</f>
        <v>20</v>
      </c>
      <c r="V27" s="931">
        <f>SUMIF('9.Инвестиционна програма'!$B$48:$B$55,$B27,'9.Инвестиционна програма'!H$48:H$55)*$E$5</f>
        <v>20</v>
      </c>
      <c r="W27" s="931">
        <f>SUMIF('9.Инвестиционна програма'!$B$48:$B$55,$B27,'9.Инвестиционна програма'!I$48:I$55)*$E$5</f>
        <v>20</v>
      </c>
      <c r="X27" s="931">
        <f>SUMIF('9.Инвестиционна програма'!$B$48:$B$55,$B27,'9.Инвестиционна програма'!J$48:J$55)*$E$5</f>
        <v>20</v>
      </c>
      <c r="Y27" s="931">
        <f>SUMIF('9.Инвестиционна програма'!$B$48:$B$55,$B27,'9.Инвестиционна програма'!K$48:K$55)*$E$5</f>
        <v>20</v>
      </c>
      <c r="Z27" s="930">
        <f>'11.2. Нови активи отч.год.'!Z28</f>
        <v>0</v>
      </c>
      <c r="AA27" s="934">
        <f>(SUMIF('9.Инвестиционна програма'!$B$57:$B$58,$B27,'9.Инвестиционна програма'!F$57:F$58)+SUMIF('9.Инвестиционна програма'!$B$60:$B$67,$B27,'9.Инвестиционна програма'!F$60:F$67))*$E$5</f>
        <v>0</v>
      </c>
      <c r="AB27" s="931">
        <f>(SUMIF('9.Инвестиционна програма'!$B$57:$B$58,$B27,'9.Инвестиционна програма'!G$57:G$58)+SUMIF('9.Инвестиционна програма'!$B$60:$B$67,$B27,'9.Инвестиционна програма'!G$60:G$67))*$E$5</f>
        <v>0</v>
      </c>
      <c r="AC27" s="931">
        <f>(SUMIF('9.Инвестиционна програма'!$B$57:$B$58,$B27,'9.Инвестиционна програма'!H$57:H$58)+SUMIF('9.Инвестиционна програма'!$B$60:$B$67,$B27,'9.Инвестиционна програма'!H$60:H$67))*$E$5</f>
        <v>0</v>
      </c>
      <c r="AD27" s="931">
        <f>(SUMIF('9.Инвестиционна програма'!$B$57:$B$58,$B27,'9.Инвестиционна програма'!I$57:I$58)+SUMIF('9.Инвестиционна програма'!$B$60:$B$67,$B27,'9.Инвестиционна програма'!I$60:I$67))*$E$5</f>
        <v>0</v>
      </c>
      <c r="AE27" s="931">
        <f>(SUMIF('9.Инвестиционна програма'!$B$57:$B$58,$B27,'9.Инвестиционна програма'!J$57:J$58)+SUMIF('9.Инвестиционна програма'!$B$60:$B$67,$B27,'9.Инвестиционна програма'!J$60:J$67))*$E$5</f>
        <v>0</v>
      </c>
      <c r="AF27" s="937">
        <f>(SUMIF('9.Инвестиционна програма'!$B$57:$B$58,$B27,'9.Инвестиционна програма'!K$57:K$58)+SUMIF('9.Инвестиционна програма'!$B$60:$B$67,$B27,'9.Инвестиционна програма'!K$60:K$67))*$E$5</f>
        <v>0</v>
      </c>
      <c r="AG27" s="307"/>
      <c r="AH27" s="566"/>
    </row>
    <row r="28" spans="1:34">
      <c r="A28" s="278"/>
      <c r="B28" s="1631">
        <v>20306</v>
      </c>
      <c r="C28" s="1632">
        <v>0.1</v>
      </c>
      <c r="D28" s="1625" t="s">
        <v>581</v>
      </c>
      <c r="E28" s="929">
        <f>'11.2. Нови активи отч.год.'!E29</f>
        <v>57</v>
      </c>
      <c r="F28" s="885">
        <f>SUMIF('9.Инвестиционна програма'!$B$11:$B$34,$B28,'9.Инвестиционна програма'!F$11:F$34)*$E$5</f>
        <v>0</v>
      </c>
      <c r="G28" s="886">
        <f>SUMIF('9.Инвестиционна програма'!$B$11:$B$34,$B28,'9.Инвестиционна програма'!G$11:G$34)*$E$5</f>
        <v>10</v>
      </c>
      <c r="H28" s="886">
        <f>SUMIF('9.Инвестиционна програма'!$B$11:$B$34,$B28,'9.Инвестиционна програма'!H$11:H$34)*$E$5</f>
        <v>10</v>
      </c>
      <c r="I28" s="886">
        <f>SUMIF('9.Инвестиционна програма'!$B$11:$B$34,$B28,'9.Инвестиционна програма'!I$11:I$34)*$E$5</f>
        <v>10</v>
      </c>
      <c r="J28" s="886">
        <f>SUMIF('9.Инвестиционна програма'!$B$11:$B$34,$B28,'9.Инвестиционна програма'!J$11:J$34)*$E$5</f>
        <v>10</v>
      </c>
      <c r="K28" s="887">
        <f>SUMIF('9.Инвестиционна програма'!$B$11:$B$34,$B28,'9.Инвестиционна програма'!K$11:K$34)*$E$5</f>
        <v>10</v>
      </c>
      <c r="L28" s="1486">
        <f>'11.2. Нови активи отч.год.'!L29</f>
        <v>0</v>
      </c>
      <c r="M28" s="934">
        <f>SUMIF('9.Инвестиционна програма'!$B$36:$B$46,$B28,'9.Инвестиционна програма'!F$36:F$46)*$E$5</f>
        <v>5</v>
      </c>
      <c r="N28" s="935">
        <f>SUMIF('9.Инвестиционна програма'!$B$36:$B$46,$B28,'9.Инвестиционна програма'!G$36:G$46)*$E$5</f>
        <v>5</v>
      </c>
      <c r="O28" s="935">
        <f>SUMIF('9.Инвестиционна програма'!$B$36:$B$46,$B28,'9.Инвестиционна програма'!H$36:H$46)*$E$5</f>
        <v>0</v>
      </c>
      <c r="P28" s="935">
        <f>SUMIF('9.Инвестиционна програма'!$B$36:$B$46,$B28,'9.Инвестиционна програма'!I$36:I$46)*$E$5</f>
        <v>0</v>
      </c>
      <c r="Q28" s="935">
        <f>SUMIF('9.Инвестиционна програма'!$B$36:$B$46,$B28,'9.Инвестиционна програма'!J$36:J$46)*$E$5</f>
        <v>0</v>
      </c>
      <c r="R28" s="936">
        <f>SUMIF('9.Инвестиционна програма'!$B$36:$B$46,$B28,'9.Инвестиционна програма'!K$36:K$46)*$E$5</f>
        <v>0</v>
      </c>
      <c r="S28" s="930">
        <f>'11.2. Нови активи отч.год.'!S29</f>
        <v>2</v>
      </c>
      <c r="T28" s="931">
        <f>SUMIF('9.Инвестиционна програма'!$B$48:$B$55,$B28,'9.Инвестиционна програма'!F$48:F$55)*$E$5</f>
        <v>0</v>
      </c>
      <c r="U28" s="931">
        <f>SUMIF('9.Инвестиционна програма'!$B$48:$B$55,$B28,'9.Инвестиционна програма'!G$48:G$55)*$E$5</f>
        <v>6</v>
      </c>
      <c r="V28" s="931">
        <f>SUMIF('9.Инвестиционна програма'!$B$48:$B$55,$B28,'9.Инвестиционна програма'!H$48:H$55)*$E$5</f>
        <v>10</v>
      </c>
      <c r="W28" s="931">
        <f>SUMIF('9.Инвестиционна програма'!$B$48:$B$55,$B28,'9.Инвестиционна програма'!I$48:I$55)*$E$5</f>
        <v>10</v>
      </c>
      <c r="X28" s="931">
        <f>SUMIF('9.Инвестиционна програма'!$B$48:$B$55,$B28,'9.Инвестиционна програма'!J$48:J$55)*$E$5</f>
        <v>10</v>
      </c>
      <c r="Y28" s="931">
        <f>SUMIF('9.Инвестиционна програма'!$B$48:$B$55,$B28,'9.Инвестиционна програма'!K$48:K$55)*$E$5</f>
        <v>10</v>
      </c>
      <c r="Z28" s="930">
        <f>'11.2. Нови активи отч.год.'!Z29</f>
        <v>0</v>
      </c>
      <c r="AA28" s="934">
        <f>(SUMIF('9.Инвестиционна програма'!$B$57:$B$58,$B28,'9.Инвестиционна програма'!F$57:F$58)+SUMIF('9.Инвестиционна програма'!$B$60:$B$67,$B28,'9.Инвестиционна програма'!F$60:F$67))*$E$5</f>
        <v>0</v>
      </c>
      <c r="AB28" s="931">
        <f>(SUMIF('9.Инвестиционна програма'!$B$57:$B$58,$B28,'9.Инвестиционна програма'!G$57:G$58)+SUMIF('9.Инвестиционна програма'!$B$60:$B$67,$B28,'9.Инвестиционна програма'!G$60:G$67))*$E$5</f>
        <v>0</v>
      </c>
      <c r="AC28" s="931">
        <f>(SUMIF('9.Инвестиционна програма'!$B$57:$B$58,$B28,'9.Инвестиционна програма'!H$57:H$58)+SUMIF('9.Инвестиционна програма'!$B$60:$B$67,$B28,'9.Инвестиционна програма'!H$60:H$67))*$E$5</f>
        <v>0</v>
      </c>
      <c r="AD28" s="931">
        <f>(SUMIF('9.Инвестиционна програма'!$B$57:$B$58,$B28,'9.Инвестиционна програма'!I$57:I$58)+SUMIF('9.Инвестиционна програма'!$B$60:$B$67,$B28,'9.Инвестиционна програма'!I$60:I$67))*$E$5</f>
        <v>0</v>
      </c>
      <c r="AE28" s="931">
        <f>(SUMIF('9.Инвестиционна програма'!$B$57:$B$58,$B28,'9.Инвестиционна програма'!J$57:J$58)+SUMIF('9.Инвестиционна програма'!$B$60:$B$67,$B28,'9.Инвестиционна програма'!J$60:J$67))*$E$5</f>
        <v>0</v>
      </c>
      <c r="AF28" s="937">
        <f>(SUMIF('9.Инвестиционна програма'!$B$57:$B$58,$B28,'9.Инвестиционна програма'!K$57:K$58)+SUMIF('9.Инвестиционна програма'!$B$60:$B$67,$B28,'9.Инвестиционна програма'!K$60:K$67))*$E$5</f>
        <v>0</v>
      </c>
      <c r="AG28" s="307"/>
      <c r="AH28" s="566"/>
    </row>
    <row r="29" spans="1:34" ht="14.25" customHeight="1">
      <c r="A29" s="938">
        <v>4</v>
      </c>
      <c r="B29" s="1807">
        <v>204</v>
      </c>
      <c r="C29" s="1808"/>
      <c r="D29" s="1815" t="s">
        <v>274</v>
      </c>
      <c r="E29" s="944">
        <f>E30+E33+E42+E43</f>
        <v>2</v>
      </c>
      <c r="F29" s="889">
        <f t="shared" ref="F29:AF29" si="7">F30+F33+F42+F43</f>
        <v>2476</v>
      </c>
      <c r="G29" s="890">
        <f t="shared" si="7"/>
        <v>202.91721999999999</v>
      </c>
      <c r="H29" s="890">
        <f t="shared" si="7"/>
        <v>809.66666666666663</v>
      </c>
      <c r="I29" s="890">
        <f t="shared" si="7"/>
        <v>1008</v>
      </c>
      <c r="J29" s="890">
        <f t="shared" si="7"/>
        <v>1073</v>
      </c>
      <c r="K29" s="891">
        <f t="shared" si="7"/>
        <v>1318</v>
      </c>
      <c r="L29" s="2067">
        <f t="shared" si="7"/>
        <v>0</v>
      </c>
      <c r="M29" s="889">
        <f t="shared" si="7"/>
        <v>44</v>
      </c>
      <c r="N29" s="890">
        <f t="shared" si="7"/>
        <v>16</v>
      </c>
      <c r="O29" s="890">
        <f t="shared" si="7"/>
        <v>120</v>
      </c>
      <c r="P29" s="890">
        <f t="shared" si="7"/>
        <v>120</v>
      </c>
      <c r="Q29" s="890">
        <f t="shared" si="7"/>
        <v>105</v>
      </c>
      <c r="R29" s="891">
        <f t="shared" si="7"/>
        <v>90</v>
      </c>
      <c r="S29" s="888">
        <f t="shared" si="7"/>
        <v>0</v>
      </c>
      <c r="T29" s="892">
        <f t="shared" si="7"/>
        <v>110</v>
      </c>
      <c r="U29" s="890">
        <f t="shared" si="7"/>
        <v>100</v>
      </c>
      <c r="V29" s="890">
        <f t="shared" si="7"/>
        <v>170</v>
      </c>
      <c r="W29" s="890">
        <f t="shared" si="7"/>
        <v>170</v>
      </c>
      <c r="X29" s="890">
        <f t="shared" si="7"/>
        <v>170</v>
      </c>
      <c r="Y29" s="891">
        <f t="shared" si="7"/>
        <v>170</v>
      </c>
      <c r="Z29" s="888">
        <f t="shared" si="7"/>
        <v>0</v>
      </c>
      <c r="AA29" s="892">
        <f t="shared" si="7"/>
        <v>0</v>
      </c>
      <c r="AB29" s="890">
        <f t="shared" si="7"/>
        <v>0</v>
      </c>
      <c r="AC29" s="890">
        <f t="shared" si="7"/>
        <v>0</v>
      </c>
      <c r="AD29" s="890">
        <f t="shared" si="7"/>
        <v>0</v>
      </c>
      <c r="AE29" s="890">
        <f t="shared" si="7"/>
        <v>0</v>
      </c>
      <c r="AF29" s="891">
        <f t="shared" si="7"/>
        <v>0</v>
      </c>
      <c r="AG29" s="307"/>
      <c r="AH29" s="566"/>
    </row>
    <row r="30" spans="1:34">
      <c r="A30" s="278"/>
      <c r="B30" s="1631">
        <v>20401</v>
      </c>
      <c r="C30" s="1636"/>
      <c r="D30" s="1637" t="s">
        <v>589</v>
      </c>
      <c r="E30" s="945">
        <f t="shared" ref="E30:AF30" si="8">SUM(E31:E32)</f>
        <v>0</v>
      </c>
      <c r="F30" s="946">
        <f t="shared" si="8"/>
        <v>0</v>
      </c>
      <c r="G30" s="947">
        <f t="shared" si="8"/>
        <v>0</v>
      </c>
      <c r="H30" s="947">
        <f t="shared" si="8"/>
        <v>0</v>
      </c>
      <c r="I30" s="947">
        <f t="shared" si="8"/>
        <v>0</v>
      </c>
      <c r="J30" s="947">
        <f t="shared" si="8"/>
        <v>0</v>
      </c>
      <c r="K30" s="948">
        <f t="shared" si="8"/>
        <v>0</v>
      </c>
      <c r="L30" s="2068">
        <f t="shared" si="8"/>
        <v>0</v>
      </c>
      <c r="M30" s="946">
        <f t="shared" si="8"/>
        <v>0</v>
      </c>
      <c r="N30" s="947">
        <f t="shared" si="8"/>
        <v>0</v>
      </c>
      <c r="O30" s="947">
        <f t="shared" si="8"/>
        <v>0</v>
      </c>
      <c r="P30" s="947">
        <f t="shared" si="8"/>
        <v>0</v>
      </c>
      <c r="Q30" s="947">
        <f t="shared" si="8"/>
        <v>0</v>
      </c>
      <c r="R30" s="948">
        <f t="shared" si="8"/>
        <v>0</v>
      </c>
      <c r="S30" s="949">
        <f t="shared" si="8"/>
        <v>0</v>
      </c>
      <c r="T30" s="950">
        <f t="shared" si="8"/>
        <v>0</v>
      </c>
      <c r="U30" s="947">
        <f t="shared" si="8"/>
        <v>0</v>
      </c>
      <c r="V30" s="947">
        <f t="shared" si="8"/>
        <v>0</v>
      </c>
      <c r="W30" s="947">
        <f t="shared" si="8"/>
        <v>0</v>
      </c>
      <c r="X30" s="947">
        <f t="shared" si="8"/>
        <v>0</v>
      </c>
      <c r="Y30" s="948">
        <f t="shared" si="8"/>
        <v>0</v>
      </c>
      <c r="Z30" s="949">
        <f t="shared" si="8"/>
        <v>0</v>
      </c>
      <c r="AA30" s="950">
        <f t="shared" si="8"/>
        <v>0</v>
      </c>
      <c r="AB30" s="947">
        <f t="shared" si="8"/>
        <v>0</v>
      </c>
      <c r="AC30" s="947">
        <f t="shared" si="8"/>
        <v>0</v>
      </c>
      <c r="AD30" s="947">
        <f t="shared" si="8"/>
        <v>0</v>
      </c>
      <c r="AE30" s="947">
        <f t="shared" si="8"/>
        <v>0</v>
      </c>
      <c r="AF30" s="948">
        <f t="shared" si="8"/>
        <v>0</v>
      </c>
      <c r="AH30" s="566"/>
    </row>
    <row r="31" spans="1:34">
      <c r="A31" s="278"/>
      <c r="B31" s="1811">
        <v>2040101</v>
      </c>
      <c r="C31" s="1812">
        <v>0.1</v>
      </c>
      <c r="D31" s="1816" t="s">
        <v>603</v>
      </c>
      <c r="E31" s="929">
        <f>'11.2. Нови активи отч.год.'!E32</f>
        <v>0</v>
      </c>
      <c r="F31" s="885">
        <f>SUMIF('9.Инвестиционна програма'!$B$11:$B$34,$B31,'9.Инвестиционна програма'!F$11:F$34)*$E$5</f>
        <v>0</v>
      </c>
      <c r="G31" s="886">
        <f>SUMIF('9.Инвестиционна програма'!$B$11:$B$34,$B31,'9.Инвестиционна програма'!G$11:G$34)*$E$5</f>
        <v>0</v>
      </c>
      <c r="H31" s="886">
        <f>SUMIF('9.Инвестиционна програма'!$B$11:$B$34,$B31,'9.Инвестиционна програма'!H$11:H$34)*$E$5</f>
        <v>0</v>
      </c>
      <c r="I31" s="886">
        <f>SUMIF('9.Инвестиционна програма'!$B$11:$B$34,$B31,'9.Инвестиционна програма'!I$11:I$34)*$E$5</f>
        <v>0</v>
      </c>
      <c r="J31" s="886">
        <f>SUMIF('9.Инвестиционна програма'!$B$11:$B$34,$B31,'9.Инвестиционна програма'!J$11:J$34)*$E$5</f>
        <v>0</v>
      </c>
      <c r="K31" s="887">
        <f>SUMIF('9.Инвестиционна програма'!$B$11:$B$34,$B31,'9.Инвестиционна програма'!K$11:K$34)*$E$5</f>
        <v>0</v>
      </c>
      <c r="L31" s="1486">
        <f>'11.2. Нови активи отч.год.'!L32</f>
        <v>0</v>
      </c>
      <c r="M31" s="934">
        <f>SUMIF('9.Инвестиционна програма'!$B$36:$B$46,$B31,'9.Инвестиционна програма'!F$36:F$46)*$E$5</f>
        <v>0</v>
      </c>
      <c r="N31" s="935">
        <f>SUMIF('9.Инвестиционна програма'!$B$36:$B$46,$B31,'9.Инвестиционна програма'!G$36:G$46)*$E$5</f>
        <v>0</v>
      </c>
      <c r="O31" s="935">
        <f>SUMIF('9.Инвестиционна програма'!$B$36:$B$46,$B31,'9.Инвестиционна програма'!H$36:H$46)*$E$5</f>
        <v>0</v>
      </c>
      <c r="P31" s="935">
        <f>SUMIF('9.Инвестиционна програма'!$B$36:$B$46,$B31,'9.Инвестиционна програма'!I$36:I$46)*$E$5</f>
        <v>0</v>
      </c>
      <c r="Q31" s="935">
        <f>SUMIF('9.Инвестиционна програма'!$B$36:$B$46,$B31,'9.Инвестиционна програма'!J$36:J$46)*$E$5</f>
        <v>0</v>
      </c>
      <c r="R31" s="936">
        <f>SUMIF('9.Инвестиционна програма'!$B$36:$B$46,$B31,'9.Инвестиционна програма'!K$36:K$46)*$E$5</f>
        <v>0</v>
      </c>
      <c r="S31" s="930">
        <f>'11.2. Нови активи отч.год.'!S32</f>
        <v>0</v>
      </c>
      <c r="T31" s="931">
        <f>SUMIF('9.Инвестиционна програма'!$B$48:$B$55,$B31,'9.Инвестиционна програма'!F$48:F$55)*$E$5</f>
        <v>0</v>
      </c>
      <c r="U31" s="931">
        <f>SUMIF('9.Инвестиционна програма'!$B$48:$B$55,$B31,'9.Инвестиционна програма'!G$48:G$55)*$E$5</f>
        <v>0</v>
      </c>
      <c r="V31" s="931">
        <f>SUMIF('9.Инвестиционна програма'!$B$48:$B$55,$B31,'9.Инвестиционна програма'!H$48:H$55)*$E$5</f>
        <v>0</v>
      </c>
      <c r="W31" s="931">
        <f>SUMIF('9.Инвестиционна програма'!$B$48:$B$55,$B31,'9.Инвестиционна програма'!I$48:I$55)*$E$5</f>
        <v>0</v>
      </c>
      <c r="X31" s="931">
        <f>SUMIF('9.Инвестиционна програма'!$B$48:$B$55,$B31,'9.Инвестиционна програма'!J$48:J$55)*$E$5</f>
        <v>0</v>
      </c>
      <c r="Y31" s="931">
        <f>SUMIF('9.Инвестиционна програма'!$B$48:$B$55,$B31,'9.Инвестиционна програма'!K$48:K$55)*$E$5</f>
        <v>0</v>
      </c>
      <c r="Z31" s="930">
        <f>'11.2. Нови активи отч.год.'!Z32</f>
        <v>0</v>
      </c>
      <c r="AA31" s="934">
        <f>(SUMIF('9.Инвестиционна програма'!$B$57:$B$58,$B31,'9.Инвестиционна програма'!F$57:F$58)+SUMIF('9.Инвестиционна програма'!$B$60:$B$67,$B31,'9.Инвестиционна програма'!F$60:F$67))*$E$5</f>
        <v>0</v>
      </c>
      <c r="AB31" s="931">
        <f>(SUMIF('9.Инвестиционна програма'!$B$57:$B$58,$B31,'9.Инвестиционна програма'!G$57:G$58)+SUMIF('9.Инвестиционна програма'!$B$60:$B$67,$B31,'9.Инвестиционна програма'!G$60:G$67))*$E$5</f>
        <v>0</v>
      </c>
      <c r="AC31" s="931">
        <f>(SUMIF('9.Инвестиционна програма'!$B$57:$B$58,$B31,'9.Инвестиционна програма'!H$57:H$58)+SUMIF('9.Инвестиционна програма'!$B$60:$B$67,$B31,'9.Инвестиционна програма'!H$60:H$67))*$E$5</f>
        <v>0</v>
      </c>
      <c r="AD31" s="931">
        <f>(SUMIF('9.Инвестиционна програма'!$B$57:$B$58,$B31,'9.Инвестиционна програма'!I$57:I$58)+SUMIF('9.Инвестиционна програма'!$B$60:$B$67,$B31,'9.Инвестиционна програма'!I$60:I$67))*$E$5</f>
        <v>0</v>
      </c>
      <c r="AE31" s="931">
        <f>(SUMIF('9.Инвестиционна програма'!$B$57:$B$58,$B31,'9.Инвестиционна програма'!J$57:J$58)+SUMIF('9.Инвестиционна програма'!$B$60:$B$67,$B31,'9.Инвестиционна програма'!J$60:J$67))*$E$5</f>
        <v>0</v>
      </c>
      <c r="AF31" s="937">
        <f>(SUMIF('9.Инвестиционна програма'!$B$57:$B$58,$B31,'9.Инвестиционна програма'!K$57:K$58)+SUMIF('9.Инвестиционна програма'!$B$60:$B$67,$B31,'9.Инвестиционна програма'!K$60:K$67))*$E$5</f>
        <v>0</v>
      </c>
      <c r="AH31" s="566"/>
    </row>
    <row r="32" spans="1:34">
      <c r="A32" s="278"/>
      <c r="B32" s="1811">
        <v>2040102</v>
      </c>
      <c r="C32" s="1812">
        <v>0.04</v>
      </c>
      <c r="D32" s="1816" t="s">
        <v>604</v>
      </c>
      <c r="E32" s="929">
        <f>'11.2. Нови активи отч.год.'!E33</f>
        <v>0</v>
      </c>
      <c r="F32" s="885">
        <f>SUMIF('9.Инвестиционна програма'!$B$11:$B$34,$B32,'9.Инвестиционна програма'!F$11:F$34)*$E$5</f>
        <v>0</v>
      </c>
      <c r="G32" s="886">
        <f>SUMIF('9.Инвестиционна програма'!$B$11:$B$34,$B32,'9.Инвестиционна програма'!G$11:G$34)*$E$5</f>
        <v>0</v>
      </c>
      <c r="H32" s="886">
        <f>SUMIF('9.Инвестиционна програма'!$B$11:$B$34,$B32,'9.Инвестиционна програма'!H$11:H$34)*$E$5</f>
        <v>0</v>
      </c>
      <c r="I32" s="886">
        <f>SUMIF('9.Инвестиционна програма'!$B$11:$B$34,$B32,'9.Инвестиционна програма'!I$11:I$34)*$E$5</f>
        <v>0</v>
      </c>
      <c r="J32" s="886">
        <f>SUMIF('9.Инвестиционна програма'!$B$11:$B$34,$B32,'9.Инвестиционна програма'!J$11:J$34)*$E$5</f>
        <v>0</v>
      </c>
      <c r="K32" s="887">
        <f>SUMIF('9.Инвестиционна програма'!$B$11:$B$34,$B32,'9.Инвестиционна програма'!K$11:K$34)*$E$5</f>
        <v>0</v>
      </c>
      <c r="L32" s="1486">
        <f>'11.2. Нови активи отч.год.'!L33</f>
        <v>0</v>
      </c>
      <c r="M32" s="934">
        <f>SUMIF('9.Инвестиционна програма'!$B$36:$B$46,$B32,'9.Инвестиционна програма'!F$36:F$46)*$E$5</f>
        <v>0</v>
      </c>
      <c r="N32" s="935">
        <f>SUMIF('9.Инвестиционна програма'!$B$36:$B$46,$B32,'9.Инвестиционна програма'!G$36:G$46)*$E$5</f>
        <v>0</v>
      </c>
      <c r="O32" s="935">
        <f>SUMIF('9.Инвестиционна програма'!$B$36:$B$46,$B32,'9.Инвестиционна програма'!H$36:H$46)*$E$5</f>
        <v>0</v>
      </c>
      <c r="P32" s="935">
        <f>SUMIF('9.Инвестиционна програма'!$B$36:$B$46,$B32,'9.Инвестиционна програма'!I$36:I$46)*$E$5</f>
        <v>0</v>
      </c>
      <c r="Q32" s="935">
        <f>SUMIF('9.Инвестиционна програма'!$B$36:$B$46,$B32,'9.Инвестиционна програма'!J$36:J$46)*$E$5</f>
        <v>0</v>
      </c>
      <c r="R32" s="936">
        <f>SUMIF('9.Инвестиционна програма'!$B$36:$B$46,$B32,'9.Инвестиционна програма'!K$36:K$46)*$E$5</f>
        <v>0</v>
      </c>
      <c r="S32" s="930">
        <f>'11.2. Нови активи отч.год.'!S33</f>
        <v>0</v>
      </c>
      <c r="T32" s="931">
        <f>SUMIF('9.Инвестиционна програма'!$B$48:$B$55,$B32,'9.Инвестиционна програма'!F$48:F$55)*$E$5</f>
        <v>0</v>
      </c>
      <c r="U32" s="931">
        <f>SUMIF('9.Инвестиционна програма'!$B$48:$B$55,$B32,'9.Инвестиционна програма'!G$48:G$55)*$E$5</f>
        <v>0</v>
      </c>
      <c r="V32" s="931">
        <f>SUMIF('9.Инвестиционна програма'!$B$48:$B$55,$B32,'9.Инвестиционна програма'!H$48:H$55)*$E$5</f>
        <v>0</v>
      </c>
      <c r="W32" s="931">
        <f>SUMIF('9.Инвестиционна програма'!$B$48:$B$55,$B32,'9.Инвестиционна програма'!I$48:I$55)*$E$5</f>
        <v>0</v>
      </c>
      <c r="X32" s="931">
        <f>SUMIF('9.Инвестиционна програма'!$B$48:$B$55,$B32,'9.Инвестиционна програма'!J$48:J$55)*$E$5</f>
        <v>0</v>
      </c>
      <c r="Y32" s="931">
        <f>SUMIF('9.Инвестиционна програма'!$B$48:$B$55,$B32,'9.Инвестиционна програма'!K$48:K$55)*$E$5</f>
        <v>0</v>
      </c>
      <c r="Z32" s="930">
        <f>'11.2. Нови активи отч.год.'!Z33</f>
        <v>0</v>
      </c>
      <c r="AA32" s="934">
        <f>(SUMIF('9.Инвестиционна програма'!$B$57:$B$58,$B32,'9.Инвестиционна програма'!F$57:F$58)+SUMIF('9.Инвестиционна програма'!$B$60:$B$67,$B32,'9.Инвестиционна програма'!F$60:F$67))*$E$5</f>
        <v>0</v>
      </c>
      <c r="AB32" s="931">
        <f>(SUMIF('9.Инвестиционна програма'!$B$57:$B$58,$B32,'9.Инвестиционна програма'!G$57:G$58)+SUMIF('9.Инвестиционна програма'!$B$60:$B$67,$B32,'9.Инвестиционна програма'!G$60:G$67))*$E$5</f>
        <v>0</v>
      </c>
      <c r="AC32" s="931">
        <f>(SUMIF('9.Инвестиционна програма'!$B$57:$B$58,$B32,'9.Инвестиционна програма'!H$57:H$58)+SUMIF('9.Инвестиционна програма'!$B$60:$B$67,$B32,'9.Инвестиционна програма'!H$60:H$67))*$E$5</f>
        <v>0</v>
      </c>
      <c r="AD32" s="931">
        <f>(SUMIF('9.Инвестиционна програма'!$B$57:$B$58,$B32,'9.Инвестиционна програма'!I$57:I$58)+SUMIF('9.Инвестиционна програма'!$B$60:$B$67,$B32,'9.Инвестиционна програма'!I$60:I$67))*$E$5</f>
        <v>0</v>
      </c>
      <c r="AE32" s="931">
        <f>(SUMIF('9.Инвестиционна програма'!$B$57:$B$58,$B32,'9.Инвестиционна програма'!J$57:J$58)+SUMIF('9.Инвестиционна програма'!$B$60:$B$67,$B32,'9.Инвестиционна програма'!J$60:J$67))*$E$5</f>
        <v>0</v>
      </c>
      <c r="AF32" s="937">
        <f>(SUMIF('9.Инвестиционна програма'!$B$57:$B$58,$B32,'9.Инвестиционна програма'!K$57:K$58)+SUMIF('9.Инвестиционна програма'!$B$60:$B$67,$B32,'9.Инвестиционна програма'!K$60:K$67))*$E$5</f>
        <v>0</v>
      </c>
      <c r="AH32" s="566"/>
    </row>
    <row r="33" spans="1:34">
      <c r="A33" s="278"/>
      <c r="B33" s="1631">
        <v>20402</v>
      </c>
      <c r="C33" s="1636"/>
      <c r="D33" s="1637" t="s">
        <v>605</v>
      </c>
      <c r="E33" s="945">
        <f>SUM(E34:E41)</f>
        <v>0</v>
      </c>
      <c r="F33" s="946">
        <f t="shared" ref="F33:AF33" si="9">SUM(F34:F41)</f>
        <v>2476</v>
      </c>
      <c r="G33" s="947">
        <f t="shared" si="9"/>
        <v>202.91721999999999</v>
      </c>
      <c r="H33" s="947">
        <f t="shared" si="9"/>
        <v>809.66666666666663</v>
      </c>
      <c r="I33" s="947">
        <f t="shared" si="9"/>
        <v>1008</v>
      </c>
      <c r="J33" s="947">
        <f t="shared" si="9"/>
        <v>1073</v>
      </c>
      <c r="K33" s="948">
        <f t="shared" si="9"/>
        <v>1318</v>
      </c>
      <c r="L33" s="2068">
        <f t="shared" si="9"/>
        <v>0</v>
      </c>
      <c r="M33" s="946">
        <f t="shared" si="9"/>
        <v>44</v>
      </c>
      <c r="N33" s="947">
        <f t="shared" si="9"/>
        <v>16</v>
      </c>
      <c r="O33" s="947">
        <f t="shared" si="9"/>
        <v>120</v>
      </c>
      <c r="P33" s="947">
        <f t="shared" si="9"/>
        <v>120</v>
      </c>
      <c r="Q33" s="947">
        <f t="shared" si="9"/>
        <v>105</v>
      </c>
      <c r="R33" s="948">
        <f t="shared" si="9"/>
        <v>90</v>
      </c>
      <c r="S33" s="949">
        <f t="shared" si="9"/>
        <v>0</v>
      </c>
      <c r="T33" s="950">
        <f t="shared" si="9"/>
        <v>110</v>
      </c>
      <c r="U33" s="947">
        <f t="shared" si="9"/>
        <v>100</v>
      </c>
      <c r="V33" s="947">
        <f t="shared" si="9"/>
        <v>170</v>
      </c>
      <c r="W33" s="947">
        <f t="shared" si="9"/>
        <v>170</v>
      </c>
      <c r="X33" s="947">
        <f t="shared" si="9"/>
        <v>170</v>
      </c>
      <c r="Y33" s="948">
        <f t="shared" si="9"/>
        <v>170</v>
      </c>
      <c r="Z33" s="949">
        <f t="shared" si="9"/>
        <v>0</v>
      </c>
      <c r="AA33" s="950">
        <f t="shared" si="9"/>
        <v>0</v>
      </c>
      <c r="AB33" s="947">
        <f t="shared" si="9"/>
        <v>0</v>
      </c>
      <c r="AC33" s="947">
        <f t="shared" si="9"/>
        <v>0</v>
      </c>
      <c r="AD33" s="947">
        <f t="shared" si="9"/>
        <v>0</v>
      </c>
      <c r="AE33" s="947">
        <f t="shared" si="9"/>
        <v>0</v>
      </c>
      <c r="AF33" s="948">
        <f t="shared" si="9"/>
        <v>0</v>
      </c>
      <c r="AH33" s="566"/>
    </row>
    <row r="34" spans="1:34">
      <c r="A34" s="278"/>
      <c r="B34" s="1631">
        <v>2040201</v>
      </c>
      <c r="C34" s="1632">
        <v>0.02</v>
      </c>
      <c r="D34" s="1813" t="s">
        <v>1007</v>
      </c>
      <c r="E34" s="929">
        <f>'11.2. Нови активи отч.год.'!E35</f>
        <v>0</v>
      </c>
      <c r="F34" s="885">
        <f>SUMIF('9.Инвестиционна програма'!$B$11:$B$34,$B34,'9.Инвестиционна програма'!F$11:F$34)*$E$5</f>
        <v>0</v>
      </c>
      <c r="G34" s="886">
        <f>SUMIF('9.Инвестиционна програма'!$B$11:$B$34,$B34,'9.Инвестиционна програма'!G$11:G$34)*$E$5</f>
        <v>0</v>
      </c>
      <c r="H34" s="886">
        <f>SUMIF('9.Инвестиционна програма'!$B$11:$B$34,$B34,'9.Инвестиционна програма'!H$11:H$34)*$E$5</f>
        <v>0</v>
      </c>
      <c r="I34" s="886">
        <f>SUMIF('9.Инвестиционна програма'!$B$11:$B$34,$B34,'9.Инвестиционна програма'!I$11:I$34)*$E$5</f>
        <v>0</v>
      </c>
      <c r="J34" s="886">
        <f>SUMIF('9.Инвестиционна програма'!$B$11:$B$34,$B34,'9.Инвестиционна програма'!J$11:J$34)*$E$5</f>
        <v>0</v>
      </c>
      <c r="K34" s="887">
        <f>SUMIF('9.Инвестиционна програма'!$B$11:$B$34,$B34,'9.Инвестиционна програма'!K$11:K$34)*$E$5</f>
        <v>0</v>
      </c>
      <c r="L34" s="1486">
        <f>'11.2. Нови активи отч.год.'!L35</f>
        <v>0</v>
      </c>
      <c r="M34" s="934">
        <f>SUMIF('9.Инвестиционна програма'!$B$36:$B$46,$B34,'9.Инвестиционна програма'!F$36:F$46)*$E$5</f>
        <v>0</v>
      </c>
      <c r="N34" s="935">
        <f>SUMIF('9.Инвестиционна програма'!$B$36:$B$46,$B34,'9.Инвестиционна програма'!G$36:G$46)*$E$5</f>
        <v>0</v>
      </c>
      <c r="O34" s="935">
        <f>SUMIF('9.Инвестиционна програма'!$B$36:$B$46,$B34,'9.Инвестиционна програма'!H$36:H$46)*$E$5</f>
        <v>0</v>
      </c>
      <c r="P34" s="935">
        <f>SUMIF('9.Инвестиционна програма'!$B$36:$B$46,$B34,'9.Инвестиционна програма'!I$36:I$46)*$E$5</f>
        <v>0</v>
      </c>
      <c r="Q34" s="935">
        <f>SUMIF('9.Инвестиционна програма'!$B$36:$B$46,$B34,'9.Инвестиционна програма'!J$36:J$46)*$E$5</f>
        <v>0</v>
      </c>
      <c r="R34" s="936">
        <f>SUMIF('9.Инвестиционна програма'!$B$36:$B$46,$B34,'9.Инвестиционна програма'!K$36:K$46)*$E$5</f>
        <v>0</v>
      </c>
      <c r="S34" s="930">
        <f>'11.2. Нови активи отч.год.'!S35</f>
        <v>0</v>
      </c>
      <c r="T34" s="931">
        <f>SUMIF('9.Инвестиционна програма'!$B$48:$B$55,$B34,'9.Инвестиционна програма'!F$48:F$55)*$E$5</f>
        <v>0</v>
      </c>
      <c r="U34" s="931">
        <f>SUMIF('9.Инвестиционна програма'!$B$48:$B$55,$B34,'9.Инвестиционна програма'!G$48:G$55)*$E$5</f>
        <v>0</v>
      </c>
      <c r="V34" s="931">
        <f>SUMIF('9.Инвестиционна програма'!$B$48:$B$55,$B34,'9.Инвестиционна програма'!H$48:H$55)*$E$5</f>
        <v>0</v>
      </c>
      <c r="W34" s="931">
        <f>SUMIF('9.Инвестиционна програма'!$B$48:$B$55,$B34,'9.Инвестиционна програма'!I$48:I$55)*$E$5</f>
        <v>0</v>
      </c>
      <c r="X34" s="931">
        <f>SUMIF('9.Инвестиционна програма'!$B$48:$B$55,$B34,'9.Инвестиционна програма'!J$48:J$55)*$E$5</f>
        <v>0</v>
      </c>
      <c r="Y34" s="931">
        <f>SUMIF('9.Инвестиционна програма'!$B$48:$B$55,$B34,'9.Инвестиционна програма'!K$48:K$55)*$E$5</f>
        <v>0</v>
      </c>
      <c r="Z34" s="930">
        <f>'11.2. Нови активи отч.год.'!Z35</f>
        <v>0</v>
      </c>
      <c r="AA34" s="934">
        <f>(SUMIF('9.Инвестиционна програма'!$B$57:$B$58,$B34,'9.Инвестиционна програма'!F$57:F$58)+SUMIF('9.Инвестиционна програма'!$B$60:$B$67,$B34,'9.Инвестиционна програма'!F$60:F$67))*$E$5</f>
        <v>0</v>
      </c>
      <c r="AB34" s="931">
        <f>(SUMIF('9.Инвестиционна програма'!$B$57:$B$58,$B34,'9.Инвестиционна програма'!G$57:G$58)+SUMIF('9.Инвестиционна програма'!$B$60:$B$67,$B34,'9.Инвестиционна програма'!G$60:G$67))*$E$5</f>
        <v>0</v>
      </c>
      <c r="AC34" s="931">
        <f>(SUMIF('9.Инвестиционна програма'!$B$57:$B$58,$B34,'9.Инвестиционна програма'!H$57:H$58)+SUMIF('9.Инвестиционна програма'!$B$60:$B$67,$B34,'9.Инвестиционна програма'!H$60:H$67))*$E$5</f>
        <v>0</v>
      </c>
      <c r="AD34" s="931">
        <f>(SUMIF('9.Инвестиционна програма'!$B$57:$B$58,$B34,'9.Инвестиционна програма'!I$57:I$58)+SUMIF('9.Инвестиционна програма'!$B$60:$B$67,$B34,'9.Инвестиционна програма'!I$60:I$67))*$E$5</f>
        <v>0</v>
      </c>
      <c r="AE34" s="931">
        <f>(SUMIF('9.Инвестиционна програма'!$B$57:$B$58,$B34,'9.Инвестиционна програма'!J$57:J$58)+SUMIF('9.Инвестиционна програма'!$B$60:$B$67,$B34,'9.Инвестиционна програма'!J$60:J$67))*$E$5</f>
        <v>0</v>
      </c>
      <c r="AF34" s="937">
        <f>(SUMIF('9.Инвестиционна програма'!$B$57:$B$58,$B34,'9.Инвестиционна програма'!K$57:K$58)+SUMIF('9.Инвестиционна програма'!$B$60:$B$67,$B34,'9.Инвестиционна програма'!K$60:K$67))*$E$5</f>
        <v>0</v>
      </c>
      <c r="AH34" s="566"/>
    </row>
    <row r="35" spans="1:34">
      <c r="A35" s="278"/>
      <c r="B35" s="1631">
        <v>2040202</v>
      </c>
      <c r="C35" s="1632">
        <v>0.02</v>
      </c>
      <c r="D35" s="1813" t="s">
        <v>1008</v>
      </c>
      <c r="E35" s="929">
        <f>'11.2. Нови активи отч.год.'!E36</f>
        <v>0</v>
      </c>
      <c r="F35" s="885">
        <f>SUMIF('9.Инвестиционна програма'!$B$11:$B$34,$B35,'9.Инвестиционна програма'!F$11:F$34)*$E$5</f>
        <v>0</v>
      </c>
      <c r="G35" s="886">
        <f>SUMIF('9.Инвестиционна програма'!$B$11:$B$34,$B35,'9.Инвестиционна програма'!G$11:G$34)*$E$5</f>
        <v>41</v>
      </c>
      <c r="H35" s="886">
        <f>SUMIF('9.Инвестиционна програма'!$B$11:$B$34,$B35,'9.Инвестиционна програма'!H$11:H$34)*$E$5</f>
        <v>60</v>
      </c>
      <c r="I35" s="886">
        <f>SUMIF('9.Инвестиционна програма'!$B$11:$B$34,$B35,'9.Инвестиционна програма'!I$11:I$34)*$E$5</f>
        <v>60</v>
      </c>
      <c r="J35" s="886">
        <f>SUMIF('9.Инвестиционна програма'!$B$11:$B$34,$B35,'9.Инвестиционна програма'!J$11:J$34)*$E$5</f>
        <v>50</v>
      </c>
      <c r="K35" s="887">
        <f>SUMIF('9.Инвестиционна програма'!$B$11:$B$34,$B35,'9.Инвестиционна програма'!K$11:K$34)*$E$5</f>
        <v>50</v>
      </c>
      <c r="L35" s="1486">
        <f>'11.2. Нови активи отч.год.'!L36</f>
        <v>0</v>
      </c>
      <c r="M35" s="934">
        <f>SUMIF('9.Инвестиционна програма'!$B$36:$B$46,$B35,'9.Инвестиционна програма'!F$36:F$46)*$E$5</f>
        <v>0</v>
      </c>
      <c r="N35" s="935">
        <f>SUMIF('9.Инвестиционна програма'!$B$36:$B$46,$B35,'9.Инвестиционна програма'!G$36:G$46)*$E$5</f>
        <v>0</v>
      </c>
      <c r="O35" s="935">
        <f>SUMIF('9.Инвестиционна програма'!$B$36:$B$46,$B35,'9.Инвестиционна програма'!H$36:H$46)*$E$5</f>
        <v>0</v>
      </c>
      <c r="P35" s="935">
        <f>SUMIF('9.Инвестиционна програма'!$B$36:$B$46,$B35,'9.Инвестиционна програма'!I$36:I$46)*$E$5</f>
        <v>0</v>
      </c>
      <c r="Q35" s="935">
        <f>SUMIF('9.Инвестиционна програма'!$B$36:$B$46,$B35,'9.Инвестиционна програма'!J$36:J$46)*$E$5</f>
        <v>0</v>
      </c>
      <c r="R35" s="936">
        <f>SUMIF('9.Инвестиционна програма'!$B$36:$B$46,$B35,'9.Инвестиционна програма'!K$36:K$46)*$E$5</f>
        <v>0</v>
      </c>
      <c r="S35" s="930">
        <f>'11.2. Нови активи отч.год.'!S36</f>
        <v>0</v>
      </c>
      <c r="T35" s="931">
        <f>SUMIF('9.Инвестиционна програма'!$B$48:$B$55,$B35,'9.Инвестиционна програма'!F$48:F$55)*$E$5</f>
        <v>0</v>
      </c>
      <c r="U35" s="931">
        <f>SUMIF('9.Инвестиционна програма'!$B$48:$B$55,$B35,'9.Инвестиционна програма'!G$48:G$55)*$E$5</f>
        <v>0</v>
      </c>
      <c r="V35" s="931">
        <f>SUMIF('9.Инвестиционна програма'!$B$48:$B$55,$B35,'9.Инвестиционна програма'!H$48:H$55)*$E$5</f>
        <v>0</v>
      </c>
      <c r="W35" s="931">
        <f>SUMIF('9.Инвестиционна програма'!$B$48:$B$55,$B35,'9.Инвестиционна програма'!I$48:I$55)*$E$5</f>
        <v>0</v>
      </c>
      <c r="X35" s="931">
        <f>SUMIF('9.Инвестиционна програма'!$B$48:$B$55,$B35,'9.Инвестиционна програма'!J$48:J$55)*$E$5</f>
        <v>0</v>
      </c>
      <c r="Y35" s="931">
        <f>SUMIF('9.Инвестиционна програма'!$B$48:$B$55,$B35,'9.Инвестиционна програма'!K$48:K$55)*$E$5</f>
        <v>0</v>
      </c>
      <c r="Z35" s="930">
        <f>'11.2. Нови активи отч.год.'!Z36</f>
        <v>0</v>
      </c>
      <c r="AA35" s="934">
        <f>(SUMIF('9.Инвестиционна програма'!$B$57:$B$58,$B35,'9.Инвестиционна програма'!F$57:F$58)+SUMIF('9.Инвестиционна програма'!$B$60:$B$67,$B35,'9.Инвестиционна програма'!F$60:F$67))*$E$5</f>
        <v>0</v>
      </c>
      <c r="AB35" s="931">
        <f>(SUMIF('9.Инвестиционна програма'!$B$57:$B$58,$B35,'9.Инвестиционна програма'!G$57:G$58)+SUMIF('9.Инвестиционна програма'!$B$60:$B$67,$B35,'9.Инвестиционна програма'!G$60:G$67))*$E$5</f>
        <v>0</v>
      </c>
      <c r="AC35" s="931">
        <f>(SUMIF('9.Инвестиционна програма'!$B$57:$B$58,$B35,'9.Инвестиционна програма'!H$57:H$58)+SUMIF('9.Инвестиционна програма'!$B$60:$B$67,$B35,'9.Инвестиционна програма'!H$60:H$67))*$E$5</f>
        <v>0</v>
      </c>
      <c r="AD35" s="931">
        <f>(SUMIF('9.Инвестиционна програма'!$B$57:$B$58,$B35,'9.Инвестиционна програма'!I$57:I$58)+SUMIF('9.Инвестиционна програма'!$B$60:$B$67,$B35,'9.Инвестиционна програма'!I$60:I$67))*$E$5</f>
        <v>0</v>
      </c>
      <c r="AE35" s="931">
        <f>(SUMIF('9.Инвестиционна програма'!$B$57:$B$58,$B35,'9.Инвестиционна програма'!J$57:J$58)+SUMIF('9.Инвестиционна програма'!$B$60:$B$67,$B35,'9.Инвестиционна програма'!J$60:J$67))*$E$5</f>
        <v>0</v>
      </c>
      <c r="AF35" s="937">
        <f>(SUMIF('9.Инвестиционна програма'!$B$57:$B$58,$B35,'9.Инвестиционна програма'!K$57:K$58)+SUMIF('9.Инвестиционна програма'!$B$60:$B$67,$B35,'9.Инвестиционна програма'!K$60:K$67))*$E$5</f>
        <v>0</v>
      </c>
      <c r="AH35" s="566"/>
    </row>
    <row r="36" spans="1:34">
      <c r="A36" s="278"/>
      <c r="B36" s="1631">
        <v>2040203</v>
      </c>
      <c r="C36" s="1632">
        <v>0.02</v>
      </c>
      <c r="D36" s="1813" t="s">
        <v>590</v>
      </c>
      <c r="E36" s="929">
        <f>'11.2. Нови активи отч.год.'!E37</f>
        <v>0</v>
      </c>
      <c r="F36" s="885">
        <f>SUMIF('9.Инвестиционна програма'!$B$11:$B$34,$B36,'9.Инвестиционна програма'!F$11:F$34)*$E$5</f>
        <v>0</v>
      </c>
      <c r="G36" s="886">
        <f>SUMIF('9.Инвестиционна програма'!$B$11:$B$34,$B36,'9.Инвестиционна програма'!G$11:G$34)*$E$5</f>
        <v>0</v>
      </c>
      <c r="H36" s="886">
        <f>SUMIF('9.Инвестиционна програма'!$B$11:$B$34,$B36,'9.Инвестиционна програма'!H$11:H$34)*$E$5</f>
        <v>0</v>
      </c>
      <c r="I36" s="886">
        <f>SUMIF('9.Инвестиционна програма'!$B$11:$B$34,$B36,'9.Инвестиционна програма'!I$11:I$34)*$E$5</f>
        <v>0</v>
      </c>
      <c r="J36" s="886">
        <f>SUMIF('9.Инвестиционна програма'!$B$11:$B$34,$B36,'9.Инвестиционна програма'!J$11:J$34)*$E$5</f>
        <v>0</v>
      </c>
      <c r="K36" s="887">
        <f>SUMIF('9.Инвестиционна програма'!$B$11:$B$34,$B36,'9.Инвестиционна програма'!K$11:K$34)*$E$5</f>
        <v>0</v>
      </c>
      <c r="L36" s="1486">
        <f>'11.2. Нови активи отч.год.'!L37</f>
        <v>0</v>
      </c>
      <c r="M36" s="934">
        <f>SUMIF('9.Инвестиционна програма'!$B$36:$B$46,$B36,'9.Инвестиционна програма'!F$36:F$46)*$E$5</f>
        <v>0</v>
      </c>
      <c r="N36" s="935">
        <f>SUMIF('9.Инвестиционна програма'!$B$36:$B$46,$B36,'9.Инвестиционна програма'!G$36:G$46)*$E$5</f>
        <v>0</v>
      </c>
      <c r="O36" s="935">
        <f>SUMIF('9.Инвестиционна програма'!$B$36:$B$46,$B36,'9.Инвестиционна програма'!H$36:H$46)*$E$5</f>
        <v>0</v>
      </c>
      <c r="P36" s="935">
        <f>SUMIF('9.Инвестиционна програма'!$B$36:$B$46,$B36,'9.Инвестиционна програма'!I$36:I$46)*$E$5</f>
        <v>0</v>
      </c>
      <c r="Q36" s="935">
        <f>SUMIF('9.Инвестиционна програма'!$B$36:$B$46,$B36,'9.Инвестиционна програма'!J$36:J$46)*$E$5</f>
        <v>0</v>
      </c>
      <c r="R36" s="936">
        <f>SUMIF('9.Инвестиционна програма'!$B$36:$B$46,$B36,'9.Инвестиционна програма'!K$36:K$46)*$E$5</f>
        <v>0</v>
      </c>
      <c r="S36" s="930">
        <f>'11.2. Нови активи отч.год.'!S37</f>
        <v>0</v>
      </c>
      <c r="T36" s="931">
        <f>SUMIF('9.Инвестиционна програма'!$B$48:$B$55,$B36,'9.Инвестиционна програма'!F$48:F$55)*$E$5</f>
        <v>0</v>
      </c>
      <c r="U36" s="931">
        <f>SUMIF('9.Инвестиционна програма'!$B$48:$B$55,$B36,'9.Инвестиционна програма'!G$48:G$55)*$E$5</f>
        <v>0</v>
      </c>
      <c r="V36" s="931">
        <f>SUMIF('9.Инвестиционна програма'!$B$48:$B$55,$B36,'9.Инвестиционна програма'!H$48:H$55)*$E$5</f>
        <v>0</v>
      </c>
      <c r="W36" s="931">
        <f>SUMIF('9.Инвестиционна програма'!$B$48:$B$55,$B36,'9.Инвестиционна програма'!I$48:I$55)*$E$5</f>
        <v>0</v>
      </c>
      <c r="X36" s="931">
        <f>SUMIF('9.Инвестиционна програма'!$B$48:$B$55,$B36,'9.Инвестиционна програма'!J$48:J$55)*$E$5</f>
        <v>0</v>
      </c>
      <c r="Y36" s="931">
        <f>SUMIF('9.Инвестиционна програма'!$B$48:$B$55,$B36,'9.Инвестиционна програма'!K$48:K$55)*$E$5</f>
        <v>0</v>
      </c>
      <c r="Z36" s="930">
        <f>'11.2. Нови активи отч.год.'!Z37</f>
        <v>0</v>
      </c>
      <c r="AA36" s="934">
        <f>(SUMIF('9.Инвестиционна програма'!$B$57:$B$58,$B36,'9.Инвестиционна програма'!F$57:F$58)+SUMIF('9.Инвестиционна програма'!$B$60:$B$67,$B36,'9.Инвестиционна програма'!F$60:F$67))*$E$5</f>
        <v>0</v>
      </c>
      <c r="AB36" s="931">
        <f>(SUMIF('9.Инвестиционна програма'!$B$57:$B$58,$B36,'9.Инвестиционна програма'!G$57:G$58)+SUMIF('9.Инвестиционна програма'!$B$60:$B$67,$B36,'9.Инвестиционна програма'!G$60:G$67))*$E$5</f>
        <v>0</v>
      </c>
      <c r="AC36" s="931">
        <f>(SUMIF('9.Инвестиционна програма'!$B$57:$B$58,$B36,'9.Инвестиционна програма'!H$57:H$58)+SUMIF('9.Инвестиционна програма'!$B$60:$B$67,$B36,'9.Инвестиционна програма'!H$60:H$67))*$E$5</f>
        <v>0</v>
      </c>
      <c r="AD36" s="931">
        <f>(SUMIF('9.Инвестиционна програма'!$B$57:$B$58,$B36,'9.Инвестиционна програма'!I$57:I$58)+SUMIF('9.Инвестиционна програма'!$B$60:$B$67,$B36,'9.Инвестиционна програма'!I$60:I$67))*$E$5</f>
        <v>0</v>
      </c>
      <c r="AE36" s="931">
        <f>(SUMIF('9.Инвестиционна програма'!$B$57:$B$58,$B36,'9.Инвестиционна програма'!J$57:J$58)+SUMIF('9.Инвестиционна програма'!$B$60:$B$67,$B36,'9.Инвестиционна програма'!J$60:J$67))*$E$5</f>
        <v>0</v>
      </c>
      <c r="AF36" s="937">
        <f>(SUMIF('9.Инвестиционна програма'!$B$57:$B$58,$B36,'9.Инвестиционна програма'!K$57:K$58)+SUMIF('9.Инвестиционна програма'!$B$60:$B$67,$B36,'9.Инвестиционна програма'!K$60:K$67))*$E$5</f>
        <v>0</v>
      </c>
      <c r="AH36" s="566"/>
    </row>
    <row r="37" spans="1:34">
      <c r="A37" s="278"/>
      <c r="B37" s="1631">
        <v>2040204</v>
      </c>
      <c r="C37" s="1632">
        <v>0.02</v>
      </c>
      <c r="D37" s="1816" t="s">
        <v>591</v>
      </c>
      <c r="E37" s="929">
        <f>'11.2. Нови активи отч.год.'!E38</f>
        <v>0</v>
      </c>
      <c r="F37" s="885">
        <f>SUMIF('9.Инвестиционна програма'!$B$11:$B$34,$B37,'9.Инвестиционна програма'!F$11:F$34)*$E$5</f>
        <v>172</v>
      </c>
      <c r="G37" s="886">
        <f>SUMIF('9.Инвестиционна програма'!$B$11:$B$34,$B37,'9.Инвестиционна програма'!G$11:G$34)*$E$5</f>
        <v>55</v>
      </c>
      <c r="H37" s="886">
        <f>SUMIF('9.Инвестиционна програма'!$B$11:$B$34,$B37,'9.Инвестиционна програма'!H$11:H$34)*$E$5</f>
        <v>40</v>
      </c>
      <c r="I37" s="886">
        <f>SUMIF('9.Инвестиционна програма'!$B$11:$B$34,$B37,'9.Инвестиционна програма'!I$11:I$34)*$E$5</f>
        <v>20</v>
      </c>
      <c r="J37" s="886">
        <f>SUMIF('9.Инвестиционна програма'!$B$11:$B$34,$B37,'9.Инвестиционна програма'!J$11:J$34)*$E$5</f>
        <v>15</v>
      </c>
      <c r="K37" s="887">
        <f>SUMIF('9.Инвестиционна програма'!$B$11:$B$34,$B37,'9.Инвестиционна програма'!K$11:K$34)*$E$5</f>
        <v>15</v>
      </c>
      <c r="L37" s="1486">
        <f>'11.2. Нови активи отч.год.'!L38</f>
        <v>0</v>
      </c>
      <c r="M37" s="934">
        <f>SUMIF('9.Инвестиционна програма'!$B$36:$B$46,$B37,'9.Инвестиционна програма'!F$36:F$46)*$E$5</f>
        <v>0</v>
      </c>
      <c r="N37" s="935">
        <f>SUMIF('9.Инвестиционна програма'!$B$36:$B$46,$B37,'9.Инвестиционна програма'!G$36:G$46)*$E$5</f>
        <v>0</v>
      </c>
      <c r="O37" s="935">
        <f>SUMIF('9.Инвестиционна програма'!$B$36:$B$46,$B37,'9.Инвестиционна програма'!H$36:H$46)*$E$5</f>
        <v>0</v>
      </c>
      <c r="P37" s="935">
        <f>SUMIF('9.Инвестиционна програма'!$B$36:$B$46,$B37,'9.Инвестиционна програма'!I$36:I$46)*$E$5</f>
        <v>0</v>
      </c>
      <c r="Q37" s="935">
        <f>SUMIF('9.Инвестиционна програма'!$B$36:$B$46,$B37,'9.Инвестиционна програма'!J$36:J$46)*$E$5</f>
        <v>0</v>
      </c>
      <c r="R37" s="936">
        <f>SUMIF('9.Инвестиционна програма'!$B$36:$B$46,$B37,'9.Инвестиционна програма'!K$36:K$46)*$E$5</f>
        <v>0</v>
      </c>
      <c r="S37" s="930">
        <f>'11.2. Нови активи отч.год.'!S38</f>
        <v>0</v>
      </c>
      <c r="T37" s="931">
        <f>SUMIF('9.Инвестиционна програма'!$B$48:$B$55,$B37,'9.Инвестиционна програма'!F$48:F$55)*$E$5</f>
        <v>0</v>
      </c>
      <c r="U37" s="931">
        <f>SUMIF('9.Инвестиционна програма'!$B$48:$B$55,$B37,'9.Инвестиционна програма'!G$48:G$55)*$E$5</f>
        <v>0</v>
      </c>
      <c r="V37" s="931">
        <f>SUMIF('9.Инвестиционна програма'!$B$48:$B$55,$B37,'9.Инвестиционна програма'!H$48:H$55)*$E$5</f>
        <v>0</v>
      </c>
      <c r="W37" s="931">
        <f>SUMIF('9.Инвестиционна програма'!$B$48:$B$55,$B37,'9.Инвестиционна програма'!I$48:I$55)*$E$5</f>
        <v>0</v>
      </c>
      <c r="X37" s="931">
        <f>SUMIF('9.Инвестиционна програма'!$B$48:$B$55,$B37,'9.Инвестиционна програма'!J$48:J$55)*$E$5</f>
        <v>0</v>
      </c>
      <c r="Y37" s="931">
        <f>SUMIF('9.Инвестиционна програма'!$B$48:$B$55,$B37,'9.Инвестиционна програма'!K$48:K$55)*$E$5</f>
        <v>0</v>
      </c>
      <c r="Z37" s="930">
        <f>'11.2. Нови активи отч.год.'!Z38</f>
        <v>0</v>
      </c>
      <c r="AA37" s="934">
        <f>(SUMIF('9.Инвестиционна програма'!$B$57:$B$58,$B37,'9.Инвестиционна програма'!F$57:F$58)+SUMIF('9.Инвестиционна програма'!$B$60:$B$67,$B37,'9.Инвестиционна програма'!F$60:F$67))*$E$5</f>
        <v>0</v>
      </c>
      <c r="AB37" s="931">
        <f>(SUMIF('9.Инвестиционна програма'!$B$57:$B$58,$B37,'9.Инвестиционна програма'!G$57:G$58)+SUMIF('9.Инвестиционна програма'!$B$60:$B$67,$B37,'9.Инвестиционна програма'!G$60:G$67))*$E$5</f>
        <v>0</v>
      </c>
      <c r="AC37" s="931">
        <f>(SUMIF('9.Инвестиционна програма'!$B$57:$B$58,$B37,'9.Инвестиционна програма'!H$57:H$58)+SUMIF('9.Инвестиционна програма'!$B$60:$B$67,$B37,'9.Инвестиционна програма'!H$60:H$67))*$E$5</f>
        <v>0</v>
      </c>
      <c r="AD37" s="931">
        <f>(SUMIF('9.Инвестиционна програма'!$B$57:$B$58,$B37,'9.Инвестиционна програма'!I$57:I$58)+SUMIF('9.Инвестиционна програма'!$B$60:$B$67,$B37,'9.Инвестиционна програма'!I$60:I$67))*$E$5</f>
        <v>0</v>
      </c>
      <c r="AE37" s="931">
        <f>(SUMIF('9.Инвестиционна програма'!$B$57:$B$58,$B37,'9.Инвестиционна програма'!J$57:J$58)+SUMIF('9.Инвестиционна програма'!$B$60:$B$67,$B37,'9.Инвестиционна програма'!J$60:J$67))*$E$5</f>
        <v>0</v>
      </c>
      <c r="AF37" s="937">
        <f>(SUMIF('9.Инвестиционна програма'!$B$57:$B$58,$B37,'9.Инвестиционна програма'!K$57:K$58)+SUMIF('9.Инвестиционна програма'!$B$60:$B$67,$B37,'9.Инвестиционна програма'!K$60:K$67))*$E$5</f>
        <v>0</v>
      </c>
      <c r="AH37" s="566"/>
    </row>
    <row r="38" spans="1:34">
      <c r="A38" s="278"/>
      <c r="B38" s="1631">
        <v>2040205</v>
      </c>
      <c r="C38" s="1632">
        <v>0.02</v>
      </c>
      <c r="D38" s="1813" t="s">
        <v>592</v>
      </c>
      <c r="E38" s="929">
        <f>'11.2. Нови активи отч.год.'!E39</f>
        <v>0</v>
      </c>
      <c r="F38" s="885">
        <f>SUMIF('9.Инвестиционна програма'!$B$11:$B$34,$B38,'9.Инвестиционна програма'!F$11:F$34)*$E$5</f>
        <v>1900</v>
      </c>
      <c r="G38" s="886">
        <f>SUMIF('9.Инвестиционна програма'!$B$11:$B$34,$B38,'9.Инвестиционна програма'!G$11:G$34)*$E$5</f>
        <v>63.5</v>
      </c>
      <c r="H38" s="886">
        <f>SUMIF('9.Инвестиционна програма'!$B$11:$B$34,$B38,'9.Инвестиционна програма'!H$11:H$34)*$E$5</f>
        <v>654.66666666666663</v>
      </c>
      <c r="I38" s="886">
        <f>SUMIF('9.Инвестиционна програма'!$B$11:$B$34,$B38,'9.Инвестиционна програма'!I$11:I$34)*$E$5</f>
        <v>857</v>
      </c>
      <c r="J38" s="886">
        <f>SUMIF('9.Инвестиционна програма'!$B$11:$B$34,$B38,'9.Инвестиционна програма'!J$11:J$34)*$E$5</f>
        <v>943</v>
      </c>
      <c r="K38" s="887">
        <f>SUMIF('9.Инвестиционна програма'!$B$11:$B$34,$B38,'9.Инвестиционна програма'!K$11:K$34)*$E$5</f>
        <v>1178</v>
      </c>
      <c r="L38" s="1486">
        <f>'11.2. Нови активи отч.год.'!L39</f>
        <v>0</v>
      </c>
      <c r="M38" s="934">
        <f>SUMIF('9.Инвестиционна програма'!$B$36:$B$46,$B38,'9.Инвестиционна програма'!F$36:F$46)*$E$5</f>
        <v>0</v>
      </c>
      <c r="N38" s="935">
        <f>SUMIF('9.Инвестиционна програма'!$B$36:$B$46,$B38,'9.Инвестиционна програма'!G$36:G$46)*$E$5</f>
        <v>0</v>
      </c>
      <c r="O38" s="935">
        <f>SUMIF('9.Инвестиционна програма'!$B$36:$B$46,$B38,'9.Инвестиционна програма'!H$36:H$46)*$E$5</f>
        <v>0</v>
      </c>
      <c r="P38" s="935">
        <f>SUMIF('9.Инвестиционна програма'!$B$36:$B$46,$B38,'9.Инвестиционна програма'!I$36:I$46)*$E$5</f>
        <v>0</v>
      </c>
      <c r="Q38" s="935">
        <f>SUMIF('9.Инвестиционна програма'!$B$36:$B$46,$B38,'9.Инвестиционна програма'!J$36:J$46)*$E$5</f>
        <v>0</v>
      </c>
      <c r="R38" s="936">
        <f>SUMIF('9.Инвестиционна програма'!$B$36:$B$46,$B38,'9.Инвестиционна програма'!K$36:K$46)*$E$5</f>
        <v>0</v>
      </c>
      <c r="S38" s="930">
        <f>'11.2. Нови активи отч.год.'!S39</f>
        <v>0</v>
      </c>
      <c r="T38" s="931">
        <f>SUMIF('9.Инвестиционна програма'!$B$48:$B$55,$B38,'9.Инвестиционна програма'!F$48:F$55)*$E$5</f>
        <v>0</v>
      </c>
      <c r="U38" s="931">
        <f>SUMIF('9.Инвестиционна програма'!$B$48:$B$55,$B38,'9.Инвестиционна програма'!G$48:G$55)*$E$5</f>
        <v>0</v>
      </c>
      <c r="V38" s="931">
        <f>SUMIF('9.Инвестиционна програма'!$B$48:$B$55,$B38,'9.Инвестиционна програма'!H$48:H$55)*$E$5</f>
        <v>0</v>
      </c>
      <c r="W38" s="931">
        <f>SUMIF('9.Инвестиционна програма'!$B$48:$B$55,$B38,'9.Инвестиционна програма'!I$48:I$55)*$E$5</f>
        <v>0</v>
      </c>
      <c r="X38" s="931">
        <f>SUMIF('9.Инвестиционна програма'!$B$48:$B$55,$B38,'9.Инвестиционна програма'!J$48:J$55)*$E$5</f>
        <v>0</v>
      </c>
      <c r="Y38" s="931">
        <f>SUMIF('9.Инвестиционна програма'!$B$48:$B$55,$B38,'9.Инвестиционна програма'!K$48:K$55)*$E$5</f>
        <v>0</v>
      </c>
      <c r="Z38" s="930">
        <f>'11.2. Нови активи отч.год.'!Z39</f>
        <v>0</v>
      </c>
      <c r="AA38" s="934">
        <f>(SUMIF('9.Инвестиционна програма'!$B$57:$B$58,$B38,'9.Инвестиционна програма'!F$57:F$58)+SUMIF('9.Инвестиционна програма'!$B$60:$B$67,$B38,'9.Инвестиционна програма'!F$60:F$67))*$E$5</f>
        <v>0</v>
      </c>
      <c r="AB38" s="931">
        <f>(SUMIF('9.Инвестиционна програма'!$B$57:$B$58,$B38,'9.Инвестиционна програма'!G$57:G$58)+SUMIF('9.Инвестиционна програма'!$B$60:$B$67,$B38,'9.Инвестиционна програма'!G$60:G$67))*$E$5</f>
        <v>0</v>
      </c>
      <c r="AC38" s="931">
        <f>(SUMIF('9.Инвестиционна програма'!$B$57:$B$58,$B38,'9.Инвестиционна програма'!H$57:H$58)+SUMIF('9.Инвестиционна програма'!$B$60:$B$67,$B38,'9.Инвестиционна програма'!H$60:H$67))*$E$5</f>
        <v>0</v>
      </c>
      <c r="AD38" s="931">
        <f>(SUMIF('9.Инвестиционна програма'!$B$57:$B$58,$B38,'9.Инвестиционна програма'!I$57:I$58)+SUMIF('9.Инвестиционна програма'!$B$60:$B$67,$B38,'9.Инвестиционна програма'!I$60:I$67))*$E$5</f>
        <v>0</v>
      </c>
      <c r="AE38" s="931">
        <f>(SUMIF('9.Инвестиционна програма'!$B$57:$B$58,$B38,'9.Инвестиционна програма'!J$57:J$58)+SUMIF('9.Инвестиционна програма'!$B$60:$B$67,$B38,'9.Инвестиционна програма'!J$60:J$67))*$E$5</f>
        <v>0</v>
      </c>
      <c r="AF38" s="937">
        <f>(SUMIF('9.Инвестиционна програма'!$B$57:$B$58,$B38,'9.Инвестиционна програма'!K$57:K$58)+SUMIF('9.Инвестиционна програма'!$B$60:$B$67,$B38,'9.Инвестиционна програма'!K$60:K$67))*$E$5</f>
        <v>0</v>
      </c>
      <c r="AH38" s="566"/>
    </row>
    <row r="39" spans="1:34">
      <c r="A39" s="278"/>
      <c r="B39" s="1631">
        <v>2040206</v>
      </c>
      <c r="C39" s="1632">
        <v>0.02</v>
      </c>
      <c r="D39" s="1813" t="s">
        <v>593</v>
      </c>
      <c r="E39" s="929">
        <f>'11.2. Нови активи отч.год.'!E40</f>
        <v>0</v>
      </c>
      <c r="F39" s="885">
        <f>SUMIF('9.Инвестиционна програма'!$B$11:$B$34,$B39,'9.Инвестиционна програма'!F$11:F$34)*$E$5</f>
        <v>0</v>
      </c>
      <c r="G39" s="886">
        <f>SUMIF('9.Инвестиционна програма'!$B$11:$B$34,$B39,'9.Инвестиционна програма'!G$11:G$34)*$E$5</f>
        <v>0</v>
      </c>
      <c r="H39" s="886">
        <f>SUMIF('9.Инвестиционна програма'!$B$11:$B$34,$B39,'9.Инвестиционна програма'!H$11:H$34)*$E$5</f>
        <v>0</v>
      </c>
      <c r="I39" s="886">
        <f>SUMIF('9.Инвестиционна програма'!$B$11:$B$34,$B39,'9.Инвестиционна програма'!I$11:I$34)*$E$5</f>
        <v>0</v>
      </c>
      <c r="J39" s="886">
        <f>SUMIF('9.Инвестиционна програма'!$B$11:$B$34,$B39,'9.Инвестиционна програма'!J$11:J$34)*$E$5</f>
        <v>0</v>
      </c>
      <c r="K39" s="887">
        <f>SUMIF('9.Инвестиционна програма'!$B$11:$B$34,$B39,'9.Инвестиционна програма'!K$11:K$34)*$E$5</f>
        <v>0</v>
      </c>
      <c r="L39" s="1486">
        <f>'11.2. Нови активи отч.год.'!L40</f>
        <v>0</v>
      </c>
      <c r="M39" s="934">
        <f>SUMIF('9.Инвестиционна програма'!$B$36:$B$46,$B39,'9.Инвестиционна програма'!F$36:F$46)*$E$5</f>
        <v>44</v>
      </c>
      <c r="N39" s="935">
        <f>SUMIF('9.Инвестиционна програма'!$B$36:$B$46,$B39,'9.Инвестиционна програма'!G$36:G$46)*$E$5</f>
        <v>16</v>
      </c>
      <c r="O39" s="935">
        <f>SUMIF('9.Инвестиционна програма'!$B$36:$B$46,$B39,'9.Инвестиционна програма'!H$36:H$46)*$E$5</f>
        <v>90</v>
      </c>
      <c r="P39" s="935">
        <f>SUMIF('9.Инвестиционна програма'!$B$36:$B$46,$B39,'9.Инвестиционна програма'!I$36:I$46)*$E$5</f>
        <v>90</v>
      </c>
      <c r="Q39" s="935">
        <f>SUMIF('9.Инвестиционна програма'!$B$36:$B$46,$B39,'9.Инвестиционна програма'!J$36:J$46)*$E$5</f>
        <v>90</v>
      </c>
      <c r="R39" s="936">
        <f>SUMIF('9.Инвестиционна програма'!$B$36:$B$46,$B39,'9.Инвестиционна програма'!K$36:K$46)*$E$5</f>
        <v>90</v>
      </c>
      <c r="S39" s="930">
        <f>'11.2. Нови активи отч.год.'!S40</f>
        <v>0</v>
      </c>
      <c r="T39" s="931">
        <f>SUMIF('9.Инвестиционна програма'!$B$48:$B$55,$B39,'9.Инвестиционна програма'!F$48:F$55)*$E$5</f>
        <v>0</v>
      </c>
      <c r="U39" s="931">
        <f>SUMIF('9.Инвестиционна програма'!$B$48:$B$55,$B39,'9.Инвестиционна програма'!G$48:G$55)*$E$5</f>
        <v>0</v>
      </c>
      <c r="V39" s="931">
        <f>SUMIF('9.Инвестиционна програма'!$B$48:$B$55,$B39,'9.Инвестиционна програма'!H$48:H$55)*$E$5</f>
        <v>0</v>
      </c>
      <c r="W39" s="931">
        <f>SUMIF('9.Инвестиционна програма'!$B$48:$B$55,$B39,'9.Инвестиционна програма'!I$48:I$55)*$E$5</f>
        <v>0</v>
      </c>
      <c r="X39" s="931">
        <f>SUMIF('9.Инвестиционна програма'!$B$48:$B$55,$B39,'9.Инвестиционна програма'!J$48:J$55)*$E$5</f>
        <v>0</v>
      </c>
      <c r="Y39" s="931">
        <f>SUMIF('9.Инвестиционна програма'!$B$48:$B$55,$B39,'9.Инвестиционна програма'!K$48:K$55)*$E$5</f>
        <v>0</v>
      </c>
      <c r="Z39" s="930">
        <f>'11.2. Нови активи отч.год.'!Z40</f>
        <v>0</v>
      </c>
      <c r="AA39" s="934">
        <f>(SUMIF('9.Инвестиционна програма'!$B$57:$B$58,$B39,'9.Инвестиционна програма'!F$57:F$58)+SUMIF('9.Инвестиционна програма'!$B$60:$B$67,$B39,'9.Инвестиционна програма'!F$60:F$67))*$E$5</f>
        <v>0</v>
      </c>
      <c r="AB39" s="931">
        <f>(SUMIF('9.Инвестиционна програма'!$B$57:$B$58,$B39,'9.Инвестиционна програма'!G$57:G$58)+SUMIF('9.Инвестиционна програма'!$B$60:$B$67,$B39,'9.Инвестиционна програма'!G$60:G$67))*$E$5</f>
        <v>0</v>
      </c>
      <c r="AC39" s="931">
        <f>(SUMIF('9.Инвестиционна програма'!$B$57:$B$58,$B39,'9.Инвестиционна програма'!H$57:H$58)+SUMIF('9.Инвестиционна програма'!$B$60:$B$67,$B39,'9.Инвестиционна програма'!H$60:H$67))*$E$5</f>
        <v>0</v>
      </c>
      <c r="AD39" s="931">
        <f>(SUMIF('9.Инвестиционна програма'!$B$57:$B$58,$B39,'9.Инвестиционна програма'!I$57:I$58)+SUMIF('9.Инвестиционна програма'!$B$60:$B$67,$B39,'9.Инвестиционна програма'!I$60:I$67))*$E$5</f>
        <v>0</v>
      </c>
      <c r="AE39" s="931">
        <f>(SUMIF('9.Инвестиционна програма'!$B$57:$B$58,$B39,'9.Инвестиционна програма'!J$57:J$58)+SUMIF('9.Инвестиционна програма'!$B$60:$B$67,$B39,'9.Инвестиционна програма'!J$60:J$67))*$E$5</f>
        <v>0</v>
      </c>
      <c r="AF39" s="937">
        <f>(SUMIF('9.Инвестиционна програма'!$B$57:$B$58,$B39,'9.Инвестиционна програма'!K$57:K$58)+SUMIF('9.Инвестиционна програма'!$B$60:$B$67,$B39,'9.Инвестиционна програма'!K$60:K$67))*$E$5</f>
        <v>0</v>
      </c>
      <c r="AH39" s="566"/>
    </row>
    <row r="40" spans="1:34" ht="24">
      <c r="A40" s="278"/>
      <c r="B40" s="1631">
        <v>2040207</v>
      </c>
      <c r="C40" s="1632">
        <v>0.04</v>
      </c>
      <c r="D40" s="1813" t="s">
        <v>594</v>
      </c>
      <c r="E40" s="929">
        <f>'11.2. Нови активи отч.год.'!E41</f>
        <v>0</v>
      </c>
      <c r="F40" s="885">
        <f>SUMIF('9.Инвестиционна програма'!$B$11:$B$34,$B40,'9.Инвестиционна програма'!F$11:F$34)*$E$5</f>
        <v>404</v>
      </c>
      <c r="G40" s="886">
        <f>SUMIF('9.Инвестиционна програма'!$B$11:$B$34,$B40,'9.Инвестиционна програма'!G$11:G$34)*$E$5</f>
        <v>43.417219999999986</v>
      </c>
      <c r="H40" s="886">
        <f>SUMIF('9.Инвестиционна програма'!$B$11:$B$34,$B40,'9.Инвестиционна програма'!H$11:H$34)*$E$5</f>
        <v>55</v>
      </c>
      <c r="I40" s="886">
        <f>SUMIF('9.Инвестиционна програма'!$B$11:$B$34,$B40,'9.Инвестиционна програма'!I$11:I$34)*$E$5</f>
        <v>71</v>
      </c>
      <c r="J40" s="886">
        <f>SUMIF('9.Инвестиционна програма'!$B$11:$B$34,$B40,'9.Инвестиционна програма'!J$11:J$34)*$E$5</f>
        <v>65</v>
      </c>
      <c r="K40" s="887">
        <f>SUMIF('9.Инвестиционна програма'!$B$11:$B$34,$B40,'9.Инвестиционна програма'!K$11:K$34)*$E$5</f>
        <v>75</v>
      </c>
      <c r="L40" s="1486">
        <f>'11.2. Нови активи отч.год.'!L41</f>
        <v>0</v>
      </c>
      <c r="M40" s="934">
        <f>SUMIF('9.Инвестиционна програма'!$B$36:$B$46,$B40,'9.Инвестиционна програма'!F$36:F$46)*$E$5</f>
        <v>0</v>
      </c>
      <c r="N40" s="935">
        <f>SUMIF('9.Инвестиционна програма'!$B$36:$B$46,$B40,'9.Инвестиционна програма'!G$36:G$46)*$E$5</f>
        <v>0</v>
      </c>
      <c r="O40" s="935">
        <f>SUMIF('9.Инвестиционна програма'!$B$36:$B$46,$B40,'9.Инвестиционна програма'!H$36:H$46)*$E$5</f>
        <v>30</v>
      </c>
      <c r="P40" s="935">
        <f>SUMIF('9.Инвестиционна програма'!$B$36:$B$46,$B40,'9.Инвестиционна програма'!I$36:I$46)*$E$5</f>
        <v>30</v>
      </c>
      <c r="Q40" s="935">
        <f>SUMIF('9.Инвестиционна програма'!$B$36:$B$46,$B40,'9.Инвестиционна програма'!J$36:J$46)*$E$5</f>
        <v>15</v>
      </c>
      <c r="R40" s="936">
        <f>SUMIF('9.Инвестиционна програма'!$B$36:$B$46,$B40,'9.Инвестиционна програма'!K$36:K$46)*$E$5</f>
        <v>0</v>
      </c>
      <c r="S40" s="930">
        <f>'11.2. Нови активи отч.год.'!S41</f>
        <v>0</v>
      </c>
      <c r="T40" s="931">
        <f>SUMIF('9.Инвестиционна програма'!$B$48:$B$55,$B40,'9.Инвестиционна програма'!F$48:F$55)*$E$5</f>
        <v>110</v>
      </c>
      <c r="U40" s="931">
        <f>SUMIF('9.Инвестиционна програма'!$B$48:$B$55,$B40,'9.Инвестиционна програма'!G$48:G$55)*$E$5</f>
        <v>100</v>
      </c>
      <c r="V40" s="931">
        <f>SUMIF('9.Инвестиционна програма'!$B$48:$B$55,$B40,'9.Инвестиционна програма'!H$48:H$55)*$E$5</f>
        <v>170</v>
      </c>
      <c r="W40" s="931">
        <f>SUMIF('9.Инвестиционна програма'!$B$48:$B$55,$B40,'9.Инвестиционна програма'!I$48:I$55)*$E$5</f>
        <v>170</v>
      </c>
      <c r="X40" s="931">
        <f>SUMIF('9.Инвестиционна програма'!$B$48:$B$55,$B40,'9.Инвестиционна програма'!J$48:J$55)*$E$5</f>
        <v>170</v>
      </c>
      <c r="Y40" s="931">
        <f>SUMIF('9.Инвестиционна програма'!$B$48:$B$55,$B40,'9.Инвестиционна програма'!K$48:K$55)*$E$5</f>
        <v>170</v>
      </c>
      <c r="Z40" s="930">
        <f>'11.2. Нови активи отч.год.'!Z41</f>
        <v>0</v>
      </c>
      <c r="AA40" s="934">
        <f>(SUMIF('9.Инвестиционна програма'!$B$57:$B$58,$B40,'9.Инвестиционна програма'!F$57:F$58)+SUMIF('9.Инвестиционна програма'!$B$60:$B$67,$B40,'9.Инвестиционна програма'!F$60:F$67))*$E$5</f>
        <v>0</v>
      </c>
      <c r="AB40" s="931">
        <f>(SUMIF('9.Инвестиционна програма'!$B$57:$B$58,$B40,'9.Инвестиционна програма'!G$57:G$58)+SUMIF('9.Инвестиционна програма'!$B$60:$B$67,$B40,'9.Инвестиционна програма'!G$60:G$67))*$E$5</f>
        <v>0</v>
      </c>
      <c r="AC40" s="931">
        <f>(SUMIF('9.Инвестиционна програма'!$B$57:$B$58,$B40,'9.Инвестиционна програма'!H$57:H$58)+SUMIF('9.Инвестиционна програма'!$B$60:$B$67,$B40,'9.Инвестиционна програма'!H$60:H$67))*$E$5</f>
        <v>0</v>
      </c>
      <c r="AD40" s="931">
        <f>(SUMIF('9.Инвестиционна програма'!$B$57:$B$58,$B40,'9.Инвестиционна програма'!I$57:I$58)+SUMIF('9.Инвестиционна програма'!$B$60:$B$67,$B40,'9.Инвестиционна програма'!I$60:I$67))*$E$5</f>
        <v>0</v>
      </c>
      <c r="AE40" s="931">
        <f>(SUMIF('9.Инвестиционна програма'!$B$57:$B$58,$B40,'9.Инвестиционна програма'!J$57:J$58)+SUMIF('9.Инвестиционна програма'!$B$60:$B$67,$B40,'9.Инвестиционна програма'!J$60:J$67))*$E$5</f>
        <v>0</v>
      </c>
      <c r="AF40" s="937">
        <f>(SUMIF('9.Инвестиционна програма'!$B$57:$B$58,$B40,'9.Инвестиционна програма'!K$57:K$58)+SUMIF('9.Инвестиционна програма'!$B$60:$B$67,$B40,'9.Инвестиционна програма'!K$60:K$67))*$E$5</f>
        <v>0</v>
      </c>
      <c r="AH40" s="566"/>
    </row>
    <row r="41" spans="1:34">
      <c r="A41" s="278"/>
      <c r="B41" s="1631">
        <v>2040208</v>
      </c>
      <c r="C41" s="1632">
        <v>0.04</v>
      </c>
      <c r="D41" s="1813" t="s">
        <v>595</v>
      </c>
      <c r="E41" s="929">
        <f>'11.2. Нови активи отч.год.'!E42</f>
        <v>0</v>
      </c>
      <c r="F41" s="885">
        <f>SUMIF('9.Инвестиционна програма'!$B$11:$B$34,$B41,'9.Инвестиционна програма'!F$11:F$34)*$E$5</f>
        <v>0</v>
      </c>
      <c r="G41" s="886">
        <f>SUMIF('9.Инвестиционна програма'!$B$11:$B$34,$B41,'9.Инвестиционна програма'!G$11:G$34)*$E$5</f>
        <v>0</v>
      </c>
      <c r="H41" s="886">
        <f>SUMIF('9.Инвестиционна програма'!$B$11:$B$34,$B41,'9.Инвестиционна програма'!H$11:H$34)*$E$5</f>
        <v>0</v>
      </c>
      <c r="I41" s="886">
        <f>SUMIF('9.Инвестиционна програма'!$B$11:$B$34,$B41,'9.Инвестиционна програма'!I$11:I$34)*$E$5</f>
        <v>0</v>
      </c>
      <c r="J41" s="886">
        <f>SUMIF('9.Инвестиционна програма'!$B$11:$B$34,$B41,'9.Инвестиционна програма'!J$11:J$34)*$E$5</f>
        <v>0</v>
      </c>
      <c r="K41" s="887">
        <f>SUMIF('9.Инвестиционна програма'!$B$11:$B$34,$B41,'9.Инвестиционна програма'!K$11:K$34)*$E$5</f>
        <v>0</v>
      </c>
      <c r="L41" s="1486">
        <f>'11.2. Нови активи отч.год.'!L42</f>
        <v>0</v>
      </c>
      <c r="M41" s="934">
        <f>SUMIF('9.Инвестиционна програма'!$B$36:$B$46,$B41,'9.Инвестиционна програма'!F$36:F$46)*$E$5</f>
        <v>0</v>
      </c>
      <c r="N41" s="935">
        <f>SUMIF('9.Инвестиционна програма'!$B$36:$B$46,$B41,'9.Инвестиционна програма'!G$36:G$46)*$E$5</f>
        <v>0</v>
      </c>
      <c r="O41" s="935">
        <f>SUMIF('9.Инвестиционна програма'!$B$36:$B$46,$B41,'9.Инвестиционна програма'!H$36:H$46)*$E$5</f>
        <v>0</v>
      </c>
      <c r="P41" s="935">
        <f>SUMIF('9.Инвестиционна програма'!$B$36:$B$46,$B41,'9.Инвестиционна програма'!I$36:I$46)*$E$5</f>
        <v>0</v>
      </c>
      <c r="Q41" s="935">
        <f>SUMIF('9.Инвестиционна програма'!$B$36:$B$46,$B41,'9.Инвестиционна програма'!J$36:J$46)*$E$5</f>
        <v>0</v>
      </c>
      <c r="R41" s="936">
        <f>SUMIF('9.Инвестиционна програма'!$B$36:$B$46,$B41,'9.Инвестиционна програма'!K$36:K$46)*$E$5</f>
        <v>0</v>
      </c>
      <c r="S41" s="930">
        <f>'11.2. Нови активи отч.год.'!S42</f>
        <v>0</v>
      </c>
      <c r="T41" s="931">
        <f>SUMIF('9.Инвестиционна програма'!$B$48:$B$55,$B41,'9.Инвестиционна програма'!F$48:F$55)*$E$5</f>
        <v>0</v>
      </c>
      <c r="U41" s="931">
        <f>SUMIF('9.Инвестиционна програма'!$B$48:$B$55,$B41,'9.Инвестиционна програма'!G$48:G$55)*$E$5</f>
        <v>0</v>
      </c>
      <c r="V41" s="931">
        <f>SUMIF('9.Инвестиционна програма'!$B$48:$B$55,$B41,'9.Инвестиционна програма'!H$48:H$55)*$E$5</f>
        <v>0</v>
      </c>
      <c r="W41" s="931">
        <f>SUMIF('9.Инвестиционна програма'!$B$48:$B$55,$B41,'9.Инвестиционна програма'!I$48:I$55)*$E$5</f>
        <v>0</v>
      </c>
      <c r="X41" s="931">
        <f>SUMIF('9.Инвестиционна програма'!$B$48:$B$55,$B41,'9.Инвестиционна програма'!J$48:J$55)*$E$5</f>
        <v>0</v>
      </c>
      <c r="Y41" s="931">
        <f>SUMIF('9.Инвестиционна програма'!$B$48:$B$55,$B41,'9.Инвестиционна програма'!K$48:K$55)*$E$5</f>
        <v>0</v>
      </c>
      <c r="Z41" s="930">
        <f>'11.2. Нови активи отч.год.'!Z42</f>
        <v>0</v>
      </c>
      <c r="AA41" s="934">
        <f>(SUMIF('9.Инвестиционна програма'!$B$57:$B$58,$B41,'9.Инвестиционна програма'!F$57:F$58)+SUMIF('9.Инвестиционна програма'!$B$60:$B$67,$B41,'9.Инвестиционна програма'!F$60:F$67))*$E$5</f>
        <v>0</v>
      </c>
      <c r="AB41" s="931">
        <f>(SUMIF('9.Инвестиционна програма'!$B$57:$B$58,$B41,'9.Инвестиционна програма'!G$57:G$58)+SUMIF('9.Инвестиционна програма'!$B$60:$B$67,$B41,'9.Инвестиционна програма'!G$60:G$67))*$E$5</f>
        <v>0</v>
      </c>
      <c r="AC41" s="931">
        <f>(SUMIF('9.Инвестиционна програма'!$B$57:$B$58,$B41,'9.Инвестиционна програма'!H$57:H$58)+SUMIF('9.Инвестиционна програма'!$B$60:$B$67,$B41,'9.Инвестиционна програма'!H$60:H$67))*$E$5</f>
        <v>0</v>
      </c>
      <c r="AD41" s="931">
        <f>(SUMIF('9.Инвестиционна програма'!$B$57:$B$58,$B41,'9.Инвестиционна програма'!I$57:I$58)+SUMIF('9.Инвестиционна програма'!$B$60:$B$67,$B41,'9.Инвестиционна програма'!I$60:I$67))*$E$5</f>
        <v>0</v>
      </c>
      <c r="AE41" s="931">
        <f>(SUMIF('9.Инвестиционна програма'!$B$57:$B$58,$B41,'9.Инвестиционна програма'!J$57:J$58)+SUMIF('9.Инвестиционна програма'!$B$60:$B$67,$B41,'9.Инвестиционна програма'!J$60:J$67))*$E$5</f>
        <v>0</v>
      </c>
      <c r="AF41" s="937">
        <f>(SUMIF('9.Инвестиционна програма'!$B$57:$B$58,$B41,'9.Инвестиционна програма'!K$57:K$58)+SUMIF('9.Инвестиционна програма'!$B$60:$B$67,$B41,'9.Инвестиционна програма'!K$60:K$67))*$E$5</f>
        <v>0</v>
      </c>
      <c r="AH41" s="566"/>
    </row>
    <row r="42" spans="1:34">
      <c r="A42" s="278"/>
      <c r="B42" s="1832">
        <v>20403</v>
      </c>
      <c r="C42" s="1833">
        <v>0.04</v>
      </c>
      <c r="D42" s="1821" t="s">
        <v>1524</v>
      </c>
      <c r="E42" s="929">
        <f>'11.2. Нови активи отч.год.'!E43</f>
        <v>0</v>
      </c>
      <c r="F42" s="885">
        <f>SUMIF('9.Инвестиционна програма'!$B$11:$B$34,$B42,'9.Инвестиционна програма'!F$11:F$34)*$E$5</f>
        <v>0</v>
      </c>
      <c r="G42" s="886">
        <f>SUMIF('9.Инвестиционна програма'!$B$11:$B$34,$B42,'9.Инвестиционна програма'!G$11:G$34)*$E$5</f>
        <v>0</v>
      </c>
      <c r="H42" s="886">
        <f>SUMIF('9.Инвестиционна програма'!$B$11:$B$34,$B42,'9.Инвестиционна програма'!H$11:H$34)*$E$5</f>
        <v>0</v>
      </c>
      <c r="I42" s="886">
        <f>SUMIF('9.Инвестиционна програма'!$B$11:$B$34,$B42,'9.Инвестиционна програма'!I$11:I$34)*$E$5</f>
        <v>0</v>
      </c>
      <c r="J42" s="886">
        <f>SUMIF('9.Инвестиционна програма'!$B$11:$B$34,$B42,'9.Инвестиционна програма'!J$11:J$34)*$E$5</f>
        <v>0</v>
      </c>
      <c r="K42" s="887">
        <f>SUMIF('9.Инвестиционна програма'!$B$11:$B$34,$B42,'9.Инвестиционна програма'!K$11:K$34)*$E$5</f>
        <v>0</v>
      </c>
      <c r="L42" s="1486">
        <f>'11.2. Нови активи отч.год.'!L43</f>
        <v>0</v>
      </c>
      <c r="M42" s="934">
        <f>SUMIF('9.Инвестиционна програма'!$B$36:$B$46,$B42,'9.Инвестиционна програма'!F$36:F$46)*$E$5</f>
        <v>0</v>
      </c>
      <c r="N42" s="935">
        <f>SUMIF('9.Инвестиционна програма'!$B$36:$B$46,$B42,'9.Инвестиционна програма'!G$36:G$46)*$E$5</f>
        <v>0</v>
      </c>
      <c r="O42" s="935">
        <f>SUMIF('9.Инвестиционна програма'!$B$36:$B$46,$B42,'9.Инвестиционна програма'!H$36:H$46)*$E$5</f>
        <v>0</v>
      </c>
      <c r="P42" s="935">
        <f>SUMIF('9.Инвестиционна програма'!$B$36:$B$46,$B42,'9.Инвестиционна програма'!I$36:I$46)*$E$5</f>
        <v>0</v>
      </c>
      <c r="Q42" s="935">
        <f>SUMIF('9.Инвестиционна програма'!$B$36:$B$46,$B42,'9.Инвестиционна програма'!J$36:J$46)*$E$5</f>
        <v>0</v>
      </c>
      <c r="R42" s="936">
        <f>SUMIF('9.Инвестиционна програма'!$B$36:$B$46,$B42,'9.Инвестиционна програма'!K$36:K$46)*$E$5</f>
        <v>0</v>
      </c>
      <c r="S42" s="930">
        <f>'11.2. Нови активи отч.год.'!S43</f>
        <v>0</v>
      </c>
      <c r="T42" s="931">
        <f>SUMIF('9.Инвестиционна програма'!$B$48:$B$55,$B42,'9.Инвестиционна програма'!F$48:F$55)*$E$5</f>
        <v>0</v>
      </c>
      <c r="U42" s="931">
        <f>SUMIF('9.Инвестиционна програма'!$B$48:$B$55,$B42,'9.Инвестиционна програма'!G$48:G$55)*$E$5</f>
        <v>0</v>
      </c>
      <c r="V42" s="931">
        <f>SUMIF('9.Инвестиционна програма'!$B$48:$B$55,$B42,'9.Инвестиционна програма'!H$48:H$55)*$E$5</f>
        <v>0</v>
      </c>
      <c r="W42" s="931">
        <f>SUMIF('9.Инвестиционна програма'!$B$48:$B$55,$B42,'9.Инвестиционна програма'!I$48:I$55)*$E$5</f>
        <v>0</v>
      </c>
      <c r="X42" s="931">
        <f>SUMIF('9.Инвестиционна програма'!$B$48:$B$55,$B42,'9.Инвестиционна програма'!J$48:J$55)*$E$5</f>
        <v>0</v>
      </c>
      <c r="Y42" s="931">
        <f>SUMIF('9.Инвестиционна програма'!$B$48:$B$55,$B42,'9.Инвестиционна програма'!K$48:K$55)*$E$5</f>
        <v>0</v>
      </c>
      <c r="Z42" s="930">
        <f>'11.2. Нови активи отч.год.'!Z43</f>
        <v>0</v>
      </c>
      <c r="AA42" s="934">
        <f>(SUMIF('9.Инвестиционна програма'!$B$57:$B$58,$B42,'9.Инвестиционна програма'!F$57:F$58)+SUMIF('9.Инвестиционна програма'!$B$60:$B$67,$B42,'9.Инвестиционна програма'!F$60:F$67))*$E$5</f>
        <v>0</v>
      </c>
      <c r="AB42" s="931">
        <f>(SUMIF('9.Инвестиционна програма'!$B$57:$B$58,$B42,'9.Инвестиционна програма'!G$57:G$58)+SUMIF('9.Инвестиционна програма'!$B$60:$B$67,$B42,'9.Инвестиционна програма'!G$60:G$67))*$E$5</f>
        <v>0</v>
      </c>
      <c r="AC42" s="931">
        <f>(SUMIF('9.Инвестиционна програма'!$B$57:$B$58,$B42,'9.Инвестиционна програма'!H$57:H$58)+SUMIF('9.Инвестиционна програма'!$B$60:$B$67,$B42,'9.Инвестиционна програма'!H$60:H$67))*$E$5</f>
        <v>0</v>
      </c>
      <c r="AD42" s="931">
        <f>(SUMIF('9.Инвестиционна програма'!$B$57:$B$58,$B42,'9.Инвестиционна програма'!I$57:I$58)+SUMIF('9.Инвестиционна програма'!$B$60:$B$67,$B42,'9.Инвестиционна програма'!I$60:I$67))*$E$5</f>
        <v>0</v>
      </c>
      <c r="AE42" s="931">
        <f>(SUMIF('9.Инвестиционна програма'!$B$57:$B$58,$B42,'9.Инвестиционна програма'!J$57:J$58)+SUMIF('9.Инвестиционна програма'!$B$60:$B$67,$B42,'9.Инвестиционна програма'!J$60:J$67))*$E$5</f>
        <v>0</v>
      </c>
      <c r="AF42" s="937">
        <f>(SUMIF('9.Инвестиционна програма'!$B$57:$B$58,$B42,'9.Инвестиционна програма'!K$57:K$58)+SUMIF('9.Инвестиционна програма'!$B$60:$B$67,$B42,'9.Инвестиционна програма'!K$60:K$67))*$E$5</f>
        <v>0</v>
      </c>
      <c r="AH42" s="566"/>
    </row>
    <row r="43" spans="1:34" ht="25.5">
      <c r="A43" s="278"/>
      <c r="B43" s="1832" t="s">
        <v>1525</v>
      </c>
      <c r="C43" s="1833">
        <v>0.04</v>
      </c>
      <c r="D43" s="1821" t="s">
        <v>1526</v>
      </c>
      <c r="E43" s="929">
        <f>'11.2. Нови активи отч.год.'!E44</f>
        <v>2</v>
      </c>
      <c r="F43" s="885">
        <f>SUMIF('9.Инвестиционна програма'!$B$11:$B$34,$B43,'9.Инвестиционна програма'!F$11:F$34)*$E$5</f>
        <v>0</v>
      </c>
      <c r="G43" s="886">
        <f>SUMIF('9.Инвестиционна програма'!$B$11:$B$34,$B43,'9.Инвестиционна програма'!G$11:G$34)*$E$5</f>
        <v>0</v>
      </c>
      <c r="H43" s="886">
        <f>SUMIF('9.Инвестиционна програма'!$B$11:$B$34,$B43,'9.Инвестиционна програма'!H$11:H$34)*$E$5</f>
        <v>0</v>
      </c>
      <c r="I43" s="886">
        <f>SUMIF('9.Инвестиционна програма'!$B$11:$B$34,$B43,'9.Инвестиционна програма'!I$11:I$34)*$E$5</f>
        <v>0</v>
      </c>
      <c r="J43" s="886">
        <f>SUMIF('9.Инвестиционна програма'!$B$11:$B$34,$B43,'9.Инвестиционна програма'!J$11:J$34)*$E$5</f>
        <v>0</v>
      </c>
      <c r="K43" s="887">
        <f>SUMIF('9.Инвестиционна програма'!$B$11:$B$34,$B43,'9.Инвестиционна програма'!K$11:K$34)*$E$5</f>
        <v>0</v>
      </c>
      <c r="L43" s="1486">
        <f>'11.2. Нови активи отч.год.'!L44</f>
        <v>0</v>
      </c>
      <c r="M43" s="934">
        <f>SUMIF('9.Инвестиционна програма'!$B$36:$B$46,$B43,'9.Инвестиционна програма'!F$36:F$46)*$E$5</f>
        <v>0</v>
      </c>
      <c r="N43" s="935">
        <f>SUMIF('9.Инвестиционна програма'!$B$36:$B$46,$B43,'9.Инвестиционна програма'!G$36:G$46)*$E$5</f>
        <v>0</v>
      </c>
      <c r="O43" s="935">
        <f>SUMIF('9.Инвестиционна програма'!$B$36:$B$46,$B43,'9.Инвестиционна програма'!H$36:H$46)*$E$5</f>
        <v>0</v>
      </c>
      <c r="P43" s="935">
        <f>SUMIF('9.Инвестиционна програма'!$B$36:$B$46,$B43,'9.Инвестиционна програма'!I$36:I$46)*$E$5</f>
        <v>0</v>
      </c>
      <c r="Q43" s="935">
        <f>SUMIF('9.Инвестиционна програма'!$B$36:$B$46,$B43,'9.Инвестиционна програма'!J$36:J$46)*$E$5</f>
        <v>0</v>
      </c>
      <c r="R43" s="936">
        <f>SUMIF('9.Инвестиционна програма'!$B$36:$B$46,$B43,'9.Инвестиционна програма'!K$36:K$46)*$E$5</f>
        <v>0</v>
      </c>
      <c r="S43" s="930">
        <f>'11.2. Нови активи отч.год.'!S44</f>
        <v>0</v>
      </c>
      <c r="T43" s="931">
        <f>SUMIF('9.Инвестиционна програма'!$B$48:$B$55,$B43,'9.Инвестиционна програма'!F$48:F$55)*$E$5</f>
        <v>0</v>
      </c>
      <c r="U43" s="931">
        <f>SUMIF('9.Инвестиционна програма'!$B$48:$B$55,$B43,'9.Инвестиционна програма'!G$48:G$55)*$E$5</f>
        <v>0</v>
      </c>
      <c r="V43" s="931">
        <f>SUMIF('9.Инвестиционна програма'!$B$48:$B$55,$B43,'9.Инвестиционна програма'!H$48:H$55)*$E$5</f>
        <v>0</v>
      </c>
      <c r="W43" s="931">
        <f>SUMIF('9.Инвестиционна програма'!$B$48:$B$55,$B43,'9.Инвестиционна програма'!I$48:I$55)*$E$5</f>
        <v>0</v>
      </c>
      <c r="X43" s="931">
        <f>SUMIF('9.Инвестиционна програма'!$B$48:$B$55,$B43,'9.Инвестиционна програма'!J$48:J$55)*$E$5</f>
        <v>0</v>
      </c>
      <c r="Y43" s="931">
        <f>SUMIF('9.Инвестиционна програма'!$B$48:$B$55,$B43,'9.Инвестиционна програма'!K$48:K$55)*$E$5</f>
        <v>0</v>
      </c>
      <c r="Z43" s="930">
        <f>'11.2. Нови активи отч.год.'!Z44</f>
        <v>0</v>
      </c>
      <c r="AA43" s="934">
        <f>(SUMIF('9.Инвестиционна програма'!$B$57:$B$58,$B43,'9.Инвестиционна програма'!F$57:F$58)+SUMIF('9.Инвестиционна програма'!$B$60:$B$67,$B43,'9.Инвестиционна програма'!F$60:F$67))*$E$5</f>
        <v>0</v>
      </c>
      <c r="AB43" s="931">
        <f>(SUMIF('9.Инвестиционна програма'!$B$57:$B$58,$B43,'9.Инвестиционна програма'!G$57:G$58)+SUMIF('9.Инвестиционна програма'!$B$60:$B$67,$B43,'9.Инвестиционна програма'!G$60:G$67))*$E$5</f>
        <v>0</v>
      </c>
      <c r="AC43" s="931">
        <f>(SUMIF('9.Инвестиционна програма'!$B$57:$B$58,$B43,'9.Инвестиционна програма'!H$57:H$58)+SUMIF('9.Инвестиционна програма'!$B$60:$B$67,$B43,'9.Инвестиционна програма'!H$60:H$67))*$E$5</f>
        <v>0</v>
      </c>
      <c r="AD43" s="931">
        <f>(SUMIF('9.Инвестиционна програма'!$B$57:$B$58,$B43,'9.Инвестиционна програма'!I$57:I$58)+SUMIF('9.Инвестиционна програма'!$B$60:$B$67,$B43,'9.Инвестиционна програма'!I$60:I$67))*$E$5</f>
        <v>0</v>
      </c>
      <c r="AE43" s="931">
        <f>(SUMIF('9.Инвестиционна програма'!$B$57:$B$58,$B43,'9.Инвестиционна програма'!J$57:J$58)+SUMIF('9.Инвестиционна програма'!$B$60:$B$67,$B43,'9.Инвестиционна програма'!J$60:J$67))*$E$5</f>
        <v>0</v>
      </c>
      <c r="AF43" s="937">
        <f>(SUMIF('9.Инвестиционна програма'!$B$57:$B$58,$B43,'9.Инвестиционна програма'!K$57:K$58)+SUMIF('9.Инвестиционна програма'!$B$60:$B$67,$B43,'9.Инвестиционна програма'!K$60:K$67))*$E$5</f>
        <v>0</v>
      </c>
      <c r="AH43" s="566"/>
    </row>
    <row r="44" spans="1:34">
      <c r="A44" s="938">
        <v>5</v>
      </c>
      <c r="B44" s="1807">
        <v>205</v>
      </c>
      <c r="C44" s="1807"/>
      <c r="D44" s="1810" t="s">
        <v>275</v>
      </c>
      <c r="E44" s="954">
        <f t="shared" ref="E44:AF44" si="10">SUM(E45:E48)</f>
        <v>34</v>
      </c>
      <c r="F44" s="955">
        <f t="shared" si="10"/>
        <v>0</v>
      </c>
      <c r="G44" s="894">
        <f t="shared" si="10"/>
        <v>10</v>
      </c>
      <c r="H44" s="894">
        <f t="shared" si="10"/>
        <v>10</v>
      </c>
      <c r="I44" s="894">
        <f t="shared" si="10"/>
        <v>10</v>
      </c>
      <c r="J44" s="894">
        <f t="shared" si="10"/>
        <v>40</v>
      </c>
      <c r="K44" s="895">
        <f t="shared" si="10"/>
        <v>10</v>
      </c>
      <c r="L44" s="2069">
        <f t="shared" si="10"/>
        <v>7</v>
      </c>
      <c r="M44" s="889">
        <f t="shared" si="10"/>
        <v>0</v>
      </c>
      <c r="N44" s="890">
        <f t="shared" si="10"/>
        <v>10</v>
      </c>
      <c r="O44" s="890">
        <f t="shared" si="10"/>
        <v>0</v>
      </c>
      <c r="P44" s="890">
        <f t="shared" si="10"/>
        <v>0</v>
      </c>
      <c r="Q44" s="890">
        <f t="shared" si="10"/>
        <v>0</v>
      </c>
      <c r="R44" s="891">
        <f t="shared" si="10"/>
        <v>0</v>
      </c>
      <c r="S44" s="956">
        <f t="shared" si="10"/>
        <v>0</v>
      </c>
      <c r="T44" s="893">
        <f t="shared" si="10"/>
        <v>0</v>
      </c>
      <c r="U44" s="894">
        <f t="shared" si="10"/>
        <v>0</v>
      </c>
      <c r="V44" s="894">
        <f t="shared" si="10"/>
        <v>0</v>
      </c>
      <c r="W44" s="894">
        <f t="shared" si="10"/>
        <v>0</v>
      </c>
      <c r="X44" s="894">
        <f t="shared" si="10"/>
        <v>0</v>
      </c>
      <c r="Y44" s="895">
        <f t="shared" si="10"/>
        <v>0</v>
      </c>
      <c r="Z44" s="956">
        <f t="shared" si="10"/>
        <v>0</v>
      </c>
      <c r="AA44" s="892">
        <f t="shared" si="10"/>
        <v>0</v>
      </c>
      <c r="AB44" s="890">
        <f t="shared" si="10"/>
        <v>0</v>
      </c>
      <c r="AC44" s="890">
        <f t="shared" si="10"/>
        <v>0</v>
      </c>
      <c r="AD44" s="890">
        <f t="shared" si="10"/>
        <v>0</v>
      </c>
      <c r="AE44" s="890">
        <f t="shared" si="10"/>
        <v>0</v>
      </c>
      <c r="AF44" s="891">
        <f t="shared" si="10"/>
        <v>0</v>
      </c>
      <c r="AH44" s="566"/>
    </row>
    <row r="45" spans="1:34">
      <c r="A45" s="896"/>
      <c r="B45" s="1634">
        <v>20501</v>
      </c>
      <c r="C45" s="1633">
        <v>0.08</v>
      </c>
      <c r="D45" s="1628" t="s">
        <v>765</v>
      </c>
      <c r="E45" s="929">
        <f>'11.2. Нови активи отч.год.'!E46</f>
        <v>12</v>
      </c>
      <c r="F45" s="885">
        <f>SUMIF('9.Инвестиционна програма'!$B$11:$B$34,$B45,'9.Инвестиционна програма'!F$11:F$34)*$E$5</f>
        <v>0</v>
      </c>
      <c r="G45" s="886">
        <f>SUMIF('9.Инвестиционна програма'!$B$11:$B$34,$B45,'9.Инвестиционна програма'!G$11:G$34)*$E$5</f>
        <v>0</v>
      </c>
      <c r="H45" s="886">
        <f>SUMIF('9.Инвестиционна програма'!$B$11:$B$34,$B45,'9.Инвестиционна програма'!H$11:H$34)*$E$5</f>
        <v>0</v>
      </c>
      <c r="I45" s="886">
        <f>SUMIF('9.Инвестиционна програма'!$B$11:$B$34,$B45,'9.Инвестиционна програма'!I$11:I$34)*$E$5</f>
        <v>0</v>
      </c>
      <c r="J45" s="886">
        <f>SUMIF('9.Инвестиционна програма'!$B$11:$B$34,$B45,'9.Инвестиционна програма'!J$11:J$34)*$E$5</f>
        <v>30</v>
      </c>
      <c r="K45" s="887">
        <f>SUMIF('9.Инвестиционна програма'!$B$11:$B$34,$B45,'9.Инвестиционна програма'!K$11:K$34)*$E$5</f>
        <v>0</v>
      </c>
      <c r="L45" s="1486">
        <f>'11.2. Нови активи отч.год.'!L46</f>
        <v>0</v>
      </c>
      <c r="M45" s="934">
        <f>SUMIF('9.Инвестиционна програма'!$B$36:$B$46,$B45,'9.Инвестиционна програма'!F$36:F$46)*$E$5</f>
        <v>0</v>
      </c>
      <c r="N45" s="935">
        <f>SUMIF('9.Инвестиционна програма'!$B$36:$B$46,$B45,'9.Инвестиционна програма'!G$36:G$46)*$E$5</f>
        <v>0</v>
      </c>
      <c r="O45" s="935">
        <f>SUMIF('9.Инвестиционна програма'!$B$36:$B$46,$B45,'9.Инвестиционна програма'!H$36:H$46)*$E$5</f>
        <v>0</v>
      </c>
      <c r="P45" s="935">
        <f>SUMIF('9.Инвестиционна програма'!$B$36:$B$46,$B45,'9.Инвестиционна програма'!I$36:I$46)*$E$5</f>
        <v>0</v>
      </c>
      <c r="Q45" s="935">
        <f>SUMIF('9.Инвестиционна програма'!$B$36:$B$46,$B45,'9.Инвестиционна програма'!J$36:J$46)*$E$5</f>
        <v>0</v>
      </c>
      <c r="R45" s="936">
        <f>SUMIF('9.Инвестиционна програма'!$B$36:$B$46,$B45,'9.Инвестиционна програма'!K$36:K$46)*$E$5</f>
        <v>0</v>
      </c>
      <c r="S45" s="930">
        <f>'11.2. Нови активи отч.год.'!S46</f>
        <v>0</v>
      </c>
      <c r="T45" s="931">
        <f>SUMIF('9.Инвестиционна програма'!$B$48:$B$55,$B45,'9.Инвестиционна програма'!F$48:F$55)*$E$5</f>
        <v>0</v>
      </c>
      <c r="U45" s="931">
        <f>SUMIF('9.Инвестиционна програма'!$B$48:$B$55,$B45,'9.Инвестиционна програма'!G$48:G$55)*$E$5</f>
        <v>0</v>
      </c>
      <c r="V45" s="931">
        <f>SUMIF('9.Инвестиционна програма'!$B$48:$B$55,$B45,'9.Инвестиционна програма'!H$48:H$55)*$E$5</f>
        <v>0</v>
      </c>
      <c r="W45" s="931">
        <f>SUMIF('9.Инвестиционна програма'!$B$48:$B$55,$B45,'9.Инвестиционна програма'!I$48:I$55)*$E$5</f>
        <v>0</v>
      </c>
      <c r="X45" s="931">
        <f>SUMIF('9.Инвестиционна програма'!$B$48:$B$55,$B45,'9.Инвестиционна програма'!J$48:J$55)*$E$5</f>
        <v>0</v>
      </c>
      <c r="Y45" s="931">
        <f>SUMIF('9.Инвестиционна програма'!$B$48:$B$55,$B45,'9.Инвестиционна програма'!K$48:K$55)*$E$5</f>
        <v>0</v>
      </c>
      <c r="Z45" s="930">
        <f>'11.2. Нови активи отч.год.'!Z46</f>
        <v>0</v>
      </c>
      <c r="AA45" s="934">
        <f>(SUMIF('9.Инвестиционна програма'!$B$57:$B$58,$B45,'9.Инвестиционна програма'!F$57:F$58)+SUMIF('9.Инвестиционна програма'!$B$60:$B$67,$B45,'9.Инвестиционна програма'!F$60:F$67))*$E$5</f>
        <v>0</v>
      </c>
      <c r="AB45" s="931">
        <f>(SUMIF('9.Инвестиционна програма'!$B$57:$B$58,$B45,'9.Инвестиционна програма'!G$57:G$58)+SUMIF('9.Инвестиционна програма'!$B$60:$B$67,$B45,'9.Инвестиционна програма'!G$60:G$67))*$E$5</f>
        <v>0</v>
      </c>
      <c r="AC45" s="931">
        <f>(SUMIF('9.Инвестиционна програма'!$B$57:$B$58,$B45,'9.Инвестиционна програма'!H$57:H$58)+SUMIF('9.Инвестиционна програма'!$B$60:$B$67,$B45,'9.Инвестиционна програма'!H$60:H$67))*$E$5</f>
        <v>0</v>
      </c>
      <c r="AD45" s="931">
        <f>(SUMIF('9.Инвестиционна програма'!$B$57:$B$58,$B45,'9.Инвестиционна програма'!I$57:I$58)+SUMIF('9.Инвестиционна програма'!$B$60:$B$67,$B45,'9.Инвестиционна програма'!I$60:I$67))*$E$5</f>
        <v>0</v>
      </c>
      <c r="AE45" s="931">
        <f>(SUMIF('9.Инвестиционна програма'!$B$57:$B$58,$B45,'9.Инвестиционна програма'!J$57:J$58)+SUMIF('9.Инвестиционна програма'!$B$60:$B$67,$B45,'9.Инвестиционна програма'!J$60:J$67))*$E$5</f>
        <v>0</v>
      </c>
      <c r="AF45" s="937">
        <f>(SUMIF('9.Инвестиционна програма'!$B$57:$B$58,$B45,'9.Инвестиционна програма'!K$57:K$58)+SUMIF('9.Инвестиционна програма'!$B$60:$B$67,$B45,'9.Инвестиционна програма'!K$60:K$67))*$E$5</f>
        <v>0</v>
      </c>
      <c r="AG45" s="307"/>
      <c r="AH45" s="566"/>
    </row>
    <row r="46" spans="1:34">
      <c r="A46" s="896"/>
      <c r="B46" s="1634">
        <v>20502</v>
      </c>
      <c r="C46" s="1633">
        <v>0.1</v>
      </c>
      <c r="D46" s="1628" t="s">
        <v>583</v>
      </c>
      <c r="E46" s="929">
        <f>'11.2. Нови активи отч.год.'!E47</f>
        <v>22</v>
      </c>
      <c r="F46" s="885">
        <f>SUMIF('9.Инвестиционна програма'!$B$11:$B$34,$B46,'9.Инвестиционна програма'!F$11:F$34)*$E$5</f>
        <v>0</v>
      </c>
      <c r="G46" s="886">
        <f>SUMIF('9.Инвестиционна програма'!$B$11:$B$34,$B46,'9.Инвестиционна програма'!G$11:G$34)*$E$5</f>
        <v>10</v>
      </c>
      <c r="H46" s="886">
        <f>SUMIF('9.Инвестиционна програма'!$B$11:$B$34,$B46,'9.Инвестиционна програма'!H$11:H$34)*$E$5</f>
        <v>10</v>
      </c>
      <c r="I46" s="886">
        <f>SUMIF('9.Инвестиционна програма'!$B$11:$B$34,$B46,'9.Инвестиционна програма'!I$11:I$34)*$E$5</f>
        <v>10</v>
      </c>
      <c r="J46" s="886">
        <f>SUMIF('9.Инвестиционна програма'!$B$11:$B$34,$B46,'9.Инвестиционна програма'!J$11:J$34)*$E$5</f>
        <v>10</v>
      </c>
      <c r="K46" s="887">
        <f>SUMIF('9.Инвестиционна програма'!$B$11:$B$34,$B46,'9.Инвестиционна програма'!K$11:K$34)*$E$5</f>
        <v>10</v>
      </c>
      <c r="L46" s="1486">
        <f>'11.2. Нови активи отч.год.'!L47</f>
        <v>7</v>
      </c>
      <c r="M46" s="934">
        <f>SUMIF('9.Инвестиционна програма'!$B$36:$B$46,$B46,'9.Инвестиционна програма'!F$36:F$46)*$E$5</f>
        <v>0</v>
      </c>
      <c r="N46" s="935">
        <f>SUMIF('9.Инвестиционна програма'!$B$36:$B$46,$B46,'9.Инвестиционна програма'!G$36:G$46)*$E$5</f>
        <v>10</v>
      </c>
      <c r="O46" s="935">
        <f>SUMIF('9.Инвестиционна програма'!$B$36:$B$46,$B46,'9.Инвестиционна програма'!H$36:H$46)*$E$5</f>
        <v>0</v>
      </c>
      <c r="P46" s="935">
        <f>SUMIF('9.Инвестиционна програма'!$B$36:$B$46,$B46,'9.Инвестиционна програма'!I$36:I$46)*$E$5</f>
        <v>0</v>
      </c>
      <c r="Q46" s="935">
        <f>SUMIF('9.Инвестиционна програма'!$B$36:$B$46,$B46,'9.Инвестиционна програма'!J$36:J$46)*$E$5</f>
        <v>0</v>
      </c>
      <c r="R46" s="936">
        <f>SUMIF('9.Инвестиционна програма'!$B$36:$B$46,$B46,'9.Инвестиционна програма'!K$36:K$46)*$E$5</f>
        <v>0</v>
      </c>
      <c r="S46" s="930">
        <f>'11.2. Нови активи отч.год.'!S47</f>
        <v>0</v>
      </c>
      <c r="T46" s="931">
        <f>SUMIF('9.Инвестиционна програма'!$B$48:$B$55,$B46,'9.Инвестиционна програма'!F$48:F$55)*$E$5</f>
        <v>0</v>
      </c>
      <c r="U46" s="931">
        <f>SUMIF('9.Инвестиционна програма'!$B$48:$B$55,$B46,'9.Инвестиционна програма'!G$48:G$55)*$E$5</f>
        <v>0</v>
      </c>
      <c r="V46" s="931">
        <f>SUMIF('9.Инвестиционна програма'!$B$48:$B$55,$B46,'9.Инвестиционна програма'!H$48:H$55)*$E$5</f>
        <v>0</v>
      </c>
      <c r="W46" s="931">
        <f>SUMIF('9.Инвестиционна програма'!$B$48:$B$55,$B46,'9.Инвестиционна програма'!I$48:I$55)*$E$5</f>
        <v>0</v>
      </c>
      <c r="X46" s="931">
        <f>SUMIF('9.Инвестиционна програма'!$B$48:$B$55,$B46,'9.Инвестиционна програма'!J$48:J$55)*$E$5</f>
        <v>0</v>
      </c>
      <c r="Y46" s="931">
        <f>SUMIF('9.Инвестиционна програма'!$B$48:$B$55,$B46,'9.Инвестиционна програма'!K$48:K$55)*$E$5</f>
        <v>0</v>
      </c>
      <c r="Z46" s="930">
        <f>'11.2. Нови активи отч.год.'!Z47</f>
        <v>0</v>
      </c>
      <c r="AA46" s="934">
        <f>(SUMIF('9.Инвестиционна програма'!$B$57:$B$58,$B46,'9.Инвестиционна програма'!F$57:F$58)+SUMIF('9.Инвестиционна програма'!$B$60:$B$67,$B46,'9.Инвестиционна програма'!F$60:F$67))*$E$5</f>
        <v>0</v>
      </c>
      <c r="AB46" s="931">
        <f>(SUMIF('9.Инвестиционна програма'!$B$57:$B$58,$B46,'9.Инвестиционна програма'!G$57:G$58)+SUMIF('9.Инвестиционна програма'!$B$60:$B$67,$B46,'9.Инвестиционна програма'!G$60:G$67))*$E$5</f>
        <v>0</v>
      </c>
      <c r="AC46" s="931">
        <f>(SUMIF('9.Инвестиционна програма'!$B$57:$B$58,$B46,'9.Инвестиционна програма'!H$57:H$58)+SUMIF('9.Инвестиционна програма'!$B$60:$B$67,$B46,'9.Инвестиционна програма'!H$60:H$67))*$E$5</f>
        <v>0</v>
      </c>
      <c r="AD46" s="931">
        <f>(SUMIF('9.Инвестиционна програма'!$B$57:$B$58,$B46,'9.Инвестиционна програма'!I$57:I$58)+SUMIF('9.Инвестиционна програма'!$B$60:$B$67,$B46,'9.Инвестиционна програма'!I$60:I$67))*$E$5</f>
        <v>0</v>
      </c>
      <c r="AE46" s="931">
        <f>(SUMIF('9.Инвестиционна програма'!$B$57:$B$58,$B46,'9.Инвестиционна програма'!J$57:J$58)+SUMIF('9.Инвестиционна програма'!$B$60:$B$67,$B46,'9.Инвестиционна програма'!J$60:J$67))*$E$5</f>
        <v>0</v>
      </c>
      <c r="AF46" s="937">
        <f>(SUMIF('9.Инвестиционна програма'!$B$57:$B$58,$B46,'9.Инвестиционна програма'!K$57:K$58)+SUMIF('9.Инвестиционна програма'!$B$60:$B$67,$B46,'9.Инвестиционна програма'!K$60:K$67))*$E$5</f>
        <v>0</v>
      </c>
      <c r="AG46" s="307"/>
      <c r="AH46" s="566"/>
    </row>
    <row r="47" spans="1:34">
      <c r="A47" s="896"/>
      <c r="B47" s="1634">
        <v>20503</v>
      </c>
      <c r="C47" s="1633">
        <v>0.1</v>
      </c>
      <c r="D47" s="1625" t="s">
        <v>584</v>
      </c>
      <c r="E47" s="929">
        <f>'11.2. Нови активи отч.год.'!E48</f>
        <v>0</v>
      </c>
      <c r="F47" s="885">
        <f>SUMIF('9.Инвестиционна програма'!$B$11:$B$34,$B47,'9.Инвестиционна програма'!F$11:F$34)*$E$5</f>
        <v>0</v>
      </c>
      <c r="G47" s="886">
        <f>SUMIF('9.Инвестиционна програма'!$B$11:$B$34,$B47,'9.Инвестиционна програма'!G$11:G$34)*$E$5</f>
        <v>0</v>
      </c>
      <c r="H47" s="886">
        <f>SUMIF('9.Инвестиционна програма'!$B$11:$B$34,$B47,'9.Инвестиционна програма'!H$11:H$34)*$E$5</f>
        <v>0</v>
      </c>
      <c r="I47" s="886">
        <f>SUMIF('9.Инвестиционна програма'!$B$11:$B$34,$B47,'9.Инвестиционна програма'!I$11:I$34)*$E$5</f>
        <v>0</v>
      </c>
      <c r="J47" s="886">
        <f>SUMIF('9.Инвестиционна програма'!$B$11:$B$34,$B47,'9.Инвестиционна програма'!J$11:J$34)*$E$5</f>
        <v>0</v>
      </c>
      <c r="K47" s="887">
        <f>SUMIF('9.Инвестиционна програма'!$B$11:$B$34,$B47,'9.Инвестиционна програма'!K$11:K$34)*$E$5</f>
        <v>0</v>
      </c>
      <c r="L47" s="1486">
        <f>'11.2. Нови активи отч.год.'!L48</f>
        <v>0</v>
      </c>
      <c r="M47" s="934">
        <f>SUMIF('9.Инвестиционна програма'!$B$36:$B$46,$B47,'9.Инвестиционна програма'!F$36:F$46)*$E$5</f>
        <v>0</v>
      </c>
      <c r="N47" s="935">
        <f>SUMIF('9.Инвестиционна програма'!$B$36:$B$46,$B47,'9.Инвестиционна програма'!G$36:G$46)*$E$5</f>
        <v>0</v>
      </c>
      <c r="O47" s="935">
        <f>SUMIF('9.Инвестиционна програма'!$B$36:$B$46,$B47,'9.Инвестиционна програма'!H$36:H$46)*$E$5</f>
        <v>0</v>
      </c>
      <c r="P47" s="935">
        <f>SUMIF('9.Инвестиционна програма'!$B$36:$B$46,$B47,'9.Инвестиционна програма'!I$36:I$46)*$E$5</f>
        <v>0</v>
      </c>
      <c r="Q47" s="935">
        <f>SUMIF('9.Инвестиционна програма'!$B$36:$B$46,$B47,'9.Инвестиционна програма'!J$36:J$46)*$E$5</f>
        <v>0</v>
      </c>
      <c r="R47" s="936">
        <f>SUMIF('9.Инвестиционна програма'!$B$36:$B$46,$B47,'9.Инвестиционна програма'!K$36:K$46)*$E$5</f>
        <v>0</v>
      </c>
      <c r="S47" s="930">
        <f>'11.2. Нови активи отч.год.'!S48</f>
        <v>0</v>
      </c>
      <c r="T47" s="931">
        <f>SUMIF('9.Инвестиционна програма'!$B$48:$B$55,$B47,'9.Инвестиционна програма'!F$48:F$55)*$E$5</f>
        <v>0</v>
      </c>
      <c r="U47" s="931">
        <f>SUMIF('9.Инвестиционна програма'!$B$48:$B$55,$B47,'9.Инвестиционна програма'!G$48:G$55)*$E$5</f>
        <v>0</v>
      </c>
      <c r="V47" s="931">
        <f>SUMIF('9.Инвестиционна програма'!$B$48:$B$55,$B47,'9.Инвестиционна програма'!H$48:H$55)*$E$5</f>
        <v>0</v>
      </c>
      <c r="W47" s="931">
        <f>SUMIF('9.Инвестиционна програма'!$B$48:$B$55,$B47,'9.Инвестиционна програма'!I$48:I$55)*$E$5</f>
        <v>0</v>
      </c>
      <c r="X47" s="931">
        <f>SUMIF('9.Инвестиционна програма'!$B$48:$B$55,$B47,'9.Инвестиционна програма'!J$48:J$55)*$E$5</f>
        <v>0</v>
      </c>
      <c r="Y47" s="931">
        <f>SUMIF('9.Инвестиционна програма'!$B$48:$B$55,$B47,'9.Инвестиционна програма'!K$48:K$55)*$E$5</f>
        <v>0</v>
      </c>
      <c r="Z47" s="930">
        <f>'11.2. Нови активи отч.год.'!Z48</f>
        <v>0</v>
      </c>
      <c r="AA47" s="934">
        <f>(SUMIF('9.Инвестиционна програма'!$B$57:$B$58,$B47,'9.Инвестиционна програма'!F$57:F$58)+SUMIF('9.Инвестиционна програма'!$B$60:$B$67,$B47,'9.Инвестиционна програма'!F$60:F$67))*$E$5</f>
        <v>0</v>
      </c>
      <c r="AB47" s="931">
        <f>(SUMIF('9.Инвестиционна програма'!$B$57:$B$58,$B47,'9.Инвестиционна програма'!G$57:G$58)+SUMIF('9.Инвестиционна програма'!$B$60:$B$67,$B47,'9.Инвестиционна програма'!G$60:G$67))*$E$5</f>
        <v>0</v>
      </c>
      <c r="AC47" s="931">
        <f>(SUMIF('9.Инвестиционна програма'!$B$57:$B$58,$B47,'9.Инвестиционна програма'!H$57:H$58)+SUMIF('9.Инвестиционна програма'!$B$60:$B$67,$B47,'9.Инвестиционна програма'!H$60:H$67))*$E$5</f>
        <v>0</v>
      </c>
      <c r="AD47" s="931">
        <f>(SUMIF('9.Инвестиционна програма'!$B$57:$B$58,$B47,'9.Инвестиционна програма'!I$57:I$58)+SUMIF('9.Инвестиционна програма'!$B$60:$B$67,$B47,'9.Инвестиционна програма'!I$60:I$67))*$E$5</f>
        <v>0</v>
      </c>
      <c r="AE47" s="931">
        <f>(SUMIF('9.Инвестиционна програма'!$B$57:$B$58,$B47,'9.Инвестиционна програма'!J$57:J$58)+SUMIF('9.Инвестиционна програма'!$B$60:$B$67,$B47,'9.Инвестиционна програма'!J$60:J$67))*$E$5</f>
        <v>0</v>
      </c>
      <c r="AF47" s="937">
        <f>(SUMIF('9.Инвестиционна програма'!$B$57:$B$58,$B47,'9.Инвестиционна програма'!K$57:K$58)+SUMIF('9.Инвестиционна програма'!$B$60:$B$67,$B47,'9.Инвестиционна програма'!K$60:K$67))*$E$5</f>
        <v>0</v>
      </c>
      <c r="AG47" s="307"/>
      <c r="AH47" s="566"/>
    </row>
    <row r="48" spans="1:34">
      <c r="A48" s="896"/>
      <c r="B48" s="1634">
        <v>20504</v>
      </c>
      <c r="C48" s="1633">
        <v>0.1</v>
      </c>
      <c r="D48" s="1625" t="s">
        <v>759</v>
      </c>
      <c r="E48" s="929">
        <f>'11.2. Нови активи отч.год.'!E49</f>
        <v>0</v>
      </c>
      <c r="F48" s="885">
        <f>SUMIF('9.Инвестиционна програма'!$B$11:$B$34,$B48,'9.Инвестиционна програма'!F$11:F$34)*$E$5</f>
        <v>0</v>
      </c>
      <c r="G48" s="886">
        <f>SUMIF('9.Инвестиционна програма'!$B$11:$B$34,$B48,'9.Инвестиционна програма'!G$11:G$34)*$E$5</f>
        <v>0</v>
      </c>
      <c r="H48" s="886">
        <f>SUMIF('9.Инвестиционна програма'!$B$11:$B$34,$B48,'9.Инвестиционна програма'!H$11:H$34)*$E$5</f>
        <v>0</v>
      </c>
      <c r="I48" s="886">
        <f>SUMIF('9.Инвестиционна програма'!$B$11:$B$34,$B48,'9.Инвестиционна програма'!I$11:I$34)*$E$5</f>
        <v>0</v>
      </c>
      <c r="J48" s="886">
        <f>SUMIF('9.Инвестиционна програма'!$B$11:$B$34,$B48,'9.Инвестиционна програма'!J$11:J$34)*$E$5</f>
        <v>0</v>
      </c>
      <c r="K48" s="887">
        <f>SUMIF('9.Инвестиционна програма'!$B$11:$B$34,$B48,'9.Инвестиционна програма'!K$11:K$34)*$E$5</f>
        <v>0</v>
      </c>
      <c r="L48" s="1486">
        <f>'11.2. Нови активи отч.год.'!L49</f>
        <v>0</v>
      </c>
      <c r="M48" s="934">
        <f>SUMIF('9.Инвестиционна програма'!$B$36:$B$46,$B48,'9.Инвестиционна програма'!F$36:F$46)*$E$5</f>
        <v>0</v>
      </c>
      <c r="N48" s="935">
        <f>SUMIF('9.Инвестиционна програма'!$B$36:$B$46,$B48,'9.Инвестиционна програма'!G$36:G$46)*$E$5</f>
        <v>0</v>
      </c>
      <c r="O48" s="935">
        <f>SUMIF('9.Инвестиционна програма'!$B$36:$B$46,$B48,'9.Инвестиционна програма'!H$36:H$46)*$E$5</f>
        <v>0</v>
      </c>
      <c r="P48" s="935">
        <f>SUMIF('9.Инвестиционна програма'!$B$36:$B$46,$B48,'9.Инвестиционна програма'!I$36:I$46)*$E$5</f>
        <v>0</v>
      </c>
      <c r="Q48" s="935">
        <f>SUMIF('9.Инвестиционна програма'!$B$36:$B$46,$B48,'9.Инвестиционна програма'!J$36:J$46)*$E$5</f>
        <v>0</v>
      </c>
      <c r="R48" s="936">
        <f>SUMIF('9.Инвестиционна програма'!$B$36:$B$46,$B48,'9.Инвестиционна програма'!K$36:K$46)*$E$5</f>
        <v>0</v>
      </c>
      <c r="S48" s="930">
        <f>'11.2. Нови активи отч.год.'!S49</f>
        <v>0</v>
      </c>
      <c r="T48" s="931">
        <f>SUMIF('9.Инвестиционна програма'!$B$48:$B$55,$B48,'9.Инвестиционна програма'!F$48:F$55)*$E$5</f>
        <v>0</v>
      </c>
      <c r="U48" s="931">
        <f>SUMIF('9.Инвестиционна програма'!$B$48:$B$55,$B48,'9.Инвестиционна програма'!G$48:G$55)*$E$5</f>
        <v>0</v>
      </c>
      <c r="V48" s="931">
        <f>SUMIF('9.Инвестиционна програма'!$B$48:$B$55,$B48,'9.Инвестиционна програма'!H$48:H$55)*$E$5</f>
        <v>0</v>
      </c>
      <c r="W48" s="931">
        <f>SUMIF('9.Инвестиционна програма'!$B$48:$B$55,$B48,'9.Инвестиционна програма'!I$48:I$55)*$E$5</f>
        <v>0</v>
      </c>
      <c r="X48" s="931">
        <f>SUMIF('9.Инвестиционна програма'!$B$48:$B$55,$B48,'9.Инвестиционна програма'!J$48:J$55)*$E$5</f>
        <v>0</v>
      </c>
      <c r="Y48" s="931">
        <f>SUMIF('9.Инвестиционна програма'!$B$48:$B$55,$B48,'9.Инвестиционна програма'!K$48:K$55)*$E$5</f>
        <v>0</v>
      </c>
      <c r="Z48" s="930">
        <f>'11.2. Нови активи отч.год.'!Z49</f>
        <v>0</v>
      </c>
      <c r="AA48" s="934">
        <f>(SUMIF('9.Инвестиционна програма'!$B$57:$B$58,$B48,'9.Инвестиционна програма'!F$57:F$58)+SUMIF('9.Инвестиционна програма'!$B$60:$B$67,$B48,'9.Инвестиционна програма'!F$60:F$67))*$E$5</f>
        <v>0</v>
      </c>
      <c r="AB48" s="931">
        <f>(SUMIF('9.Инвестиционна програма'!$B$57:$B$58,$B48,'9.Инвестиционна програма'!G$57:G$58)+SUMIF('9.Инвестиционна програма'!$B$60:$B$67,$B48,'9.Инвестиционна програма'!G$60:G$67))*$E$5</f>
        <v>0</v>
      </c>
      <c r="AC48" s="931">
        <f>(SUMIF('9.Инвестиционна програма'!$B$57:$B$58,$B48,'9.Инвестиционна програма'!H$57:H$58)+SUMIF('9.Инвестиционна програма'!$B$60:$B$67,$B48,'9.Инвестиционна програма'!H$60:H$67))*$E$5</f>
        <v>0</v>
      </c>
      <c r="AD48" s="931">
        <f>(SUMIF('9.Инвестиционна програма'!$B$57:$B$58,$B48,'9.Инвестиционна програма'!I$57:I$58)+SUMIF('9.Инвестиционна програма'!$B$60:$B$67,$B48,'9.Инвестиционна програма'!I$60:I$67))*$E$5</f>
        <v>0</v>
      </c>
      <c r="AE48" s="931">
        <f>(SUMIF('9.Инвестиционна програма'!$B$57:$B$58,$B48,'9.Инвестиционна програма'!J$57:J$58)+SUMIF('9.Инвестиционна програма'!$B$60:$B$67,$B48,'9.Инвестиционна програма'!J$60:J$67))*$E$5</f>
        <v>0</v>
      </c>
      <c r="AF48" s="937">
        <f>(SUMIF('9.Инвестиционна програма'!$B$57:$B$58,$B48,'9.Инвестиционна програма'!K$57:K$58)+SUMIF('9.Инвестиционна програма'!$B$60:$B$67,$B48,'9.Инвестиционна програма'!K$60:K$67))*$E$5</f>
        <v>0</v>
      </c>
      <c r="AG48" s="307"/>
      <c r="AH48" s="566"/>
    </row>
    <row r="49" spans="1:34">
      <c r="A49" s="941">
        <v>6</v>
      </c>
      <c r="B49" s="1817">
        <v>206</v>
      </c>
      <c r="C49" s="1818">
        <v>0.1</v>
      </c>
      <c r="D49" s="1815" t="s">
        <v>564</v>
      </c>
      <c r="E49" s="954">
        <f>SUM(E50:E52)</f>
        <v>7</v>
      </c>
      <c r="F49" s="955">
        <f>SUM(F50:F52)</f>
        <v>0</v>
      </c>
      <c r="G49" s="894">
        <f>SUM(G50:G52)</f>
        <v>0</v>
      </c>
      <c r="H49" s="894">
        <f t="shared" ref="H49:AF49" si="11">SUM(H50:H52)</f>
        <v>0</v>
      </c>
      <c r="I49" s="894">
        <f t="shared" si="11"/>
        <v>0</v>
      </c>
      <c r="J49" s="894">
        <f t="shared" si="11"/>
        <v>0</v>
      </c>
      <c r="K49" s="895">
        <f t="shared" si="11"/>
        <v>0</v>
      </c>
      <c r="L49" s="2069">
        <f>SUM(L50:L52)</f>
        <v>0</v>
      </c>
      <c r="M49" s="889">
        <f t="shared" si="11"/>
        <v>0</v>
      </c>
      <c r="N49" s="890">
        <f t="shared" si="11"/>
        <v>0</v>
      </c>
      <c r="O49" s="890">
        <f t="shared" si="11"/>
        <v>0</v>
      </c>
      <c r="P49" s="890">
        <f t="shared" si="11"/>
        <v>0</v>
      </c>
      <c r="Q49" s="890">
        <f t="shared" si="11"/>
        <v>0</v>
      </c>
      <c r="R49" s="891">
        <f t="shared" si="11"/>
        <v>0</v>
      </c>
      <c r="S49" s="956">
        <f t="shared" si="11"/>
        <v>0</v>
      </c>
      <c r="T49" s="892">
        <f t="shared" si="11"/>
        <v>0</v>
      </c>
      <c r="U49" s="890">
        <f t="shared" si="11"/>
        <v>0</v>
      </c>
      <c r="V49" s="890">
        <f t="shared" si="11"/>
        <v>0</v>
      </c>
      <c r="W49" s="890">
        <f t="shared" si="11"/>
        <v>0</v>
      </c>
      <c r="X49" s="890">
        <f t="shared" si="11"/>
        <v>0</v>
      </c>
      <c r="Y49" s="891">
        <f t="shared" si="11"/>
        <v>0</v>
      </c>
      <c r="Z49" s="956">
        <f t="shared" si="11"/>
        <v>0</v>
      </c>
      <c r="AA49" s="893">
        <f t="shared" si="11"/>
        <v>0</v>
      </c>
      <c r="AB49" s="894">
        <f t="shared" si="11"/>
        <v>0</v>
      </c>
      <c r="AC49" s="894">
        <f t="shared" si="11"/>
        <v>10</v>
      </c>
      <c r="AD49" s="894">
        <f t="shared" si="11"/>
        <v>10</v>
      </c>
      <c r="AE49" s="894">
        <f t="shared" si="11"/>
        <v>10</v>
      </c>
      <c r="AF49" s="895">
        <f t="shared" si="11"/>
        <v>10</v>
      </c>
      <c r="AH49" s="566"/>
    </row>
    <row r="50" spans="1:34">
      <c r="A50" s="941"/>
      <c r="B50" s="1634">
        <v>20601</v>
      </c>
      <c r="C50" s="1633">
        <v>0.1</v>
      </c>
      <c r="D50" s="1625" t="s">
        <v>766</v>
      </c>
      <c r="E50" s="929">
        <f>'11.2. Нови активи отч.год.'!E51</f>
        <v>0</v>
      </c>
      <c r="F50" s="885">
        <f>SUMIF('9.Инвестиционна програма'!$B$11:$B$34,$B50,'9.Инвестиционна програма'!F$11:F$34)*$E$5</f>
        <v>0</v>
      </c>
      <c r="G50" s="886">
        <f>SUMIF('9.Инвестиционна програма'!$B$11:$B$34,$B50,'9.Инвестиционна програма'!G$11:G$34)*$E$5</f>
        <v>0</v>
      </c>
      <c r="H50" s="886">
        <f>SUMIF('9.Инвестиционна програма'!$B$11:$B$34,$B50,'9.Инвестиционна програма'!H$11:H$34)*$E$5</f>
        <v>0</v>
      </c>
      <c r="I50" s="886">
        <f>SUMIF('9.Инвестиционна програма'!$B$11:$B$34,$B50,'9.Инвестиционна програма'!I$11:I$34)*$E$5</f>
        <v>0</v>
      </c>
      <c r="J50" s="886">
        <f>SUMIF('9.Инвестиционна програма'!$B$11:$B$34,$B50,'9.Инвестиционна програма'!J$11:J$34)*$E$5</f>
        <v>0</v>
      </c>
      <c r="K50" s="887">
        <f>SUMIF('9.Инвестиционна програма'!$B$11:$B$34,$B50,'9.Инвестиционна програма'!K$11:K$34)*$E$5</f>
        <v>0</v>
      </c>
      <c r="L50" s="1486">
        <f>'11.2. Нови активи отч.год.'!L51</f>
        <v>0</v>
      </c>
      <c r="M50" s="934">
        <f>SUMIF('9.Инвестиционна програма'!$B$36:$B$46,$B50,'9.Инвестиционна програма'!F$36:F$46)*$E$5</f>
        <v>0</v>
      </c>
      <c r="N50" s="935">
        <f>SUMIF('9.Инвестиционна програма'!$B$36:$B$46,$B50,'9.Инвестиционна програма'!G$36:G$46)*$E$5</f>
        <v>0</v>
      </c>
      <c r="O50" s="935">
        <f>SUMIF('9.Инвестиционна програма'!$B$36:$B$46,$B50,'9.Инвестиционна програма'!H$36:H$46)*$E$5</f>
        <v>0</v>
      </c>
      <c r="P50" s="935">
        <f>SUMIF('9.Инвестиционна програма'!$B$36:$B$46,$B50,'9.Инвестиционна програма'!I$36:I$46)*$E$5</f>
        <v>0</v>
      </c>
      <c r="Q50" s="935">
        <f>SUMIF('9.Инвестиционна програма'!$B$36:$B$46,$B50,'9.Инвестиционна програма'!J$36:J$46)*$E$5</f>
        <v>0</v>
      </c>
      <c r="R50" s="936">
        <f>SUMIF('9.Инвестиционна програма'!$B$36:$B$46,$B50,'9.Инвестиционна програма'!K$36:K$46)*$E$5</f>
        <v>0</v>
      </c>
      <c r="S50" s="930">
        <f>'11.2. Нови активи отч.год.'!S51</f>
        <v>0</v>
      </c>
      <c r="T50" s="931">
        <f>SUMIF('9.Инвестиционна програма'!$B$48:$B$55,$B50,'9.Инвестиционна програма'!F$48:F$55)*$E$5</f>
        <v>0</v>
      </c>
      <c r="U50" s="931">
        <f>SUMIF('9.Инвестиционна програма'!$B$48:$B$55,$B50,'9.Инвестиционна програма'!G$48:G$55)*$E$5</f>
        <v>0</v>
      </c>
      <c r="V50" s="931">
        <f>SUMIF('9.Инвестиционна програма'!$B$48:$B$55,$B50,'9.Инвестиционна програма'!H$48:H$55)*$E$5</f>
        <v>0</v>
      </c>
      <c r="W50" s="931">
        <f>SUMIF('9.Инвестиционна програма'!$B$48:$B$55,$B50,'9.Инвестиционна програма'!I$48:I$55)*$E$5</f>
        <v>0</v>
      </c>
      <c r="X50" s="931">
        <f>SUMIF('9.Инвестиционна програма'!$B$48:$B$55,$B50,'9.Инвестиционна програма'!J$48:J$55)*$E$5</f>
        <v>0</v>
      </c>
      <c r="Y50" s="931">
        <f>SUMIF('9.Инвестиционна програма'!$B$48:$B$55,$B50,'9.Инвестиционна програма'!K$48:K$55)*$E$5</f>
        <v>0</v>
      </c>
      <c r="Z50" s="930">
        <f>'11.2. Нови активи отч.год.'!Z51</f>
        <v>0</v>
      </c>
      <c r="AA50" s="934">
        <f>(SUMIF('9.Инвестиционна програма'!$B$57:$B$58,$B50,'9.Инвестиционна програма'!F$57:F$58)+SUMIF('9.Инвестиционна програма'!$B$60:$B$67,$B50,'9.Инвестиционна програма'!F$60:F$67))*$E$5</f>
        <v>0</v>
      </c>
      <c r="AB50" s="931">
        <f>(SUMIF('9.Инвестиционна програма'!$B$57:$B$58,$B50,'9.Инвестиционна програма'!G$57:G$58)+SUMIF('9.Инвестиционна програма'!$B$60:$B$67,$B50,'9.Инвестиционна програма'!G$60:G$67))*$E$5</f>
        <v>0</v>
      </c>
      <c r="AC50" s="931">
        <f>(SUMIF('9.Инвестиционна програма'!$B$57:$B$58,$B50,'9.Инвестиционна програма'!H$57:H$58)+SUMIF('9.Инвестиционна програма'!$B$60:$B$67,$B50,'9.Инвестиционна програма'!H$60:H$67))*$E$5</f>
        <v>10</v>
      </c>
      <c r="AD50" s="931">
        <f>(SUMIF('9.Инвестиционна програма'!$B$57:$B$58,$B50,'9.Инвестиционна програма'!I$57:I$58)+SUMIF('9.Инвестиционна програма'!$B$60:$B$67,$B50,'9.Инвестиционна програма'!I$60:I$67))*$E$5</f>
        <v>10</v>
      </c>
      <c r="AE50" s="931">
        <f>(SUMIF('9.Инвестиционна програма'!$B$57:$B$58,$B50,'9.Инвестиционна програма'!J$57:J$58)+SUMIF('9.Инвестиционна програма'!$B$60:$B$67,$B50,'9.Инвестиционна програма'!J$60:J$67))*$E$5</f>
        <v>10</v>
      </c>
      <c r="AF50" s="937">
        <f>(SUMIF('9.Инвестиционна програма'!$B$57:$B$58,$B50,'9.Инвестиционна програма'!K$57:K$58)+SUMIF('9.Инвестиционна програма'!$B$60:$B$67,$B50,'9.Инвестиционна програма'!K$60:K$67))*$E$5</f>
        <v>10</v>
      </c>
      <c r="AG50" s="307"/>
      <c r="AH50" s="566"/>
    </row>
    <row r="51" spans="1:34">
      <c r="A51" s="941"/>
      <c r="B51" s="1634">
        <v>20602</v>
      </c>
      <c r="C51" s="1633">
        <v>0.1</v>
      </c>
      <c r="D51" s="1625" t="s">
        <v>607</v>
      </c>
      <c r="E51" s="929">
        <f>'11.2. Нови активи отч.год.'!E52</f>
        <v>7</v>
      </c>
      <c r="F51" s="885">
        <f>SUMIF('9.Инвестиционна програма'!$B$11:$B$34,$B51,'9.Инвестиционна програма'!F$11:F$34)*$E$5</f>
        <v>0</v>
      </c>
      <c r="G51" s="886">
        <f>SUMIF('9.Инвестиционна програма'!$B$11:$B$34,$B51,'9.Инвестиционна програма'!G$11:G$34)*$E$5</f>
        <v>0</v>
      </c>
      <c r="H51" s="886">
        <f>SUMIF('9.Инвестиционна програма'!$B$11:$B$34,$B51,'9.Инвестиционна програма'!H$11:H$34)*$E$5</f>
        <v>0</v>
      </c>
      <c r="I51" s="886">
        <f>SUMIF('9.Инвестиционна програма'!$B$11:$B$34,$B51,'9.Инвестиционна програма'!I$11:I$34)*$E$5</f>
        <v>0</v>
      </c>
      <c r="J51" s="886">
        <f>SUMIF('9.Инвестиционна програма'!$B$11:$B$34,$B51,'9.Инвестиционна програма'!J$11:J$34)*$E$5</f>
        <v>0</v>
      </c>
      <c r="K51" s="887">
        <f>SUMIF('9.Инвестиционна програма'!$B$11:$B$34,$B51,'9.Инвестиционна програма'!K$11:K$34)*$E$5</f>
        <v>0</v>
      </c>
      <c r="L51" s="1486">
        <f>'11.2. Нови активи отч.год.'!L52</f>
        <v>0</v>
      </c>
      <c r="M51" s="934">
        <f>SUMIF('9.Инвестиционна програма'!$B$36:$B$46,$B51,'9.Инвестиционна програма'!F$36:F$46)*$E$5</f>
        <v>0</v>
      </c>
      <c r="N51" s="935">
        <f>SUMIF('9.Инвестиционна програма'!$B$36:$B$46,$B51,'9.Инвестиционна програма'!G$36:G$46)*$E$5</f>
        <v>0</v>
      </c>
      <c r="O51" s="935">
        <f>SUMIF('9.Инвестиционна програма'!$B$36:$B$46,$B51,'9.Инвестиционна програма'!H$36:H$46)*$E$5</f>
        <v>0</v>
      </c>
      <c r="P51" s="935">
        <f>SUMIF('9.Инвестиционна програма'!$B$36:$B$46,$B51,'9.Инвестиционна програма'!I$36:I$46)*$E$5</f>
        <v>0</v>
      </c>
      <c r="Q51" s="935">
        <f>SUMIF('9.Инвестиционна програма'!$B$36:$B$46,$B51,'9.Инвестиционна програма'!J$36:J$46)*$E$5</f>
        <v>0</v>
      </c>
      <c r="R51" s="936">
        <f>SUMIF('9.Инвестиционна програма'!$B$36:$B$46,$B51,'9.Инвестиционна програма'!K$36:K$46)*$E$5</f>
        <v>0</v>
      </c>
      <c r="S51" s="930">
        <f>'11.2. Нови активи отч.год.'!S52</f>
        <v>0</v>
      </c>
      <c r="T51" s="931">
        <f>SUMIF('9.Инвестиционна програма'!$B$48:$B$55,$B51,'9.Инвестиционна програма'!F$48:F$55)*$E$5</f>
        <v>0</v>
      </c>
      <c r="U51" s="931">
        <f>SUMIF('9.Инвестиционна програма'!$B$48:$B$55,$B51,'9.Инвестиционна програма'!G$48:G$55)*$E$5</f>
        <v>0</v>
      </c>
      <c r="V51" s="931">
        <f>SUMIF('9.Инвестиционна програма'!$B$48:$B$55,$B51,'9.Инвестиционна програма'!H$48:H$55)*$E$5</f>
        <v>0</v>
      </c>
      <c r="W51" s="931">
        <f>SUMIF('9.Инвестиционна програма'!$B$48:$B$55,$B51,'9.Инвестиционна програма'!I$48:I$55)*$E$5</f>
        <v>0</v>
      </c>
      <c r="X51" s="931">
        <f>SUMIF('9.Инвестиционна програма'!$B$48:$B$55,$B51,'9.Инвестиционна програма'!J$48:J$55)*$E$5</f>
        <v>0</v>
      </c>
      <c r="Y51" s="931">
        <f>SUMIF('9.Инвестиционна програма'!$B$48:$B$55,$B51,'9.Инвестиционна програма'!K$48:K$55)*$E$5</f>
        <v>0</v>
      </c>
      <c r="Z51" s="930">
        <f>'11.2. Нови активи отч.год.'!Z52</f>
        <v>0</v>
      </c>
      <c r="AA51" s="934">
        <f>(SUMIF('9.Инвестиционна програма'!$B$57:$B$58,$B51,'9.Инвестиционна програма'!F$57:F$58)+SUMIF('9.Инвестиционна програма'!$B$60:$B$67,$B51,'9.Инвестиционна програма'!F$60:F$67))*$E$5</f>
        <v>0</v>
      </c>
      <c r="AB51" s="931">
        <f>(SUMIF('9.Инвестиционна програма'!$B$57:$B$58,$B51,'9.Инвестиционна програма'!G$57:G$58)+SUMIF('9.Инвестиционна програма'!$B$60:$B$67,$B51,'9.Инвестиционна програма'!G$60:G$67))*$E$5</f>
        <v>0</v>
      </c>
      <c r="AC51" s="931">
        <f>(SUMIF('9.Инвестиционна програма'!$B$57:$B$58,$B51,'9.Инвестиционна програма'!H$57:H$58)+SUMIF('9.Инвестиционна програма'!$B$60:$B$67,$B51,'9.Инвестиционна програма'!H$60:H$67))*$E$5</f>
        <v>0</v>
      </c>
      <c r="AD51" s="931">
        <f>(SUMIF('9.Инвестиционна програма'!$B$57:$B$58,$B51,'9.Инвестиционна програма'!I$57:I$58)+SUMIF('9.Инвестиционна програма'!$B$60:$B$67,$B51,'9.Инвестиционна програма'!I$60:I$67))*$E$5</f>
        <v>0</v>
      </c>
      <c r="AE51" s="931">
        <f>(SUMIF('9.Инвестиционна програма'!$B$57:$B$58,$B51,'9.Инвестиционна програма'!J$57:J$58)+SUMIF('9.Инвестиционна програма'!$B$60:$B$67,$B51,'9.Инвестиционна програма'!J$60:J$67))*$E$5</f>
        <v>0</v>
      </c>
      <c r="AF51" s="937">
        <f>(SUMIF('9.Инвестиционна програма'!$B$57:$B$58,$B51,'9.Инвестиционна програма'!K$57:K$58)+SUMIF('9.Инвестиционна програма'!$B$60:$B$67,$B51,'9.Инвестиционна програма'!K$60:K$67))*$E$5</f>
        <v>0</v>
      </c>
      <c r="AG51" s="307"/>
      <c r="AH51" s="566"/>
    </row>
    <row r="52" spans="1:34">
      <c r="A52" s="941"/>
      <c r="B52" s="1819">
        <v>20603</v>
      </c>
      <c r="C52" s="1820">
        <v>0.5</v>
      </c>
      <c r="D52" s="1821" t="s">
        <v>1441</v>
      </c>
      <c r="E52" s="1486">
        <f>'11.2. Нови активи отч.год.'!E53</f>
        <v>0</v>
      </c>
      <c r="F52" s="885">
        <f>SUMIF('9.Инвестиционна програма'!$B$11:$B$34,$B52,'9.Инвестиционна програма'!F$11:F$34)*$E$5</f>
        <v>0</v>
      </c>
      <c r="G52" s="886">
        <f>SUMIF('9.Инвестиционна програма'!$B$11:$B$34,$B52,'9.Инвестиционна програма'!G$11:G$34)*$E$5</f>
        <v>0</v>
      </c>
      <c r="H52" s="886">
        <f>SUMIF('9.Инвестиционна програма'!$B$11:$B$34,$B52,'9.Инвестиционна програма'!H$11:H$34)*$E$5</f>
        <v>0</v>
      </c>
      <c r="I52" s="886">
        <f>SUMIF('9.Инвестиционна програма'!$B$11:$B$34,$B52,'9.Инвестиционна програма'!I$11:I$34)*$E$5</f>
        <v>0</v>
      </c>
      <c r="J52" s="886">
        <f>SUMIF('9.Инвестиционна програма'!$B$11:$B$34,$B52,'9.Инвестиционна програма'!J$11:J$34)*$E$5</f>
        <v>0</v>
      </c>
      <c r="K52" s="887">
        <f>SUMIF('9.Инвестиционна програма'!$B$11:$B$34,$B52,'9.Инвестиционна програма'!K$11:K$34)*$E$5</f>
        <v>0</v>
      </c>
      <c r="L52" s="1486">
        <f>'11.2. Нови активи отч.год.'!L53</f>
        <v>0</v>
      </c>
      <c r="M52" s="934">
        <f>SUMIF('9.Инвестиционна програма'!$B$36:$B$46,$B52,'9.Инвестиционна програма'!F$36:F$46)*$E$5</f>
        <v>0</v>
      </c>
      <c r="N52" s="935">
        <f>SUMIF('9.Инвестиционна програма'!$B$36:$B$46,$B52,'9.Инвестиционна програма'!G$36:G$46)*$E$5</f>
        <v>0</v>
      </c>
      <c r="O52" s="935">
        <f>SUMIF('9.Инвестиционна програма'!$B$36:$B$46,$B52,'9.Инвестиционна програма'!H$36:H$46)*$E$5</f>
        <v>0</v>
      </c>
      <c r="P52" s="935">
        <f>SUMIF('9.Инвестиционна програма'!$B$36:$B$46,$B52,'9.Инвестиционна програма'!I$36:I$46)*$E$5</f>
        <v>0</v>
      </c>
      <c r="Q52" s="935">
        <f>SUMIF('9.Инвестиционна програма'!$B$36:$B$46,$B52,'9.Инвестиционна програма'!J$36:J$46)*$E$5</f>
        <v>0</v>
      </c>
      <c r="R52" s="936">
        <f>SUMIF('9.Инвестиционна програма'!$B$36:$B$46,$B52,'9.Инвестиционна програма'!K$36:K$46)*$E$5</f>
        <v>0</v>
      </c>
      <c r="S52" s="930">
        <f>'11.2. Нови активи отч.год.'!S53</f>
        <v>0</v>
      </c>
      <c r="T52" s="931">
        <f>SUMIF('9.Инвестиционна програма'!$B$48:$B$55,$B52,'9.Инвестиционна програма'!F$48:F$55)*$E$5</f>
        <v>0</v>
      </c>
      <c r="U52" s="931">
        <f>SUMIF('9.Инвестиционна програма'!$B$48:$B$55,$B52,'9.Инвестиционна програма'!G$48:G$55)*$E$5</f>
        <v>0</v>
      </c>
      <c r="V52" s="931">
        <f>SUMIF('9.Инвестиционна програма'!$B$48:$B$55,$B52,'9.Инвестиционна програма'!H$48:H$55)*$E$5</f>
        <v>0</v>
      </c>
      <c r="W52" s="931">
        <f>SUMIF('9.Инвестиционна програма'!$B$48:$B$55,$B52,'9.Инвестиционна програма'!I$48:I$55)*$E$5</f>
        <v>0</v>
      </c>
      <c r="X52" s="931">
        <f>SUMIF('9.Инвестиционна програма'!$B$48:$B$55,$B52,'9.Инвестиционна програма'!J$48:J$55)*$E$5</f>
        <v>0</v>
      </c>
      <c r="Y52" s="931">
        <f>SUMIF('9.Инвестиционна програма'!$B$48:$B$55,$B52,'9.Инвестиционна програма'!K$48:K$55)*$E$5</f>
        <v>0</v>
      </c>
      <c r="Z52" s="930">
        <f>'11.2. Нови активи отч.год.'!Z53</f>
        <v>0</v>
      </c>
      <c r="AA52" s="934">
        <f>(SUMIF('9.Инвестиционна програма'!$B$57:$B$58,$B52,'9.Инвестиционна програма'!F$57:F$58)+SUMIF('9.Инвестиционна програма'!$B$60:$B$67,$B52,'9.Инвестиционна програма'!F$60:F$67))*$E$5</f>
        <v>0</v>
      </c>
      <c r="AB52" s="931">
        <f>(SUMIF('9.Инвестиционна програма'!$B$57:$B$58,$B52,'9.Инвестиционна програма'!G$57:G$58)+SUMIF('9.Инвестиционна програма'!$B$60:$B$67,$B52,'9.Инвестиционна програма'!G$60:G$67))*$E$5</f>
        <v>0</v>
      </c>
      <c r="AC52" s="931">
        <f>(SUMIF('9.Инвестиционна програма'!$B$57:$B$58,$B52,'9.Инвестиционна програма'!H$57:H$58)+SUMIF('9.Инвестиционна програма'!$B$60:$B$67,$B52,'9.Инвестиционна програма'!H$60:H$67))*$E$5</f>
        <v>0</v>
      </c>
      <c r="AD52" s="931">
        <f>(SUMIF('9.Инвестиционна програма'!$B$57:$B$58,$B52,'9.Инвестиционна програма'!I$57:I$58)+SUMIF('9.Инвестиционна програма'!$B$60:$B$67,$B52,'9.Инвестиционна програма'!I$60:I$67))*$E$5</f>
        <v>0</v>
      </c>
      <c r="AE52" s="931">
        <f>(SUMIF('9.Инвестиционна програма'!$B$57:$B$58,$B52,'9.Инвестиционна програма'!J$57:J$58)+SUMIF('9.Инвестиционна програма'!$B$60:$B$67,$B52,'9.Инвестиционна програма'!J$60:J$67))*$E$5</f>
        <v>0</v>
      </c>
      <c r="AF52" s="937">
        <f>(SUMIF('9.Инвестиционна програма'!$B$57:$B$58,$B52,'9.Инвестиционна програма'!K$57:K$58)+SUMIF('9.Инвестиционна програма'!$B$60:$B$67,$B52,'9.Инвестиционна програма'!K$60:K$67))*$E$5</f>
        <v>0</v>
      </c>
      <c r="AG52" s="307"/>
      <c r="AH52" s="566"/>
    </row>
    <row r="53" spans="1:34" s="262" customFormat="1">
      <c r="A53" s="941">
        <v>7</v>
      </c>
      <c r="B53" s="1817">
        <v>208</v>
      </c>
      <c r="C53" s="1818">
        <v>0.2</v>
      </c>
      <c r="D53" s="1815" t="s">
        <v>585</v>
      </c>
      <c r="E53" s="929">
        <f>'11.2. Нови активи отч.год.'!E54</f>
        <v>2</v>
      </c>
      <c r="F53" s="957">
        <f>SUMIF('9.Инвестиционна програма'!$B$11:$B$34,$B53,'9.Инвестиционна програма'!F$11:F$34)*$E$5</f>
        <v>0</v>
      </c>
      <c r="G53" s="958">
        <f>SUMIF('9.Инвестиционна програма'!$B$11:$B$34,$B53,'9.Инвестиционна програма'!G$11:G$34)*$E$5</f>
        <v>0</v>
      </c>
      <c r="H53" s="958">
        <f>SUMIF('9.Инвестиционна програма'!$B$11:$B$34,$B53,'9.Инвестиционна програма'!H$11:H$34)*$E$5</f>
        <v>0</v>
      </c>
      <c r="I53" s="958">
        <f>SUMIF('9.Инвестиционна програма'!$B$11:$B$34,$B53,'9.Инвестиционна програма'!I$11:I$34)*$E$5</f>
        <v>0</v>
      </c>
      <c r="J53" s="958">
        <f>SUMIF('9.Инвестиционна програма'!$B$11:$B$34,$B53,'9.Инвестиционна програма'!J$11:J$34)*$E$5</f>
        <v>0</v>
      </c>
      <c r="K53" s="959">
        <f>SUMIF('9.Инвестиционна програма'!$B$11:$B$34,$B53,'9.Инвестиционна програма'!K$11:K$34)*$E$5</f>
        <v>0</v>
      </c>
      <c r="L53" s="960">
        <f>'11.2. Нови активи отч.год.'!L54</f>
        <v>0</v>
      </c>
      <c r="M53" s="957">
        <f>SUMIF('9.Инвестиционна програма'!$B$36:$B$46,$B53,'9.Инвестиционна програма'!F$36:F$46)*$E$5</f>
        <v>0</v>
      </c>
      <c r="N53" s="958">
        <f>SUMIF('9.Инвестиционна програма'!$B$36:$B$46,$B53,'9.Инвестиционна програма'!G$36:G$46)*$E$5</f>
        <v>0</v>
      </c>
      <c r="O53" s="958">
        <f>SUMIF('9.Инвестиционна програма'!$B$36:$B$46,$B53,'9.Инвестиционна програма'!H$36:H$46)*$E$5</f>
        <v>0</v>
      </c>
      <c r="P53" s="958">
        <f>SUMIF('9.Инвестиционна програма'!$B$36:$B$46,$B53,'9.Инвестиционна програма'!I$36:I$46)*$E$5</f>
        <v>0</v>
      </c>
      <c r="Q53" s="958">
        <f>SUMIF('9.Инвестиционна програма'!$B$36:$B$46,$B53,'9.Инвестиционна програма'!J$36:J$46)*$E$5</f>
        <v>0</v>
      </c>
      <c r="R53" s="961">
        <f>SUMIF('9.Инвестиционна програма'!$B$36:$B$46,$B53,'9.Инвестиционна програма'!K$36:K$46)*$E$5</f>
        <v>0</v>
      </c>
      <c r="S53" s="930">
        <f>'11.2. Нови активи отч.год.'!S54</f>
        <v>0</v>
      </c>
      <c r="T53" s="962">
        <f>SUMIF('9.Инвестиционна програма'!$B$48:$B$55,$B53,'9.Инвестиционна програма'!F$48:F$55)*$E$5</f>
        <v>0</v>
      </c>
      <c r="U53" s="958">
        <f>SUMIF('9.Инвестиционна програма'!$B$48:$B$55,$B53,'9.Инвестиционна програма'!G$48:G$55)*$E$5</f>
        <v>0</v>
      </c>
      <c r="V53" s="958">
        <f>SUMIF('9.Инвестиционна програма'!$B$48:$B$55,$B53,'9.Инвестиционна програма'!H$48:H$55)*$E$5</f>
        <v>0</v>
      </c>
      <c r="W53" s="958">
        <f>SUMIF('9.Инвестиционна програма'!$B$48:$B$55,$B53,'9.Инвестиционна програма'!I$48:I$55)*$E$5</f>
        <v>0</v>
      </c>
      <c r="X53" s="958">
        <f>SUMIF('9.Инвестиционна програма'!$B$48:$B$55,$B53,'9.Инвестиционна програма'!J$48:J$55)*$E$5</f>
        <v>0</v>
      </c>
      <c r="Y53" s="961">
        <f>SUMIF('9.Инвестиционна програма'!$B$48:$B$55,$B53,'9.Инвестиционна програма'!K$48:K$55)*$E$5</f>
        <v>0</v>
      </c>
      <c r="Z53" s="930">
        <f>'11.2. Нови активи отч.год.'!Z54</f>
        <v>0</v>
      </c>
      <c r="AA53" s="962">
        <f>(SUMIF('9.Инвестиционна програма'!$B$57:$B$58,$B53,'9.Инвестиционна програма'!F$57:F$58)+SUMIF('9.Инвестиционна програма'!$B$60:$B$67,$B53,'9.Инвестиционна програма'!F$60:F$67))*$E$5</f>
        <v>0</v>
      </c>
      <c r="AB53" s="958">
        <f>(SUMIF('9.Инвестиционна програма'!$B$57:$B$58,$B53,'9.Инвестиционна програма'!G$57:G$58)+SUMIF('9.Инвестиционна програма'!$B$60:$B$67,$B53,'9.Инвестиционна програма'!G$60:G$67))*$E$5</f>
        <v>5</v>
      </c>
      <c r="AC53" s="958">
        <f>(SUMIF('9.Инвестиционна програма'!$B$57:$B$58,$B53,'9.Инвестиционна програма'!H$57:H$58)+SUMIF('9.Инвестиционна програма'!$B$60:$B$67,$B53,'9.Инвестиционна програма'!H$60:H$67))*$E$5</f>
        <v>5</v>
      </c>
      <c r="AD53" s="958">
        <f>(SUMIF('9.Инвестиционна програма'!$B$57:$B$58,$B53,'9.Инвестиционна програма'!I$57:I$58)+SUMIF('9.Инвестиционна програма'!$B$60:$B$67,$B53,'9.Инвестиционна програма'!I$60:I$67))*$E$5</f>
        <v>5</v>
      </c>
      <c r="AE53" s="958">
        <f>(SUMIF('9.Инвестиционна програма'!$B$57:$B$58,$B53,'9.Инвестиционна програма'!J$57:J$58)+SUMIF('9.Инвестиционна програма'!$B$60:$B$67,$B53,'9.Инвестиционна програма'!J$60:J$67))*$E$5</f>
        <v>5</v>
      </c>
      <c r="AF53" s="961">
        <f>(SUMIF('9.Инвестиционна програма'!$B$57:$B$58,$B53,'9.Инвестиционна програма'!K$57:K$58)+SUMIF('9.Инвестиционна програма'!$B$60:$B$67,$B53,'9.Инвестиционна програма'!K$60:K$67))*$E$5</f>
        <v>5</v>
      </c>
      <c r="AG53" s="307"/>
      <c r="AH53" s="565"/>
    </row>
    <row r="54" spans="1:34" s="262" customFormat="1">
      <c r="A54" s="941">
        <v>8</v>
      </c>
      <c r="B54" s="1817">
        <v>209</v>
      </c>
      <c r="C54" s="1818">
        <v>0.1</v>
      </c>
      <c r="D54" s="1815" t="s">
        <v>276</v>
      </c>
      <c r="E54" s="929">
        <f>'11.2. Нови активи отч.год.'!E55</f>
        <v>0</v>
      </c>
      <c r="F54" s="957">
        <f>SUMIF('9.Инвестиционна програма'!$B$11:$B$34,$B54,'9.Инвестиционна програма'!F$11:F$34)*$E$5</f>
        <v>0</v>
      </c>
      <c r="G54" s="958">
        <f>SUMIF('9.Инвестиционна програма'!$B$11:$B$34,$B54,'9.Инвестиционна програма'!G$11:G$34)*$E$5</f>
        <v>0</v>
      </c>
      <c r="H54" s="958">
        <f>SUMIF('9.Инвестиционна програма'!$B$11:$B$34,$B54,'9.Инвестиционна програма'!H$11:H$34)*$E$5</f>
        <v>0</v>
      </c>
      <c r="I54" s="958">
        <f>SUMIF('9.Инвестиционна програма'!$B$11:$B$34,$B54,'9.Инвестиционна програма'!I$11:I$34)*$E$5</f>
        <v>0</v>
      </c>
      <c r="J54" s="958">
        <f>SUMIF('9.Инвестиционна програма'!$B$11:$B$34,$B54,'9.Инвестиционна програма'!J$11:J$34)*$E$5</f>
        <v>0</v>
      </c>
      <c r="K54" s="959">
        <f>SUMIF('9.Инвестиционна програма'!$B$11:$B$34,$B54,'9.Инвестиционна програма'!K$11:K$34)*$E$5</f>
        <v>0</v>
      </c>
      <c r="L54" s="930">
        <f>'11.2. Нови активи отч.год.'!L55</f>
        <v>0</v>
      </c>
      <c r="M54" s="957">
        <f>SUMIF('9.Инвестиционна програма'!$B$36:$B$46,$B54,'9.Инвестиционна програма'!F$36:F$46)*$E$5</f>
        <v>0</v>
      </c>
      <c r="N54" s="958">
        <f>SUMIF('9.Инвестиционна програма'!$B$36:$B$46,$B54,'9.Инвестиционна програма'!G$36:G$46)*$E$5</f>
        <v>0</v>
      </c>
      <c r="O54" s="958">
        <f>SUMIF('9.Инвестиционна програма'!$B$36:$B$46,$B54,'9.Инвестиционна програма'!H$36:H$46)*$E$5</f>
        <v>0</v>
      </c>
      <c r="P54" s="958">
        <f>SUMIF('9.Инвестиционна програма'!$B$36:$B$46,$B54,'9.Инвестиционна програма'!I$36:I$46)*$E$5</f>
        <v>0</v>
      </c>
      <c r="Q54" s="958">
        <f>SUMIF('9.Инвестиционна програма'!$B$36:$B$46,$B54,'9.Инвестиционна програма'!J$36:J$46)*$E$5</f>
        <v>0</v>
      </c>
      <c r="R54" s="961">
        <f>SUMIF('9.Инвестиционна програма'!$B$36:$B$46,$B54,'9.Инвестиционна програма'!K$36:K$46)*$E$5</f>
        <v>0</v>
      </c>
      <c r="S54" s="930">
        <f>'11.2. Нови активи отч.год.'!S55</f>
        <v>0</v>
      </c>
      <c r="T54" s="962">
        <f>SUMIF('9.Инвестиционна програма'!$B$48:$B$55,$B54,'9.Инвестиционна програма'!F$48:F$55)*$E$5</f>
        <v>0</v>
      </c>
      <c r="U54" s="958">
        <f>SUMIF('9.Инвестиционна програма'!$B$48:$B$55,$B54,'9.Инвестиционна програма'!G$48:G$55)*$E$5</f>
        <v>0</v>
      </c>
      <c r="V54" s="958">
        <f>SUMIF('9.Инвестиционна програма'!$B$48:$B$55,$B54,'9.Инвестиционна програма'!H$48:H$55)*$E$5</f>
        <v>0</v>
      </c>
      <c r="W54" s="958">
        <f>SUMIF('9.Инвестиционна програма'!$B$48:$B$55,$B54,'9.Инвестиционна програма'!I$48:I$55)*$E$5</f>
        <v>0</v>
      </c>
      <c r="X54" s="958">
        <f>SUMIF('9.Инвестиционна програма'!$B$48:$B$55,$B54,'9.Инвестиционна програма'!J$48:J$55)*$E$5</f>
        <v>0</v>
      </c>
      <c r="Y54" s="961">
        <f>SUMIF('9.Инвестиционна програма'!$B$48:$B$55,$B54,'9.Инвестиционна програма'!K$48:K$55)*$E$5</f>
        <v>0</v>
      </c>
      <c r="Z54" s="930">
        <f>'11.2. Нови активи отч.год.'!Z55</f>
        <v>0</v>
      </c>
      <c r="AA54" s="962">
        <f>(SUMIF('9.Инвестиционна програма'!$B$57:$B$58,$B54,'9.Инвестиционна програма'!F$57:F$58)+SUMIF('9.Инвестиционна програма'!$B$60:$B$67,$B54,'9.Инвестиционна програма'!F$60:F$67))*$E$5</f>
        <v>0</v>
      </c>
      <c r="AB54" s="958">
        <f>(SUMIF('9.Инвестиционна програма'!$B$57:$B$58,$B54,'9.Инвестиционна програма'!G$57:G$58)+SUMIF('9.Инвестиционна програма'!$B$60:$B$67,$B54,'9.Инвестиционна програма'!G$60:G$67))*$E$5</f>
        <v>0</v>
      </c>
      <c r="AC54" s="958">
        <f>(SUMIF('9.Инвестиционна програма'!$B$57:$B$58,$B54,'9.Инвестиционна програма'!H$57:H$58)+SUMIF('9.Инвестиционна програма'!$B$60:$B$67,$B54,'9.Инвестиционна програма'!H$60:H$67))*$E$5</f>
        <v>0</v>
      </c>
      <c r="AD54" s="958">
        <f>(SUMIF('9.Инвестиционна програма'!$B$57:$B$58,$B54,'9.Инвестиционна програма'!I$57:I$58)+SUMIF('9.Инвестиционна програма'!$B$60:$B$67,$B54,'9.Инвестиционна програма'!I$60:I$67))*$E$5</f>
        <v>0</v>
      </c>
      <c r="AE54" s="958">
        <f>(SUMIF('9.Инвестиционна програма'!$B$57:$B$58,$B54,'9.Инвестиционна програма'!J$57:J$58)+SUMIF('9.Инвестиционна програма'!$B$60:$B$67,$B54,'9.Инвестиционна програма'!J$60:J$67))*$E$5</f>
        <v>0</v>
      </c>
      <c r="AF54" s="961">
        <f>(SUMIF('9.Инвестиционна програма'!$B$57:$B$58,$B54,'9.Инвестиционна програма'!K$57:K$58)+SUMIF('9.Инвестиционна програма'!$B$60:$B$67,$B54,'9.Инвестиционна програма'!K$60:K$67))*$E$5</f>
        <v>0</v>
      </c>
      <c r="AG54" s="307"/>
      <c r="AH54" s="565"/>
    </row>
    <row r="55" spans="1:34" s="262" customFormat="1" ht="17.25" customHeight="1">
      <c r="A55" s="941">
        <v>9</v>
      </c>
      <c r="B55" s="1817">
        <v>212</v>
      </c>
      <c r="C55" s="1818">
        <v>0.2</v>
      </c>
      <c r="D55" s="1822" t="s">
        <v>277</v>
      </c>
      <c r="E55" s="929">
        <f>'11.2. Нови активи отч.год.'!E56</f>
        <v>0</v>
      </c>
      <c r="F55" s="957">
        <f>SUMIF('9.Инвестиционна програма'!$B$11:$B$34,$B55,'9.Инвестиционна програма'!F$11:F$34)*$E$5</f>
        <v>0</v>
      </c>
      <c r="G55" s="958">
        <f>SUMIF('9.Инвестиционна програма'!$B$11:$B$34,$B55,'9.Инвестиционна програма'!G$11:G$34)*$E$5</f>
        <v>0</v>
      </c>
      <c r="H55" s="958">
        <f>SUMIF('9.Инвестиционна програма'!$B$11:$B$34,$B55,'9.Инвестиционна програма'!H$11:H$34)*$E$5</f>
        <v>0</v>
      </c>
      <c r="I55" s="958">
        <f>SUMIF('9.Инвестиционна програма'!$B$11:$B$34,$B55,'9.Инвестиционна програма'!I$11:I$34)*$E$5</f>
        <v>0</v>
      </c>
      <c r="J55" s="958">
        <f>SUMIF('9.Инвестиционна програма'!$B$11:$B$34,$B55,'9.Инвестиционна програма'!J$11:J$34)*$E$5</f>
        <v>0</v>
      </c>
      <c r="K55" s="959">
        <f>SUMIF('9.Инвестиционна програма'!$B$11:$B$34,$B55,'9.Инвестиционна програма'!K$11:K$34)*$E$5</f>
        <v>0</v>
      </c>
      <c r="L55" s="930">
        <f>'11.2. Нови активи отч.год.'!L56</f>
        <v>0</v>
      </c>
      <c r="M55" s="957">
        <f>SUMIF('9.Инвестиционна програма'!$B$36:$B$46,$B55,'9.Инвестиционна програма'!F$36:F$46)*$E$5</f>
        <v>0</v>
      </c>
      <c r="N55" s="958">
        <f>SUMIF('9.Инвестиционна програма'!$B$36:$B$46,$B55,'9.Инвестиционна програма'!G$36:G$46)*$E$5</f>
        <v>0</v>
      </c>
      <c r="O55" s="958">
        <f>SUMIF('9.Инвестиционна програма'!$B$36:$B$46,$B55,'9.Инвестиционна програма'!H$36:H$46)*$E$5</f>
        <v>0</v>
      </c>
      <c r="P55" s="958">
        <f>SUMIF('9.Инвестиционна програма'!$B$36:$B$46,$B55,'9.Инвестиционна програма'!I$36:I$46)*$E$5</f>
        <v>0</v>
      </c>
      <c r="Q55" s="958">
        <f>SUMIF('9.Инвестиционна програма'!$B$36:$B$46,$B55,'9.Инвестиционна програма'!J$36:J$46)*$E$5</f>
        <v>0</v>
      </c>
      <c r="R55" s="961">
        <f>SUMIF('9.Инвестиционна програма'!$B$36:$B$46,$B55,'9.Инвестиционна програма'!K$36:K$46)*$E$5</f>
        <v>0</v>
      </c>
      <c r="S55" s="930">
        <f>'11.2. Нови активи отч.год.'!S56</f>
        <v>0</v>
      </c>
      <c r="T55" s="962">
        <f>SUMIF('9.Инвестиционна програма'!$B$48:$B$55,$B55,'9.Инвестиционна програма'!F$48:F$55)*$E$5</f>
        <v>0</v>
      </c>
      <c r="U55" s="958">
        <f>SUMIF('9.Инвестиционна програма'!$B$48:$B$55,$B55,'9.Инвестиционна програма'!G$48:G$55)*$E$5</f>
        <v>0</v>
      </c>
      <c r="V55" s="958">
        <f>SUMIF('9.Инвестиционна програма'!$B$48:$B$55,$B55,'9.Инвестиционна програма'!H$48:H$55)*$E$5</f>
        <v>0</v>
      </c>
      <c r="W55" s="958">
        <f>SUMIF('9.Инвестиционна програма'!$B$48:$B$55,$B55,'9.Инвестиционна програма'!I$48:I$55)*$E$5</f>
        <v>0</v>
      </c>
      <c r="X55" s="958">
        <f>SUMIF('9.Инвестиционна програма'!$B$48:$B$55,$B55,'9.Инвестиционна програма'!J$48:J$55)*$E$5</f>
        <v>0</v>
      </c>
      <c r="Y55" s="961">
        <f>SUMIF('9.Инвестиционна програма'!$B$48:$B$55,$B55,'9.Инвестиционна програма'!K$48:K$55)*$E$5</f>
        <v>0</v>
      </c>
      <c r="Z55" s="930">
        <f>'11.2. Нови активи отч.год.'!Z56</f>
        <v>0</v>
      </c>
      <c r="AA55" s="962">
        <f>(SUMIF('9.Инвестиционна програма'!$B$57:$B$58,$B55,'9.Инвестиционна програма'!F$57:F$58)+SUMIF('9.Инвестиционна програма'!$B$60:$B$67,$B55,'9.Инвестиционна програма'!F$60:F$67))*$E$5</f>
        <v>0</v>
      </c>
      <c r="AB55" s="958">
        <f>(SUMIF('9.Инвестиционна програма'!$B$57:$B$58,$B55,'9.Инвестиционна програма'!G$57:G$58)+SUMIF('9.Инвестиционна програма'!$B$60:$B$67,$B55,'9.Инвестиционна програма'!G$60:G$67))*$E$5</f>
        <v>0</v>
      </c>
      <c r="AC55" s="958">
        <f>(SUMIF('9.Инвестиционна програма'!$B$57:$B$58,$B55,'9.Инвестиционна програма'!H$57:H$58)+SUMIF('9.Инвестиционна програма'!$B$60:$B$67,$B55,'9.Инвестиционна програма'!H$60:H$67))*$E$5</f>
        <v>0</v>
      </c>
      <c r="AD55" s="958">
        <f>(SUMIF('9.Инвестиционна програма'!$B$57:$B$58,$B55,'9.Инвестиционна програма'!I$57:I$58)+SUMIF('9.Инвестиционна програма'!$B$60:$B$67,$B55,'9.Инвестиционна програма'!I$60:I$67))*$E$5</f>
        <v>0</v>
      </c>
      <c r="AE55" s="958">
        <f>(SUMIF('9.Инвестиционна програма'!$B$57:$B$58,$B55,'9.Инвестиционна програма'!J$57:J$58)+SUMIF('9.Инвестиционна програма'!$B$60:$B$67,$B55,'9.Инвестиционна програма'!J$60:J$67))*$E$5</f>
        <v>0</v>
      </c>
      <c r="AF55" s="961">
        <f>(SUMIF('9.Инвестиционна програма'!$B$57:$B$58,$B55,'9.Инвестиционна програма'!K$57:K$58)+SUMIF('9.Инвестиционна програма'!$B$60:$B$67,$B55,'9.Инвестиционна програма'!K$60:K$67))*$E$5</f>
        <v>0</v>
      </c>
      <c r="AG55" s="307"/>
      <c r="AH55" s="565"/>
    </row>
    <row r="56" spans="1:34" s="262" customFormat="1">
      <c r="A56" s="941">
        <v>10</v>
      </c>
      <c r="B56" s="1817">
        <v>213</v>
      </c>
      <c r="C56" s="1818">
        <v>0.2</v>
      </c>
      <c r="D56" s="1810" t="s">
        <v>278</v>
      </c>
      <c r="E56" s="929">
        <f>'11.2. Нови активи отч.год.'!E57</f>
        <v>0</v>
      </c>
      <c r="F56" s="957">
        <f>SUMIF('9.Инвестиционна програма'!$B$11:$B$34,$B56,'9.Инвестиционна програма'!F$11:F$34)*$E$5</f>
        <v>0</v>
      </c>
      <c r="G56" s="958">
        <f>SUMIF('9.Инвестиционна програма'!$B$11:$B$34,$B56,'9.Инвестиционна програма'!G$11:G$34)*$E$5</f>
        <v>0</v>
      </c>
      <c r="H56" s="958">
        <f>SUMIF('9.Инвестиционна програма'!$B$11:$B$34,$B56,'9.Инвестиционна програма'!H$11:H$34)*$E$5</f>
        <v>0</v>
      </c>
      <c r="I56" s="958">
        <f>SUMIF('9.Инвестиционна програма'!$B$11:$B$34,$B56,'9.Инвестиционна програма'!I$11:I$34)*$E$5</f>
        <v>0</v>
      </c>
      <c r="J56" s="958">
        <f>SUMIF('9.Инвестиционна програма'!$B$11:$B$34,$B56,'9.Инвестиционна програма'!J$11:J$34)*$E$5</f>
        <v>0</v>
      </c>
      <c r="K56" s="959">
        <f>SUMIF('9.Инвестиционна програма'!$B$11:$B$34,$B56,'9.Инвестиционна програма'!K$11:K$34)*$E$5</f>
        <v>0</v>
      </c>
      <c r="L56" s="930">
        <f>'11.2. Нови активи отч.год.'!L57</f>
        <v>0</v>
      </c>
      <c r="M56" s="957">
        <f>SUMIF('9.Инвестиционна програма'!$B$36:$B$46,$B56,'9.Инвестиционна програма'!F$36:F$46)*$E$5</f>
        <v>0</v>
      </c>
      <c r="N56" s="958">
        <f>SUMIF('9.Инвестиционна програма'!$B$36:$B$46,$B56,'9.Инвестиционна програма'!G$36:G$46)*$E$5</f>
        <v>0</v>
      </c>
      <c r="O56" s="958">
        <f>SUMIF('9.Инвестиционна програма'!$B$36:$B$46,$B56,'9.Инвестиционна програма'!H$36:H$46)*$E$5</f>
        <v>0</v>
      </c>
      <c r="P56" s="958">
        <f>SUMIF('9.Инвестиционна програма'!$B$36:$B$46,$B56,'9.Инвестиционна програма'!I$36:I$46)*$E$5</f>
        <v>0</v>
      </c>
      <c r="Q56" s="958">
        <f>SUMIF('9.Инвестиционна програма'!$B$36:$B$46,$B56,'9.Инвестиционна програма'!J$36:J$46)*$E$5</f>
        <v>0</v>
      </c>
      <c r="R56" s="961">
        <f>SUMIF('9.Инвестиционна програма'!$B$36:$B$46,$B56,'9.Инвестиционна програма'!K$36:K$46)*$E$5</f>
        <v>0</v>
      </c>
      <c r="S56" s="930">
        <f>'11.2. Нови активи отч.год.'!S57</f>
        <v>0</v>
      </c>
      <c r="T56" s="962">
        <f>SUMIF('9.Инвестиционна програма'!$B$48:$B$55,$B56,'9.Инвестиционна програма'!F$48:F$55)*$E$5</f>
        <v>0</v>
      </c>
      <c r="U56" s="958">
        <f>SUMIF('9.Инвестиционна програма'!$B$48:$B$55,$B56,'9.Инвестиционна програма'!G$48:G$55)*$E$5</f>
        <v>0</v>
      </c>
      <c r="V56" s="958">
        <f>SUMIF('9.Инвестиционна програма'!$B$48:$B$55,$B56,'9.Инвестиционна програма'!H$48:H$55)*$E$5</f>
        <v>0</v>
      </c>
      <c r="W56" s="958">
        <f>SUMIF('9.Инвестиционна програма'!$B$48:$B$55,$B56,'9.Инвестиционна програма'!I$48:I$55)*$E$5</f>
        <v>0</v>
      </c>
      <c r="X56" s="958">
        <f>SUMIF('9.Инвестиционна програма'!$B$48:$B$55,$B56,'9.Инвестиционна програма'!J$48:J$55)*$E$5</f>
        <v>0</v>
      </c>
      <c r="Y56" s="961">
        <f>SUMIF('9.Инвестиционна програма'!$B$48:$B$55,$B56,'9.Инвестиционна програма'!K$48:K$55)*$E$5</f>
        <v>0</v>
      </c>
      <c r="Z56" s="930">
        <f>'11.2. Нови активи отч.год.'!Z57</f>
        <v>0</v>
      </c>
      <c r="AA56" s="962">
        <f>(SUMIF('9.Инвестиционна програма'!$B$57:$B$58,$B56,'9.Инвестиционна програма'!F$57:F$58)+SUMIF('9.Инвестиционна програма'!$B$60:$B$67,$B56,'9.Инвестиционна програма'!F$60:F$67))*$E$5</f>
        <v>0</v>
      </c>
      <c r="AB56" s="958">
        <f>(SUMIF('9.Инвестиционна програма'!$B$57:$B$58,$B56,'9.Инвестиционна програма'!G$57:G$58)+SUMIF('9.Инвестиционна програма'!$B$60:$B$67,$B56,'9.Инвестиционна програма'!G$60:G$67))*$E$5</f>
        <v>0</v>
      </c>
      <c r="AC56" s="958">
        <f>(SUMIF('9.Инвестиционна програма'!$B$57:$B$58,$B56,'9.Инвестиционна програма'!H$57:H$58)+SUMIF('9.Инвестиционна програма'!$B$60:$B$67,$B56,'9.Инвестиционна програма'!H$60:H$67))*$E$5</f>
        <v>0</v>
      </c>
      <c r="AD56" s="958">
        <f>(SUMIF('9.Инвестиционна програма'!$B$57:$B$58,$B56,'9.Инвестиционна програма'!I$57:I$58)+SUMIF('9.Инвестиционна програма'!$B$60:$B$67,$B56,'9.Инвестиционна програма'!I$60:I$67))*$E$5</f>
        <v>0</v>
      </c>
      <c r="AE56" s="958">
        <f>(SUMIF('9.Инвестиционна програма'!$B$57:$B$58,$B56,'9.Инвестиционна програма'!J$57:J$58)+SUMIF('9.Инвестиционна програма'!$B$60:$B$67,$B56,'9.Инвестиционна програма'!J$60:J$67))*$E$5</f>
        <v>0</v>
      </c>
      <c r="AF56" s="961">
        <f>(SUMIF('9.Инвестиционна програма'!$B$57:$B$58,$B56,'9.Инвестиционна програма'!K$57:K$58)+SUMIF('9.Инвестиционна програма'!$B$60:$B$67,$B56,'9.Инвестиционна програма'!K$60:K$67))*$E$5</f>
        <v>0</v>
      </c>
      <c r="AG56" s="307"/>
      <c r="AH56" s="565"/>
    </row>
    <row r="57" spans="1:34" s="262" customFormat="1" ht="24">
      <c r="A57" s="941">
        <v>11</v>
      </c>
      <c r="B57" s="1817">
        <v>215</v>
      </c>
      <c r="C57" s="1818">
        <v>0.2</v>
      </c>
      <c r="D57" s="1810" t="s">
        <v>911</v>
      </c>
      <c r="E57" s="929">
        <f>'11.2. Нови активи отч.год.'!E58</f>
        <v>0</v>
      </c>
      <c r="F57" s="957">
        <f>SUMIF('9.Инвестиционна програма'!$B$11:$B$34,$B57,'9.Инвестиционна програма'!F$11:F$34)*$E$5</f>
        <v>0</v>
      </c>
      <c r="G57" s="958">
        <f>SUMIF('9.Инвестиционна програма'!$B$11:$B$34,$B57,'9.Инвестиционна програма'!G$11:G$34)*$E$5</f>
        <v>5</v>
      </c>
      <c r="H57" s="958">
        <f>SUMIF('9.Инвестиционна програма'!$B$11:$B$34,$B57,'9.Инвестиционна програма'!H$11:H$34)*$E$5</f>
        <v>5</v>
      </c>
      <c r="I57" s="958">
        <f>SUMIF('9.Инвестиционна програма'!$B$11:$B$34,$B57,'9.Инвестиционна програма'!I$11:I$34)*$E$5</f>
        <v>5</v>
      </c>
      <c r="J57" s="958">
        <f>SUMIF('9.Инвестиционна програма'!$B$11:$B$34,$B57,'9.Инвестиционна програма'!J$11:J$34)*$E$5</f>
        <v>5</v>
      </c>
      <c r="K57" s="959">
        <f>SUMIF('9.Инвестиционна програма'!$B$11:$B$34,$B57,'9.Инвестиционна програма'!K$11:K$34)*$E$5</f>
        <v>5</v>
      </c>
      <c r="L57" s="930">
        <f>'11.2. Нови активи отч.год.'!L58</f>
        <v>0</v>
      </c>
      <c r="M57" s="957">
        <f>SUMIF('9.Инвестиционна програма'!$B$36:$B$46,$B57,'9.Инвестиционна програма'!F$36:F$46)*$E$5</f>
        <v>0</v>
      </c>
      <c r="N57" s="958">
        <f>SUMIF('9.Инвестиционна програма'!$B$36:$B$46,$B57,'9.Инвестиционна програма'!G$36:G$46)*$E$5</f>
        <v>0</v>
      </c>
      <c r="O57" s="958">
        <f>SUMIF('9.Инвестиционна програма'!$B$36:$B$46,$B57,'9.Инвестиционна програма'!H$36:H$46)*$E$5</f>
        <v>15</v>
      </c>
      <c r="P57" s="958">
        <f>SUMIF('9.Инвестиционна програма'!$B$36:$B$46,$B57,'9.Инвестиционна програма'!I$36:I$46)*$E$5</f>
        <v>15</v>
      </c>
      <c r="Q57" s="958">
        <f>SUMIF('9.Инвестиционна програма'!$B$36:$B$46,$B57,'9.Инвестиционна програма'!J$36:J$46)*$E$5</f>
        <v>15</v>
      </c>
      <c r="R57" s="961">
        <f>SUMIF('9.Инвестиционна програма'!$B$36:$B$46,$B57,'9.Инвестиционна програма'!K$36:K$46)*$E$5</f>
        <v>15</v>
      </c>
      <c r="S57" s="930">
        <f>'11.2. Нови активи отч.год.'!S58</f>
        <v>0</v>
      </c>
      <c r="T57" s="962">
        <f>SUMIF('9.Инвестиционна програма'!$B$48:$B$55,$B57,'9.Инвестиционна програма'!F$48:F$55)*$E$5</f>
        <v>0</v>
      </c>
      <c r="U57" s="958">
        <f>SUMIF('9.Инвестиционна програма'!$B$48:$B$55,$B57,'9.Инвестиционна програма'!G$48:G$55)*$E$5</f>
        <v>0</v>
      </c>
      <c r="V57" s="958">
        <f>SUMIF('9.Инвестиционна програма'!$B$48:$B$55,$B57,'9.Инвестиционна програма'!H$48:H$55)*$E$5</f>
        <v>0</v>
      </c>
      <c r="W57" s="958">
        <f>SUMIF('9.Инвестиционна програма'!$B$48:$B$55,$B57,'9.Инвестиционна програма'!I$48:I$55)*$E$5</f>
        <v>0</v>
      </c>
      <c r="X57" s="958">
        <f>SUMIF('9.Инвестиционна програма'!$B$48:$B$55,$B57,'9.Инвестиционна програма'!J$48:J$55)*$E$5</f>
        <v>0</v>
      </c>
      <c r="Y57" s="961">
        <f>SUMIF('9.Инвестиционна програма'!$B$48:$B$55,$B57,'9.Инвестиционна програма'!K$48:K$55)*$E$5</f>
        <v>0</v>
      </c>
      <c r="Z57" s="930">
        <f>'11.2. Нови активи отч.год.'!Z58</f>
        <v>0</v>
      </c>
      <c r="AA57" s="962">
        <f>(SUMIF('9.Инвестиционна програма'!$B$57:$B$58,$B57,'9.Инвестиционна програма'!F$57:F$58)+SUMIF('9.Инвестиционна програма'!$B$60:$B$67,$B57,'9.Инвестиционна програма'!F$60:F$67))*$E$5</f>
        <v>0</v>
      </c>
      <c r="AB57" s="958">
        <f>(SUMIF('9.Инвестиционна програма'!$B$57:$B$58,$B57,'9.Инвестиционна програма'!G$57:G$58)+SUMIF('9.Инвестиционна програма'!$B$60:$B$67,$B57,'9.Инвестиционна програма'!G$60:G$67))*$E$5</f>
        <v>20</v>
      </c>
      <c r="AC57" s="958">
        <f>(SUMIF('9.Инвестиционна програма'!$B$57:$B$58,$B57,'9.Инвестиционна програма'!H$57:H$58)+SUMIF('9.Инвестиционна програма'!$B$60:$B$67,$B57,'9.Инвестиционна програма'!H$60:H$67))*$E$5</f>
        <v>20</v>
      </c>
      <c r="AD57" s="958">
        <f>(SUMIF('9.Инвестиционна програма'!$B$57:$B$58,$B57,'9.Инвестиционна програма'!I$57:I$58)+SUMIF('9.Инвестиционна програма'!$B$60:$B$67,$B57,'9.Инвестиционна програма'!I$60:I$67))*$E$5</f>
        <v>20</v>
      </c>
      <c r="AE57" s="958">
        <f>(SUMIF('9.Инвестиционна програма'!$B$57:$B$58,$B57,'9.Инвестиционна програма'!J$57:J$58)+SUMIF('9.Инвестиционна програма'!$B$60:$B$67,$B57,'9.Инвестиционна програма'!J$60:J$67))*$E$5</f>
        <v>20</v>
      </c>
      <c r="AF57" s="961">
        <f>(SUMIF('9.Инвестиционна програма'!$B$57:$B$58,$B57,'9.Инвестиционна програма'!K$57:K$58)+SUMIF('9.Инвестиционна програма'!$B$60:$B$67,$B57,'9.Инвестиционна програма'!K$60:K$67))*$E$5</f>
        <v>20</v>
      </c>
      <c r="AG57" s="307"/>
      <c r="AH57" s="565"/>
    </row>
    <row r="58" spans="1:34" s="262" customFormat="1" ht="13.5" thickBot="1">
      <c r="A58" s="997">
        <v>12</v>
      </c>
      <c r="B58" s="997">
        <v>219</v>
      </c>
      <c r="C58" s="998">
        <v>0.1</v>
      </c>
      <c r="D58" s="999" t="s">
        <v>279</v>
      </c>
      <c r="E58" s="1806">
        <f>'11.2. Нови активи отч.год.'!E59</f>
        <v>0</v>
      </c>
      <c r="F58" s="965">
        <f>SUMIF('9.Инвестиционна програма'!$B$11:$B$34,$B58,'9.Инвестиционна програма'!F$11:F$34)*$E$5</f>
        <v>0</v>
      </c>
      <c r="G58" s="966">
        <f>SUMIF('9.Инвестиционна програма'!$B$11:$B$34,$B58,'9.Инвестиционна програма'!G$11:G$34)*$E$5</f>
        <v>0</v>
      </c>
      <c r="H58" s="966">
        <f>SUMIF('9.Инвестиционна програма'!$B$11:$B$34,$B58,'9.Инвестиционна програма'!H$11:H$34)*$E$5</f>
        <v>0</v>
      </c>
      <c r="I58" s="966">
        <f>SUMIF('9.Инвестиционна програма'!$B$11:$B$34,$B58,'9.Инвестиционна програма'!I$11:I$34)*$E$5</f>
        <v>0</v>
      </c>
      <c r="J58" s="966">
        <f>SUMIF('9.Инвестиционна програма'!$B$11:$B$34,$B58,'9.Инвестиционна програма'!J$11:J$34)*$E$5</f>
        <v>0</v>
      </c>
      <c r="K58" s="967">
        <f>SUMIF('9.Инвестиционна програма'!$B$11:$B$34,$B58,'9.Инвестиционна програма'!K$11:K$34)*$E$5</f>
        <v>0</v>
      </c>
      <c r="L58" s="968">
        <f>'11.2. Нови активи отч.год.'!L59</f>
        <v>0</v>
      </c>
      <c r="M58" s="965">
        <f>SUMIF('9.Инвестиционна програма'!$B$36:$B$46,$B58,'9.Инвестиционна програма'!F$36:F$46)*$E$5</f>
        <v>0</v>
      </c>
      <c r="N58" s="966">
        <f>SUMIF('9.Инвестиционна програма'!$B$36:$B$46,$B58,'9.Инвестиционна програма'!G$36:G$46)*$E$5</f>
        <v>0</v>
      </c>
      <c r="O58" s="966">
        <f>SUMIF('9.Инвестиционна програма'!$B$36:$B$46,$B58,'9.Инвестиционна програма'!H$36:H$46)*$E$5</f>
        <v>0</v>
      </c>
      <c r="P58" s="966">
        <f>SUMIF('9.Инвестиционна програма'!$B$36:$B$46,$B58,'9.Инвестиционна програма'!I$36:I$46)*$E$5</f>
        <v>0</v>
      </c>
      <c r="Q58" s="966">
        <f>SUMIF('9.Инвестиционна програма'!$B$36:$B$46,$B58,'9.Инвестиционна програма'!J$36:J$46)*$E$5</f>
        <v>0</v>
      </c>
      <c r="R58" s="969">
        <f>SUMIF('9.Инвестиционна програма'!$B$36:$B$46,$B58,'9.Инвестиционна програма'!K$36:K$46)*$E$5</f>
        <v>0</v>
      </c>
      <c r="S58" s="968">
        <f>'11.2. Нови активи отч.год.'!S59</f>
        <v>0</v>
      </c>
      <c r="T58" s="970">
        <f>SUMIF('9.Инвестиционна програма'!$B$48:$B$55,$B58,'9.Инвестиционна програма'!F$48:F$55)*$E$5</f>
        <v>0</v>
      </c>
      <c r="U58" s="966">
        <f>SUMIF('9.Инвестиционна програма'!$B$48:$B$55,$B58,'9.Инвестиционна програма'!G$48:G$55)*$E$5</f>
        <v>0</v>
      </c>
      <c r="V58" s="966">
        <f>SUMIF('9.Инвестиционна програма'!$B$48:$B$55,$B58,'9.Инвестиционна програма'!H$48:H$55)*$E$5</f>
        <v>0</v>
      </c>
      <c r="W58" s="966">
        <f>SUMIF('9.Инвестиционна програма'!$B$48:$B$55,$B58,'9.Инвестиционна програма'!I$48:I$55)*$E$5</f>
        <v>0</v>
      </c>
      <c r="X58" s="966">
        <f>SUMIF('9.Инвестиционна програма'!$B$48:$B$55,$B58,'9.Инвестиционна програма'!J$48:J$55)*$E$5</f>
        <v>0</v>
      </c>
      <c r="Y58" s="969">
        <f>SUMIF('9.Инвестиционна програма'!$B$48:$B$55,$B58,'9.Инвестиционна програма'!K$48:K$55)*$E$5</f>
        <v>0</v>
      </c>
      <c r="Z58" s="968">
        <f>'11.2. Нови активи отч.год.'!Z59</f>
        <v>0</v>
      </c>
      <c r="AA58" s="970">
        <f>(SUMIF('9.Инвестиционна програма'!$B$57:$B$58,$B58,'9.Инвестиционна програма'!F$57:F$58)+SUMIF('9.Инвестиционна програма'!$B$60:$B$67,$B58,'9.Инвестиционна програма'!F$60:F$67))*$E$5</f>
        <v>0</v>
      </c>
      <c r="AB58" s="966">
        <f>(SUMIF('9.Инвестиционна програма'!$B$57:$B$58,$B58,'9.Инвестиционна програма'!G$57:G$58)+SUMIF('9.Инвестиционна програма'!$B$60:$B$67,$B58,'9.Инвестиционна програма'!G$60:G$67))*$E$5</f>
        <v>0</v>
      </c>
      <c r="AC58" s="966">
        <f>(SUMIF('9.Инвестиционна програма'!$B$57:$B$58,$B58,'9.Инвестиционна програма'!H$57:H$58)+SUMIF('9.Инвестиционна програма'!$B$60:$B$67,$B58,'9.Инвестиционна програма'!H$60:H$67))*$E$5</f>
        <v>0</v>
      </c>
      <c r="AD58" s="966">
        <f>(SUMIF('9.Инвестиционна програма'!$B$57:$B$58,$B58,'9.Инвестиционна програма'!I$57:I$58)+SUMIF('9.Инвестиционна програма'!$B$60:$B$67,$B58,'9.Инвестиционна програма'!I$60:I$67))*$E$5</f>
        <v>0</v>
      </c>
      <c r="AE58" s="966">
        <f>(SUMIF('9.Инвестиционна програма'!$B$57:$B$58,$B58,'9.Инвестиционна програма'!J$57:J$58)+SUMIF('9.Инвестиционна програма'!$B$60:$B$67,$B58,'9.Инвестиционна програма'!J$60:J$67))*$E$5</f>
        <v>0</v>
      </c>
      <c r="AF58" s="969">
        <f>(SUMIF('9.Инвестиционна програма'!$B$57:$B$58,$B58,'9.Инвестиционна програма'!K$57:K$58)+SUMIF('9.Инвестиционна програма'!$B$60:$B$67,$B58,'9.Инвестиционна програма'!K$60:K$67))*$E$5</f>
        <v>0</v>
      </c>
      <c r="AG58" s="307"/>
      <c r="AH58" s="565"/>
    </row>
    <row r="59" spans="1:34" s="298" customFormat="1" ht="15" thickBot="1">
      <c r="A59" s="1619" t="s">
        <v>269</v>
      </c>
      <c r="B59" s="247"/>
      <c r="C59" s="247"/>
      <c r="D59" s="246" t="s">
        <v>281</v>
      </c>
      <c r="E59" s="920">
        <f t="shared" ref="E59:AF59" si="12">E60+E63+E66+E78+E93+E98+SUM(E102:E107)</f>
        <v>2.7766666666666668</v>
      </c>
      <c r="F59" s="921">
        <f t="shared" si="12"/>
        <v>54.899999999999991</v>
      </c>
      <c r="G59" s="243">
        <f t="shared" si="12"/>
        <v>136.46334440000001</v>
      </c>
      <c r="H59" s="243">
        <f t="shared" si="12"/>
        <v>186.37335546666668</v>
      </c>
      <c r="I59" s="243">
        <f t="shared" si="12"/>
        <v>232.51002213333334</v>
      </c>
      <c r="J59" s="243">
        <f t="shared" si="12"/>
        <v>278.03002213333338</v>
      </c>
      <c r="K59" s="971">
        <f t="shared" si="12"/>
        <v>324.64002213333333</v>
      </c>
      <c r="L59" s="650">
        <f t="shared" si="12"/>
        <v>0.35000000000000003</v>
      </c>
      <c r="M59" s="921">
        <f t="shared" si="12"/>
        <v>0.69</v>
      </c>
      <c r="N59" s="243">
        <f t="shared" si="12"/>
        <v>2.74</v>
      </c>
      <c r="O59" s="243">
        <f t="shared" si="12"/>
        <v>7.8000000000000007</v>
      </c>
      <c r="P59" s="243">
        <f t="shared" si="12"/>
        <v>15.2</v>
      </c>
      <c r="Q59" s="243">
        <f t="shared" si="12"/>
        <v>22.3</v>
      </c>
      <c r="R59" s="244">
        <f t="shared" si="12"/>
        <v>28.8</v>
      </c>
      <c r="S59" s="650">
        <f t="shared" si="12"/>
        <v>0</v>
      </c>
      <c r="T59" s="242">
        <f t="shared" si="12"/>
        <v>2.2000000000000002</v>
      </c>
      <c r="U59" s="243">
        <f t="shared" si="12"/>
        <v>10.15</v>
      </c>
      <c r="V59" s="243">
        <f t="shared" si="12"/>
        <v>23.450000000000003</v>
      </c>
      <c r="W59" s="243">
        <f t="shared" si="12"/>
        <v>40.700000000000003</v>
      </c>
      <c r="X59" s="243">
        <f t="shared" si="12"/>
        <v>59.7</v>
      </c>
      <c r="Y59" s="244">
        <f t="shared" si="12"/>
        <v>77.300000000000011</v>
      </c>
      <c r="Z59" s="650">
        <f t="shared" si="12"/>
        <v>0</v>
      </c>
      <c r="AA59" s="242">
        <f t="shared" si="12"/>
        <v>33.700000000000003</v>
      </c>
      <c r="AB59" s="243">
        <f t="shared" si="12"/>
        <v>119.95000000000002</v>
      </c>
      <c r="AC59" s="243">
        <f t="shared" si="12"/>
        <v>206.8</v>
      </c>
      <c r="AD59" s="243">
        <f t="shared" si="12"/>
        <v>275.40000000000003</v>
      </c>
      <c r="AE59" s="243">
        <f t="shared" si="12"/>
        <v>344</v>
      </c>
      <c r="AF59" s="244">
        <f t="shared" si="12"/>
        <v>412.6</v>
      </c>
      <c r="AG59" s="307"/>
      <c r="AH59" s="568"/>
    </row>
    <row r="60" spans="1:34" s="262" customFormat="1">
      <c r="A60" s="922">
        <v>1</v>
      </c>
      <c r="B60" s="922">
        <v>201</v>
      </c>
      <c r="C60" s="923">
        <v>0</v>
      </c>
      <c r="D60" s="924" t="s">
        <v>280</v>
      </c>
      <c r="E60" s="925">
        <f t="shared" ref="E60:AF60" si="13">SUM(E61:E62)</f>
        <v>0</v>
      </c>
      <c r="F60" s="972">
        <f t="shared" si="13"/>
        <v>0</v>
      </c>
      <c r="G60" s="973">
        <f t="shared" si="13"/>
        <v>0</v>
      </c>
      <c r="H60" s="973">
        <f t="shared" si="13"/>
        <v>0</v>
      </c>
      <c r="I60" s="973">
        <f t="shared" si="13"/>
        <v>0</v>
      </c>
      <c r="J60" s="973">
        <f t="shared" si="13"/>
        <v>0</v>
      </c>
      <c r="K60" s="974">
        <f t="shared" si="13"/>
        <v>0</v>
      </c>
      <c r="L60" s="975">
        <f t="shared" si="13"/>
        <v>0</v>
      </c>
      <c r="M60" s="972">
        <f t="shared" si="13"/>
        <v>0</v>
      </c>
      <c r="N60" s="973">
        <f t="shared" si="13"/>
        <v>0</v>
      </c>
      <c r="O60" s="973">
        <f t="shared" si="13"/>
        <v>0</v>
      </c>
      <c r="P60" s="973">
        <f t="shared" si="13"/>
        <v>0</v>
      </c>
      <c r="Q60" s="973">
        <f t="shared" si="13"/>
        <v>0</v>
      </c>
      <c r="R60" s="976">
        <f t="shared" si="13"/>
        <v>0</v>
      </c>
      <c r="S60" s="975">
        <f t="shared" si="13"/>
        <v>0</v>
      </c>
      <c r="T60" s="2916">
        <f t="shared" si="13"/>
        <v>0</v>
      </c>
      <c r="U60" s="973">
        <f t="shared" si="13"/>
        <v>0</v>
      </c>
      <c r="V60" s="973">
        <f t="shared" si="13"/>
        <v>0</v>
      </c>
      <c r="W60" s="973">
        <f t="shared" si="13"/>
        <v>0</v>
      </c>
      <c r="X60" s="973">
        <f t="shared" si="13"/>
        <v>0</v>
      </c>
      <c r="Y60" s="976">
        <f t="shared" si="13"/>
        <v>0</v>
      </c>
      <c r="Z60" s="975">
        <f t="shared" si="13"/>
        <v>0</v>
      </c>
      <c r="AA60" s="972">
        <f t="shared" si="13"/>
        <v>0</v>
      </c>
      <c r="AB60" s="973">
        <f t="shared" si="13"/>
        <v>0</v>
      </c>
      <c r="AC60" s="973">
        <f t="shared" si="13"/>
        <v>0</v>
      </c>
      <c r="AD60" s="973">
        <f t="shared" si="13"/>
        <v>0</v>
      </c>
      <c r="AE60" s="973">
        <f t="shared" si="13"/>
        <v>0</v>
      </c>
      <c r="AF60" s="976">
        <f t="shared" si="13"/>
        <v>0</v>
      </c>
      <c r="AG60" s="639"/>
      <c r="AH60" s="565"/>
    </row>
    <row r="61" spans="1:34" s="294" customFormat="1">
      <c r="A61" s="279"/>
      <c r="B61" s="279">
        <v>20101</v>
      </c>
      <c r="C61" s="881">
        <v>0</v>
      </c>
      <c r="D61" s="265" t="s">
        <v>758</v>
      </c>
      <c r="E61" s="929">
        <f>'11.2. Нови активи отч.год.'!E62</f>
        <v>0</v>
      </c>
      <c r="F61" s="897">
        <f>($F12*$C61)/$E$6</f>
        <v>0</v>
      </c>
      <c r="G61" s="898">
        <f>($F12*$C61)+($G12*$C61)/$E$6</f>
        <v>0</v>
      </c>
      <c r="H61" s="898">
        <f>($F12*$C61)+($G12*$C61)+($H12*$C61)/$E$6</f>
        <v>0</v>
      </c>
      <c r="I61" s="898">
        <f>($F12*$C61)+($G12*$C61)+($H12*$C61)+($I12*$C61)/$E$6</f>
        <v>0</v>
      </c>
      <c r="J61" s="898">
        <f>($F12*$C61)+($G12*$C61)+($H12*$C61)+($I12*$C61)+($J12*$C61)/$E$6</f>
        <v>0</v>
      </c>
      <c r="K61" s="977">
        <f>($F12*$C61)+($G12*$C61)+($H12*$C61)+($I12*$C61)+($J12*$C61)+($K12*$C61)/$E$6</f>
        <v>0</v>
      </c>
      <c r="L61" s="929">
        <f>'11.2. Нови активи отч.год.'!L62</f>
        <v>0</v>
      </c>
      <c r="M61" s="897">
        <f>($M12*$C61)/$E$6</f>
        <v>0</v>
      </c>
      <c r="N61" s="898">
        <f>($M12*$C61)+($N12*$C61)/$E$6</f>
        <v>0</v>
      </c>
      <c r="O61" s="898">
        <f>($M12*$C61)+($N12*$C61)+($O12*$C61)/$E$6</f>
        <v>0</v>
      </c>
      <c r="P61" s="898">
        <f>($M12*$C61)+($N12*$C61)+($O12*$C61)+($P12*$C61)/$E$6</f>
        <v>0</v>
      </c>
      <c r="Q61" s="977">
        <f>($M12*$C61)+($N12*$C61)+($O12*$C61)+($P12*$C61)+($Q12*$C61)/$E$6</f>
        <v>0</v>
      </c>
      <c r="R61" s="899">
        <f>($M12*$C61)+($N12*$C61)+($O12*$C61)+($P12*$C61)+($Q12*$C61)+($R12*$C61)/$E$6</f>
        <v>0</v>
      </c>
      <c r="S61" s="1731">
        <f>'11.2. Нови активи отч.год.'!S62</f>
        <v>0</v>
      </c>
      <c r="T61" s="2917">
        <f>($T12*$C61)/$E$6</f>
        <v>0</v>
      </c>
      <c r="U61" s="898">
        <f>($T12*$C61)+($U12*$C61)/$E$6</f>
        <v>0</v>
      </c>
      <c r="V61" s="898">
        <f>($T12*$C61)+($U12*$C61)+($V12*$C61)/$E$6</f>
        <v>0</v>
      </c>
      <c r="W61" s="898">
        <f>($T12*$C61)+($U12*$C61)+($V12*$C61)+($W12*$C61)/$E$6</f>
        <v>0</v>
      </c>
      <c r="X61" s="898">
        <f>($T12*$C61)+($U12*$C61)+($V12*$C61)+($W12*$C61)+($X12*$C61)/$E$6</f>
        <v>0</v>
      </c>
      <c r="Y61" s="977">
        <f>($T12*$C61)+($U12*$C61)+($V12*$C61)+($W12*$C61)+($X12*$C61)+($Y12*$C61)/$E$6</f>
        <v>0</v>
      </c>
      <c r="Z61" s="929">
        <f>'11.2. Нови активи отч.год.'!Z62</f>
        <v>0</v>
      </c>
      <c r="AA61" s="897">
        <f>($AA12*$C61)/$E$6</f>
        <v>0</v>
      </c>
      <c r="AB61" s="898">
        <f>($AA12*$C61)+($AB12*$C61)/$E$6</f>
        <v>0</v>
      </c>
      <c r="AC61" s="898">
        <f>($AA12*$C61)+($AB12*$C61)+($AC12*$C61)/$E$6</f>
        <v>0</v>
      </c>
      <c r="AD61" s="898">
        <f>($AA12*$C61)+($AB12*$C61)+($AC12*$C61)+($AD12*$C61)/$E$6</f>
        <v>0</v>
      </c>
      <c r="AE61" s="898">
        <f>($AA12*$C61)+($AB12*$C61)+($AC12*$C61)+($AD12*$C61)+($AE12*$C61)/$E$6</f>
        <v>0</v>
      </c>
      <c r="AF61" s="899">
        <f>($AA12*$C61)+($AB12*$C61)+($AC12*$C61)+($AD12*$C61)+($AE12*$C61)+($AF12*$C61)/$E$6</f>
        <v>0</v>
      </c>
      <c r="AG61" s="640"/>
      <c r="AH61" s="566"/>
    </row>
    <row r="62" spans="1:34" s="294" customFormat="1">
      <c r="A62" s="279"/>
      <c r="B62" s="279">
        <v>20102</v>
      </c>
      <c r="C62" s="881">
        <v>0</v>
      </c>
      <c r="D62" s="280" t="s">
        <v>760</v>
      </c>
      <c r="E62" s="929">
        <f>'11.2. Нови активи отч.год.'!E63</f>
        <v>0</v>
      </c>
      <c r="F62" s="897">
        <f>($F13*$C62)/$E$6</f>
        <v>0</v>
      </c>
      <c r="G62" s="898">
        <f>($F13*$C62)+($G13*$C62)/$E$6</f>
        <v>0</v>
      </c>
      <c r="H62" s="898">
        <f>($F13*$C62)+($G13*$C62)+($H13*$C62)/$E$6</f>
        <v>0</v>
      </c>
      <c r="I62" s="898">
        <f>($F13*$C62)+($G13*$C62)+($H13*$C62)+($I13*$C62)/$E$6</f>
        <v>0</v>
      </c>
      <c r="J62" s="898">
        <f>($F13*$C62)+($G13*$C62)+($H13*$C62)+($I13*$C62)+($J13*$C62)/$E$6</f>
        <v>0</v>
      </c>
      <c r="K62" s="977">
        <f>($F13*$C62)+($G13*$C62)+($H13*$C62)+($I13*$C62)+($J13*$C62)+($K13*$C62)/$E$6</f>
        <v>0</v>
      </c>
      <c r="L62" s="929">
        <f>'11.2. Нови активи отч.год.'!L63</f>
        <v>0</v>
      </c>
      <c r="M62" s="897">
        <f>($M13*$C62)/$E$6</f>
        <v>0</v>
      </c>
      <c r="N62" s="898">
        <f>($M13*$C62)+($N13*$C62)/$E$6</f>
        <v>0</v>
      </c>
      <c r="O62" s="898">
        <f>($M13*$C62)+($N13*$C62)+($O13*$C62)/$E$6</f>
        <v>0</v>
      </c>
      <c r="P62" s="898">
        <f>($M13*$C62)+($N13*$C62)+($O13*$C62)+($P13*$C62)/$E$6</f>
        <v>0</v>
      </c>
      <c r="Q62" s="977">
        <f>($M13*$C62)+($N13*$C62)+($O13*$C62)+($P13*$C62)+($Q13*$C62)/$E$6</f>
        <v>0</v>
      </c>
      <c r="R62" s="899">
        <f>($M13*$C62)+($N13*$C62)+($O13*$C62)+($P13*$C62)+($Q13*$C62)+($R13*$C62)/$E$6</f>
        <v>0</v>
      </c>
      <c r="S62" s="1731">
        <f>'11.2. Нови активи отч.год.'!S63</f>
        <v>0</v>
      </c>
      <c r="T62" s="2917">
        <f>($T13*$C62)/$E$6</f>
        <v>0</v>
      </c>
      <c r="U62" s="898">
        <f>($T13*$C62)+($U13*$C62)/$E$6</f>
        <v>0</v>
      </c>
      <c r="V62" s="898">
        <f>($T13*$C62)+($U13*$C62)+($V13*$C62)/$E$6</f>
        <v>0</v>
      </c>
      <c r="W62" s="898">
        <f>($T13*$C62)+($U13*$C62)+($V13*$C62)+($W13*$C62)/$E$6</f>
        <v>0</v>
      </c>
      <c r="X62" s="898">
        <f>($T13*$C62)+($U13*$C62)+($V13*$C62)+($W13*$C62)+($X13*$C62)/$E$6</f>
        <v>0</v>
      </c>
      <c r="Y62" s="977">
        <f>($T13*$C62)+($U13*$C62)+($V13*$C62)+($W13*$C62)+($X13*$C62)+($Y13*$C62)/$E$6</f>
        <v>0</v>
      </c>
      <c r="Z62" s="929">
        <f>'11.2. Нови активи отч.год.'!Z63</f>
        <v>0</v>
      </c>
      <c r="AA62" s="897">
        <f>($AA13*$C62)/$E$6</f>
        <v>0</v>
      </c>
      <c r="AB62" s="898">
        <f>($AA13*$C62)+($AB13*$C62)/$E$6</f>
        <v>0</v>
      </c>
      <c r="AC62" s="898">
        <f>($AA13*$C62)+($AB13*$C62)+($AC13*$C62)/$E$6</f>
        <v>0</v>
      </c>
      <c r="AD62" s="898">
        <f>($AA13*$C62)+($AB13*$C62)+($AC13*$C62)+($AD13*$C62)/$E$6</f>
        <v>0</v>
      </c>
      <c r="AE62" s="898">
        <f>($AA13*$C62)+($AB13*$C62)+($AC13*$C62)+($AD13*$C62)+($AE13*$C62)/$E$6</f>
        <v>0</v>
      </c>
      <c r="AF62" s="899">
        <f>($AA13*$C62)+($AB13*$C62)+($AC13*$C62)+($AD13*$C62)+($AE13*$C62)+($AF13*$C62)/$E$6</f>
        <v>0</v>
      </c>
      <c r="AG62" s="641"/>
      <c r="AH62" s="566"/>
    </row>
    <row r="63" spans="1:34" s="262" customFormat="1">
      <c r="A63" s="938">
        <v>2</v>
      </c>
      <c r="B63" s="938">
        <v>202</v>
      </c>
      <c r="C63" s="939">
        <v>0.03</v>
      </c>
      <c r="D63" s="940" t="s">
        <v>576</v>
      </c>
      <c r="E63" s="963">
        <f>SUM(E64:E65)</f>
        <v>0</v>
      </c>
      <c r="F63" s="978">
        <f>SUM(F64:F65)</f>
        <v>0</v>
      </c>
      <c r="G63" s="979">
        <f t="shared" ref="G63:AF63" si="14">SUM(G64:G65)</f>
        <v>0.15</v>
      </c>
      <c r="H63" s="979">
        <f t="shared" si="14"/>
        <v>0.44999999999999996</v>
      </c>
      <c r="I63" s="979">
        <f t="shared" si="14"/>
        <v>0.75</v>
      </c>
      <c r="J63" s="979">
        <f t="shared" si="14"/>
        <v>1.0499999999999998</v>
      </c>
      <c r="K63" s="980">
        <f t="shared" si="14"/>
        <v>1.3499999999999999</v>
      </c>
      <c r="L63" s="981">
        <f t="shared" si="14"/>
        <v>0</v>
      </c>
      <c r="M63" s="978">
        <f t="shared" si="14"/>
        <v>0</v>
      </c>
      <c r="N63" s="979">
        <f t="shared" si="14"/>
        <v>0</v>
      </c>
      <c r="O63" s="979">
        <f t="shared" si="14"/>
        <v>0</v>
      </c>
      <c r="P63" s="979">
        <f t="shared" si="14"/>
        <v>0</v>
      </c>
      <c r="Q63" s="979">
        <f t="shared" si="14"/>
        <v>0</v>
      </c>
      <c r="R63" s="982">
        <f t="shared" si="14"/>
        <v>0</v>
      </c>
      <c r="S63" s="981">
        <f t="shared" si="14"/>
        <v>0</v>
      </c>
      <c r="T63" s="983">
        <f t="shared" si="14"/>
        <v>0</v>
      </c>
      <c r="U63" s="979">
        <f t="shared" si="14"/>
        <v>0</v>
      </c>
      <c r="V63" s="979">
        <f t="shared" si="14"/>
        <v>0</v>
      </c>
      <c r="W63" s="979">
        <f t="shared" si="14"/>
        <v>0</v>
      </c>
      <c r="X63" s="979">
        <f t="shared" si="14"/>
        <v>0</v>
      </c>
      <c r="Y63" s="982">
        <f t="shared" si="14"/>
        <v>0</v>
      </c>
      <c r="Z63" s="981">
        <f t="shared" si="14"/>
        <v>0</v>
      </c>
      <c r="AA63" s="983">
        <f t="shared" si="14"/>
        <v>0</v>
      </c>
      <c r="AB63" s="979">
        <f t="shared" si="14"/>
        <v>0.15</v>
      </c>
      <c r="AC63" s="979">
        <f t="shared" si="14"/>
        <v>0.44999999999999996</v>
      </c>
      <c r="AD63" s="979">
        <f t="shared" si="14"/>
        <v>0.75</v>
      </c>
      <c r="AE63" s="979">
        <f t="shared" si="14"/>
        <v>1.0499999999999998</v>
      </c>
      <c r="AF63" s="982">
        <f t="shared" si="14"/>
        <v>1.3499999999999999</v>
      </c>
      <c r="AG63" s="642"/>
      <c r="AH63" s="565"/>
    </row>
    <row r="64" spans="1:34">
      <c r="A64" s="278"/>
      <c r="B64" s="278">
        <v>20201</v>
      </c>
      <c r="C64" s="283">
        <v>0.03</v>
      </c>
      <c r="D64" s="281" t="s">
        <v>597</v>
      </c>
      <c r="E64" s="929">
        <f>'11.2. Нови активи отч.год.'!E65</f>
        <v>0</v>
      </c>
      <c r="F64" s="897">
        <f>($F15*$C64)/$E$6</f>
        <v>0</v>
      </c>
      <c r="G64" s="898">
        <f>($F15*$C64)+($G15*$C64)/$E$6</f>
        <v>0</v>
      </c>
      <c r="H64" s="898">
        <f>($F15*$C64)+($G15*$C64)+($H15*$C64)/$E$6</f>
        <v>0</v>
      </c>
      <c r="I64" s="898">
        <f>($F15*$C64)+($G15*$C64)+($H15*$C64)+($I15*$C64)/$E$6</f>
        <v>0</v>
      </c>
      <c r="J64" s="898">
        <f>($F15*$C64)+($G15*$C64)+($H15*$C64)+($I15*$C64)+($J15*$C64)/$E$6</f>
        <v>0</v>
      </c>
      <c r="K64" s="977">
        <f>($F15*$C64)+($G15*$C64)+($H15*$C64)+($I15*$C64)+($J15*$C64)+($K15*$C64)/$E$6</f>
        <v>0</v>
      </c>
      <c r="L64" s="929">
        <f>'11.2. Нови активи отч.год.'!L65</f>
        <v>0</v>
      </c>
      <c r="M64" s="897">
        <f>($M15*$C64)/$E$6</f>
        <v>0</v>
      </c>
      <c r="N64" s="898">
        <f>($M15*$C64)+($N15*$C64)/$E$6</f>
        <v>0</v>
      </c>
      <c r="O64" s="898">
        <f>($M15*$C64)+($N15*$C64)+($O15*$C64)/$E$6</f>
        <v>0</v>
      </c>
      <c r="P64" s="898">
        <f>($M15*$C64)+($N15*$C64)+($O15*$C64)+($P15*$C64)/$E$6</f>
        <v>0</v>
      </c>
      <c r="Q64" s="977">
        <f>($M15*$C64)+($N15*$C64)+($O15*$C64)+($P15*$C64)+($Q15*$C64)/$E$6</f>
        <v>0</v>
      </c>
      <c r="R64" s="899">
        <f>($M15*$C64)+($N15*$C64)+($O15*$C64)+($P15*$C64)+($Q15*$C64)+($R15*$C64)/$E$6</f>
        <v>0</v>
      </c>
      <c r="S64" s="1731">
        <f>'11.2. Нови активи отч.год.'!S65</f>
        <v>0</v>
      </c>
      <c r="T64" s="2917">
        <f>($T15*$C64)/$E$6</f>
        <v>0</v>
      </c>
      <c r="U64" s="898">
        <f>($T15*$C64)+($U15*$C64)/$E$6</f>
        <v>0</v>
      </c>
      <c r="V64" s="898">
        <f>($T15*$C64)+($U15*$C64)+($V15*$C64)/$E$6</f>
        <v>0</v>
      </c>
      <c r="W64" s="898">
        <f>($T15*$C64)+($U15*$C64)+($V15*$C64)+($W15*$C64)/$E$6</f>
        <v>0</v>
      </c>
      <c r="X64" s="898">
        <f>($T15*$C64)+($U15*$C64)+($V15*$C64)+($W15*$C64)+($X15*$C64)/$E$6</f>
        <v>0</v>
      </c>
      <c r="Y64" s="977">
        <f>($T15*$C64)+($U15*$C64)+($V15*$C64)+($W15*$C64)+($X15*$C64)+($Y15*$C64)/$E$6</f>
        <v>0</v>
      </c>
      <c r="Z64" s="929">
        <f>'11.2. Нови активи отч.год.'!Z65</f>
        <v>0</v>
      </c>
      <c r="AA64" s="897">
        <f>($AA15*$C64)/$E$6</f>
        <v>0</v>
      </c>
      <c r="AB64" s="898">
        <f>($AA15*$C64)+($AB15*$C64)/$E$6</f>
        <v>0.15</v>
      </c>
      <c r="AC64" s="898">
        <f>($AA15*$C64)+($AB15*$C64)+($AC15*$C64)/$E$6</f>
        <v>0.44999999999999996</v>
      </c>
      <c r="AD64" s="898">
        <f>($AA15*$C64)+($AB15*$C64)+($AC15*$C64)+($AD15*$C64)/$E$6</f>
        <v>0.75</v>
      </c>
      <c r="AE64" s="898">
        <f>($AA15*$C64)+($AB15*$C64)+($AC15*$C64)+($AD15*$C64)+($AE15*$C64)/$E$6</f>
        <v>1.0499999999999998</v>
      </c>
      <c r="AF64" s="899">
        <f>($AA15*$C64)+($AB15*$C64)+($AC15*$C64)+($AD15*$C64)+($AE15*$C64)+($AF15*$C64)/$E$6</f>
        <v>1.3499999999999999</v>
      </c>
      <c r="AG64" s="641"/>
      <c r="AH64" s="566"/>
    </row>
    <row r="65" spans="1:34">
      <c r="A65" s="278"/>
      <c r="B65" s="278">
        <v>20202</v>
      </c>
      <c r="C65" s="283">
        <v>0.03</v>
      </c>
      <c r="D65" s="281" t="s">
        <v>598</v>
      </c>
      <c r="E65" s="929">
        <f>'11.2. Нови активи отч.год.'!E66</f>
        <v>0</v>
      </c>
      <c r="F65" s="897">
        <f>($F16*$C65)/$E$6</f>
        <v>0</v>
      </c>
      <c r="G65" s="898">
        <f>($F16*$C65)+($G16*$C65)/$E$6</f>
        <v>0.15</v>
      </c>
      <c r="H65" s="898">
        <f>($F16*$C65)+($G16*$C65)+($H16*$C65)/$E$6</f>
        <v>0.44999999999999996</v>
      </c>
      <c r="I65" s="898">
        <f>($F16*$C65)+($G16*$C65)+($H16*$C65)+($I16*$C65)/$E$6</f>
        <v>0.75</v>
      </c>
      <c r="J65" s="898">
        <f>($F16*$C65)+($G16*$C65)+($H16*$C65)+($I16*$C65)+($J16*$C65)/$E$6</f>
        <v>1.0499999999999998</v>
      </c>
      <c r="K65" s="977">
        <f>($F16*$C65)+($G16*$C65)+($H16*$C65)+($I16*$C65)+($J16*$C65)+($K16*$C65)/$E$6</f>
        <v>1.3499999999999999</v>
      </c>
      <c r="L65" s="929">
        <f>'11.2. Нови активи отч.год.'!L66</f>
        <v>0</v>
      </c>
      <c r="M65" s="897">
        <f>($M16*$C65)/$E$6</f>
        <v>0</v>
      </c>
      <c r="N65" s="898">
        <f>($M16*$C65)+($N16*$C65)/$E$6</f>
        <v>0</v>
      </c>
      <c r="O65" s="898">
        <f>($M16*$C65)+($N16*$C65)+($O16*$C65)/$E$6</f>
        <v>0</v>
      </c>
      <c r="P65" s="898">
        <f>($M16*$C65)+($N16*$C65)+($O16*$C65)+($P16*$C65)/$E$6</f>
        <v>0</v>
      </c>
      <c r="Q65" s="977">
        <f>($M16*$C65)+($N16*$C65)+($O16*$C65)+($P16*$C65)+($Q16*$C65)/$E$6</f>
        <v>0</v>
      </c>
      <c r="R65" s="899">
        <f>($M16*$C65)+($N16*$C65)+($O16*$C65)+($P16*$C65)+($Q16*$C65)+($R16*$C65)/$E$6</f>
        <v>0</v>
      </c>
      <c r="S65" s="1731">
        <f>'11.2. Нови активи отч.год.'!S66</f>
        <v>0</v>
      </c>
      <c r="T65" s="2917">
        <f>($T16*$C65)/$E$6</f>
        <v>0</v>
      </c>
      <c r="U65" s="898">
        <f>($T16*$C65)+($U16*$C65)/$E$6</f>
        <v>0</v>
      </c>
      <c r="V65" s="898">
        <f>($T16*$C65)+($U16*$C65)+($V16*$C65)/$E$6</f>
        <v>0</v>
      </c>
      <c r="W65" s="898">
        <f>($T16*$C65)+($U16*$C65)+($V16*$C65)+($W16*$C65)/$E$6</f>
        <v>0</v>
      </c>
      <c r="X65" s="898">
        <f>($T16*$C65)+($U16*$C65)+($V16*$C65)+($W16*$C65)+($X16*$C65)/$E$6</f>
        <v>0</v>
      </c>
      <c r="Y65" s="977">
        <f>($T16*$C65)+($U16*$C65)+($V16*$C65)+($W16*$C65)+($X16*$C65)+($Y16*$C65)/$E$6</f>
        <v>0</v>
      </c>
      <c r="Z65" s="929">
        <f>'11.2. Нови активи отч.год.'!Z66</f>
        <v>0</v>
      </c>
      <c r="AA65" s="897">
        <f>($AA16*$C65)/$E$6</f>
        <v>0</v>
      </c>
      <c r="AB65" s="898">
        <f>($AA16*$C65)+($AB16*$C65)/$E$6</f>
        <v>0</v>
      </c>
      <c r="AC65" s="898">
        <f>($AA16*$C65)+($AB16*$C65)+($AC16*$C65)/$E$6</f>
        <v>0</v>
      </c>
      <c r="AD65" s="898">
        <f>($AA16*$C65)+($AB16*$C65)+($AC16*$C65)+($AD16*$C65)/$E$6</f>
        <v>0</v>
      </c>
      <c r="AE65" s="898">
        <f>($AA16*$C65)+($AB16*$C65)+($AC16*$C65)+($AD16*$C65)+($AE16*$C65)/$E$6</f>
        <v>0</v>
      </c>
      <c r="AF65" s="899">
        <f>($AA16*$C65)+($AB16*$C65)+($AC16*$C65)+($AD16*$C65)+($AE16*$C65)+($AF16*$C65)/$E$6</f>
        <v>0</v>
      </c>
      <c r="AG65" s="641"/>
      <c r="AH65" s="566"/>
    </row>
    <row r="66" spans="1:34" s="317" customFormat="1" ht="12.75" customHeight="1">
      <c r="A66" s="942">
        <v>3</v>
      </c>
      <c r="B66" s="938">
        <v>203</v>
      </c>
      <c r="C66" s="939"/>
      <c r="D66" s="943" t="s">
        <v>577</v>
      </c>
      <c r="E66" s="984">
        <f t="shared" ref="E66:AF66" si="15">SUM(E67:E77)-E70-E73</f>
        <v>0</v>
      </c>
      <c r="F66" s="978">
        <f t="shared" si="15"/>
        <v>26.099999999999994</v>
      </c>
      <c r="G66" s="979">
        <f t="shared" si="15"/>
        <v>75.25</v>
      </c>
      <c r="H66" s="979">
        <f t="shared" si="15"/>
        <v>111.75</v>
      </c>
      <c r="I66" s="979">
        <f t="shared" si="15"/>
        <v>136.15</v>
      </c>
      <c r="J66" s="979">
        <f t="shared" si="15"/>
        <v>156.00000000000006</v>
      </c>
      <c r="K66" s="980">
        <f t="shared" si="15"/>
        <v>173.8</v>
      </c>
      <c r="L66" s="981">
        <f t="shared" si="15"/>
        <v>0</v>
      </c>
      <c r="M66" s="978">
        <f t="shared" si="15"/>
        <v>0.25</v>
      </c>
      <c r="N66" s="979">
        <f t="shared" si="15"/>
        <v>1.2</v>
      </c>
      <c r="O66" s="979">
        <f t="shared" si="15"/>
        <v>2.6</v>
      </c>
      <c r="P66" s="979">
        <f t="shared" si="15"/>
        <v>4</v>
      </c>
      <c r="Q66" s="979">
        <f t="shared" si="15"/>
        <v>5.4</v>
      </c>
      <c r="R66" s="982">
        <f t="shared" si="15"/>
        <v>6.8000000000000007</v>
      </c>
      <c r="S66" s="981">
        <f t="shared" si="15"/>
        <v>0</v>
      </c>
      <c r="T66" s="983">
        <f t="shared" si="15"/>
        <v>0</v>
      </c>
      <c r="U66" s="979">
        <f t="shared" si="15"/>
        <v>3.75</v>
      </c>
      <c r="V66" s="979">
        <f t="shared" si="15"/>
        <v>11.65</v>
      </c>
      <c r="W66" s="979">
        <f t="shared" si="15"/>
        <v>22.1</v>
      </c>
      <c r="X66" s="979">
        <f t="shared" si="15"/>
        <v>34.300000000000004</v>
      </c>
      <c r="Y66" s="982">
        <f t="shared" si="15"/>
        <v>45.1</v>
      </c>
      <c r="Z66" s="981">
        <f t="shared" si="15"/>
        <v>0</v>
      </c>
      <c r="AA66" s="983">
        <f t="shared" si="15"/>
        <v>33.700000000000003</v>
      </c>
      <c r="AB66" s="979">
        <f t="shared" si="15"/>
        <v>117.30000000000001</v>
      </c>
      <c r="AC66" s="979">
        <f t="shared" si="15"/>
        <v>198.35000000000002</v>
      </c>
      <c r="AD66" s="979">
        <f t="shared" si="15"/>
        <v>260.65000000000003</v>
      </c>
      <c r="AE66" s="979">
        <f t="shared" si="15"/>
        <v>322.95</v>
      </c>
      <c r="AF66" s="982">
        <f t="shared" si="15"/>
        <v>385.25</v>
      </c>
      <c r="AG66" s="643"/>
      <c r="AH66" s="567"/>
    </row>
    <row r="67" spans="1:34">
      <c r="A67" s="278"/>
      <c r="B67" s="278">
        <v>20301</v>
      </c>
      <c r="C67" s="283">
        <v>0.1</v>
      </c>
      <c r="D67" s="276" t="s">
        <v>599</v>
      </c>
      <c r="E67" s="929">
        <f>'11.2. Нови активи отч.год.'!E68</f>
        <v>0</v>
      </c>
      <c r="F67" s="897">
        <f>($F18*$C67)/$E$6</f>
        <v>0</v>
      </c>
      <c r="G67" s="898">
        <f>($F18*$C67)+($G18*$C67)/$E$6</f>
        <v>0</v>
      </c>
      <c r="H67" s="898">
        <f>($F18*$C67)+($G18*$C67)+($H18*$C67)/$E$6</f>
        <v>0</v>
      </c>
      <c r="I67" s="898">
        <f>($F18*$C67)+($G18*$C67)+($H18*$C67)+($I18*$C67)/$E$6</f>
        <v>0</v>
      </c>
      <c r="J67" s="898">
        <f>($F18*$C67)+($G18*$C67)+($H18*$C67)+($I18*$C67)+($J18*$C67)/$E$6</f>
        <v>0</v>
      </c>
      <c r="K67" s="977">
        <f>($F18*$C67)+($G18*$C67)+($H18*$C67)+($I18*$C67)+($J18*$C67)+($K18*$C67)/$E$6</f>
        <v>0</v>
      </c>
      <c r="L67" s="929">
        <f>'11.2. Нови активи отч.год.'!L68</f>
        <v>0</v>
      </c>
      <c r="M67" s="897">
        <f>($M18*$C67)/$E$6</f>
        <v>0</v>
      </c>
      <c r="N67" s="898">
        <f>($M18*$C67)+($N18*$C67)/$E$6</f>
        <v>0</v>
      </c>
      <c r="O67" s="898">
        <f>($M18*$C67)+($N18*$C67)+($O18*$C67)/$E$6</f>
        <v>0</v>
      </c>
      <c r="P67" s="898">
        <f>($M18*$C67)+($N18*$C67)+($O18*$C67)+($P18*$C67)/$E$6</f>
        <v>0</v>
      </c>
      <c r="Q67" s="977">
        <f>($M18*$C67)+($N18*$C67)+($O18*$C67)+($P18*$C67)+($Q18*$C67)/$E$6</f>
        <v>0</v>
      </c>
      <c r="R67" s="899">
        <f>($M18*$C67)+($N18*$C67)+($O18*$C67)+($P18*$C67)+($Q18*$C67)+($R18*$C67)/$E$6</f>
        <v>0</v>
      </c>
      <c r="S67" s="1731">
        <f>'11.2. Нови активи отч.год.'!S68</f>
        <v>0</v>
      </c>
      <c r="T67" s="2917">
        <f>($T18*$C67)/$E$6</f>
        <v>0</v>
      </c>
      <c r="U67" s="898">
        <f>($T18*$C67)+($U18*$C67)/$E$6</f>
        <v>0</v>
      </c>
      <c r="V67" s="898">
        <f>($T18*$C67)+($U18*$C67)+($V18*$C67)/$E$6</f>
        <v>0</v>
      </c>
      <c r="W67" s="898">
        <f>($T18*$C67)+($U18*$C67)+($V18*$C67)+($W18*$C67)/$E$6</f>
        <v>0</v>
      </c>
      <c r="X67" s="898">
        <f>($T18*$C67)+($U18*$C67)+($V18*$C67)+($W18*$C67)+($X18*$C67)/$E$6</f>
        <v>0</v>
      </c>
      <c r="Y67" s="977">
        <f>($T18*$C67)+($U18*$C67)+($V18*$C67)+($W18*$C67)+($X18*$C67)+($Y18*$C67)/$E$6</f>
        <v>0</v>
      </c>
      <c r="Z67" s="929">
        <f>'11.2. Нови активи отч.год.'!Z68</f>
        <v>0</v>
      </c>
      <c r="AA67" s="897">
        <f>($AA18*$C67)/$E$6</f>
        <v>0</v>
      </c>
      <c r="AB67" s="898">
        <f>($AA18*$C67)+($AB18*$C67)/$E$6</f>
        <v>0</v>
      </c>
      <c r="AC67" s="898">
        <f>($AA18*$C67)+($AB18*$C67)+($AC18*$C67)/$E$6</f>
        <v>0</v>
      </c>
      <c r="AD67" s="898">
        <f>($AA18*$C67)+($AB18*$C67)+($AC18*$C67)+($AD18*$C67)/$E$6</f>
        <v>0</v>
      </c>
      <c r="AE67" s="898">
        <f>($AA18*$C67)+($AB18*$C67)+($AC18*$C67)+($AD18*$C67)+($AE18*$C67)/$E$6</f>
        <v>0</v>
      </c>
      <c r="AF67" s="899">
        <f>($AA18*$C67)+($AB18*$C67)+($AC18*$C67)+($AD18*$C67)+($AE18*$C67)+($AF18*$C67)/$E$6</f>
        <v>0</v>
      </c>
      <c r="AG67" s="644"/>
      <c r="AH67" s="566"/>
    </row>
    <row r="68" spans="1:34">
      <c r="A68" s="278"/>
      <c r="B68" s="278">
        <v>20302</v>
      </c>
      <c r="C68" s="283">
        <v>0.1</v>
      </c>
      <c r="D68" s="276" t="s">
        <v>600</v>
      </c>
      <c r="E68" s="929">
        <f>'11.2. Нови активи отч.год.'!E69</f>
        <v>0</v>
      </c>
      <c r="F68" s="897">
        <f>($F19*$C68)/$E$6</f>
        <v>0</v>
      </c>
      <c r="G68" s="886">
        <f>($F19*$C68)+($G19*$C68)/$E$6</f>
        <v>0.25</v>
      </c>
      <c r="H68" s="886">
        <f>($F19*$C68)+($G19*$C68)+($H19*$C68)/$E$6</f>
        <v>0.75</v>
      </c>
      <c r="I68" s="886">
        <f>($F19*$C68)+($G19*$C68)+($H19*$C68)+($I19*$C68)/$E$6</f>
        <v>1.25</v>
      </c>
      <c r="J68" s="886">
        <f>($F19*$C68)+($G19*$C68)+($H19*$C68)+($I19*$C68)+($J19*$C68)/$E$6</f>
        <v>1.75</v>
      </c>
      <c r="K68" s="985">
        <f>($F19*$C68)+($G19*$C68)+($H19*$C68)+($I19*$C68)+($J19*$C68)+($K19*$C68)/$E$6</f>
        <v>2.25</v>
      </c>
      <c r="L68" s="929">
        <f>'11.2. Нови активи отч.год.'!L69</f>
        <v>0</v>
      </c>
      <c r="M68" s="885">
        <f>($M19*$C68)/$E$6</f>
        <v>0</v>
      </c>
      <c r="N68" s="886">
        <f>($M19*$C68)+($N19*$C68)/$E$6</f>
        <v>0</v>
      </c>
      <c r="O68" s="886">
        <f>($M19*$C68)+($N19*$C68)+($O19*$C68)/$E$6</f>
        <v>0</v>
      </c>
      <c r="P68" s="886">
        <f>($M19*$C68)+($N19*$C68)+($O19*$C68)+($P19*$C68)/$E$6</f>
        <v>0</v>
      </c>
      <c r="Q68" s="985">
        <f>($M19*$C68)+($N19*$C68)+($O19*$C68)+($P19*$C68)+($Q19*$C68)/$E$6</f>
        <v>0</v>
      </c>
      <c r="R68" s="887">
        <f>($M19*$C68)+($N19*$C68)+($O19*$C68)+($P19*$C68)+($Q19*$C68)+($R19*$C68)/$E$6</f>
        <v>0</v>
      </c>
      <c r="S68" s="1731">
        <f>'11.2. Нови активи отч.год.'!S69</f>
        <v>0</v>
      </c>
      <c r="T68" s="932">
        <f>($T19*$C68)/$E$6</f>
        <v>0</v>
      </c>
      <c r="U68" s="886">
        <f>($T19*$C68)+($U19*$C68)/$E$6</f>
        <v>2.4500000000000002</v>
      </c>
      <c r="V68" s="886">
        <f>($T19*$C68)+($U19*$C68)+($V19*$C68)/$E$6</f>
        <v>7.5500000000000007</v>
      </c>
      <c r="W68" s="886">
        <f>($T19*$C68)+($U19*$C68)+($V19*$C68)+($W19*$C68)/$E$6</f>
        <v>14.75</v>
      </c>
      <c r="X68" s="886">
        <f>($T19*$C68)+($U19*$C68)+($V19*$C68)+($W19*$C68)+($X19*$C68)/$E$6</f>
        <v>23.200000000000003</v>
      </c>
      <c r="Y68" s="985">
        <f>($T19*$C68)+($U19*$C68)+($V19*$C68)+($W19*$C68)+($X19*$C68)+($Y19*$C68)/$E$6</f>
        <v>29.5</v>
      </c>
      <c r="Z68" s="929">
        <f>'11.2. Нови активи отч.год.'!Z69</f>
        <v>0</v>
      </c>
      <c r="AA68" s="885">
        <f>($AA19*$C68)/$E$6</f>
        <v>0</v>
      </c>
      <c r="AB68" s="886">
        <f>($AA19*$C68)+($AB19*$C68)/$E$6</f>
        <v>0</v>
      </c>
      <c r="AC68" s="886">
        <f>($AA19*$C68)+($AB19*$C68)+($AC19*$C68)/$E$6</f>
        <v>0</v>
      </c>
      <c r="AD68" s="886">
        <f>($AA19*$C68)+($AB19*$C68)+($AC19*$C68)+($AD19*$C68)/$E$6</f>
        <v>0</v>
      </c>
      <c r="AE68" s="886">
        <f>($AA19*$C68)+($AB19*$C68)+($AC19*$C68)+($AD19*$C68)+($AE19*$C68)/$E$6</f>
        <v>0</v>
      </c>
      <c r="AF68" s="887">
        <f>($AA19*$C68)+($AB19*$C68)+($AC19*$C68)+($AD19*$C68)+($AE19*$C68)+($AF19*$C68)/$E$6</f>
        <v>0</v>
      </c>
      <c r="AG68" s="307"/>
      <c r="AH68" s="566"/>
    </row>
    <row r="69" spans="1:34">
      <c r="A69" s="278"/>
      <c r="B69" s="278">
        <v>20303</v>
      </c>
      <c r="C69" s="283">
        <v>0.1</v>
      </c>
      <c r="D69" s="276" t="s">
        <v>578</v>
      </c>
      <c r="E69" s="929">
        <f>'11.2. Нови активи отч.год.'!E70</f>
        <v>0</v>
      </c>
      <c r="F69" s="897">
        <f>($F20*$C69)/$E$6</f>
        <v>0</v>
      </c>
      <c r="G69" s="886">
        <f>($F20*$C69)+($G20*$C69)/$E$6</f>
        <v>0</v>
      </c>
      <c r="H69" s="886">
        <f>($F20*$C69)+($G20*$C69)+($H20*$C69)/$E$6</f>
        <v>2.75</v>
      </c>
      <c r="I69" s="886">
        <f>($F20*$C69)+($G20*$C69)+($H20*$C69)+($I20*$C69)/$E$6</f>
        <v>7</v>
      </c>
      <c r="J69" s="886">
        <f>($F20*$C69)+($G20*$C69)+($H20*$C69)+($I20*$C69)+($J20*$C69)/$E$6</f>
        <v>8.5</v>
      </c>
      <c r="K69" s="985">
        <f>($F20*$C69)+($G20*$C69)+($H20*$C69)+($I20*$C69)+($J20*$C69)+($K20*$C69)/$E$6</f>
        <v>8.5</v>
      </c>
      <c r="L69" s="929">
        <f>'11.2. Нови активи отч.год.'!L70</f>
        <v>0</v>
      </c>
      <c r="M69" s="885">
        <f>($M20*$C69)/$E$6</f>
        <v>0</v>
      </c>
      <c r="N69" s="886">
        <f>($M20*$C69)+($N20*$C69)/$E$6</f>
        <v>0.45</v>
      </c>
      <c r="O69" s="886">
        <f>($M20*$C69)+($N20*$C69)+($O20*$C69)/$E$6</f>
        <v>1.35</v>
      </c>
      <c r="P69" s="886">
        <f>($M20*$C69)+($N20*$C69)+($O20*$C69)+($P20*$C69)/$E$6</f>
        <v>2.25</v>
      </c>
      <c r="Q69" s="985">
        <f>($M20*$C69)+($N20*$C69)+($O20*$C69)+($P20*$C69)+($Q20*$C69)/$E$6</f>
        <v>3.1500000000000004</v>
      </c>
      <c r="R69" s="887">
        <f>($M20*$C69)+($N20*$C69)+($O20*$C69)+($P20*$C69)+($Q20*$C69)+($R20*$C69)/$E$6</f>
        <v>4.05</v>
      </c>
      <c r="S69" s="1731">
        <f>'11.2. Нови активи отч.год.'!S70</f>
        <v>0</v>
      </c>
      <c r="T69" s="932">
        <f>($T20*$C69)/$E$6</f>
        <v>0</v>
      </c>
      <c r="U69" s="886">
        <f>($T20*$C69)+($U20*$C69)/$E$6</f>
        <v>0</v>
      </c>
      <c r="V69" s="886">
        <f>($T20*$C69)+($U20*$C69)+($V20*$C69)/$E$6</f>
        <v>0</v>
      </c>
      <c r="W69" s="886">
        <f>($T20*$C69)+($U20*$C69)+($V20*$C69)+($W20*$C69)/$E$6</f>
        <v>0.25</v>
      </c>
      <c r="X69" s="886">
        <f>($T20*$C69)+($U20*$C69)+($V20*$C69)+($W20*$C69)+($X20*$C69)/$E$6</f>
        <v>1</v>
      </c>
      <c r="Y69" s="985">
        <f>($T20*$C69)+($U20*$C69)+($V20*$C69)+($W20*$C69)+($X20*$C69)+($Y20*$C69)/$E$6</f>
        <v>2.5</v>
      </c>
      <c r="Z69" s="929">
        <f>'11.2. Нови активи отч.год.'!Z70</f>
        <v>0</v>
      </c>
      <c r="AA69" s="885">
        <f>($AA20*$C69)/$E$6</f>
        <v>0</v>
      </c>
      <c r="AB69" s="886">
        <f>($AA20*$C69)+($AB20*$C69)/$E$6</f>
        <v>0</v>
      </c>
      <c r="AC69" s="886">
        <f>($AA20*$C69)+($AB20*$C69)+($AC20*$C69)/$E$6</f>
        <v>0</v>
      </c>
      <c r="AD69" s="886">
        <f>($AA20*$C69)+($AB20*$C69)+($AC20*$C69)+($AD20*$C69)/$E$6</f>
        <v>0</v>
      </c>
      <c r="AE69" s="886">
        <f>($AA20*$C69)+($AB20*$C69)+($AC20*$C69)+($AD20*$C69)+($AE20*$C69)/$E$6</f>
        <v>0</v>
      </c>
      <c r="AF69" s="887">
        <f>($AA20*$C69)+($AB20*$C69)+($AC20*$C69)+($AD20*$C69)+($AE20*$C69)+($AF20*$C69)/$E$6</f>
        <v>0</v>
      </c>
      <c r="AG69" s="307"/>
      <c r="AH69" s="566"/>
    </row>
    <row r="70" spans="1:34">
      <c r="A70" s="278"/>
      <c r="B70" s="278">
        <v>20304</v>
      </c>
      <c r="C70" s="283">
        <v>0.1</v>
      </c>
      <c r="D70" s="276" t="s">
        <v>579</v>
      </c>
      <c r="E70" s="945">
        <f t="shared" ref="E70:AF70" si="16">SUM(E71:E72)</f>
        <v>0</v>
      </c>
      <c r="F70" s="946">
        <f t="shared" si="16"/>
        <v>4</v>
      </c>
      <c r="G70" s="947">
        <f t="shared" si="16"/>
        <v>8.5</v>
      </c>
      <c r="H70" s="947">
        <f t="shared" si="16"/>
        <v>9.5</v>
      </c>
      <c r="I70" s="947">
        <f t="shared" si="16"/>
        <v>10.5</v>
      </c>
      <c r="J70" s="947">
        <f t="shared" si="16"/>
        <v>11</v>
      </c>
      <c r="K70" s="986">
        <f t="shared" si="16"/>
        <v>11</v>
      </c>
      <c r="L70" s="949">
        <f t="shared" si="16"/>
        <v>0</v>
      </c>
      <c r="M70" s="946">
        <f t="shared" si="16"/>
        <v>0</v>
      </c>
      <c r="N70" s="947">
        <f t="shared" si="16"/>
        <v>0</v>
      </c>
      <c r="O70" s="947">
        <f t="shared" si="16"/>
        <v>0</v>
      </c>
      <c r="P70" s="947">
        <f t="shared" si="16"/>
        <v>0</v>
      </c>
      <c r="Q70" s="947">
        <f t="shared" si="16"/>
        <v>0</v>
      </c>
      <c r="R70" s="948">
        <f t="shared" si="16"/>
        <v>0</v>
      </c>
      <c r="S70" s="949">
        <f t="shared" si="16"/>
        <v>0</v>
      </c>
      <c r="T70" s="950">
        <f t="shared" si="16"/>
        <v>0</v>
      </c>
      <c r="U70" s="947">
        <f t="shared" si="16"/>
        <v>0</v>
      </c>
      <c r="V70" s="947">
        <f t="shared" si="16"/>
        <v>0</v>
      </c>
      <c r="W70" s="947">
        <f t="shared" si="16"/>
        <v>0</v>
      </c>
      <c r="X70" s="947">
        <f t="shared" si="16"/>
        <v>0</v>
      </c>
      <c r="Y70" s="948">
        <f t="shared" si="16"/>
        <v>0</v>
      </c>
      <c r="Z70" s="949">
        <f t="shared" si="16"/>
        <v>0</v>
      </c>
      <c r="AA70" s="950">
        <f t="shared" si="16"/>
        <v>0</v>
      </c>
      <c r="AB70" s="947">
        <f t="shared" si="16"/>
        <v>0</v>
      </c>
      <c r="AC70" s="947">
        <f t="shared" si="16"/>
        <v>0</v>
      </c>
      <c r="AD70" s="947">
        <f t="shared" si="16"/>
        <v>0</v>
      </c>
      <c r="AE70" s="947">
        <f t="shared" si="16"/>
        <v>0</v>
      </c>
      <c r="AF70" s="948">
        <f t="shared" si="16"/>
        <v>0</v>
      </c>
      <c r="AG70" s="307"/>
      <c r="AH70" s="566"/>
    </row>
    <row r="71" spans="1:34" s="620" customFormat="1">
      <c r="A71" s="951"/>
      <c r="B71" s="951">
        <v>2030401</v>
      </c>
      <c r="C71" s="952">
        <v>0.1</v>
      </c>
      <c r="D71" s="273" t="s">
        <v>1375</v>
      </c>
      <c r="E71" s="929">
        <f>'11.2. Нови активи отч.год.'!E72</f>
        <v>0</v>
      </c>
      <c r="F71" s="987">
        <f>($F22*$C71)/$E$6</f>
        <v>4</v>
      </c>
      <c r="G71" s="988">
        <f>($F22*$C71)+($G22*$C71)/$E$6</f>
        <v>8.5</v>
      </c>
      <c r="H71" s="988">
        <f>($F22*$C71)+($G22*$C71)+($H22*$C71)/$E$6</f>
        <v>9.5</v>
      </c>
      <c r="I71" s="988">
        <f>($F22*$C71)+($G22*$C71)+($H22*$C71)+($I22*$C71)/$E$6</f>
        <v>10.5</v>
      </c>
      <c r="J71" s="988">
        <f>($F22*$C71)+($G22*$C71)+($H22*$C71)+($I22*$C71)+($J22*$C71)/$E$6</f>
        <v>11</v>
      </c>
      <c r="K71" s="989">
        <f>($F22*$C71)+($G22*$C71)+($H22*$C71)+($I22*$C71)+($J22*$C71)+($K22*$C71)/$E$6</f>
        <v>11</v>
      </c>
      <c r="L71" s="929">
        <f>'11.2. Нови активи отч.год.'!L72</f>
        <v>0</v>
      </c>
      <c r="M71" s="990">
        <f>($M22*$C71)/$E$6</f>
        <v>0</v>
      </c>
      <c r="N71" s="988">
        <f>($M22*$C71)+($N22*$C71)/$E$6</f>
        <v>0</v>
      </c>
      <c r="O71" s="988">
        <f>($M22*$C71)+($N22*$C71)+($O22*$C71)/$E$6</f>
        <v>0</v>
      </c>
      <c r="P71" s="988">
        <f>($M22*$C71)+($N22*$C71)+($O22*$C71)+($P22*$C71)/$E$6</f>
        <v>0</v>
      </c>
      <c r="Q71" s="989">
        <f>($M22*$C71)+($N22*$C71)+($O22*$C71)+($P22*$C71)+($Q22*$C71)/$E$6</f>
        <v>0</v>
      </c>
      <c r="R71" s="991">
        <f>($M22*$C71)+($N22*$C71)+($O22*$C71)+($P22*$C71)+($Q22*$C71)+($R22*$C71)/$E$6</f>
        <v>0</v>
      </c>
      <c r="S71" s="1731">
        <f>'11.2. Нови активи отч.год.'!S72</f>
        <v>0</v>
      </c>
      <c r="T71" s="2918">
        <f>($T22*$C71)/$E$6</f>
        <v>0</v>
      </c>
      <c r="U71" s="988">
        <f>($T22*$C71)+($U22*$C71)/$E$6</f>
        <v>0</v>
      </c>
      <c r="V71" s="988">
        <f>($T22*$C71)+($U22*$C71)+($V22*$C71)/$E$6</f>
        <v>0</v>
      </c>
      <c r="W71" s="988">
        <f>($T22*$C71)+($U22*$C71)+($V22*$C71)+($W22*$C71)/$E$6</f>
        <v>0</v>
      </c>
      <c r="X71" s="988">
        <f>($T22*$C71)+($U22*$C71)+($V22*$C71)+($W22*$C71)+($X22*$C71)/$E$6</f>
        <v>0</v>
      </c>
      <c r="Y71" s="989">
        <f>($T22*$C71)+($U22*$C71)+($V22*$C71)+($W22*$C71)+($X22*$C71)+($Y22*$C71)/$E$6</f>
        <v>0</v>
      </c>
      <c r="Z71" s="929">
        <f>'11.2. Нови активи отч.год.'!Z72</f>
        <v>0</v>
      </c>
      <c r="AA71" s="990">
        <f>($AA22*$C71)/$E$6</f>
        <v>0</v>
      </c>
      <c r="AB71" s="988">
        <f>($AA22*$C71)+($AB22*$C71)/$E$6</f>
        <v>0</v>
      </c>
      <c r="AC71" s="988">
        <f>($AA22*$C71)+($AB22*$C71)+($AC22*$C71)/$E$6</f>
        <v>0</v>
      </c>
      <c r="AD71" s="988">
        <f>($AA22*$C71)+($AB22*$C71)+($AC22*$C71)+($AD22*$C71)/$E$6</f>
        <v>0</v>
      </c>
      <c r="AE71" s="988">
        <f>($AA22*$C71)+($AB22*$C71)+($AC22*$C71)+($AD22*$C71)+($AE22*$C71)/$E$6</f>
        <v>0</v>
      </c>
      <c r="AF71" s="991">
        <f>($AA22*$C71)+($AB22*$C71)+($AC22*$C71)+($AD22*$C71)+($AE22*$C71)+($AF22*$C71)/$E$6</f>
        <v>0</v>
      </c>
      <c r="AG71" s="618"/>
      <c r="AH71" s="619"/>
    </row>
    <row r="72" spans="1:34" s="620" customFormat="1">
      <c r="A72" s="951"/>
      <c r="B72" s="951">
        <v>2030402</v>
      </c>
      <c r="C72" s="952">
        <v>0.1</v>
      </c>
      <c r="D72" s="273" t="s">
        <v>601</v>
      </c>
      <c r="E72" s="929">
        <f>'11.2. Нови активи отч.год.'!E73</f>
        <v>0</v>
      </c>
      <c r="F72" s="987">
        <f>($F23*$C72)/$E$6</f>
        <v>0</v>
      </c>
      <c r="G72" s="988">
        <f>($F23*$C72)+($G23*$C72)/$E$6</f>
        <v>0</v>
      </c>
      <c r="H72" s="988">
        <f>($F23*$C72)+($G23*$C72)+($H23*$C72)/$E$6</f>
        <v>0</v>
      </c>
      <c r="I72" s="988">
        <f>($F23*$C72)+($G23*$C72)+($H23*$C72)+($I23*$C72)/$E$6</f>
        <v>0</v>
      </c>
      <c r="J72" s="988">
        <f>($F23*$C72)+($G23*$C72)+($H23*$C72)+($I23*$C72)+($J23*$C72)/$E$6</f>
        <v>0</v>
      </c>
      <c r="K72" s="989">
        <f>($F23*$C72)+($G23*$C72)+($H23*$C72)+($I23*$C72)+($J23*$C72)+($K23*$C72)/$E$6</f>
        <v>0</v>
      </c>
      <c r="L72" s="929">
        <f>'11.2. Нови активи отч.год.'!L73</f>
        <v>0</v>
      </c>
      <c r="M72" s="990">
        <f>($M23*$C72)/$E$6</f>
        <v>0</v>
      </c>
      <c r="N72" s="988">
        <f>($M23*$C72)+($N23*$C72)/$E$6</f>
        <v>0</v>
      </c>
      <c r="O72" s="988">
        <f>($M23*$C72)+($N23*$C72)+($O23*$C72)/$E$6</f>
        <v>0</v>
      </c>
      <c r="P72" s="988">
        <f>($M23*$C72)+($N23*$C72)+($O23*$C72)+($P23*$C72)/$E$6</f>
        <v>0</v>
      </c>
      <c r="Q72" s="989">
        <f>($M23*$C72)+($N23*$C72)+($O23*$C72)+($P23*$C72)+($Q23*$C72)/$E$6</f>
        <v>0</v>
      </c>
      <c r="R72" s="991">
        <f>($M23*$C72)+($N23*$C72)+($O23*$C72)+($P23*$C72)+($Q23*$C72)+($R23*$C72)/$E$6</f>
        <v>0</v>
      </c>
      <c r="S72" s="1731">
        <f>'11.2. Нови активи отч.год.'!S73</f>
        <v>0</v>
      </c>
      <c r="T72" s="2918">
        <f>($T23*$C72)/$E$6</f>
        <v>0</v>
      </c>
      <c r="U72" s="988">
        <f>($T23*$C72)+($U23*$C72)/$E$6</f>
        <v>0</v>
      </c>
      <c r="V72" s="988">
        <f>($T23*$C72)+($U23*$C72)+($V23*$C72)/$E$6</f>
        <v>0</v>
      </c>
      <c r="W72" s="988">
        <f>($T23*$C72)+($U23*$C72)+($V23*$C72)+($W23*$C72)/$E$6</f>
        <v>0</v>
      </c>
      <c r="X72" s="988">
        <f>($T23*$C72)+($U23*$C72)+($V23*$C72)+($W23*$C72)+($X23*$C72)/$E$6</f>
        <v>0</v>
      </c>
      <c r="Y72" s="989">
        <f>($T23*$C72)+($U23*$C72)+($V23*$C72)+($W23*$C72)+($X23*$C72)+($Y23*$C72)/$E$6</f>
        <v>0</v>
      </c>
      <c r="Z72" s="929">
        <f>'11.2. Нови активи отч.год.'!Z73</f>
        <v>0</v>
      </c>
      <c r="AA72" s="990">
        <f>($AA23*$C72)/$E$6</f>
        <v>0</v>
      </c>
      <c r="AB72" s="988">
        <f>($AA23*$C72)+($AB23*$C72)/$E$6</f>
        <v>0</v>
      </c>
      <c r="AC72" s="988">
        <f>($AA23*$C72)+($AB23*$C72)+($AC23*$C72)/$E$6</f>
        <v>0</v>
      </c>
      <c r="AD72" s="988">
        <f>($AA23*$C72)+($AB23*$C72)+($AC23*$C72)+($AD23*$C72)/$E$6</f>
        <v>0</v>
      </c>
      <c r="AE72" s="988">
        <f>($AA23*$C72)+($AB23*$C72)+($AC23*$C72)+($AD23*$C72)+($AE23*$C72)/$E$6</f>
        <v>0</v>
      </c>
      <c r="AF72" s="991">
        <f>($AA23*$C72)+($AB23*$C72)+($AC23*$C72)+($AD23*$C72)+($AE23*$C72)+($AF23*$C72)/$E$6</f>
        <v>0</v>
      </c>
      <c r="AG72" s="618"/>
      <c r="AH72" s="619"/>
    </row>
    <row r="73" spans="1:34">
      <c r="A73" s="278"/>
      <c r="B73" s="278">
        <v>20305</v>
      </c>
      <c r="C73" s="282"/>
      <c r="D73" s="276" t="s">
        <v>602</v>
      </c>
      <c r="E73" s="945">
        <f>SUM(E74:E76)</f>
        <v>0</v>
      </c>
      <c r="F73" s="946">
        <f t="shared" ref="F73:AF73" si="17">SUM(F74:F76)</f>
        <v>22.1</v>
      </c>
      <c r="G73" s="947">
        <f t="shared" si="17"/>
        <v>66</v>
      </c>
      <c r="H73" s="947">
        <f t="shared" si="17"/>
        <v>97.25</v>
      </c>
      <c r="I73" s="947">
        <f t="shared" si="17"/>
        <v>114.9</v>
      </c>
      <c r="J73" s="947">
        <f t="shared" si="17"/>
        <v>131.25</v>
      </c>
      <c r="K73" s="986">
        <f t="shared" si="17"/>
        <v>147.55000000000001</v>
      </c>
      <c r="L73" s="949">
        <f t="shared" si="17"/>
        <v>0</v>
      </c>
      <c r="M73" s="946">
        <f t="shared" si="17"/>
        <v>0</v>
      </c>
      <c r="N73" s="947">
        <f t="shared" si="17"/>
        <v>0</v>
      </c>
      <c r="O73" s="947">
        <f t="shared" si="17"/>
        <v>0.25</v>
      </c>
      <c r="P73" s="947">
        <f t="shared" si="17"/>
        <v>0.75</v>
      </c>
      <c r="Q73" s="947">
        <f t="shared" si="17"/>
        <v>1.25</v>
      </c>
      <c r="R73" s="948">
        <f t="shared" si="17"/>
        <v>1.75</v>
      </c>
      <c r="S73" s="949">
        <f t="shared" si="17"/>
        <v>0</v>
      </c>
      <c r="T73" s="950">
        <f t="shared" si="17"/>
        <v>0</v>
      </c>
      <c r="U73" s="947">
        <f t="shared" si="17"/>
        <v>1</v>
      </c>
      <c r="V73" s="947">
        <f t="shared" si="17"/>
        <v>3</v>
      </c>
      <c r="W73" s="947">
        <f t="shared" si="17"/>
        <v>5</v>
      </c>
      <c r="X73" s="947">
        <f t="shared" si="17"/>
        <v>7</v>
      </c>
      <c r="Y73" s="948">
        <f t="shared" si="17"/>
        <v>9</v>
      </c>
      <c r="Z73" s="949">
        <f t="shared" si="17"/>
        <v>0</v>
      </c>
      <c r="AA73" s="950">
        <f t="shared" si="17"/>
        <v>33.700000000000003</v>
      </c>
      <c r="AB73" s="947">
        <f t="shared" si="17"/>
        <v>117.30000000000001</v>
      </c>
      <c r="AC73" s="947">
        <f t="shared" si="17"/>
        <v>198.35000000000002</v>
      </c>
      <c r="AD73" s="947">
        <f t="shared" si="17"/>
        <v>260.65000000000003</v>
      </c>
      <c r="AE73" s="947">
        <f t="shared" si="17"/>
        <v>322.95</v>
      </c>
      <c r="AF73" s="948">
        <f t="shared" si="17"/>
        <v>385.25</v>
      </c>
      <c r="AG73" s="307"/>
      <c r="AH73" s="566"/>
    </row>
    <row r="74" spans="1:34" s="620" customFormat="1">
      <c r="A74" s="951"/>
      <c r="B74" s="951">
        <v>2030501</v>
      </c>
      <c r="C74" s="953">
        <v>0.1</v>
      </c>
      <c r="D74" s="273" t="s">
        <v>1391</v>
      </c>
      <c r="E74" s="929">
        <f>'11.2. Нови активи отч.год.'!E75</f>
        <v>0</v>
      </c>
      <c r="F74" s="987">
        <f>($F25*$C74)/$E$6</f>
        <v>17.95</v>
      </c>
      <c r="G74" s="988">
        <f>($F25*$C74)+($G25*$C74)/$E$6</f>
        <v>47.2</v>
      </c>
      <c r="H74" s="988">
        <f>($F25*$C74)+($G25*$C74)+($H25*$C74)/$E$6</f>
        <v>65.7</v>
      </c>
      <c r="I74" s="988">
        <f>($F25*$C74)+($G25*$C74)+($H25*$C74)+($I25*$C74)/$E$6</f>
        <v>79.850000000000009</v>
      </c>
      <c r="J74" s="988">
        <f>($F25*$C74)+($G25*$C74)+($H25*$C74)+($I25*$C74)+($J25*$C74)/$E$6</f>
        <v>93.700000000000017</v>
      </c>
      <c r="K74" s="989">
        <f>($F25*$C74)+($G25*$C74)+($H25*$C74)+($I25*$C74)+($J25*$C74)+($K25*$C74)/$E$6</f>
        <v>107.50000000000001</v>
      </c>
      <c r="L74" s="929">
        <f>'11.2. Нови активи отч.год.'!L75</f>
        <v>0</v>
      </c>
      <c r="M74" s="990">
        <f>($M25*$C74)/$E$6</f>
        <v>0</v>
      </c>
      <c r="N74" s="988">
        <f>($M25*$C74)+($N25*$C74)/$E$6</f>
        <v>0</v>
      </c>
      <c r="O74" s="988">
        <f>($M25*$C74)+($N25*$C74)+($O25*$C74)/$E$6</f>
        <v>0</v>
      </c>
      <c r="P74" s="988">
        <f>($M25*$C74)+($N25*$C74)+($O25*$C74)+($P25*$C74)/$E$6</f>
        <v>0</v>
      </c>
      <c r="Q74" s="989">
        <f>($M25*$C74)+($N25*$C74)+($O25*$C74)+($P25*$C74)+($Q25*$C74)/$E$6</f>
        <v>0</v>
      </c>
      <c r="R74" s="991">
        <f>($M25*$C74)+($N25*$C74)+($O25*$C74)+($P25*$C74)+($Q25*$C74)+($R25*$C74)/$E$6</f>
        <v>0</v>
      </c>
      <c r="S74" s="1731">
        <f>'11.2. Нови активи отч.год.'!S75</f>
        <v>0</v>
      </c>
      <c r="T74" s="2918">
        <f>($T25*$C74)/$E$6</f>
        <v>0</v>
      </c>
      <c r="U74" s="988">
        <f>($T25*$C74)+($U25*$C74)/$E$6</f>
        <v>0</v>
      </c>
      <c r="V74" s="988">
        <f>($T25*$C74)+($U25*$C74)+($V25*$C74)/$E$6</f>
        <v>0</v>
      </c>
      <c r="W74" s="988">
        <f>($T25*$C74)+($U25*$C74)+($V25*$C74)+($W25*$C74)/$E$6</f>
        <v>0</v>
      </c>
      <c r="X74" s="988">
        <f>($T25*$C74)+($U25*$C74)+($V25*$C74)+($W25*$C74)+($X25*$C74)/$E$6</f>
        <v>0</v>
      </c>
      <c r="Y74" s="989">
        <f>($T25*$C74)+($U25*$C74)+($V25*$C74)+($W25*$C74)+($X25*$C74)+($Y25*$C74)/$E$6</f>
        <v>0</v>
      </c>
      <c r="Z74" s="929">
        <f>'11.2. Нови активи отч.год.'!Z75</f>
        <v>0</v>
      </c>
      <c r="AA74" s="990">
        <f>($AA25*$C74)/$E$6</f>
        <v>33.700000000000003</v>
      </c>
      <c r="AB74" s="988">
        <f>($AA25*$C74)+($AB25*$C74)/$E$6</f>
        <v>117.30000000000001</v>
      </c>
      <c r="AC74" s="988">
        <f>($AA25*$C74)+($AB25*$C74)+($AC25*$C74)/$E$6</f>
        <v>198.35000000000002</v>
      </c>
      <c r="AD74" s="988">
        <f>($AA25*$C74)+($AB25*$C74)+($AC25*$C74)+($AD25*$C74)/$E$6</f>
        <v>260.65000000000003</v>
      </c>
      <c r="AE74" s="988">
        <f>($AA25*$C74)+($AB25*$C74)+($AC25*$C74)+($AD25*$C74)+($AE25*$C74)/$E$6</f>
        <v>322.95</v>
      </c>
      <c r="AF74" s="991">
        <f>($AA25*$C74)+($AB25*$C74)+($AC25*$C74)+($AD25*$C74)+($AE25*$C74)+($AF25*$C74)/$E$6</f>
        <v>385.25</v>
      </c>
      <c r="AG74" s="618"/>
      <c r="AH74" s="619"/>
    </row>
    <row r="75" spans="1:34" s="620" customFormat="1" ht="24">
      <c r="A75" s="951"/>
      <c r="B75" s="951">
        <v>2030502</v>
      </c>
      <c r="C75" s="953">
        <v>0.1</v>
      </c>
      <c r="D75" s="273" t="s">
        <v>948</v>
      </c>
      <c r="E75" s="929">
        <f>'11.2. Нови активи отч.год.'!E76</f>
        <v>0</v>
      </c>
      <c r="F75" s="987">
        <f>($F26*$C75)/$E$6</f>
        <v>4.1500000000000004</v>
      </c>
      <c r="G75" s="988">
        <f>($F26*$C75)+($G26*$C75)/$E$6</f>
        <v>18.55</v>
      </c>
      <c r="H75" s="988">
        <f>($F26*$C75)+($G26*$C75)+($H26*$C75)/$E$6</f>
        <v>30.8</v>
      </c>
      <c r="I75" s="988">
        <f>($F26*$C75)+($G26*$C75)+($H26*$C75)+($I26*$C75)/$E$6</f>
        <v>33.799999999999997</v>
      </c>
      <c r="J75" s="988">
        <f>($F26*$C75)+($G26*$C75)+($H26*$C75)+($I26*$C75)+($J26*$C75)/$E$6</f>
        <v>35.799999999999997</v>
      </c>
      <c r="K75" s="989">
        <f>($F26*$C75)+($G26*$C75)+($H26*$C75)+($I26*$C75)+($J26*$C75)+($K26*$C75)/$E$6</f>
        <v>37.799999999999997</v>
      </c>
      <c r="L75" s="929">
        <f>'11.2. Нови активи отч.год.'!L76</f>
        <v>0</v>
      </c>
      <c r="M75" s="990">
        <f>($M26*$C75)/$E$6</f>
        <v>0</v>
      </c>
      <c r="N75" s="988">
        <f>($M26*$C75)+($N26*$C75)/$E$6</f>
        <v>0</v>
      </c>
      <c r="O75" s="988">
        <f>($M26*$C75)+($N26*$C75)+($O26*$C75)/$E$6</f>
        <v>0</v>
      </c>
      <c r="P75" s="988">
        <f>($M26*$C75)+($N26*$C75)+($O26*$C75)+($P26*$C75)/$E$6</f>
        <v>0</v>
      </c>
      <c r="Q75" s="989">
        <f>($M26*$C75)+($N26*$C75)+($O26*$C75)+($P26*$C75)+($Q26*$C75)/$E$6</f>
        <v>0</v>
      </c>
      <c r="R75" s="991">
        <f>($M26*$C75)+($N26*$C75)+($O26*$C75)+($P26*$C75)+($Q26*$C75)+($R26*$C75)/$E$6</f>
        <v>0</v>
      </c>
      <c r="S75" s="1731">
        <f>'11.2. Нови активи отч.год.'!S76</f>
        <v>0</v>
      </c>
      <c r="T75" s="2918">
        <f>($T26*$C75)/$E$6</f>
        <v>0</v>
      </c>
      <c r="U75" s="988">
        <f>($T26*$C75)+($U26*$C75)/$E$6</f>
        <v>0</v>
      </c>
      <c r="V75" s="988">
        <f>($T26*$C75)+($U26*$C75)+($V26*$C75)/$E$6</f>
        <v>0</v>
      </c>
      <c r="W75" s="988">
        <f>($T26*$C75)+($U26*$C75)+($V26*$C75)+($W26*$C75)/$E$6</f>
        <v>0</v>
      </c>
      <c r="X75" s="988">
        <f>($T26*$C75)+($U26*$C75)+($V26*$C75)+($W26*$C75)+($X26*$C75)/$E$6</f>
        <v>0</v>
      </c>
      <c r="Y75" s="989">
        <f>($T26*$C75)+($U26*$C75)+($V26*$C75)+($W26*$C75)+($X26*$C75)+($Y26*$C75)/$E$6</f>
        <v>0</v>
      </c>
      <c r="Z75" s="929">
        <f>'11.2. Нови активи отч.год.'!Z76</f>
        <v>0</v>
      </c>
      <c r="AA75" s="990">
        <f>($AA26*$C75)/$E$6</f>
        <v>0</v>
      </c>
      <c r="AB75" s="988">
        <f>($AA26*$C75)+($AB26*$C75)/$E$6</f>
        <v>0</v>
      </c>
      <c r="AC75" s="988">
        <f>($AA26*$C75)+($AB26*$C75)+($AC26*$C75)/$E$6</f>
        <v>0</v>
      </c>
      <c r="AD75" s="988">
        <f>($AA26*$C75)+($AB26*$C75)+($AC26*$C75)+($AD26*$C75)/$E$6</f>
        <v>0</v>
      </c>
      <c r="AE75" s="988">
        <f>($AA26*$C75)+($AB26*$C75)+($AC26*$C75)+($AD26*$C75)+($AE26*$C75)/$E$6</f>
        <v>0</v>
      </c>
      <c r="AF75" s="991">
        <f>($AA26*$C75)+($AB26*$C75)+($AC26*$C75)+($AD26*$C75)+($AE26*$C75)+($AF26*$C75)/$E$6</f>
        <v>0</v>
      </c>
      <c r="AG75" s="618"/>
      <c r="AH75" s="619"/>
    </row>
    <row r="76" spans="1:34" s="620" customFormat="1">
      <c r="A76" s="951"/>
      <c r="B76" s="951">
        <v>2030503</v>
      </c>
      <c r="C76" s="953">
        <v>0.1</v>
      </c>
      <c r="D76" s="273" t="s">
        <v>966</v>
      </c>
      <c r="E76" s="929">
        <f>'11.2. Нови активи отч.год.'!E77</f>
        <v>0</v>
      </c>
      <c r="F76" s="987">
        <f>($F27*$C76)/$E$6</f>
        <v>0</v>
      </c>
      <c r="G76" s="988">
        <f>($F27*$C76)+($G27*$C76)/$E$6</f>
        <v>0.25</v>
      </c>
      <c r="H76" s="988">
        <f>($F27*$C76)+($G27*$C76)+($H27*$C76)/$E$6</f>
        <v>0.75</v>
      </c>
      <c r="I76" s="988">
        <f>($F27*$C76)+($G27*$C76)+($H27*$C76)+($I27*$C76)/$E$6</f>
        <v>1.25</v>
      </c>
      <c r="J76" s="988">
        <f>($F27*$C76)+($G27*$C76)+($H27*$C76)+($I27*$C76)+($J27*$C76)/$E$6</f>
        <v>1.75</v>
      </c>
      <c r="K76" s="989">
        <f>($F27*$C76)+($G27*$C76)+($H27*$C76)+($I27*$C76)+($J27*$C76)+($K27*$C76)/$E$6</f>
        <v>2.25</v>
      </c>
      <c r="L76" s="929">
        <f>'11.2. Нови активи отч.год.'!L77</f>
        <v>0</v>
      </c>
      <c r="M76" s="990">
        <f>($M27*$C76)/$E$6</f>
        <v>0</v>
      </c>
      <c r="N76" s="988">
        <f>($M27*$C76)+($N27*$C76)/$E$6</f>
        <v>0</v>
      </c>
      <c r="O76" s="988">
        <f>($M27*$C76)+($N27*$C76)+($O27*$C76)/$E$6</f>
        <v>0.25</v>
      </c>
      <c r="P76" s="988">
        <f>($M27*$C76)+($N27*$C76)+($O27*$C76)+($P27*$C76)/$E$6</f>
        <v>0.75</v>
      </c>
      <c r="Q76" s="989">
        <f>($M27*$C76)+($N27*$C76)+($O27*$C76)+($P27*$C76)+($Q27*$C76)/$E$6</f>
        <v>1.25</v>
      </c>
      <c r="R76" s="991">
        <f>($M27*$C76)+($N27*$C76)+($O27*$C76)+($P27*$C76)+($Q27*$C76)+($R27*$C76)/$E$6</f>
        <v>1.75</v>
      </c>
      <c r="S76" s="1731">
        <f>'11.2. Нови активи отч.год.'!S77</f>
        <v>0</v>
      </c>
      <c r="T76" s="2918">
        <f>($T27*$C76)/$E$6</f>
        <v>0</v>
      </c>
      <c r="U76" s="988">
        <f>($T27*$C76)+($U27*$C76)/$E$6</f>
        <v>1</v>
      </c>
      <c r="V76" s="988">
        <f>($T27*$C76)+($U27*$C76)+($V27*$C76)/$E$6</f>
        <v>3</v>
      </c>
      <c r="W76" s="988">
        <f>($T27*$C76)+($U27*$C76)+($V27*$C76)+($W27*$C76)/$E$6</f>
        <v>5</v>
      </c>
      <c r="X76" s="988">
        <f>($T27*$C76)+($U27*$C76)+($V27*$C76)+($W27*$C76)+($X27*$C76)/$E$6</f>
        <v>7</v>
      </c>
      <c r="Y76" s="989">
        <f>($T27*$C76)+($U27*$C76)+($V27*$C76)+($W27*$C76)+($X27*$C76)+($Y27*$C76)/$E$6</f>
        <v>9</v>
      </c>
      <c r="Z76" s="929">
        <f>'11.2. Нови активи отч.год.'!Z77</f>
        <v>0</v>
      </c>
      <c r="AA76" s="990">
        <f>($AA27*$C76)/$E$6</f>
        <v>0</v>
      </c>
      <c r="AB76" s="988">
        <f>($AA27*$C76)+($AB27*$C76)/$E$6</f>
        <v>0</v>
      </c>
      <c r="AC76" s="988">
        <f>($AA27*$C76)+($AB27*$C76)+($AC27*$C76)/$E$6</f>
        <v>0</v>
      </c>
      <c r="AD76" s="988">
        <f>($AA27*$C76)+($AB27*$C76)+($AC27*$C76)+($AD27*$C76)/$E$6</f>
        <v>0</v>
      </c>
      <c r="AE76" s="988">
        <f>($AA27*$C76)+($AB27*$C76)+($AC27*$C76)+($AD27*$C76)+($AE27*$C76)/$E$6</f>
        <v>0</v>
      </c>
      <c r="AF76" s="991">
        <f>($AA27*$C76)+($AB27*$C76)+($AC27*$C76)+($AD27*$C76)+($AE27*$C76)+($AF27*$C76)/$E$6</f>
        <v>0</v>
      </c>
      <c r="AG76" s="618"/>
      <c r="AH76" s="619"/>
    </row>
    <row r="77" spans="1:34">
      <c r="A77" s="278"/>
      <c r="B77" s="278">
        <v>20306</v>
      </c>
      <c r="C77" s="1632">
        <v>0.1</v>
      </c>
      <c r="D77" s="1625" t="s">
        <v>581</v>
      </c>
      <c r="E77" s="929">
        <f>'11.2. Нови активи отч.год.'!E78</f>
        <v>0</v>
      </c>
      <c r="F77" s="897">
        <f>($F28*$C77)/$E$6</f>
        <v>0</v>
      </c>
      <c r="G77" s="886">
        <f>($F28*$C77)+($G28*$C77)/$E$6</f>
        <v>0.5</v>
      </c>
      <c r="H77" s="886">
        <f>($F28*$C77)+($G28*$C77)+($H28*$C77)/$E$6</f>
        <v>1.5</v>
      </c>
      <c r="I77" s="886">
        <f>($F28*$C77)+($G28*$C77)+($H28*$C77)+($I28*$C77)/$E$6</f>
        <v>2.5</v>
      </c>
      <c r="J77" s="886">
        <f>($F28*$C77)+($G28*$C77)+($H28*$C77)+($I28*$C77)+($J28*$C77)/$E$6</f>
        <v>3.5</v>
      </c>
      <c r="K77" s="985">
        <f>($F28*$C77)+($G28*$C77)+($H28*$C77)+($I28*$C77)+($J28*$C77)+($K28*$C77)/$E$6</f>
        <v>4.5</v>
      </c>
      <c r="L77" s="929">
        <f>'11.2. Нови активи отч.год.'!L78</f>
        <v>0</v>
      </c>
      <c r="M77" s="885">
        <f>($M28*$C77)/$E$6</f>
        <v>0.25</v>
      </c>
      <c r="N77" s="886">
        <f>($M28*$C77)+($N28*$C77)/$E$6</f>
        <v>0.75</v>
      </c>
      <c r="O77" s="886">
        <f>($M28*$C77)+($N28*$C77)+($O28*$C77)/$E$6</f>
        <v>1</v>
      </c>
      <c r="P77" s="886">
        <f>($M28*$C77)+($N28*$C77)+($O28*$C77)+($P28*$C77)/$E$6</f>
        <v>1</v>
      </c>
      <c r="Q77" s="985">
        <f>($M28*$C77)+($N28*$C77)+($O28*$C77)+($P28*$C77)+($Q28*$C77)/$E$6</f>
        <v>1</v>
      </c>
      <c r="R77" s="887">
        <f>($M28*$C77)+($N28*$C77)+($O28*$C77)+($P28*$C77)+($Q28*$C77)+($R28*$C77)/$E$6</f>
        <v>1</v>
      </c>
      <c r="S77" s="1731">
        <f>'11.2. Нови активи отч.год.'!S78</f>
        <v>0</v>
      </c>
      <c r="T77" s="932">
        <f>($T28*$C77)/$E$6</f>
        <v>0</v>
      </c>
      <c r="U77" s="886">
        <f>($T28*$C77)+($U28*$C77)/$E$6</f>
        <v>0.30000000000000004</v>
      </c>
      <c r="V77" s="886">
        <f>($T28*$C77)+($U28*$C77)+($V28*$C77)/$E$6</f>
        <v>1.1000000000000001</v>
      </c>
      <c r="W77" s="886">
        <f>($T28*$C77)+($U28*$C77)+($V28*$C77)+($W28*$C77)/$E$6</f>
        <v>2.1</v>
      </c>
      <c r="X77" s="886">
        <f>($T28*$C77)+($U28*$C77)+($V28*$C77)+($W28*$C77)+($X28*$C77)/$E$6</f>
        <v>3.1</v>
      </c>
      <c r="Y77" s="985">
        <f>($T28*$C77)+($U28*$C77)+($V28*$C77)+($W28*$C77)+($X28*$C77)+($Y28*$C77)/$E$6</f>
        <v>4.0999999999999996</v>
      </c>
      <c r="Z77" s="1731">
        <f>'11.2. Нови активи отч.год.'!Z78</f>
        <v>0</v>
      </c>
      <c r="AA77" s="885">
        <f>($AA28*$C77)/$E$6</f>
        <v>0</v>
      </c>
      <c r="AB77" s="886">
        <f>($AA28*$C77)+($AB28*$C77)/$E$6</f>
        <v>0</v>
      </c>
      <c r="AC77" s="886">
        <f>($AA28*$C77)+($AB28*$C77)+($AC28*$C77)/$E$6</f>
        <v>0</v>
      </c>
      <c r="AD77" s="886">
        <f>($AA28*$C77)+($AB28*$C77)+($AC28*$C77)+($AD28*$C77)/$E$6</f>
        <v>0</v>
      </c>
      <c r="AE77" s="886">
        <f>($AA28*$C77)+($AB28*$C77)+($AC28*$C77)+($AD28*$C77)+($AE28*$C77)/$E$6</f>
        <v>0</v>
      </c>
      <c r="AF77" s="887">
        <f>($AA28*$C77)+($AB28*$C77)+($AC28*$C77)+($AD28*$C77)+($AE28*$C77)+($AF28*$C77)/$E$6</f>
        <v>0</v>
      </c>
      <c r="AG77" s="307"/>
      <c r="AH77" s="566"/>
    </row>
    <row r="78" spans="1:34" ht="14.25" customHeight="1">
      <c r="A78" s="938">
        <v>4</v>
      </c>
      <c r="B78" s="938">
        <v>204</v>
      </c>
      <c r="C78" s="1808"/>
      <c r="D78" s="1815" t="s">
        <v>274</v>
      </c>
      <c r="E78" s="984">
        <f>E79+E82+E91+E92</f>
        <v>5.3333333333333337E-2</v>
      </c>
      <c r="F78" s="978">
        <f t="shared" ref="F78:AF78" si="18">F79+F82+F91+F92</f>
        <v>28.799999999999997</v>
      </c>
      <c r="G78" s="979">
        <f t="shared" si="18"/>
        <v>60.063344399999998</v>
      </c>
      <c r="H78" s="979">
        <f t="shared" si="18"/>
        <v>71.173355466666663</v>
      </c>
      <c r="I78" s="979">
        <f t="shared" si="18"/>
        <v>90.610022133333331</v>
      </c>
      <c r="J78" s="979">
        <f t="shared" si="18"/>
        <v>112.78002213333333</v>
      </c>
      <c r="K78" s="980">
        <f t="shared" si="18"/>
        <v>138.09002213333332</v>
      </c>
      <c r="L78" s="981">
        <f t="shared" si="18"/>
        <v>0</v>
      </c>
      <c r="M78" s="978">
        <f t="shared" si="18"/>
        <v>0.44</v>
      </c>
      <c r="N78" s="979">
        <f t="shared" si="18"/>
        <v>1.04</v>
      </c>
      <c r="O78" s="979">
        <f t="shared" si="18"/>
        <v>2.7</v>
      </c>
      <c r="P78" s="979">
        <f t="shared" si="18"/>
        <v>5.6999999999999993</v>
      </c>
      <c r="Q78" s="979">
        <f t="shared" si="18"/>
        <v>8.4</v>
      </c>
      <c r="R78" s="982">
        <f t="shared" si="18"/>
        <v>10.5</v>
      </c>
      <c r="S78" s="981">
        <f t="shared" si="18"/>
        <v>0</v>
      </c>
      <c r="T78" s="983">
        <f t="shared" si="18"/>
        <v>2.2000000000000002</v>
      </c>
      <c r="U78" s="979">
        <f t="shared" si="18"/>
        <v>6.4</v>
      </c>
      <c r="V78" s="979">
        <f t="shared" si="18"/>
        <v>11.8</v>
      </c>
      <c r="W78" s="979">
        <f t="shared" si="18"/>
        <v>18.599999999999998</v>
      </c>
      <c r="X78" s="979">
        <f t="shared" si="18"/>
        <v>25.4</v>
      </c>
      <c r="Y78" s="982">
        <f t="shared" si="18"/>
        <v>32.200000000000003</v>
      </c>
      <c r="Z78" s="981">
        <f t="shared" si="18"/>
        <v>0</v>
      </c>
      <c r="AA78" s="983">
        <f t="shared" si="18"/>
        <v>0</v>
      </c>
      <c r="AB78" s="979">
        <f t="shared" si="18"/>
        <v>0</v>
      </c>
      <c r="AC78" s="979">
        <f t="shared" si="18"/>
        <v>0</v>
      </c>
      <c r="AD78" s="979">
        <f t="shared" si="18"/>
        <v>0</v>
      </c>
      <c r="AE78" s="979">
        <f t="shared" si="18"/>
        <v>0</v>
      </c>
      <c r="AF78" s="982">
        <f t="shared" si="18"/>
        <v>0</v>
      </c>
      <c r="AG78" s="307"/>
      <c r="AH78" s="566"/>
    </row>
    <row r="79" spans="1:34">
      <c r="A79" s="278"/>
      <c r="B79" s="278">
        <v>20401</v>
      </c>
      <c r="C79" s="1636"/>
      <c r="D79" s="1637" t="s">
        <v>589</v>
      </c>
      <c r="E79" s="945">
        <f t="shared" ref="E79:AF79" si="19">SUM(E80:E81)</f>
        <v>0</v>
      </c>
      <c r="F79" s="946">
        <f t="shared" si="19"/>
        <v>0</v>
      </c>
      <c r="G79" s="947">
        <f t="shared" si="19"/>
        <v>0</v>
      </c>
      <c r="H79" s="947">
        <f t="shared" si="19"/>
        <v>0</v>
      </c>
      <c r="I79" s="947">
        <f t="shared" si="19"/>
        <v>0</v>
      </c>
      <c r="J79" s="947">
        <f t="shared" si="19"/>
        <v>0</v>
      </c>
      <c r="K79" s="986">
        <f t="shared" si="19"/>
        <v>0</v>
      </c>
      <c r="L79" s="949">
        <f t="shared" si="19"/>
        <v>0</v>
      </c>
      <c r="M79" s="946">
        <f t="shared" si="19"/>
        <v>0</v>
      </c>
      <c r="N79" s="947">
        <f t="shared" si="19"/>
        <v>0</v>
      </c>
      <c r="O79" s="947">
        <f t="shared" si="19"/>
        <v>0</v>
      </c>
      <c r="P79" s="947">
        <f t="shared" si="19"/>
        <v>0</v>
      </c>
      <c r="Q79" s="947">
        <f t="shared" si="19"/>
        <v>0</v>
      </c>
      <c r="R79" s="948">
        <f t="shared" si="19"/>
        <v>0</v>
      </c>
      <c r="S79" s="949">
        <f t="shared" si="19"/>
        <v>0</v>
      </c>
      <c r="T79" s="950">
        <f t="shared" si="19"/>
        <v>0</v>
      </c>
      <c r="U79" s="947">
        <f t="shared" si="19"/>
        <v>0</v>
      </c>
      <c r="V79" s="947">
        <f t="shared" si="19"/>
        <v>0</v>
      </c>
      <c r="W79" s="947">
        <f t="shared" si="19"/>
        <v>0</v>
      </c>
      <c r="X79" s="947">
        <f t="shared" si="19"/>
        <v>0</v>
      </c>
      <c r="Y79" s="948">
        <f t="shared" si="19"/>
        <v>0</v>
      </c>
      <c r="Z79" s="949">
        <f t="shared" si="19"/>
        <v>0</v>
      </c>
      <c r="AA79" s="950">
        <f t="shared" si="19"/>
        <v>0</v>
      </c>
      <c r="AB79" s="947">
        <f t="shared" si="19"/>
        <v>0</v>
      </c>
      <c r="AC79" s="947">
        <f t="shared" si="19"/>
        <v>0</v>
      </c>
      <c r="AD79" s="947">
        <f t="shared" si="19"/>
        <v>0</v>
      </c>
      <c r="AE79" s="947">
        <f t="shared" si="19"/>
        <v>0</v>
      </c>
      <c r="AF79" s="948">
        <f t="shared" si="19"/>
        <v>0</v>
      </c>
      <c r="AG79" s="307"/>
      <c r="AH79" s="566"/>
    </row>
    <row r="80" spans="1:34" s="620" customFormat="1">
      <c r="A80" s="951"/>
      <c r="B80" s="951">
        <v>2040101</v>
      </c>
      <c r="C80" s="1812">
        <v>0.1</v>
      </c>
      <c r="D80" s="1816" t="s">
        <v>603</v>
      </c>
      <c r="E80" s="929">
        <f>'11.2. Нови активи отч.год.'!E81</f>
        <v>0</v>
      </c>
      <c r="F80" s="987">
        <f>($F31*$C80)/$E$6</f>
        <v>0</v>
      </c>
      <c r="G80" s="988">
        <f>($F31*$C80)+($G31*$C80)/$E$6</f>
        <v>0</v>
      </c>
      <c r="H80" s="988">
        <f>($F31*$C80)+($G31*$C80)+($H31*$C80)/$E$6</f>
        <v>0</v>
      </c>
      <c r="I80" s="988">
        <f>($F31*$C80)+($G31*$C80)+($H31*$C80)+($I31*$C80)/$E$6</f>
        <v>0</v>
      </c>
      <c r="J80" s="988">
        <f>($F31*$C80)+($G31*$C80)+($H31*$C80)+($I31*$C80)+($J31*$C80)/$E$6</f>
        <v>0</v>
      </c>
      <c r="K80" s="989">
        <f>($F31*$C80)+($G31*$C80)+($H31*$C80)+($I31*$C80)+($J31*$C80)+($K31*$C80)/$E$6</f>
        <v>0</v>
      </c>
      <c r="L80" s="929">
        <f>'11.2. Нови активи отч.год.'!L81</f>
        <v>0</v>
      </c>
      <c r="M80" s="990">
        <f>($M31*$C80)/$E$6</f>
        <v>0</v>
      </c>
      <c r="N80" s="988">
        <f>($M31*$C80)+($N31*$C80)/$E$6</f>
        <v>0</v>
      </c>
      <c r="O80" s="988">
        <f>($M31*$C80)+($N31*$C80)+($O31*$C80)/$E$6</f>
        <v>0</v>
      </c>
      <c r="P80" s="988">
        <f>($M31*$C80)+($N31*$C80)+($O31*$C80)+($P31*$C80)/$E$6</f>
        <v>0</v>
      </c>
      <c r="Q80" s="989">
        <f>($M31*$C80)+($N31*$C80)+($O31*$C80)+($P31*$C80)+($Q31*$C80)/$E$6</f>
        <v>0</v>
      </c>
      <c r="R80" s="991">
        <f>($M31*$C80)+($N31*$C80)+($O31*$C80)+($P31*$C80)+($Q31*$C80)+($R31*$C80)/$E$6</f>
        <v>0</v>
      </c>
      <c r="S80" s="1731">
        <f>'11.2. Нови активи отч.год.'!S81</f>
        <v>0</v>
      </c>
      <c r="T80" s="2918">
        <f>($T31*$C80)/$E$6</f>
        <v>0</v>
      </c>
      <c r="U80" s="988">
        <f>($T31*$C80)+($U31*$C80)/$E$6</f>
        <v>0</v>
      </c>
      <c r="V80" s="988">
        <f>($T31*$C80)+($U31*$C80)+($V31*$C80)/$E$6</f>
        <v>0</v>
      </c>
      <c r="W80" s="988">
        <f>($T31*$C80)+($U31*$C80)+($V31*$C80)+($W31*$C80)/$E$6</f>
        <v>0</v>
      </c>
      <c r="X80" s="988">
        <f>($T31*$C80)+($U31*$C80)+($V31*$C80)+($W31*$C80)+($X31*$C80)/$E$6</f>
        <v>0</v>
      </c>
      <c r="Y80" s="989">
        <f>($T31*$C80)+($U31*$C80)+($V31*$C80)+($W31*$C80)+($X31*$C80)+($Y31*$C80)/$E$6</f>
        <v>0</v>
      </c>
      <c r="Z80" s="1731">
        <f>'11.2. Нови активи отч.год.'!Z81</f>
        <v>0</v>
      </c>
      <c r="AA80" s="990">
        <f>($AA31*$C80)/$E$6</f>
        <v>0</v>
      </c>
      <c r="AB80" s="988">
        <f>($AA31*$C80)+($AB31*$C80)/$E$6</f>
        <v>0</v>
      </c>
      <c r="AC80" s="988">
        <f>($AA31*$C80)+($AB31*$C80)+($AC31*$C80)/$E$6</f>
        <v>0</v>
      </c>
      <c r="AD80" s="988">
        <f>($AA31*$C80)+($AB31*$C80)+($AC31*$C80)+($AD31*$C80)/$E$6</f>
        <v>0</v>
      </c>
      <c r="AE80" s="988">
        <f>($AA31*$C80)+($AB31*$C80)+($AC31*$C80)+($AD31*$C80)+($AE31*$C80)/$E$6</f>
        <v>0</v>
      </c>
      <c r="AF80" s="991">
        <f>($AA31*$C80)+($AB31*$C80)+($AC31*$C80)+($AD31*$C80)+($AE31*$C80)+($AF31*$C80)/$E$6</f>
        <v>0</v>
      </c>
      <c r="AG80" s="618"/>
      <c r="AH80" s="619"/>
    </row>
    <row r="81" spans="1:34" s="620" customFormat="1">
      <c r="A81" s="951"/>
      <c r="B81" s="951">
        <v>2040102</v>
      </c>
      <c r="C81" s="1812">
        <v>0.04</v>
      </c>
      <c r="D81" s="1816" t="s">
        <v>604</v>
      </c>
      <c r="E81" s="929">
        <f>'11.2. Нови активи отч.год.'!E82</f>
        <v>0</v>
      </c>
      <c r="F81" s="987">
        <f>($F32*$C81)/$E$6</f>
        <v>0</v>
      </c>
      <c r="G81" s="988">
        <f>($F32*$C81)+($G32*$C81)/$E$6</f>
        <v>0</v>
      </c>
      <c r="H81" s="988">
        <f>($F32*$C81)+($G32*$C81)+($H32*$C81)/$E$6</f>
        <v>0</v>
      </c>
      <c r="I81" s="988">
        <f>($F32*$C81)+($G32*$C81)+($H32*$C81)+($I32*$C81)/$E$6</f>
        <v>0</v>
      </c>
      <c r="J81" s="988">
        <f>($F32*$C81)+($G32*$C81)+($H32*$C81)+($I32*$C81)+($J32*$C81)/$E$6</f>
        <v>0</v>
      </c>
      <c r="K81" s="989">
        <f>($F32*$C81)+($G32*$C81)+($H32*$C81)+($I32*$C81)+($J32*$C81)+($K32*$C81)/$E$6</f>
        <v>0</v>
      </c>
      <c r="L81" s="929">
        <f>'11.2. Нови активи отч.год.'!L82</f>
        <v>0</v>
      </c>
      <c r="M81" s="990">
        <f>($M32*$C81)/$E$6</f>
        <v>0</v>
      </c>
      <c r="N81" s="988">
        <f>($M32*$C81)+($N32*$C81)/$E$6</f>
        <v>0</v>
      </c>
      <c r="O81" s="988">
        <f>($M32*$C81)+($N32*$C81)+($O32*$C81)/$E$6</f>
        <v>0</v>
      </c>
      <c r="P81" s="988">
        <f>($M32*$C81)+($N32*$C81)+($O32*$C81)+($P32*$C81)/$E$6</f>
        <v>0</v>
      </c>
      <c r="Q81" s="989">
        <f>($M32*$C81)+($N32*$C81)+($O32*$C81)+($P32*$C81)+($Q32*$C81)/$E$6</f>
        <v>0</v>
      </c>
      <c r="R81" s="991">
        <f>($M32*$C81)+($N32*$C81)+($O32*$C81)+($P32*$C81)+($Q32*$C81)+($R32*$C81)/$E$6</f>
        <v>0</v>
      </c>
      <c r="S81" s="1731">
        <f>'11.2. Нови активи отч.год.'!S82</f>
        <v>0</v>
      </c>
      <c r="T81" s="2918">
        <f>($T32*$C81)/$E$6</f>
        <v>0</v>
      </c>
      <c r="U81" s="988">
        <f>($T32*$C81)+($U32*$C81)/$E$6</f>
        <v>0</v>
      </c>
      <c r="V81" s="988">
        <f>($T32*$C81)+($U32*$C81)+($V32*$C81)/$E$6</f>
        <v>0</v>
      </c>
      <c r="W81" s="988">
        <f>($T32*$C81)+($U32*$C81)+($V32*$C81)+($W32*$C81)/$E$6</f>
        <v>0</v>
      </c>
      <c r="X81" s="988">
        <f>($T32*$C81)+($U32*$C81)+($V32*$C81)+($W32*$C81)+($X32*$C81)/$E$6</f>
        <v>0</v>
      </c>
      <c r="Y81" s="989">
        <f>($T32*$C81)+($U32*$C81)+($V32*$C81)+($W32*$C81)+($X32*$C81)+($Y32*$C81)/$E$6</f>
        <v>0</v>
      </c>
      <c r="Z81" s="1731">
        <f>'11.2. Нови активи отч.год.'!Z82</f>
        <v>0</v>
      </c>
      <c r="AA81" s="990">
        <f>($AA32*$C81)/$E$6</f>
        <v>0</v>
      </c>
      <c r="AB81" s="988">
        <f>($AA32*$C81)+($AB32*$C81)/$E$6</f>
        <v>0</v>
      </c>
      <c r="AC81" s="988">
        <f>($AA32*$C81)+($AB32*$C81)+($AC32*$C81)/$E$6</f>
        <v>0</v>
      </c>
      <c r="AD81" s="988">
        <f>($AA32*$C81)+($AB32*$C81)+($AC32*$C81)+($AD32*$C81)/$E$6</f>
        <v>0</v>
      </c>
      <c r="AE81" s="988">
        <f>($AA32*$C81)+($AB32*$C81)+($AC32*$C81)+($AD32*$C81)+($AE32*$C81)/$E$6</f>
        <v>0</v>
      </c>
      <c r="AF81" s="991">
        <f>($AA32*$C81)+($AB32*$C81)+($AC32*$C81)+($AD32*$C81)+($AE32*$C81)+($AF32*$C81)/$E$6</f>
        <v>0</v>
      </c>
      <c r="AG81" s="618"/>
      <c r="AH81" s="619"/>
    </row>
    <row r="82" spans="1:34">
      <c r="A82" s="278"/>
      <c r="B82" s="278">
        <v>20402</v>
      </c>
      <c r="C82" s="1636"/>
      <c r="D82" s="1637" t="s">
        <v>605</v>
      </c>
      <c r="E82" s="945">
        <f>SUM(E83:E90)</f>
        <v>0</v>
      </c>
      <c r="F82" s="946">
        <f t="shared" ref="F82:AF82" si="20">SUM(F83:F90)</f>
        <v>28.799999999999997</v>
      </c>
      <c r="G82" s="947">
        <f t="shared" si="20"/>
        <v>60.063344399999998</v>
      </c>
      <c r="H82" s="947">
        <f t="shared" si="20"/>
        <v>71.173355466666663</v>
      </c>
      <c r="I82" s="947">
        <f t="shared" si="20"/>
        <v>90.610022133333331</v>
      </c>
      <c r="J82" s="947">
        <f t="shared" si="20"/>
        <v>112.78002213333333</v>
      </c>
      <c r="K82" s="986">
        <f t="shared" si="20"/>
        <v>138.09002213333332</v>
      </c>
      <c r="L82" s="949">
        <f t="shared" si="20"/>
        <v>0</v>
      </c>
      <c r="M82" s="946">
        <f t="shared" si="20"/>
        <v>0.44</v>
      </c>
      <c r="N82" s="947">
        <f t="shared" si="20"/>
        <v>1.04</v>
      </c>
      <c r="O82" s="947">
        <f t="shared" si="20"/>
        <v>2.7</v>
      </c>
      <c r="P82" s="947">
        <f t="shared" si="20"/>
        <v>5.6999999999999993</v>
      </c>
      <c r="Q82" s="947">
        <f t="shared" si="20"/>
        <v>8.4</v>
      </c>
      <c r="R82" s="948">
        <f t="shared" si="20"/>
        <v>10.5</v>
      </c>
      <c r="S82" s="949">
        <f t="shared" si="20"/>
        <v>0</v>
      </c>
      <c r="T82" s="950">
        <f t="shared" si="20"/>
        <v>2.2000000000000002</v>
      </c>
      <c r="U82" s="947">
        <f t="shared" si="20"/>
        <v>6.4</v>
      </c>
      <c r="V82" s="947">
        <f t="shared" si="20"/>
        <v>11.8</v>
      </c>
      <c r="W82" s="947">
        <f t="shared" si="20"/>
        <v>18.599999999999998</v>
      </c>
      <c r="X82" s="947">
        <f t="shared" si="20"/>
        <v>25.4</v>
      </c>
      <c r="Y82" s="948">
        <f t="shared" si="20"/>
        <v>32.200000000000003</v>
      </c>
      <c r="Z82" s="949">
        <f t="shared" si="20"/>
        <v>0</v>
      </c>
      <c r="AA82" s="950">
        <f t="shared" si="20"/>
        <v>0</v>
      </c>
      <c r="AB82" s="947">
        <f t="shared" si="20"/>
        <v>0</v>
      </c>
      <c r="AC82" s="947">
        <f t="shared" si="20"/>
        <v>0</v>
      </c>
      <c r="AD82" s="947">
        <f t="shared" si="20"/>
        <v>0</v>
      </c>
      <c r="AE82" s="947">
        <f t="shared" si="20"/>
        <v>0</v>
      </c>
      <c r="AF82" s="948">
        <f t="shared" si="20"/>
        <v>0</v>
      </c>
      <c r="AG82" s="307"/>
      <c r="AH82" s="566"/>
    </row>
    <row r="83" spans="1:34" s="620" customFormat="1">
      <c r="A83" s="951"/>
      <c r="B83" s="951">
        <v>2040201</v>
      </c>
      <c r="C83" s="1814">
        <v>0.02</v>
      </c>
      <c r="D83" s="1813" t="s">
        <v>1007</v>
      </c>
      <c r="E83" s="929">
        <f>'11.2. Нови активи отч.год.'!E84</f>
        <v>0</v>
      </c>
      <c r="F83" s="987">
        <f t="shared" ref="F83:F90" si="21">($F34*$C83)/$E$6</f>
        <v>0</v>
      </c>
      <c r="G83" s="988">
        <f t="shared" ref="G83:G90" si="22">($F34*$C83)+($G34*$C83)/$E$6</f>
        <v>0</v>
      </c>
      <c r="H83" s="988">
        <f t="shared" ref="H83:H90" si="23">($F34*$C83)+($G34*$C83)+($H34*$C83)/$E$6</f>
        <v>0</v>
      </c>
      <c r="I83" s="988">
        <f t="shared" ref="I83:I90" si="24">($F34*$C83)+($G34*$C83)+($H34*$C83)+($I34*$C83)/$E$6</f>
        <v>0</v>
      </c>
      <c r="J83" s="988">
        <f t="shared" ref="J83:J90" si="25">($F34*$C83)+($G34*$C83)+($H34*$C83)+($I34*$C83)+($J34*$C83)/$E$6</f>
        <v>0</v>
      </c>
      <c r="K83" s="989">
        <f t="shared" ref="K83:K90" si="26">($F34*$C83)+($G34*$C83)+($H34*$C83)+($I34*$C83)+($J34*$C83)+($K34*$C83)/$E$6</f>
        <v>0</v>
      </c>
      <c r="L83" s="929">
        <f>'11.2. Нови активи отч.год.'!L84</f>
        <v>0</v>
      </c>
      <c r="M83" s="990">
        <f t="shared" ref="M83:M90" si="27">($M34*$C83)/$E$6</f>
        <v>0</v>
      </c>
      <c r="N83" s="988">
        <f t="shared" ref="N83:N90" si="28">($M34*$C83)+($N34*$C83)/$E$6</f>
        <v>0</v>
      </c>
      <c r="O83" s="988">
        <f t="shared" ref="O83:O90" si="29">($M34*$C83)+($N34*$C83)+($O34*$C83)/$E$6</f>
        <v>0</v>
      </c>
      <c r="P83" s="988">
        <f t="shared" ref="P83:P90" si="30">($M34*$C83)+($N34*$C83)+($O34*$C83)+($P34*$C83)/$E$6</f>
        <v>0</v>
      </c>
      <c r="Q83" s="989">
        <f t="shared" ref="Q83:Q90" si="31">($M34*$C83)+($N34*$C83)+($O34*$C83)+($P34*$C83)+($Q34*$C83)/$E$6</f>
        <v>0</v>
      </c>
      <c r="R83" s="991">
        <f t="shared" ref="R83:R90" si="32">($M34*$C83)+($N34*$C83)+($O34*$C83)+($P34*$C83)+($Q34*$C83)+($R34*$C83)/$E$6</f>
        <v>0</v>
      </c>
      <c r="S83" s="1731">
        <f>'11.2. Нови активи отч.год.'!S84</f>
        <v>0</v>
      </c>
      <c r="T83" s="2918">
        <f t="shared" ref="T83:T90" si="33">($T34*$C83)/$E$6</f>
        <v>0</v>
      </c>
      <c r="U83" s="988">
        <f t="shared" ref="U83:U90" si="34">($T34*$C83)+($U34*$C83)/$E$6</f>
        <v>0</v>
      </c>
      <c r="V83" s="988">
        <f t="shared" ref="V83:V90" si="35">($T34*$C83)+($U34*$C83)+($V34*$C83)/$E$6</f>
        <v>0</v>
      </c>
      <c r="W83" s="988">
        <f t="shared" ref="W83:W90" si="36">($T34*$C83)+($U34*$C83)+($V34*$C83)+($W34*$C83)/$E$6</f>
        <v>0</v>
      </c>
      <c r="X83" s="988">
        <f t="shared" ref="X83:X90" si="37">($T34*$C83)+($U34*$C83)+($V34*$C83)+($W34*$C83)+($X34*$C83)/$E$6</f>
        <v>0</v>
      </c>
      <c r="Y83" s="989">
        <f t="shared" ref="Y83:Y90" si="38">($T34*$C83)+($U34*$C83)+($V34*$C83)+($W34*$C83)+($X34*$C83)+($Y34*$C83)/$E$6</f>
        <v>0</v>
      </c>
      <c r="Z83" s="1731">
        <f>'11.2. Нови активи отч.год.'!Z84</f>
        <v>0</v>
      </c>
      <c r="AA83" s="990">
        <f t="shared" ref="AA83:AA90" si="39">($AA34*$C83)/$E$6</f>
        <v>0</v>
      </c>
      <c r="AB83" s="988">
        <f t="shared" ref="AB83:AB90" si="40">($AA34*$C83)+($AB34*$C83)/$E$6</f>
        <v>0</v>
      </c>
      <c r="AC83" s="988">
        <f t="shared" ref="AC83:AC90" si="41">($AA34*$C83)+($AB34*$C83)+($AC34*$C83)/$E$6</f>
        <v>0</v>
      </c>
      <c r="AD83" s="988">
        <f t="shared" ref="AD83:AD90" si="42">($AA34*$C83)+($AB34*$C83)+($AC34*$C83)+($AD34*$C83)/$E$6</f>
        <v>0</v>
      </c>
      <c r="AE83" s="988">
        <f t="shared" ref="AE83:AE90" si="43">($AA34*$C83)+($AB34*$C83)+($AC34*$C83)+($AD34*$C83)+($AE34*$C83)/$E$6</f>
        <v>0</v>
      </c>
      <c r="AF83" s="991">
        <f t="shared" ref="AF83:AF90" si="44">($AA34*$C83)+($AB34*$C83)+($AC34*$C83)+($AD34*$C83)+($AE34*$C83)+($AF34*$C83)/$E$6</f>
        <v>0</v>
      </c>
      <c r="AG83" s="618"/>
      <c r="AH83" s="619"/>
    </row>
    <row r="84" spans="1:34" s="620" customFormat="1">
      <c r="A84" s="951"/>
      <c r="B84" s="951">
        <v>2040202</v>
      </c>
      <c r="C84" s="1814">
        <v>0.02</v>
      </c>
      <c r="D84" s="1813" t="s">
        <v>1008</v>
      </c>
      <c r="E84" s="929">
        <f>'11.2. Нови активи отч.год.'!E85</f>
        <v>0</v>
      </c>
      <c r="F84" s="987">
        <f t="shared" si="21"/>
        <v>0</v>
      </c>
      <c r="G84" s="988">
        <f t="shared" si="22"/>
        <v>0.41000000000000003</v>
      </c>
      <c r="H84" s="988">
        <f t="shared" si="23"/>
        <v>1.42</v>
      </c>
      <c r="I84" s="988">
        <f t="shared" si="24"/>
        <v>2.62</v>
      </c>
      <c r="J84" s="988">
        <f t="shared" si="25"/>
        <v>3.7199999999999998</v>
      </c>
      <c r="K84" s="989">
        <f t="shared" si="26"/>
        <v>4.72</v>
      </c>
      <c r="L84" s="929">
        <f>'11.2. Нови активи отч.год.'!L85</f>
        <v>0</v>
      </c>
      <c r="M84" s="990">
        <f t="shared" si="27"/>
        <v>0</v>
      </c>
      <c r="N84" s="988">
        <f t="shared" si="28"/>
        <v>0</v>
      </c>
      <c r="O84" s="988">
        <f t="shared" si="29"/>
        <v>0</v>
      </c>
      <c r="P84" s="988">
        <f t="shared" si="30"/>
        <v>0</v>
      </c>
      <c r="Q84" s="989">
        <f t="shared" si="31"/>
        <v>0</v>
      </c>
      <c r="R84" s="991">
        <f t="shared" si="32"/>
        <v>0</v>
      </c>
      <c r="S84" s="1731">
        <f>'11.2. Нови активи отч.год.'!S85</f>
        <v>0</v>
      </c>
      <c r="T84" s="2918">
        <f t="shared" si="33"/>
        <v>0</v>
      </c>
      <c r="U84" s="988">
        <f t="shared" si="34"/>
        <v>0</v>
      </c>
      <c r="V84" s="988">
        <f t="shared" si="35"/>
        <v>0</v>
      </c>
      <c r="W84" s="988">
        <f t="shared" si="36"/>
        <v>0</v>
      </c>
      <c r="X84" s="988">
        <f t="shared" si="37"/>
        <v>0</v>
      </c>
      <c r="Y84" s="989">
        <f t="shared" si="38"/>
        <v>0</v>
      </c>
      <c r="Z84" s="1731">
        <f>'11.2. Нови активи отч.год.'!Z85</f>
        <v>0</v>
      </c>
      <c r="AA84" s="990">
        <f t="shared" si="39"/>
        <v>0</v>
      </c>
      <c r="AB84" s="988">
        <f t="shared" si="40"/>
        <v>0</v>
      </c>
      <c r="AC84" s="988">
        <f t="shared" si="41"/>
        <v>0</v>
      </c>
      <c r="AD84" s="988">
        <f t="shared" si="42"/>
        <v>0</v>
      </c>
      <c r="AE84" s="988">
        <f t="shared" si="43"/>
        <v>0</v>
      </c>
      <c r="AF84" s="991">
        <f t="shared" si="44"/>
        <v>0</v>
      </c>
      <c r="AG84" s="618"/>
      <c r="AH84" s="619"/>
    </row>
    <row r="85" spans="1:34" s="620" customFormat="1">
      <c r="A85" s="951"/>
      <c r="B85" s="951">
        <v>2040203</v>
      </c>
      <c r="C85" s="1814">
        <v>0.02</v>
      </c>
      <c r="D85" s="1813" t="s">
        <v>590</v>
      </c>
      <c r="E85" s="929">
        <f>'11.2. Нови активи отч.год.'!E86</f>
        <v>0</v>
      </c>
      <c r="F85" s="987">
        <f t="shared" si="21"/>
        <v>0</v>
      </c>
      <c r="G85" s="988">
        <f t="shared" si="22"/>
        <v>0</v>
      </c>
      <c r="H85" s="988">
        <f t="shared" si="23"/>
        <v>0</v>
      </c>
      <c r="I85" s="988">
        <f t="shared" si="24"/>
        <v>0</v>
      </c>
      <c r="J85" s="988">
        <f t="shared" si="25"/>
        <v>0</v>
      </c>
      <c r="K85" s="989">
        <f t="shared" si="26"/>
        <v>0</v>
      </c>
      <c r="L85" s="929">
        <f>'11.2. Нови активи отч.год.'!L86</f>
        <v>0</v>
      </c>
      <c r="M85" s="990">
        <f t="shared" si="27"/>
        <v>0</v>
      </c>
      <c r="N85" s="988">
        <f t="shared" si="28"/>
        <v>0</v>
      </c>
      <c r="O85" s="988">
        <f t="shared" si="29"/>
        <v>0</v>
      </c>
      <c r="P85" s="988">
        <f t="shared" si="30"/>
        <v>0</v>
      </c>
      <c r="Q85" s="989">
        <f t="shared" si="31"/>
        <v>0</v>
      </c>
      <c r="R85" s="991">
        <f t="shared" si="32"/>
        <v>0</v>
      </c>
      <c r="S85" s="1731">
        <f>'11.2. Нови активи отч.год.'!S86</f>
        <v>0</v>
      </c>
      <c r="T85" s="2918">
        <f t="shared" si="33"/>
        <v>0</v>
      </c>
      <c r="U85" s="988">
        <f t="shared" si="34"/>
        <v>0</v>
      </c>
      <c r="V85" s="988">
        <f t="shared" si="35"/>
        <v>0</v>
      </c>
      <c r="W85" s="988">
        <f t="shared" si="36"/>
        <v>0</v>
      </c>
      <c r="X85" s="988">
        <f t="shared" si="37"/>
        <v>0</v>
      </c>
      <c r="Y85" s="989">
        <f t="shared" si="38"/>
        <v>0</v>
      </c>
      <c r="Z85" s="1731">
        <f>'11.2. Нови активи отч.год.'!Z86</f>
        <v>0</v>
      </c>
      <c r="AA85" s="990">
        <f t="shared" si="39"/>
        <v>0</v>
      </c>
      <c r="AB85" s="988">
        <f t="shared" si="40"/>
        <v>0</v>
      </c>
      <c r="AC85" s="988">
        <f t="shared" si="41"/>
        <v>0</v>
      </c>
      <c r="AD85" s="988">
        <f t="shared" si="42"/>
        <v>0</v>
      </c>
      <c r="AE85" s="988">
        <f t="shared" si="43"/>
        <v>0</v>
      </c>
      <c r="AF85" s="991">
        <f t="shared" si="44"/>
        <v>0</v>
      </c>
      <c r="AG85" s="618"/>
      <c r="AH85" s="619"/>
    </row>
    <row r="86" spans="1:34" s="620" customFormat="1">
      <c r="A86" s="951"/>
      <c r="B86" s="951">
        <v>2040204</v>
      </c>
      <c r="C86" s="1814">
        <v>0.02</v>
      </c>
      <c r="D86" s="1816" t="s">
        <v>591</v>
      </c>
      <c r="E86" s="929">
        <f>'11.2. Нови активи отч.год.'!E87</f>
        <v>0</v>
      </c>
      <c r="F86" s="987">
        <f t="shared" si="21"/>
        <v>1.72</v>
      </c>
      <c r="G86" s="988">
        <f t="shared" si="22"/>
        <v>3.99</v>
      </c>
      <c r="H86" s="988">
        <f t="shared" si="23"/>
        <v>4.9400000000000004</v>
      </c>
      <c r="I86" s="988">
        <f t="shared" si="24"/>
        <v>5.54</v>
      </c>
      <c r="J86" s="988">
        <f t="shared" si="25"/>
        <v>5.8900000000000006</v>
      </c>
      <c r="K86" s="989">
        <f t="shared" si="26"/>
        <v>6.19</v>
      </c>
      <c r="L86" s="929">
        <f>'11.2. Нови активи отч.год.'!L87</f>
        <v>0</v>
      </c>
      <c r="M86" s="990">
        <f t="shared" si="27"/>
        <v>0</v>
      </c>
      <c r="N86" s="988">
        <f t="shared" si="28"/>
        <v>0</v>
      </c>
      <c r="O86" s="988">
        <f t="shared" si="29"/>
        <v>0</v>
      </c>
      <c r="P86" s="988">
        <f t="shared" si="30"/>
        <v>0</v>
      </c>
      <c r="Q86" s="989">
        <f t="shared" si="31"/>
        <v>0</v>
      </c>
      <c r="R86" s="991">
        <f t="shared" si="32"/>
        <v>0</v>
      </c>
      <c r="S86" s="1731">
        <f>'11.2. Нови активи отч.год.'!S87</f>
        <v>0</v>
      </c>
      <c r="T86" s="2918">
        <f t="shared" si="33"/>
        <v>0</v>
      </c>
      <c r="U86" s="988">
        <f t="shared" si="34"/>
        <v>0</v>
      </c>
      <c r="V86" s="988">
        <f t="shared" si="35"/>
        <v>0</v>
      </c>
      <c r="W86" s="988">
        <f t="shared" si="36"/>
        <v>0</v>
      </c>
      <c r="X86" s="988">
        <f t="shared" si="37"/>
        <v>0</v>
      </c>
      <c r="Y86" s="989">
        <f t="shared" si="38"/>
        <v>0</v>
      </c>
      <c r="Z86" s="1731">
        <f>'11.2. Нови активи отч.год.'!Z87</f>
        <v>0</v>
      </c>
      <c r="AA86" s="990">
        <f t="shared" si="39"/>
        <v>0</v>
      </c>
      <c r="AB86" s="988">
        <f t="shared" si="40"/>
        <v>0</v>
      </c>
      <c r="AC86" s="988">
        <f t="shared" si="41"/>
        <v>0</v>
      </c>
      <c r="AD86" s="988">
        <f t="shared" si="42"/>
        <v>0</v>
      </c>
      <c r="AE86" s="988">
        <f t="shared" si="43"/>
        <v>0</v>
      </c>
      <c r="AF86" s="991">
        <f t="shared" si="44"/>
        <v>0</v>
      </c>
      <c r="AG86" s="618"/>
      <c r="AH86" s="619"/>
    </row>
    <row r="87" spans="1:34" s="620" customFormat="1">
      <c r="A87" s="951"/>
      <c r="B87" s="951">
        <v>2040205</v>
      </c>
      <c r="C87" s="1814">
        <v>0.02</v>
      </c>
      <c r="D87" s="1813" t="s">
        <v>592</v>
      </c>
      <c r="E87" s="929">
        <f>'11.2. Нови активи отч.год.'!E88</f>
        <v>0</v>
      </c>
      <c r="F87" s="987">
        <f t="shared" si="21"/>
        <v>19</v>
      </c>
      <c r="G87" s="988">
        <f t="shared" si="22"/>
        <v>38.634999999999998</v>
      </c>
      <c r="H87" s="988">
        <f t="shared" si="23"/>
        <v>45.81666666666667</v>
      </c>
      <c r="I87" s="988">
        <f t="shared" si="24"/>
        <v>60.933333333333337</v>
      </c>
      <c r="J87" s="988">
        <f t="shared" si="25"/>
        <v>78.933333333333337</v>
      </c>
      <c r="K87" s="989">
        <f t="shared" si="26"/>
        <v>100.14333333333333</v>
      </c>
      <c r="L87" s="929">
        <f>'11.2. Нови активи отч.год.'!L88</f>
        <v>0</v>
      </c>
      <c r="M87" s="990">
        <f t="shared" si="27"/>
        <v>0</v>
      </c>
      <c r="N87" s="988">
        <f t="shared" si="28"/>
        <v>0</v>
      </c>
      <c r="O87" s="988">
        <f t="shared" si="29"/>
        <v>0</v>
      </c>
      <c r="P87" s="988">
        <f t="shared" si="30"/>
        <v>0</v>
      </c>
      <c r="Q87" s="989">
        <f t="shared" si="31"/>
        <v>0</v>
      </c>
      <c r="R87" s="991">
        <f t="shared" si="32"/>
        <v>0</v>
      </c>
      <c r="S87" s="1731">
        <f>'11.2. Нови активи отч.год.'!S88</f>
        <v>0</v>
      </c>
      <c r="T87" s="2918">
        <f t="shared" si="33"/>
        <v>0</v>
      </c>
      <c r="U87" s="988">
        <f t="shared" si="34"/>
        <v>0</v>
      </c>
      <c r="V87" s="988">
        <f t="shared" si="35"/>
        <v>0</v>
      </c>
      <c r="W87" s="988">
        <f t="shared" si="36"/>
        <v>0</v>
      </c>
      <c r="X87" s="988">
        <f t="shared" si="37"/>
        <v>0</v>
      </c>
      <c r="Y87" s="989">
        <f t="shared" si="38"/>
        <v>0</v>
      </c>
      <c r="Z87" s="1731">
        <f>'11.2. Нови активи отч.год.'!Z88</f>
        <v>0</v>
      </c>
      <c r="AA87" s="990">
        <f t="shared" si="39"/>
        <v>0</v>
      </c>
      <c r="AB87" s="988">
        <f t="shared" si="40"/>
        <v>0</v>
      </c>
      <c r="AC87" s="988">
        <f t="shared" si="41"/>
        <v>0</v>
      </c>
      <c r="AD87" s="988">
        <f t="shared" si="42"/>
        <v>0</v>
      </c>
      <c r="AE87" s="988">
        <f t="shared" si="43"/>
        <v>0</v>
      </c>
      <c r="AF87" s="991">
        <f t="shared" si="44"/>
        <v>0</v>
      </c>
      <c r="AG87" s="618"/>
      <c r="AH87" s="619"/>
    </row>
    <row r="88" spans="1:34" s="620" customFormat="1">
      <c r="A88" s="951"/>
      <c r="B88" s="951">
        <v>2040206</v>
      </c>
      <c r="C88" s="1814">
        <v>0.02</v>
      </c>
      <c r="D88" s="1813" t="s">
        <v>593</v>
      </c>
      <c r="E88" s="929">
        <f>'11.2. Нови активи отч.год.'!E89</f>
        <v>0</v>
      </c>
      <c r="F88" s="987">
        <f t="shared" si="21"/>
        <v>0</v>
      </c>
      <c r="G88" s="988">
        <f t="shared" si="22"/>
        <v>0</v>
      </c>
      <c r="H88" s="988">
        <f t="shared" si="23"/>
        <v>0</v>
      </c>
      <c r="I88" s="988">
        <f t="shared" si="24"/>
        <v>0</v>
      </c>
      <c r="J88" s="988">
        <f t="shared" si="25"/>
        <v>0</v>
      </c>
      <c r="K88" s="989">
        <f t="shared" si="26"/>
        <v>0</v>
      </c>
      <c r="L88" s="929">
        <f>'11.2. Нови активи отч.год.'!L89</f>
        <v>0</v>
      </c>
      <c r="M88" s="990">
        <f t="shared" si="27"/>
        <v>0.44</v>
      </c>
      <c r="N88" s="988">
        <f t="shared" si="28"/>
        <v>1.04</v>
      </c>
      <c r="O88" s="988">
        <f t="shared" si="29"/>
        <v>2.1</v>
      </c>
      <c r="P88" s="988">
        <f t="shared" si="30"/>
        <v>3.9</v>
      </c>
      <c r="Q88" s="989">
        <f t="shared" si="31"/>
        <v>5.7</v>
      </c>
      <c r="R88" s="991">
        <f t="shared" si="32"/>
        <v>7.5</v>
      </c>
      <c r="S88" s="1731">
        <f>'11.2. Нови активи отч.год.'!S89</f>
        <v>0</v>
      </c>
      <c r="T88" s="2918">
        <f t="shared" si="33"/>
        <v>0</v>
      </c>
      <c r="U88" s="988">
        <f t="shared" si="34"/>
        <v>0</v>
      </c>
      <c r="V88" s="988">
        <f t="shared" si="35"/>
        <v>0</v>
      </c>
      <c r="W88" s="988">
        <f t="shared" si="36"/>
        <v>0</v>
      </c>
      <c r="X88" s="988">
        <f t="shared" si="37"/>
        <v>0</v>
      </c>
      <c r="Y88" s="989">
        <f t="shared" si="38"/>
        <v>0</v>
      </c>
      <c r="Z88" s="1731">
        <f>'11.2. Нови активи отч.год.'!Z89</f>
        <v>0</v>
      </c>
      <c r="AA88" s="990">
        <f t="shared" si="39"/>
        <v>0</v>
      </c>
      <c r="AB88" s="988">
        <f t="shared" si="40"/>
        <v>0</v>
      </c>
      <c r="AC88" s="988">
        <f t="shared" si="41"/>
        <v>0</v>
      </c>
      <c r="AD88" s="988">
        <f t="shared" si="42"/>
        <v>0</v>
      </c>
      <c r="AE88" s="988">
        <f t="shared" si="43"/>
        <v>0</v>
      </c>
      <c r="AF88" s="991">
        <f t="shared" si="44"/>
        <v>0</v>
      </c>
      <c r="AG88" s="618"/>
      <c r="AH88" s="619"/>
    </row>
    <row r="89" spans="1:34" s="620" customFormat="1" ht="24">
      <c r="A89" s="951"/>
      <c r="B89" s="951">
        <v>2040207</v>
      </c>
      <c r="C89" s="1814">
        <v>0.04</v>
      </c>
      <c r="D89" s="1813" t="s">
        <v>594</v>
      </c>
      <c r="E89" s="929">
        <f>'11.2. Нови активи отч.год.'!E90</f>
        <v>0</v>
      </c>
      <c r="F89" s="987">
        <f t="shared" si="21"/>
        <v>8.08</v>
      </c>
      <c r="G89" s="988">
        <f t="shared" si="22"/>
        <v>17.028344400000002</v>
      </c>
      <c r="H89" s="988">
        <f t="shared" si="23"/>
        <v>18.996688800000001</v>
      </c>
      <c r="I89" s="988">
        <f t="shared" si="24"/>
        <v>21.516688799999997</v>
      </c>
      <c r="J89" s="988">
        <f t="shared" si="25"/>
        <v>24.2366888</v>
      </c>
      <c r="K89" s="989">
        <f t="shared" si="26"/>
        <v>27.0366888</v>
      </c>
      <c r="L89" s="929">
        <f>'11.2. Нови активи отч.год.'!L90</f>
        <v>0</v>
      </c>
      <c r="M89" s="990">
        <f t="shared" si="27"/>
        <v>0</v>
      </c>
      <c r="N89" s="988">
        <f t="shared" si="28"/>
        <v>0</v>
      </c>
      <c r="O89" s="988">
        <f t="shared" si="29"/>
        <v>0.6</v>
      </c>
      <c r="P89" s="988">
        <f t="shared" si="30"/>
        <v>1.7999999999999998</v>
      </c>
      <c r="Q89" s="989">
        <f t="shared" si="31"/>
        <v>2.6999999999999997</v>
      </c>
      <c r="R89" s="991">
        <f t="shared" si="32"/>
        <v>3</v>
      </c>
      <c r="S89" s="1731">
        <f>'11.2. Нови активи отч.год.'!S90</f>
        <v>0</v>
      </c>
      <c r="T89" s="2918">
        <f t="shared" si="33"/>
        <v>2.2000000000000002</v>
      </c>
      <c r="U89" s="988">
        <f t="shared" si="34"/>
        <v>6.4</v>
      </c>
      <c r="V89" s="988">
        <f t="shared" si="35"/>
        <v>11.8</v>
      </c>
      <c r="W89" s="988">
        <f t="shared" si="36"/>
        <v>18.599999999999998</v>
      </c>
      <c r="X89" s="988">
        <f t="shared" si="37"/>
        <v>25.4</v>
      </c>
      <c r="Y89" s="989">
        <f t="shared" si="38"/>
        <v>32.200000000000003</v>
      </c>
      <c r="Z89" s="1731">
        <f>'11.2. Нови активи отч.год.'!Z90</f>
        <v>0</v>
      </c>
      <c r="AA89" s="990">
        <f t="shared" si="39"/>
        <v>0</v>
      </c>
      <c r="AB89" s="988">
        <f t="shared" si="40"/>
        <v>0</v>
      </c>
      <c r="AC89" s="988">
        <f t="shared" si="41"/>
        <v>0</v>
      </c>
      <c r="AD89" s="988">
        <f t="shared" si="42"/>
        <v>0</v>
      </c>
      <c r="AE89" s="988">
        <f t="shared" si="43"/>
        <v>0</v>
      </c>
      <c r="AF89" s="991">
        <f t="shared" si="44"/>
        <v>0</v>
      </c>
      <c r="AG89" s="618"/>
      <c r="AH89" s="619"/>
    </row>
    <row r="90" spans="1:34" s="620" customFormat="1">
      <c r="A90" s="951"/>
      <c r="B90" s="951">
        <v>2040208</v>
      </c>
      <c r="C90" s="1814">
        <v>0.04</v>
      </c>
      <c r="D90" s="1813" t="s">
        <v>595</v>
      </c>
      <c r="E90" s="929">
        <f>'11.2. Нови активи отч.год.'!E91</f>
        <v>0</v>
      </c>
      <c r="F90" s="987">
        <f t="shared" si="21"/>
        <v>0</v>
      </c>
      <c r="G90" s="988">
        <f t="shared" si="22"/>
        <v>0</v>
      </c>
      <c r="H90" s="988">
        <f t="shared" si="23"/>
        <v>0</v>
      </c>
      <c r="I90" s="988">
        <f t="shared" si="24"/>
        <v>0</v>
      </c>
      <c r="J90" s="988">
        <f t="shared" si="25"/>
        <v>0</v>
      </c>
      <c r="K90" s="989">
        <f t="shared" si="26"/>
        <v>0</v>
      </c>
      <c r="L90" s="929">
        <f>'11.2. Нови активи отч.год.'!L91</f>
        <v>0</v>
      </c>
      <c r="M90" s="990">
        <f t="shared" si="27"/>
        <v>0</v>
      </c>
      <c r="N90" s="988">
        <f t="shared" si="28"/>
        <v>0</v>
      </c>
      <c r="O90" s="988">
        <f t="shared" si="29"/>
        <v>0</v>
      </c>
      <c r="P90" s="988">
        <f t="shared" si="30"/>
        <v>0</v>
      </c>
      <c r="Q90" s="989">
        <f t="shared" si="31"/>
        <v>0</v>
      </c>
      <c r="R90" s="991">
        <f t="shared" si="32"/>
        <v>0</v>
      </c>
      <c r="S90" s="1731">
        <f>'11.2. Нови активи отч.год.'!S91</f>
        <v>0</v>
      </c>
      <c r="T90" s="2918">
        <f t="shared" si="33"/>
        <v>0</v>
      </c>
      <c r="U90" s="988">
        <f t="shared" si="34"/>
        <v>0</v>
      </c>
      <c r="V90" s="988">
        <f t="shared" si="35"/>
        <v>0</v>
      </c>
      <c r="W90" s="988">
        <f t="shared" si="36"/>
        <v>0</v>
      </c>
      <c r="X90" s="988">
        <f t="shared" si="37"/>
        <v>0</v>
      </c>
      <c r="Y90" s="989">
        <f t="shared" si="38"/>
        <v>0</v>
      </c>
      <c r="Z90" s="1731">
        <f>'11.2. Нови активи отч.год.'!Z91</f>
        <v>0</v>
      </c>
      <c r="AA90" s="990">
        <f t="shared" si="39"/>
        <v>0</v>
      </c>
      <c r="AB90" s="988">
        <f t="shared" si="40"/>
        <v>0</v>
      </c>
      <c r="AC90" s="988">
        <f t="shared" si="41"/>
        <v>0</v>
      </c>
      <c r="AD90" s="988">
        <f t="shared" si="42"/>
        <v>0</v>
      </c>
      <c r="AE90" s="988">
        <f t="shared" si="43"/>
        <v>0</v>
      </c>
      <c r="AF90" s="991">
        <f t="shared" si="44"/>
        <v>0</v>
      </c>
      <c r="AG90" s="618"/>
      <c r="AH90" s="619"/>
    </row>
    <row r="91" spans="1:34">
      <c r="A91" s="278"/>
      <c r="B91" s="1832">
        <v>20403</v>
      </c>
      <c r="C91" s="1833">
        <v>0.04</v>
      </c>
      <c r="D91" s="1821" t="s">
        <v>1524</v>
      </c>
      <c r="E91" s="929">
        <f>'11.2. Нови активи отч.год.'!E92</f>
        <v>0</v>
      </c>
      <c r="F91" s="897">
        <f>($F42*$C91)/$E$6</f>
        <v>0</v>
      </c>
      <c r="G91" s="886">
        <f>($F42*$C91)+($G42*$C91)/$E$6</f>
        <v>0</v>
      </c>
      <c r="H91" s="886">
        <f>($F42*$C91)+($G42*$C91)+($H42*$C91)/$E$6</f>
        <v>0</v>
      </c>
      <c r="I91" s="886">
        <f>($F42*$C91)+($G42*$C91)+($H42*$C91)+($I42*$C91)/$E$6</f>
        <v>0</v>
      </c>
      <c r="J91" s="886">
        <f>($F42*$C91)+($G42*$C91)+($H42*$C91)+($I42*$C91)+($J42*$C91)/$E$6</f>
        <v>0</v>
      </c>
      <c r="K91" s="985">
        <f>($F42*$C91)+($G42*$C91)+($H42*$C91)+($I42*$C91)+($J42*$C91)+($K42*$C91)/$E$6</f>
        <v>0</v>
      </c>
      <c r="L91" s="929">
        <f>'11.2. Нови активи отч.год.'!L92</f>
        <v>0</v>
      </c>
      <c r="M91" s="885">
        <f>($M42*$C91)/$E$6</f>
        <v>0</v>
      </c>
      <c r="N91" s="886">
        <f>($M42*$C91)+($N42*$C91)/$E$6</f>
        <v>0</v>
      </c>
      <c r="O91" s="886">
        <f>($M42*$C91)+($N42*$C91)+($O42*$C91)/$E$6</f>
        <v>0</v>
      </c>
      <c r="P91" s="886">
        <f>($M42*$C91)+($N42*$C91)+($O42*$C91)+($P42*$C91)/$E$6</f>
        <v>0</v>
      </c>
      <c r="Q91" s="985">
        <f>($M42*$C91)+($N42*$C91)+($O42*$C91)+($P42*$C91)+($Q42*$C91)/$E$6</f>
        <v>0</v>
      </c>
      <c r="R91" s="887">
        <f>($M42*$C91)+($N42*$C91)+($O42*$C91)+($P42*$C91)+($Q42*$C91)+($R42*$C91)/$E$6</f>
        <v>0</v>
      </c>
      <c r="S91" s="1731">
        <f>'11.2. Нови активи отч.год.'!S92</f>
        <v>0</v>
      </c>
      <c r="T91" s="932">
        <f>($T42*$C91)/$E$6</f>
        <v>0</v>
      </c>
      <c r="U91" s="886">
        <f>($T42*$C91)+($U42*$C91)/$E$6</f>
        <v>0</v>
      </c>
      <c r="V91" s="886">
        <f>($T42*$C91)+($U42*$C91)+($V42*$C91)/$E$6</f>
        <v>0</v>
      </c>
      <c r="W91" s="886">
        <f>($T42*$C91)+($U42*$C91)+($V42*$C91)+($W42*$C91)/$E$6</f>
        <v>0</v>
      </c>
      <c r="X91" s="886">
        <f>($T42*$C91)+($U42*$C91)+($V42*$C91)+($W42*$C91)+($X42*$C91)/$E$6</f>
        <v>0</v>
      </c>
      <c r="Y91" s="985">
        <f>($T42*$C91)+($U42*$C91)+($V42*$C91)+($W42*$C91)+($X42*$C91)+($Y42*$C91)/$E$6</f>
        <v>0</v>
      </c>
      <c r="Z91" s="1731">
        <f>'11.2. Нови активи отч.год.'!Z92</f>
        <v>0</v>
      </c>
      <c r="AA91" s="885">
        <f>($AA42*$C91)/$E$6</f>
        <v>0</v>
      </c>
      <c r="AB91" s="886">
        <f>($AA42*$C91)+($AB42*$C91)/$E$6</f>
        <v>0</v>
      </c>
      <c r="AC91" s="886">
        <f>($AA42*$C91)+($AB42*$C91)+($AC42*$C91)/$E$6</f>
        <v>0</v>
      </c>
      <c r="AD91" s="886">
        <f>($AA42*$C91)+($AB42*$C91)+($AC42*$C91)+($AD42*$C91)/$E$6</f>
        <v>0</v>
      </c>
      <c r="AE91" s="886">
        <f>($AA42*$C91)+($AB42*$C91)+($AC42*$C91)+($AD42*$C91)+($AE42*$C91)/$E$6</f>
        <v>0</v>
      </c>
      <c r="AF91" s="887">
        <f>($AA42*$C91)+($AB42*$C91)+($AC42*$C91)+($AD42*$C91)+($AE42*$C91)+($AF42*$C91)/$E$6</f>
        <v>0</v>
      </c>
      <c r="AG91" s="307"/>
      <c r="AH91" s="566"/>
    </row>
    <row r="92" spans="1:34" ht="25.5">
      <c r="A92" s="278"/>
      <c r="B92" s="1832" t="s">
        <v>1525</v>
      </c>
      <c r="C92" s="1833">
        <v>0.04</v>
      </c>
      <c r="D92" s="1821" t="s">
        <v>1526</v>
      </c>
      <c r="E92" s="929">
        <f>'11.2. Нови активи отч.год.'!E93</f>
        <v>5.3333333333333337E-2</v>
      </c>
      <c r="F92" s="897">
        <f>($F43*$C92)/$E$6</f>
        <v>0</v>
      </c>
      <c r="G92" s="886">
        <f>($F43*$C92)+($G43*$C92)/$E$6</f>
        <v>0</v>
      </c>
      <c r="H92" s="886">
        <f>($F43*$C92)+($G43*$C92)+($H43*$C92)/$E$6</f>
        <v>0</v>
      </c>
      <c r="I92" s="886">
        <f>($F43*$C92)+($G43*$C92)+($H43*$C92)+($I43*$C92)/$E$6</f>
        <v>0</v>
      </c>
      <c r="J92" s="886">
        <f>($F43*$C92)+($G43*$C92)+($H43*$C92)+($I43*$C92)+($J43*$C92)/$E$6</f>
        <v>0</v>
      </c>
      <c r="K92" s="985">
        <f>($F43*$C92)+($G43*$C92)+($H43*$C92)+($I43*$C92)+($J43*$C92)+($K43*$C92)/$E$6</f>
        <v>0</v>
      </c>
      <c r="L92" s="929">
        <f>'11.2. Нови активи отч.год.'!L93</f>
        <v>0</v>
      </c>
      <c r="M92" s="885">
        <f>($M43*$C92)/$E$6</f>
        <v>0</v>
      </c>
      <c r="N92" s="886">
        <f>($M43*$C92)+($N43*$C92)/$E$6</f>
        <v>0</v>
      </c>
      <c r="O92" s="886">
        <f>($M43*$C92)+($N43*$C92)+($O43*$C92)/$E$6</f>
        <v>0</v>
      </c>
      <c r="P92" s="886">
        <f>($M43*$C92)+($N43*$C92)+($O43*$C92)+($P43*$C92)/$E$6</f>
        <v>0</v>
      </c>
      <c r="Q92" s="985">
        <f>($M43*$C92)+($N43*$C92)+($O43*$C92)+($P43*$C92)+($Q43*$C92)/$E$6</f>
        <v>0</v>
      </c>
      <c r="R92" s="887">
        <f>($M43*$C92)+($N43*$C92)+($O43*$C92)+($P43*$C92)+($Q43*$C92)+($R43*$C92)/$E$6</f>
        <v>0</v>
      </c>
      <c r="S92" s="1731">
        <f>'11.2. Нови активи отч.год.'!S93</f>
        <v>0</v>
      </c>
      <c r="T92" s="932">
        <f>($T43*$C92)/$E$6</f>
        <v>0</v>
      </c>
      <c r="U92" s="886">
        <f>($T43*$C92)+($U43*$C92)/$E$6</f>
        <v>0</v>
      </c>
      <c r="V92" s="886">
        <f>($T43*$C92)+($U43*$C92)+($V43*$C92)/$E$6</f>
        <v>0</v>
      </c>
      <c r="W92" s="886">
        <f>($T43*$C92)+($U43*$C92)+($V43*$C92)+($W43*$C92)/$E$6</f>
        <v>0</v>
      </c>
      <c r="X92" s="886">
        <f>($T43*$C92)+($U43*$C92)+($V43*$C92)+($W43*$C92)+($X43*$C92)/$E$6</f>
        <v>0</v>
      </c>
      <c r="Y92" s="985">
        <f>($T43*$C92)+($U43*$C92)+($V43*$C92)+($W43*$C92)+($X43*$C92)+($Y43*$C92)/$E$6</f>
        <v>0</v>
      </c>
      <c r="Z92" s="1731">
        <f>'11.2. Нови активи отч.год.'!Z93</f>
        <v>0</v>
      </c>
      <c r="AA92" s="885">
        <f>($AA43*$C92)/$E$6</f>
        <v>0</v>
      </c>
      <c r="AB92" s="886">
        <f>($AA43*$C92)+($AB43*$C92)/$E$6</f>
        <v>0</v>
      </c>
      <c r="AC92" s="886">
        <f>($AA43*$C92)+($AB43*$C92)+($AC43*$C92)/$E$6</f>
        <v>0</v>
      </c>
      <c r="AD92" s="886">
        <f>($AA43*$C92)+($AB43*$C92)+($AC43*$C92)+($AD43*$C92)/$E$6</f>
        <v>0</v>
      </c>
      <c r="AE92" s="886">
        <f>($AA43*$C92)+($AB43*$C92)+($AC43*$C92)+($AD43*$C92)+($AE43*$C92)/$E$6</f>
        <v>0</v>
      </c>
      <c r="AF92" s="887">
        <f>($AA43*$C92)+($AB43*$C92)+($AC43*$C92)+($AD43*$C92)+($AE43*$C92)+($AF43*$C92)/$E$6</f>
        <v>0</v>
      </c>
      <c r="AG92" s="307"/>
      <c r="AH92" s="566"/>
    </row>
    <row r="93" spans="1:34">
      <c r="A93" s="938">
        <v>5</v>
      </c>
      <c r="B93" s="938">
        <v>205</v>
      </c>
      <c r="C93" s="1807"/>
      <c r="D93" s="1810" t="s">
        <v>275</v>
      </c>
      <c r="E93" s="984">
        <f t="shared" ref="E93:AF93" si="45">SUM(E94:E97)</f>
        <v>2.1066666666666669</v>
      </c>
      <c r="F93" s="978">
        <f t="shared" si="45"/>
        <v>0</v>
      </c>
      <c r="G93" s="979">
        <f t="shared" si="45"/>
        <v>0.5</v>
      </c>
      <c r="H93" s="979">
        <f t="shared" si="45"/>
        <v>1.5</v>
      </c>
      <c r="I93" s="979">
        <f t="shared" si="45"/>
        <v>2.5</v>
      </c>
      <c r="J93" s="979">
        <f t="shared" si="45"/>
        <v>4.7</v>
      </c>
      <c r="K93" s="980">
        <f t="shared" si="45"/>
        <v>6.9</v>
      </c>
      <c r="L93" s="981">
        <f t="shared" si="45"/>
        <v>0.35000000000000003</v>
      </c>
      <c r="M93" s="978">
        <f t="shared" si="45"/>
        <v>0</v>
      </c>
      <c r="N93" s="979">
        <f t="shared" si="45"/>
        <v>0.5</v>
      </c>
      <c r="O93" s="979">
        <f t="shared" si="45"/>
        <v>1</v>
      </c>
      <c r="P93" s="979">
        <f t="shared" si="45"/>
        <v>1</v>
      </c>
      <c r="Q93" s="979">
        <f t="shared" si="45"/>
        <v>1</v>
      </c>
      <c r="R93" s="982">
        <f t="shared" si="45"/>
        <v>1</v>
      </c>
      <c r="S93" s="981">
        <f t="shared" si="45"/>
        <v>0</v>
      </c>
      <c r="T93" s="983">
        <f t="shared" si="45"/>
        <v>0</v>
      </c>
      <c r="U93" s="979">
        <f t="shared" si="45"/>
        <v>0</v>
      </c>
      <c r="V93" s="979">
        <f t="shared" si="45"/>
        <v>0</v>
      </c>
      <c r="W93" s="979">
        <f t="shared" si="45"/>
        <v>0</v>
      </c>
      <c r="X93" s="979">
        <f t="shared" si="45"/>
        <v>0</v>
      </c>
      <c r="Y93" s="982">
        <f t="shared" si="45"/>
        <v>0</v>
      </c>
      <c r="Z93" s="981">
        <f t="shared" si="45"/>
        <v>0</v>
      </c>
      <c r="AA93" s="983">
        <f t="shared" si="45"/>
        <v>0</v>
      </c>
      <c r="AB93" s="979">
        <f t="shared" si="45"/>
        <v>0</v>
      </c>
      <c r="AC93" s="979">
        <f t="shared" si="45"/>
        <v>0</v>
      </c>
      <c r="AD93" s="979">
        <f t="shared" si="45"/>
        <v>0</v>
      </c>
      <c r="AE93" s="979">
        <f t="shared" si="45"/>
        <v>0</v>
      </c>
      <c r="AF93" s="982">
        <f t="shared" si="45"/>
        <v>0</v>
      </c>
      <c r="AG93" s="307"/>
      <c r="AH93" s="566"/>
    </row>
    <row r="94" spans="1:34">
      <c r="A94" s="896"/>
      <c r="B94" s="896">
        <v>20501</v>
      </c>
      <c r="C94" s="1633">
        <v>0.08</v>
      </c>
      <c r="D94" s="1628" t="s">
        <v>765</v>
      </c>
      <c r="E94" s="929">
        <f>'11.2. Нови активи отч.год.'!E95</f>
        <v>0.64</v>
      </c>
      <c r="F94" s="897">
        <f>($F45*$C94)/$E$6</f>
        <v>0</v>
      </c>
      <c r="G94" s="898">
        <f>($F45*$C94)+($G45*$C94)/$E$6</f>
        <v>0</v>
      </c>
      <c r="H94" s="898">
        <f>($F45*$C94)+($G45*$C94)+($H45*$C94)/$E$6</f>
        <v>0</v>
      </c>
      <c r="I94" s="898">
        <f>($F45*$C94)+($G45*$C94)+($H45*$C94)+($I45*$C94)/$E$6</f>
        <v>0</v>
      </c>
      <c r="J94" s="898">
        <f>($F45*$C94)+($G45*$C94)+($H45*$C94)+($I45*$C94)+($J45*$C94)/$E$6</f>
        <v>1.2</v>
      </c>
      <c r="K94" s="977">
        <f>($F45*$C94)+($G45*$C94)+($H45*$C94)+($I45*$C94)+($J45*$C94)+($K45*$C94)/$E$6</f>
        <v>2.4</v>
      </c>
      <c r="L94" s="929">
        <f>'11.2. Нови активи отч.год.'!L95</f>
        <v>0</v>
      </c>
      <c r="M94" s="897">
        <f>($M45*$C94)/$E$6</f>
        <v>0</v>
      </c>
      <c r="N94" s="898">
        <f>($M45*$C94)+($N45*$C94)/$E$6</f>
        <v>0</v>
      </c>
      <c r="O94" s="898">
        <f>($M45*$C94)+($N45*$C94)+($O45*$C94)/$E$6</f>
        <v>0</v>
      </c>
      <c r="P94" s="898">
        <f>($M45*$C94)+($N45*$C94)+($O45*$C94)+($P45*$C94)/$E$6</f>
        <v>0</v>
      </c>
      <c r="Q94" s="977">
        <f>($M45*$C94)+($N45*$C94)+($O45*$C94)+($P45*$C94)+($Q45*$C94)/$E$6</f>
        <v>0</v>
      </c>
      <c r="R94" s="899">
        <f>($M45*$C94)+($N45*$C94)+($O45*$C94)+($P45*$C94)+($Q45*$C94)+($R45*$C94)/$E$6</f>
        <v>0</v>
      </c>
      <c r="S94" s="1731">
        <f>'11.2. Нови активи отч.год.'!S95</f>
        <v>0</v>
      </c>
      <c r="T94" s="2917">
        <f>($T45*$C94)/$E$6</f>
        <v>0</v>
      </c>
      <c r="U94" s="898">
        <f>($T45*$C94)+($U45*$C94)/$E$6</f>
        <v>0</v>
      </c>
      <c r="V94" s="898">
        <f>($T45*$C94)+($U45*$C94)+($V45*$C94)/$E$6</f>
        <v>0</v>
      </c>
      <c r="W94" s="898">
        <f>($T45*$C94)+($U45*$C94)+($V45*$C94)+($W45*$C94)/$E$6</f>
        <v>0</v>
      </c>
      <c r="X94" s="898">
        <f>($T45*$C94)+($U45*$C94)+($V45*$C94)+($W45*$C94)+($X45*$C94)/$E$6</f>
        <v>0</v>
      </c>
      <c r="Y94" s="977">
        <f>($T45*$C94)+($U45*$C94)+($V45*$C94)+($W45*$C94)+($X45*$C94)+($Y45*$C94)/$E$6</f>
        <v>0</v>
      </c>
      <c r="Z94" s="1731">
        <f>'11.2. Нови активи отч.год.'!Z95</f>
        <v>0</v>
      </c>
      <c r="AA94" s="897">
        <f>($AA45*$C94)/$E$6</f>
        <v>0</v>
      </c>
      <c r="AB94" s="898">
        <f>($AA45*$C94)+($AB45*$C94)/$E$6</f>
        <v>0</v>
      </c>
      <c r="AC94" s="898">
        <f>($AA45*$C94)+($AB45*$C94)+($AC45*$C94)/$E$6</f>
        <v>0</v>
      </c>
      <c r="AD94" s="898">
        <f>($AA45*$C94)+($AB45*$C94)+($AC45*$C94)+($AD45*$C94)/$E$6</f>
        <v>0</v>
      </c>
      <c r="AE94" s="898">
        <f>($AA45*$C94)+($AB45*$C94)+($AC45*$C94)+($AD45*$C94)+($AE45*$C94)/$E$6</f>
        <v>0</v>
      </c>
      <c r="AF94" s="899">
        <f>($AA45*$C94)+($AB45*$C94)+($AC45*$C94)+($AD45*$C94)+($AE45*$C94)+($AF45*$C94)/$E$6</f>
        <v>0</v>
      </c>
      <c r="AG94" s="307"/>
      <c r="AH94" s="566"/>
    </row>
    <row r="95" spans="1:34">
      <c r="A95" s="896"/>
      <c r="B95" s="896">
        <v>20502</v>
      </c>
      <c r="C95" s="1633">
        <v>0.1</v>
      </c>
      <c r="D95" s="1628" t="s">
        <v>583</v>
      </c>
      <c r="E95" s="929">
        <f>'11.2. Нови активи отч.год.'!E96</f>
        <v>1.4666666666666668</v>
      </c>
      <c r="F95" s="897">
        <f>($F46*$C95)/$E$6</f>
        <v>0</v>
      </c>
      <c r="G95" s="886">
        <f>($F46*$C95)+($G46*$C95)/$E$6</f>
        <v>0.5</v>
      </c>
      <c r="H95" s="886">
        <f>($F46*$C95)+($G46*$C95)+($H46*$C95)/$E$6</f>
        <v>1.5</v>
      </c>
      <c r="I95" s="886">
        <f>($F46*$C95)+($G46*$C95)+($H46*$C95)+($I46*$C95)/$E$6</f>
        <v>2.5</v>
      </c>
      <c r="J95" s="886">
        <f>($F46*$C95)+($G46*$C95)+($H46*$C95)+($I46*$C95)+($J46*$C95)/$E$6</f>
        <v>3.5</v>
      </c>
      <c r="K95" s="985">
        <f>($F46*$C95)+($G46*$C95)+($H46*$C95)+($I46*$C95)+($J46*$C95)+($K46*$C95)/$E$6</f>
        <v>4.5</v>
      </c>
      <c r="L95" s="929">
        <f>'11.2. Нови активи отч.год.'!L96</f>
        <v>0.35000000000000003</v>
      </c>
      <c r="M95" s="885">
        <f>($M46*$C95)/$E$6</f>
        <v>0</v>
      </c>
      <c r="N95" s="886">
        <f>($M46*$C95)+($N46*$C95)/$E$6</f>
        <v>0.5</v>
      </c>
      <c r="O95" s="886">
        <f>($M46*$C95)+($N46*$C95)+($O46*$C95)/$E$6</f>
        <v>1</v>
      </c>
      <c r="P95" s="886">
        <f>($M46*$C95)+($N46*$C95)+($O46*$C95)+($P46*$C95)/$E$6</f>
        <v>1</v>
      </c>
      <c r="Q95" s="985">
        <f>($M46*$C95)+($N46*$C95)+($O46*$C95)+($P46*$C95)+($Q46*$C95)/$E$6</f>
        <v>1</v>
      </c>
      <c r="R95" s="887">
        <f>($M46*$C95)+($N46*$C95)+($O46*$C95)+($P46*$C95)+($Q46*$C95)+($R46*$C95)/$E$6</f>
        <v>1</v>
      </c>
      <c r="S95" s="1731">
        <f>'11.2. Нови активи отч.год.'!S96</f>
        <v>0</v>
      </c>
      <c r="T95" s="932">
        <f>($T46*$C95)/$E$6</f>
        <v>0</v>
      </c>
      <c r="U95" s="886">
        <f>($T46*$C95)+($U46*$C95)/$E$6</f>
        <v>0</v>
      </c>
      <c r="V95" s="886">
        <f>($T46*$C95)+($U46*$C95)+($V46*$C95)/$E$6</f>
        <v>0</v>
      </c>
      <c r="W95" s="886">
        <f>($T46*$C95)+($U46*$C95)+($V46*$C95)+($W46*$C95)/$E$6</f>
        <v>0</v>
      </c>
      <c r="X95" s="886">
        <f>($T46*$C95)+($U46*$C95)+($V46*$C95)+($W46*$C95)+($X46*$C95)/$E$6</f>
        <v>0</v>
      </c>
      <c r="Y95" s="985">
        <f>($T46*$C95)+($U46*$C95)+($V46*$C95)+($W46*$C95)+($X46*$C95)+($Y46*$C95)/$E$6</f>
        <v>0</v>
      </c>
      <c r="Z95" s="1731">
        <f>'11.2. Нови активи отч.год.'!Z96</f>
        <v>0</v>
      </c>
      <c r="AA95" s="885">
        <f>($AA46*$C95)/$E$6</f>
        <v>0</v>
      </c>
      <c r="AB95" s="886">
        <f>($AA46*$C95)+($AB46*$C95)/$E$6</f>
        <v>0</v>
      </c>
      <c r="AC95" s="886">
        <f>($AA46*$C95)+($AB46*$C95)+($AC46*$C95)/$E$6</f>
        <v>0</v>
      </c>
      <c r="AD95" s="886">
        <f>($AA46*$C95)+($AB46*$C95)+($AC46*$C95)+($AD46*$C95)/$E$6</f>
        <v>0</v>
      </c>
      <c r="AE95" s="886">
        <f>($AA46*$C95)+($AB46*$C95)+($AC46*$C95)+($AD46*$C95)+($AE46*$C95)/$E$6</f>
        <v>0</v>
      </c>
      <c r="AF95" s="887">
        <f>($AA46*$C95)+($AB46*$C95)+($AC46*$C95)+($AD46*$C95)+($AE46*$C95)+($AF46*$C95)/$E$6</f>
        <v>0</v>
      </c>
      <c r="AG95" s="307"/>
      <c r="AH95" s="566"/>
    </row>
    <row r="96" spans="1:34">
      <c r="A96" s="896"/>
      <c r="B96" s="896">
        <v>20503</v>
      </c>
      <c r="C96" s="1633">
        <v>0.1</v>
      </c>
      <c r="D96" s="1625" t="s">
        <v>584</v>
      </c>
      <c r="E96" s="929">
        <f>'11.2. Нови активи отч.год.'!E97</f>
        <v>0</v>
      </c>
      <c r="F96" s="897">
        <f>($F47*$C96)/$E$6</f>
        <v>0</v>
      </c>
      <c r="G96" s="886">
        <f>($F47*$C96)+($G47*$C96)/$E$6</f>
        <v>0</v>
      </c>
      <c r="H96" s="886">
        <f>($F47*$C96)+($G47*$C96)+($H47*$C96)/$E$6</f>
        <v>0</v>
      </c>
      <c r="I96" s="886">
        <f>($F47*$C96)+($G47*$C96)+($H47*$C96)+($I47*$C96)/$E$6</f>
        <v>0</v>
      </c>
      <c r="J96" s="886">
        <f>($F47*$C96)+($G47*$C96)+($H47*$C96)+($I47*$C96)+($J47*$C96)/$E$6</f>
        <v>0</v>
      </c>
      <c r="K96" s="985">
        <f>($F47*$C96)+($G47*$C96)+($H47*$C96)+($I47*$C96)+($J47*$C96)+($K47*$C96)/$E$6</f>
        <v>0</v>
      </c>
      <c r="L96" s="929">
        <f>'11.2. Нови активи отч.год.'!L97</f>
        <v>0</v>
      </c>
      <c r="M96" s="885">
        <f>($M47*$C96)/$E$6</f>
        <v>0</v>
      </c>
      <c r="N96" s="886">
        <f>($M47*$C96)+($N47*$C96)/$E$6</f>
        <v>0</v>
      </c>
      <c r="O96" s="886">
        <f>($M47*$C96)+($N47*$C96)+($O47*$C96)/$E$6</f>
        <v>0</v>
      </c>
      <c r="P96" s="886">
        <f>($M47*$C96)+($N47*$C96)+($O47*$C96)+($P47*$C96)/$E$6</f>
        <v>0</v>
      </c>
      <c r="Q96" s="985">
        <f>($M47*$C96)+($N47*$C96)+($O47*$C96)+($P47*$C96)+($Q47*$C96)/$E$6</f>
        <v>0</v>
      </c>
      <c r="R96" s="887">
        <f>($M47*$C96)+($N47*$C96)+($O47*$C96)+($P47*$C96)+($Q47*$C96)+($R47*$C96)/$E$6</f>
        <v>0</v>
      </c>
      <c r="S96" s="1731">
        <f>'11.2. Нови активи отч.год.'!S97</f>
        <v>0</v>
      </c>
      <c r="T96" s="932">
        <f>($T47*$C96)/$E$6</f>
        <v>0</v>
      </c>
      <c r="U96" s="886">
        <f>($T47*$C96)+($U47*$C96)/$E$6</f>
        <v>0</v>
      </c>
      <c r="V96" s="886">
        <f>($T47*$C96)+($U47*$C96)+($V47*$C96)/$E$6</f>
        <v>0</v>
      </c>
      <c r="W96" s="886">
        <f>($T47*$C96)+($U47*$C96)+($V47*$C96)+($W47*$C96)/$E$6</f>
        <v>0</v>
      </c>
      <c r="X96" s="886">
        <f>($T47*$C96)+($U47*$C96)+($V47*$C96)+($W47*$C96)+($X47*$C96)/$E$6</f>
        <v>0</v>
      </c>
      <c r="Y96" s="985">
        <f>($T47*$C96)+($U47*$C96)+($V47*$C96)+($W47*$C96)+($X47*$C96)+($Y47*$C96)/$E$6</f>
        <v>0</v>
      </c>
      <c r="Z96" s="1731">
        <f>'11.2. Нови активи отч.год.'!Z97</f>
        <v>0</v>
      </c>
      <c r="AA96" s="885">
        <f>($AA47*$C96)/$E$6</f>
        <v>0</v>
      </c>
      <c r="AB96" s="886">
        <f>($AA47*$C96)+($AB47*$C96)/$E$6</f>
        <v>0</v>
      </c>
      <c r="AC96" s="886">
        <f>($AA47*$C96)+($AB47*$C96)+($AC47*$C96)/$E$6</f>
        <v>0</v>
      </c>
      <c r="AD96" s="886">
        <f>($AA47*$C96)+($AB47*$C96)+($AC47*$C96)+($AD47*$C96)/$E$6</f>
        <v>0</v>
      </c>
      <c r="AE96" s="886">
        <f>($AA47*$C96)+($AB47*$C96)+($AC47*$C96)+($AD47*$C96)+($AE47*$C96)/$E$6</f>
        <v>0</v>
      </c>
      <c r="AF96" s="887">
        <f>($AA47*$C96)+($AB47*$C96)+($AC47*$C96)+($AD47*$C96)+($AE47*$C96)+($AF47*$C96)/$E$6</f>
        <v>0</v>
      </c>
      <c r="AG96" s="307"/>
      <c r="AH96" s="566"/>
    </row>
    <row r="97" spans="1:34">
      <c r="A97" s="896"/>
      <c r="B97" s="896">
        <v>20504</v>
      </c>
      <c r="C97" s="1633">
        <v>0.1</v>
      </c>
      <c r="D97" s="1625" t="s">
        <v>759</v>
      </c>
      <c r="E97" s="929">
        <f>'11.2. Нови активи отч.год.'!E98</f>
        <v>0</v>
      </c>
      <c r="F97" s="897">
        <f>($F48*$C97)/$E$6</f>
        <v>0</v>
      </c>
      <c r="G97" s="886">
        <f>($F48*$C97)+($G48*$C97)/$E$6</f>
        <v>0</v>
      </c>
      <c r="H97" s="886">
        <f>($F48*$C97)+($G48*$C97)+($H48*$C97)/$E$6</f>
        <v>0</v>
      </c>
      <c r="I97" s="886">
        <f>($F48*$C97)+($G48*$C97)+($H48*$C97)+($I48*$C97)/$E$6</f>
        <v>0</v>
      </c>
      <c r="J97" s="886">
        <f>($F48*$C97)+($G48*$C97)+($H48*$C97)+($I48*$C97)+($J48*$C97)/$E$6</f>
        <v>0</v>
      </c>
      <c r="K97" s="985">
        <f>($F48*$C97)+($G48*$C97)+($H48*$C97)+($I48*$C97)+($J48*$C97)+($K48*$C97)/$E$6</f>
        <v>0</v>
      </c>
      <c r="L97" s="929">
        <f>'11.2. Нови активи отч.год.'!L98</f>
        <v>0</v>
      </c>
      <c r="M97" s="885">
        <f>($M48*$C97)/$E$6</f>
        <v>0</v>
      </c>
      <c r="N97" s="886">
        <f>($M48*$C97)+($N48*$C97)/$E$6</f>
        <v>0</v>
      </c>
      <c r="O97" s="886">
        <f>($M48*$C97)+($N48*$C97)+($O48*$C97)/$E$6</f>
        <v>0</v>
      </c>
      <c r="P97" s="886">
        <f>($M48*$C97)+($N48*$C97)+($O48*$C97)+($P48*$C97)/$E$6</f>
        <v>0</v>
      </c>
      <c r="Q97" s="985">
        <f>($M48*$C97)+($N48*$C97)+($O48*$C97)+($P48*$C97)+($Q48*$C97)/$E$6</f>
        <v>0</v>
      </c>
      <c r="R97" s="887">
        <f>($M48*$C97)+($N48*$C97)+($O48*$C97)+($P48*$C97)+($Q48*$C97)+($R48*$C97)/$E$6</f>
        <v>0</v>
      </c>
      <c r="S97" s="1731">
        <f>'11.2. Нови активи отч.год.'!S98</f>
        <v>0</v>
      </c>
      <c r="T97" s="932">
        <f>($T48*$C97)/$E$6</f>
        <v>0</v>
      </c>
      <c r="U97" s="886">
        <f>($T48*$C97)+($U48*$C97)/$E$6</f>
        <v>0</v>
      </c>
      <c r="V97" s="886">
        <f>($T48*$C97)+($U48*$C97)+($V48*$C97)/$E$6</f>
        <v>0</v>
      </c>
      <c r="W97" s="886">
        <f>($T48*$C97)+($U48*$C97)+($V48*$C97)+($W48*$C97)/$E$6</f>
        <v>0</v>
      </c>
      <c r="X97" s="886">
        <f>($T48*$C97)+($U48*$C97)+($V48*$C97)+($W48*$C97)+($X48*$C97)/$E$6</f>
        <v>0</v>
      </c>
      <c r="Y97" s="985">
        <f>($T48*$C97)+($U48*$C97)+($V48*$C97)+($W48*$C97)+($X48*$C97)+($Y48*$C97)/$E$6</f>
        <v>0</v>
      </c>
      <c r="Z97" s="1731">
        <f>'11.2. Нови активи отч.год.'!Z98</f>
        <v>0</v>
      </c>
      <c r="AA97" s="885">
        <f>($AA48*$C97)/$E$6</f>
        <v>0</v>
      </c>
      <c r="AB97" s="886">
        <f>($AA48*$C97)+($AB48*$C97)/$E$6</f>
        <v>0</v>
      </c>
      <c r="AC97" s="886">
        <f>($AA48*$C97)+($AB48*$C97)+($AC48*$C97)/$E$6</f>
        <v>0</v>
      </c>
      <c r="AD97" s="886">
        <f>($AA48*$C97)+($AB48*$C97)+($AC48*$C97)+($AD48*$C97)/$E$6</f>
        <v>0</v>
      </c>
      <c r="AE97" s="886">
        <f>($AA48*$C97)+($AB48*$C97)+($AC48*$C97)+($AD48*$C97)+($AE48*$C97)/$E$6</f>
        <v>0</v>
      </c>
      <c r="AF97" s="887">
        <f>($AA48*$C97)+($AB48*$C97)+($AC48*$C97)+($AD48*$C97)+($AE48*$C97)+($AF48*$C97)/$E$6</f>
        <v>0</v>
      </c>
      <c r="AG97" s="307"/>
      <c r="AH97" s="566"/>
    </row>
    <row r="98" spans="1:34" s="262" customFormat="1">
      <c r="A98" s="941">
        <v>6</v>
      </c>
      <c r="B98" s="941">
        <v>206</v>
      </c>
      <c r="C98" s="1818">
        <v>0.1</v>
      </c>
      <c r="D98" s="1815" t="s">
        <v>564</v>
      </c>
      <c r="E98" s="984">
        <f t="shared" ref="E98:K98" si="46">SUM(E99:E101)</f>
        <v>0.35000000000000003</v>
      </c>
      <c r="F98" s="978">
        <f t="shared" si="46"/>
        <v>0</v>
      </c>
      <c r="G98" s="979">
        <f t="shared" si="46"/>
        <v>0</v>
      </c>
      <c r="H98" s="979">
        <f t="shared" si="46"/>
        <v>0</v>
      </c>
      <c r="I98" s="979">
        <f t="shared" si="46"/>
        <v>0</v>
      </c>
      <c r="J98" s="979">
        <f t="shared" si="46"/>
        <v>0</v>
      </c>
      <c r="K98" s="980">
        <f t="shared" si="46"/>
        <v>0</v>
      </c>
      <c r="L98" s="981">
        <f t="shared" ref="L98:AF98" si="47">SUM(L99:L101)</f>
        <v>0</v>
      </c>
      <c r="M98" s="978">
        <f t="shared" si="47"/>
        <v>0</v>
      </c>
      <c r="N98" s="979">
        <f t="shared" si="47"/>
        <v>0</v>
      </c>
      <c r="O98" s="979">
        <f t="shared" si="47"/>
        <v>0</v>
      </c>
      <c r="P98" s="979">
        <f t="shared" si="47"/>
        <v>0</v>
      </c>
      <c r="Q98" s="979">
        <f t="shared" si="47"/>
        <v>0</v>
      </c>
      <c r="R98" s="982">
        <f t="shared" si="47"/>
        <v>0</v>
      </c>
      <c r="S98" s="981">
        <f t="shared" si="47"/>
        <v>0</v>
      </c>
      <c r="T98" s="983">
        <f t="shared" si="47"/>
        <v>0</v>
      </c>
      <c r="U98" s="979">
        <f t="shared" si="47"/>
        <v>0</v>
      </c>
      <c r="V98" s="979">
        <f t="shared" si="47"/>
        <v>0</v>
      </c>
      <c r="W98" s="979">
        <f t="shared" si="47"/>
        <v>0</v>
      </c>
      <c r="X98" s="979">
        <f t="shared" si="47"/>
        <v>0</v>
      </c>
      <c r="Y98" s="982">
        <f t="shared" si="47"/>
        <v>0</v>
      </c>
      <c r="Z98" s="981">
        <f t="shared" si="47"/>
        <v>0</v>
      </c>
      <c r="AA98" s="983">
        <f t="shared" si="47"/>
        <v>0</v>
      </c>
      <c r="AB98" s="979">
        <f t="shared" si="47"/>
        <v>0</v>
      </c>
      <c r="AC98" s="979">
        <f t="shared" si="47"/>
        <v>0.5</v>
      </c>
      <c r="AD98" s="979">
        <f t="shared" si="47"/>
        <v>1.5</v>
      </c>
      <c r="AE98" s="979">
        <f t="shared" si="47"/>
        <v>2.5</v>
      </c>
      <c r="AF98" s="982">
        <f t="shared" si="47"/>
        <v>3.5</v>
      </c>
      <c r="AG98" s="307"/>
      <c r="AH98" s="565"/>
    </row>
    <row r="99" spans="1:34">
      <c r="A99" s="941"/>
      <c r="B99" s="896">
        <v>20601</v>
      </c>
      <c r="C99" s="1633">
        <v>0.1</v>
      </c>
      <c r="D99" s="1625" t="s">
        <v>766</v>
      </c>
      <c r="E99" s="929">
        <f>'11.2. Нови активи отч.год.'!E100</f>
        <v>0</v>
      </c>
      <c r="F99" s="897">
        <f t="shared" ref="F99:F107" si="48">($F50*$C99)/$E$6</f>
        <v>0</v>
      </c>
      <c r="G99" s="886">
        <f t="shared" ref="G99:G107" si="49">($F50*$C99)+($G50*$C99)/$E$6</f>
        <v>0</v>
      </c>
      <c r="H99" s="886">
        <f t="shared" ref="H99:H107" si="50">($F50*$C99)+($G50*$C99)+($H50*$C99)/$E$6</f>
        <v>0</v>
      </c>
      <c r="I99" s="886">
        <f t="shared" ref="I99:I107" si="51">($F50*$C99)+($G50*$C99)+($H50*$C99)+($I50*$C99)/$E$6</f>
        <v>0</v>
      </c>
      <c r="J99" s="886">
        <f t="shared" ref="J99:J107" si="52">($F50*$C99)+($G50*$C99)+($H50*$C99)+($I50*$C99)+($J50*$C99)/$E$6</f>
        <v>0</v>
      </c>
      <c r="K99" s="985">
        <f t="shared" ref="K99:K107" si="53">($F50*$C99)+($G50*$C99)+($H50*$C99)+($I50*$C99)+($J50*$C99)+($K50*$C99)/$E$6</f>
        <v>0</v>
      </c>
      <c r="L99" s="929">
        <f>'11.2. Нови активи отч.год.'!L100</f>
        <v>0</v>
      </c>
      <c r="M99" s="885">
        <f t="shared" ref="M99:M107" si="54">($M50*$C99)/$E$6</f>
        <v>0</v>
      </c>
      <c r="N99" s="886">
        <f t="shared" ref="N99:N107" si="55">($M50*$C99)+($N50*$C99)/$E$6</f>
        <v>0</v>
      </c>
      <c r="O99" s="886">
        <f t="shared" ref="O99:O107" si="56">($M50*$C99)+($N50*$C99)+($O50*$C99)/$E$6</f>
        <v>0</v>
      </c>
      <c r="P99" s="886">
        <f t="shared" ref="P99:P107" si="57">($M50*$C99)+($N50*$C99)+($O50*$C99)+($P50*$C99)/$E$6</f>
        <v>0</v>
      </c>
      <c r="Q99" s="985">
        <f t="shared" ref="Q99:Q107" si="58">($M50*$C99)+($N50*$C99)+($O50*$C99)+($P50*$C99)+($Q50*$C99)/$E$6</f>
        <v>0</v>
      </c>
      <c r="R99" s="887">
        <f t="shared" ref="R99:R107" si="59">($M50*$C99)+($N50*$C99)+($O50*$C99)+($P50*$C99)+($Q50*$C99)+($R50*$C99)/$E$6</f>
        <v>0</v>
      </c>
      <c r="S99" s="1731">
        <f>'11.2. Нови активи отч.год.'!S100</f>
        <v>0</v>
      </c>
      <c r="T99" s="932">
        <f t="shared" ref="T99:T107" si="60">($T50*$C99)/$E$6</f>
        <v>0</v>
      </c>
      <c r="U99" s="886">
        <f t="shared" ref="U99:U107" si="61">($T50*$C99)+($U50*$C99)/$E$6</f>
        <v>0</v>
      </c>
      <c r="V99" s="886">
        <f t="shared" ref="V99:V107" si="62">($T50*$C99)+($U50*$C99)+($V50*$C99)/$E$6</f>
        <v>0</v>
      </c>
      <c r="W99" s="886">
        <f t="shared" ref="W99:W107" si="63">($T50*$C99)+($U50*$C99)+($V50*$C99)+($W50*$C99)/$E$6</f>
        <v>0</v>
      </c>
      <c r="X99" s="886">
        <f t="shared" ref="X99:X107" si="64">($T50*$C99)+($U50*$C99)+($V50*$C99)+($W50*$C99)+($X50*$C99)/$E$6</f>
        <v>0</v>
      </c>
      <c r="Y99" s="985">
        <f t="shared" ref="Y99:Y107" si="65">($T50*$C99)+($U50*$C99)+($V50*$C99)+($W50*$C99)+($X50*$C99)+($Y50*$C99)/$E$6</f>
        <v>0</v>
      </c>
      <c r="Z99" s="1731">
        <f>'11.2. Нови активи отч.год.'!Z100</f>
        <v>0</v>
      </c>
      <c r="AA99" s="885">
        <f t="shared" ref="AA99:AA107" si="66">($AA50*$C99)/$E$6</f>
        <v>0</v>
      </c>
      <c r="AB99" s="886">
        <f t="shared" ref="AB99:AB107" si="67">($AA50*$C99)+($AB50*$C99)/$E$6</f>
        <v>0</v>
      </c>
      <c r="AC99" s="886">
        <f t="shared" ref="AC99:AC107" si="68">($AA50*$C99)+($AB50*$C99)+($AC50*$C99)/$E$6</f>
        <v>0.5</v>
      </c>
      <c r="AD99" s="886">
        <f t="shared" ref="AD99:AD107" si="69">($AA50*$C99)+($AB50*$C99)+($AC50*$C99)+($AD50*$C99)/$E$6</f>
        <v>1.5</v>
      </c>
      <c r="AE99" s="886">
        <f t="shared" ref="AE99:AE107" si="70">($AA50*$C99)+($AB50*$C99)+($AC50*$C99)+($AD50*$C99)+($AE50*$C99)/$E$6</f>
        <v>2.5</v>
      </c>
      <c r="AF99" s="887">
        <f t="shared" ref="AF99:AF107" si="71">($AA50*$C99)+($AB50*$C99)+($AC50*$C99)+($AD50*$C99)+($AE50*$C99)+($AF50*$C99)/$E$6</f>
        <v>3.5</v>
      </c>
      <c r="AG99" s="307"/>
      <c r="AH99" s="566"/>
    </row>
    <row r="100" spans="1:34">
      <c r="A100" s="941"/>
      <c r="B100" s="896">
        <v>20602</v>
      </c>
      <c r="C100" s="1633">
        <v>0.1</v>
      </c>
      <c r="D100" s="1625" t="s">
        <v>607</v>
      </c>
      <c r="E100" s="929">
        <f>'11.2. Нови активи отч.год.'!E101</f>
        <v>0.35000000000000003</v>
      </c>
      <c r="F100" s="897">
        <f t="shared" si="48"/>
        <v>0</v>
      </c>
      <c r="G100" s="886">
        <f t="shared" si="49"/>
        <v>0</v>
      </c>
      <c r="H100" s="886">
        <f t="shared" si="50"/>
        <v>0</v>
      </c>
      <c r="I100" s="886">
        <f t="shared" si="51"/>
        <v>0</v>
      </c>
      <c r="J100" s="886">
        <f t="shared" si="52"/>
        <v>0</v>
      </c>
      <c r="K100" s="985">
        <f t="shared" si="53"/>
        <v>0</v>
      </c>
      <c r="L100" s="929">
        <f>'11.2. Нови активи отч.год.'!L101</f>
        <v>0</v>
      </c>
      <c r="M100" s="885">
        <f t="shared" si="54"/>
        <v>0</v>
      </c>
      <c r="N100" s="886">
        <f t="shared" si="55"/>
        <v>0</v>
      </c>
      <c r="O100" s="886">
        <f t="shared" si="56"/>
        <v>0</v>
      </c>
      <c r="P100" s="886">
        <f t="shared" si="57"/>
        <v>0</v>
      </c>
      <c r="Q100" s="985">
        <f t="shared" si="58"/>
        <v>0</v>
      </c>
      <c r="R100" s="887">
        <f t="shared" si="59"/>
        <v>0</v>
      </c>
      <c r="S100" s="1731">
        <f>'11.2. Нови активи отч.год.'!S101</f>
        <v>0</v>
      </c>
      <c r="T100" s="932">
        <f t="shared" si="60"/>
        <v>0</v>
      </c>
      <c r="U100" s="886">
        <f t="shared" si="61"/>
        <v>0</v>
      </c>
      <c r="V100" s="886">
        <f t="shared" si="62"/>
        <v>0</v>
      </c>
      <c r="W100" s="886">
        <f t="shared" si="63"/>
        <v>0</v>
      </c>
      <c r="X100" s="886">
        <f t="shared" si="64"/>
        <v>0</v>
      </c>
      <c r="Y100" s="985">
        <f t="shared" si="65"/>
        <v>0</v>
      </c>
      <c r="Z100" s="1731">
        <f>'11.2. Нови активи отч.год.'!Z101</f>
        <v>0</v>
      </c>
      <c r="AA100" s="885">
        <f t="shared" si="66"/>
        <v>0</v>
      </c>
      <c r="AB100" s="886">
        <f t="shared" si="67"/>
        <v>0</v>
      </c>
      <c r="AC100" s="886">
        <f t="shared" si="68"/>
        <v>0</v>
      </c>
      <c r="AD100" s="886">
        <f t="shared" si="69"/>
        <v>0</v>
      </c>
      <c r="AE100" s="886">
        <f t="shared" si="70"/>
        <v>0</v>
      </c>
      <c r="AF100" s="887">
        <f t="shared" si="71"/>
        <v>0</v>
      </c>
      <c r="AG100" s="307"/>
      <c r="AH100" s="566"/>
    </row>
    <row r="101" spans="1:34">
      <c r="A101" s="941"/>
      <c r="B101" s="1819">
        <v>20603</v>
      </c>
      <c r="C101" s="1820">
        <v>0.5</v>
      </c>
      <c r="D101" s="1821" t="s">
        <v>1441</v>
      </c>
      <c r="E101" s="929">
        <f>'11.2. Нови активи отч.год.'!E102</f>
        <v>0</v>
      </c>
      <c r="F101" s="897">
        <f t="shared" si="48"/>
        <v>0</v>
      </c>
      <c r="G101" s="886">
        <f t="shared" si="49"/>
        <v>0</v>
      </c>
      <c r="H101" s="886">
        <f t="shared" si="50"/>
        <v>0</v>
      </c>
      <c r="I101" s="886">
        <f t="shared" si="51"/>
        <v>0</v>
      </c>
      <c r="J101" s="886">
        <f t="shared" si="52"/>
        <v>0</v>
      </c>
      <c r="K101" s="985">
        <f t="shared" si="53"/>
        <v>0</v>
      </c>
      <c r="L101" s="929">
        <f>'11.2. Нови активи отч.год.'!L102</f>
        <v>0</v>
      </c>
      <c r="M101" s="885">
        <f t="shared" si="54"/>
        <v>0</v>
      </c>
      <c r="N101" s="886">
        <f t="shared" si="55"/>
        <v>0</v>
      </c>
      <c r="O101" s="886">
        <f t="shared" si="56"/>
        <v>0</v>
      </c>
      <c r="P101" s="886">
        <f t="shared" si="57"/>
        <v>0</v>
      </c>
      <c r="Q101" s="985">
        <f t="shared" si="58"/>
        <v>0</v>
      </c>
      <c r="R101" s="887">
        <f t="shared" si="59"/>
        <v>0</v>
      </c>
      <c r="S101" s="1731">
        <f>'11.2. Нови активи отч.год.'!S102</f>
        <v>0</v>
      </c>
      <c r="T101" s="932">
        <f t="shared" si="60"/>
        <v>0</v>
      </c>
      <c r="U101" s="886">
        <f t="shared" si="61"/>
        <v>0</v>
      </c>
      <c r="V101" s="886">
        <f t="shared" si="62"/>
        <v>0</v>
      </c>
      <c r="W101" s="886">
        <f t="shared" si="63"/>
        <v>0</v>
      </c>
      <c r="X101" s="886">
        <f t="shared" si="64"/>
        <v>0</v>
      </c>
      <c r="Y101" s="985">
        <f t="shared" si="65"/>
        <v>0</v>
      </c>
      <c r="Z101" s="1731">
        <f>'11.2. Нови активи отч.год.'!Z102</f>
        <v>0</v>
      </c>
      <c r="AA101" s="885">
        <f t="shared" si="66"/>
        <v>0</v>
      </c>
      <c r="AB101" s="886">
        <f t="shared" si="67"/>
        <v>0</v>
      </c>
      <c r="AC101" s="886">
        <f t="shared" si="68"/>
        <v>0</v>
      </c>
      <c r="AD101" s="886">
        <f t="shared" si="69"/>
        <v>0</v>
      </c>
      <c r="AE101" s="886">
        <f t="shared" si="70"/>
        <v>0</v>
      </c>
      <c r="AF101" s="887">
        <f t="shared" si="71"/>
        <v>0</v>
      </c>
      <c r="AG101" s="307"/>
      <c r="AH101" s="566"/>
    </row>
    <row r="102" spans="1:34" s="262" customFormat="1">
      <c r="A102" s="941">
        <v>7</v>
      </c>
      <c r="B102" s="941">
        <v>208</v>
      </c>
      <c r="C102" s="1818">
        <v>0.2</v>
      </c>
      <c r="D102" s="1815" t="s">
        <v>585</v>
      </c>
      <c r="E102" s="925">
        <f>'11.2. Нови активи отч.год.'!E103</f>
        <v>0.26666666666666666</v>
      </c>
      <c r="F102" s="992">
        <f t="shared" si="48"/>
        <v>0</v>
      </c>
      <c r="G102" s="993">
        <f t="shared" si="49"/>
        <v>0</v>
      </c>
      <c r="H102" s="993">
        <f t="shared" si="50"/>
        <v>0</v>
      </c>
      <c r="I102" s="993">
        <f t="shared" si="51"/>
        <v>0</v>
      </c>
      <c r="J102" s="993">
        <f t="shared" si="52"/>
        <v>0</v>
      </c>
      <c r="K102" s="994">
        <f t="shared" si="53"/>
        <v>0</v>
      </c>
      <c r="L102" s="925">
        <f>'11.2. Нови активи отч.год.'!L103</f>
        <v>0</v>
      </c>
      <c r="M102" s="992">
        <f t="shared" si="54"/>
        <v>0</v>
      </c>
      <c r="N102" s="993">
        <f t="shared" si="55"/>
        <v>0</v>
      </c>
      <c r="O102" s="993">
        <f t="shared" si="56"/>
        <v>0</v>
      </c>
      <c r="P102" s="993">
        <f t="shared" si="57"/>
        <v>0</v>
      </c>
      <c r="Q102" s="994">
        <f t="shared" si="58"/>
        <v>0</v>
      </c>
      <c r="R102" s="996">
        <f t="shared" si="59"/>
        <v>0</v>
      </c>
      <c r="S102" s="2919">
        <f>'11.2. Нови активи отч.год.'!S103</f>
        <v>0</v>
      </c>
      <c r="T102" s="995">
        <f t="shared" si="60"/>
        <v>0</v>
      </c>
      <c r="U102" s="993">
        <f t="shared" si="61"/>
        <v>0</v>
      </c>
      <c r="V102" s="993">
        <f t="shared" si="62"/>
        <v>0</v>
      </c>
      <c r="W102" s="993">
        <f t="shared" si="63"/>
        <v>0</v>
      </c>
      <c r="X102" s="993">
        <f t="shared" si="64"/>
        <v>0</v>
      </c>
      <c r="Y102" s="996">
        <f t="shared" si="65"/>
        <v>0</v>
      </c>
      <c r="Z102" s="2919">
        <f>'11.2. Нови активи отч.год.'!Z103</f>
        <v>0</v>
      </c>
      <c r="AA102" s="995">
        <f t="shared" si="66"/>
        <v>0</v>
      </c>
      <c r="AB102" s="993">
        <f t="shared" si="67"/>
        <v>0.5</v>
      </c>
      <c r="AC102" s="993">
        <f t="shared" si="68"/>
        <v>1.5</v>
      </c>
      <c r="AD102" s="993">
        <f t="shared" si="69"/>
        <v>2.5</v>
      </c>
      <c r="AE102" s="993">
        <f t="shared" si="70"/>
        <v>3.5</v>
      </c>
      <c r="AF102" s="996">
        <f t="shared" si="71"/>
        <v>4.5</v>
      </c>
      <c r="AG102" s="307"/>
      <c r="AH102" s="565"/>
    </row>
    <row r="103" spans="1:34" s="262" customFormat="1">
      <c r="A103" s="941">
        <v>8</v>
      </c>
      <c r="B103" s="941">
        <v>209</v>
      </c>
      <c r="C103" s="1818">
        <v>0.1</v>
      </c>
      <c r="D103" s="1815" t="s">
        <v>276</v>
      </c>
      <c r="E103" s="925">
        <f>'11.2. Нови активи отч.год.'!E104</f>
        <v>0</v>
      </c>
      <c r="F103" s="992">
        <f t="shared" si="48"/>
        <v>0</v>
      </c>
      <c r="G103" s="993">
        <f t="shared" si="49"/>
        <v>0</v>
      </c>
      <c r="H103" s="993">
        <f t="shared" si="50"/>
        <v>0</v>
      </c>
      <c r="I103" s="993">
        <f t="shared" si="51"/>
        <v>0</v>
      </c>
      <c r="J103" s="993">
        <f t="shared" si="52"/>
        <v>0</v>
      </c>
      <c r="K103" s="994">
        <f t="shared" si="53"/>
        <v>0</v>
      </c>
      <c r="L103" s="925">
        <f>'11.2. Нови активи отч.год.'!L104</f>
        <v>0</v>
      </c>
      <c r="M103" s="992">
        <f t="shared" si="54"/>
        <v>0</v>
      </c>
      <c r="N103" s="993">
        <f t="shared" si="55"/>
        <v>0</v>
      </c>
      <c r="O103" s="993">
        <f t="shared" si="56"/>
        <v>0</v>
      </c>
      <c r="P103" s="993">
        <f t="shared" si="57"/>
        <v>0</v>
      </c>
      <c r="Q103" s="994">
        <f t="shared" si="58"/>
        <v>0</v>
      </c>
      <c r="R103" s="996">
        <f t="shared" si="59"/>
        <v>0</v>
      </c>
      <c r="S103" s="2919">
        <f>'11.2. Нови активи отч.год.'!S104</f>
        <v>0</v>
      </c>
      <c r="T103" s="995">
        <f t="shared" si="60"/>
        <v>0</v>
      </c>
      <c r="U103" s="993">
        <f t="shared" si="61"/>
        <v>0</v>
      </c>
      <c r="V103" s="993">
        <f t="shared" si="62"/>
        <v>0</v>
      </c>
      <c r="W103" s="993">
        <f t="shared" si="63"/>
        <v>0</v>
      </c>
      <c r="X103" s="993">
        <f t="shared" si="64"/>
        <v>0</v>
      </c>
      <c r="Y103" s="996">
        <f t="shared" si="65"/>
        <v>0</v>
      </c>
      <c r="Z103" s="2919">
        <f>'11.2. Нови активи отч.год.'!Z104</f>
        <v>0</v>
      </c>
      <c r="AA103" s="995">
        <f t="shared" si="66"/>
        <v>0</v>
      </c>
      <c r="AB103" s="993">
        <f t="shared" si="67"/>
        <v>0</v>
      </c>
      <c r="AC103" s="993">
        <f t="shared" si="68"/>
        <v>0</v>
      </c>
      <c r="AD103" s="993">
        <f t="shared" si="69"/>
        <v>0</v>
      </c>
      <c r="AE103" s="993">
        <f t="shared" si="70"/>
        <v>0</v>
      </c>
      <c r="AF103" s="996">
        <f t="shared" si="71"/>
        <v>0</v>
      </c>
      <c r="AG103" s="307"/>
      <c r="AH103" s="565"/>
    </row>
    <row r="104" spans="1:34" s="262" customFormat="1">
      <c r="A104" s="941">
        <v>9</v>
      </c>
      <c r="B104" s="941">
        <v>212</v>
      </c>
      <c r="C104" s="1818">
        <v>0.2</v>
      </c>
      <c r="D104" s="1822" t="s">
        <v>277</v>
      </c>
      <c r="E104" s="925">
        <f>'11.2. Нови активи отч.год.'!E105</f>
        <v>0</v>
      </c>
      <c r="F104" s="992">
        <f t="shared" si="48"/>
        <v>0</v>
      </c>
      <c r="G104" s="993">
        <f t="shared" si="49"/>
        <v>0</v>
      </c>
      <c r="H104" s="993">
        <f t="shared" si="50"/>
        <v>0</v>
      </c>
      <c r="I104" s="993">
        <f t="shared" si="51"/>
        <v>0</v>
      </c>
      <c r="J104" s="993">
        <f t="shared" si="52"/>
        <v>0</v>
      </c>
      <c r="K104" s="994">
        <f t="shared" si="53"/>
        <v>0</v>
      </c>
      <c r="L104" s="925">
        <f>'11.2. Нови активи отч.год.'!L105</f>
        <v>0</v>
      </c>
      <c r="M104" s="992">
        <f t="shared" si="54"/>
        <v>0</v>
      </c>
      <c r="N104" s="993">
        <f t="shared" si="55"/>
        <v>0</v>
      </c>
      <c r="O104" s="993">
        <f t="shared" si="56"/>
        <v>0</v>
      </c>
      <c r="P104" s="993">
        <f t="shared" si="57"/>
        <v>0</v>
      </c>
      <c r="Q104" s="994">
        <f t="shared" si="58"/>
        <v>0</v>
      </c>
      <c r="R104" s="996">
        <f t="shared" si="59"/>
        <v>0</v>
      </c>
      <c r="S104" s="2919">
        <f>'11.2. Нови активи отч.год.'!S105</f>
        <v>0</v>
      </c>
      <c r="T104" s="995">
        <f t="shared" si="60"/>
        <v>0</v>
      </c>
      <c r="U104" s="993">
        <f t="shared" si="61"/>
        <v>0</v>
      </c>
      <c r="V104" s="993">
        <f t="shared" si="62"/>
        <v>0</v>
      </c>
      <c r="W104" s="993">
        <f t="shared" si="63"/>
        <v>0</v>
      </c>
      <c r="X104" s="993">
        <f t="shared" si="64"/>
        <v>0</v>
      </c>
      <c r="Y104" s="996">
        <f t="shared" si="65"/>
        <v>0</v>
      </c>
      <c r="Z104" s="2919">
        <f>'11.2. Нови активи отч.год.'!Z105</f>
        <v>0</v>
      </c>
      <c r="AA104" s="995">
        <f t="shared" si="66"/>
        <v>0</v>
      </c>
      <c r="AB104" s="993">
        <f t="shared" si="67"/>
        <v>0</v>
      </c>
      <c r="AC104" s="993">
        <f t="shared" si="68"/>
        <v>0</v>
      </c>
      <c r="AD104" s="993">
        <f t="shared" si="69"/>
        <v>0</v>
      </c>
      <c r="AE104" s="993">
        <f t="shared" si="70"/>
        <v>0</v>
      </c>
      <c r="AF104" s="996">
        <f t="shared" si="71"/>
        <v>0</v>
      </c>
      <c r="AG104" s="307"/>
      <c r="AH104" s="565"/>
    </row>
    <row r="105" spans="1:34" s="262" customFormat="1">
      <c r="A105" s="941">
        <v>10</v>
      </c>
      <c r="B105" s="941">
        <v>213</v>
      </c>
      <c r="C105" s="1818">
        <v>0.2</v>
      </c>
      <c r="D105" s="1810" t="s">
        <v>278</v>
      </c>
      <c r="E105" s="925">
        <f>'11.2. Нови активи отч.год.'!E106</f>
        <v>0</v>
      </c>
      <c r="F105" s="992">
        <f t="shared" si="48"/>
        <v>0</v>
      </c>
      <c r="G105" s="993">
        <f t="shared" si="49"/>
        <v>0</v>
      </c>
      <c r="H105" s="993">
        <f t="shared" si="50"/>
        <v>0</v>
      </c>
      <c r="I105" s="993">
        <f t="shared" si="51"/>
        <v>0</v>
      </c>
      <c r="J105" s="993">
        <f t="shared" si="52"/>
        <v>0</v>
      </c>
      <c r="K105" s="994">
        <f t="shared" si="53"/>
        <v>0</v>
      </c>
      <c r="L105" s="925">
        <f>'11.2. Нови активи отч.год.'!L106</f>
        <v>0</v>
      </c>
      <c r="M105" s="992">
        <f t="shared" si="54"/>
        <v>0</v>
      </c>
      <c r="N105" s="993">
        <f t="shared" si="55"/>
        <v>0</v>
      </c>
      <c r="O105" s="993">
        <f t="shared" si="56"/>
        <v>0</v>
      </c>
      <c r="P105" s="993">
        <f t="shared" si="57"/>
        <v>0</v>
      </c>
      <c r="Q105" s="994">
        <f t="shared" si="58"/>
        <v>0</v>
      </c>
      <c r="R105" s="996">
        <f t="shared" si="59"/>
        <v>0</v>
      </c>
      <c r="S105" s="2919">
        <f>'11.2. Нови активи отч.год.'!S106</f>
        <v>0</v>
      </c>
      <c r="T105" s="995">
        <f t="shared" si="60"/>
        <v>0</v>
      </c>
      <c r="U105" s="993">
        <f t="shared" si="61"/>
        <v>0</v>
      </c>
      <c r="V105" s="993">
        <f t="shared" si="62"/>
        <v>0</v>
      </c>
      <c r="W105" s="993">
        <f t="shared" si="63"/>
        <v>0</v>
      </c>
      <c r="X105" s="993">
        <f t="shared" si="64"/>
        <v>0</v>
      </c>
      <c r="Y105" s="996">
        <f t="shared" si="65"/>
        <v>0</v>
      </c>
      <c r="Z105" s="2919">
        <f>'11.2. Нови активи отч.год.'!Z106</f>
        <v>0</v>
      </c>
      <c r="AA105" s="995">
        <f t="shared" si="66"/>
        <v>0</v>
      </c>
      <c r="AB105" s="993">
        <f t="shared" si="67"/>
        <v>0</v>
      </c>
      <c r="AC105" s="993">
        <f t="shared" si="68"/>
        <v>0</v>
      </c>
      <c r="AD105" s="993">
        <f t="shared" si="69"/>
        <v>0</v>
      </c>
      <c r="AE105" s="993">
        <f t="shared" si="70"/>
        <v>0</v>
      </c>
      <c r="AF105" s="996">
        <f t="shared" si="71"/>
        <v>0</v>
      </c>
      <c r="AG105" s="307"/>
      <c r="AH105" s="565"/>
    </row>
    <row r="106" spans="1:34" s="262" customFormat="1" ht="24">
      <c r="A106" s="964">
        <v>11</v>
      </c>
      <c r="B106" s="963">
        <v>215</v>
      </c>
      <c r="C106" s="1818">
        <v>0.2</v>
      </c>
      <c r="D106" s="1810" t="s">
        <v>911</v>
      </c>
      <c r="E106" s="925">
        <f>'11.2. Нови активи отч.год.'!E107</f>
        <v>0</v>
      </c>
      <c r="F106" s="992">
        <f t="shared" si="48"/>
        <v>0</v>
      </c>
      <c r="G106" s="993">
        <f t="shared" si="49"/>
        <v>0.5</v>
      </c>
      <c r="H106" s="993">
        <f t="shared" si="50"/>
        <v>1.5</v>
      </c>
      <c r="I106" s="993">
        <f t="shared" si="51"/>
        <v>2.5</v>
      </c>
      <c r="J106" s="993">
        <f t="shared" si="52"/>
        <v>3.5</v>
      </c>
      <c r="K106" s="994">
        <f t="shared" si="53"/>
        <v>4.5</v>
      </c>
      <c r="L106" s="925">
        <f>'11.2. Нови активи отч.год.'!L107</f>
        <v>0</v>
      </c>
      <c r="M106" s="992">
        <f t="shared" si="54"/>
        <v>0</v>
      </c>
      <c r="N106" s="993">
        <f t="shared" si="55"/>
        <v>0</v>
      </c>
      <c r="O106" s="993">
        <f t="shared" si="56"/>
        <v>1.5</v>
      </c>
      <c r="P106" s="993">
        <f t="shared" si="57"/>
        <v>4.5</v>
      </c>
      <c r="Q106" s="994">
        <f t="shared" si="58"/>
        <v>7.5</v>
      </c>
      <c r="R106" s="996">
        <f t="shared" si="59"/>
        <v>10.5</v>
      </c>
      <c r="S106" s="2919">
        <f>'11.2. Нови активи отч.год.'!S107</f>
        <v>0</v>
      </c>
      <c r="T106" s="995">
        <f t="shared" si="60"/>
        <v>0</v>
      </c>
      <c r="U106" s="993">
        <f t="shared" si="61"/>
        <v>0</v>
      </c>
      <c r="V106" s="993">
        <f t="shared" si="62"/>
        <v>0</v>
      </c>
      <c r="W106" s="993">
        <f t="shared" si="63"/>
        <v>0</v>
      </c>
      <c r="X106" s="993">
        <f t="shared" si="64"/>
        <v>0</v>
      </c>
      <c r="Y106" s="996">
        <f t="shared" si="65"/>
        <v>0</v>
      </c>
      <c r="Z106" s="2919">
        <f>'11.2. Нови активи отч.год.'!Z107</f>
        <v>0</v>
      </c>
      <c r="AA106" s="995">
        <f t="shared" si="66"/>
        <v>0</v>
      </c>
      <c r="AB106" s="993">
        <f t="shared" si="67"/>
        <v>2</v>
      </c>
      <c r="AC106" s="993">
        <f t="shared" si="68"/>
        <v>6</v>
      </c>
      <c r="AD106" s="993">
        <f t="shared" si="69"/>
        <v>10</v>
      </c>
      <c r="AE106" s="993">
        <f t="shared" si="70"/>
        <v>14</v>
      </c>
      <c r="AF106" s="996">
        <f t="shared" si="71"/>
        <v>18</v>
      </c>
      <c r="AG106" s="307"/>
      <c r="AH106" s="565"/>
    </row>
    <row r="107" spans="1:34" s="262" customFormat="1" ht="13.5" thickBot="1">
      <c r="A107" s="997">
        <v>12</v>
      </c>
      <c r="B107" s="997">
        <v>219</v>
      </c>
      <c r="C107" s="1823">
        <v>0.1</v>
      </c>
      <c r="D107" s="1824" t="s">
        <v>279</v>
      </c>
      <c r="E107" s="1000">
        <f>'11.2. Нови активи отч.год.'!E108</f>
        <v>0</v>
      </c>
      <c r="F107" s="1001">
        <f t="shared" si="48"/>
        <v>0</v>
      </c>
      <c r="G107" s="1002">
        <f t="shared" si="49"/>
        <v>0</v>
      </c>
      <c r="H107" s="1002">
        <f t="shared" si="50"/>
        <v>0</v>
      </c>
      <c r="I107" s="1002">
        <f t="shared" si="51"/>
        <v>0</v>
      </c>
      <c r="J107" s="1002">
        <f t="shared" si="52"/>
        <v>0</v>
      </c>
      <c r="K107" s="1003">
        <f t="shared" si="53"/>
        <v>0</v>
      </c>
      <c r="L107" s="1000">
        <f>'11.2. Нови активи отч.год.'!L108</f>
        <v>0</v>
      </c>
      <c r="M107" s="1001">
        <f t="shared" si="54"/>
        <v>0</v>
      </c>
      <c r="N107" s="1002">
        <f t="shared" si="55"/>
        <v>0</v>
      </c>
      <c r="O107" s="1002">
        <f t="shared" si="56"/>
        <v>0</v>
      </c>
      <c r="P107" s="1002">
        <f t="shared" si="57"/>
        <v>0</v>
      </c>
      <c r="Q107" s="1003">
        <f t="shared" si="58"/>
        <v>0</v>
      </c>
      <c r="R107" s="1004">
        <f t="shared" si="59"/>
        <v>0</v>
      </c>
      <c r="S107" s="1000">
        <f>'11.2. Нови активи отч.год.'!S108</f>
        <v>0</v>
      </c>
      <c r="T107" s="1005">
        <f t="shared" si="60"/>
        <v>0</v>
      </c>
      <c r="U107" s="1002">
        <f t="shared" si="61"/>
        <v>0</v>
      </c>
      <c r="V107" s="1002">
        <f t="shared" si="62"/>
        <v>0</v>
      </c>
      <c r="W107" s="1002">
        <f t="shared" si="63"/>
        <v>0</v>
      </c>
      <c r="X107" s="1002">
        <f t="shared" si="64"/>
        <v>0</v>
      </c>
      <c r="Y107" s="1004">
        <f t="shared" si="65"/>
        <v>0</v>
      </c>
      <c r="Z107" s="1000">
        <f>'11.2. Нови активи отч.год.'!Z108</f>
        <v>0</v>
      </c>
      <c r="AA107" s="1005">
        <f t="shared" si="66"/>
        <v>0</v>
      </c>
      <c r="AB107" s="1002">
        <f t="shared" si="67"/>
        <v>0</v>
      </c>
      <c r="AC107" s="1002">
        <f t="shared" si="68"/>
        <v>0</v>
      </c>
      <c r="AD107" s="1002">
        <f t="shared" si="69"/>
        <v>0</v>
      </c>
      <c r="AE107" s="1002">
        <f t="shared" si="70"/>
        <v>0</v>
      </c>
      <c r="AF107" s="1004">
        <f t="shared" si="71"/>
        <v>0</v>
      </c>
      <c r="AG107" s="307"/>
      <c r="AH107" s="569"/>
    </row>
    <row r="108" spans="1:34" ht="13.5" thickBot="1">
      <c r="A108" s="1825"/>
      <c r="B108" s="337"/>
      <c r="C108" s="337"/>
      <c r="D108" s="337"/>
      <c r="E108" s="338"/>
      <c r="F108" s="338"/>
      <c r="G108" s="338"/>
      <c r="H108" s="338"/>
      <c r="I108" s="338"/>
      <c r="J108" s="338"/>
      <c r="K108" s="338"/>
      <c r="L108" s="338"/>
      <c r="M108" s="338"/>
      <c r="N108" s="338"/>
      <c r="O108" s="338"/>
      <c r="P108" s="338"/>
      <c r="Q108" s="338"/>
      <c r="R108" s="338"/>
      <c r="S108" s="338"/>
      <c r="T108" s="338"/>
      <c r="U108" s="338"/>
      <c r="V108" s="338"/>
      <c r="W108" s="338"/>
      <c r="X108" s="338"/>
      <c r="Y108" s="338"/>
      <c r="Z108" s="338"/>
      <c r="AA108" s="338"/>
      <c r="AB108" s="338"/>
      <c r="AC108" s="338"/>
      <c r="AD108" s="338"/>
      <c r="AE108" s="338"/>
      <c r="AF108" s="338"/>
    </row>
    <row r="109" spans="1:34">
      <c r="A109" s="1825"/>
      <c r="B109" s="337"/>
      <c r="C109" s="337"/>
      <c r="D109" s="621" t="s">
        <v>570</v>
      </c>
      <c r="E109" s="622"/>
      <c r="F109" s="623">
        <f t="shared" ref="F109:K109" si="72">IFERROR(F59/(F$59+M$59+T$59),0)</f>
        <v>0.94999134798408025</v>
      </c>
      <c r="G109" s="624">
        <f t="shared" si="72"/>
        <v>0.91369460086894438</v>
      </c>
      <c r="H109" s="624">
        <f t="shared" si="72"/>
        <v>0.85640328018567591</v>
      </c>
      <c r="I109" s="624">
        <f t="shared" si="72"/>
        <v>0.80617871880278436</v>
      </c>
      <c r="J109" s="624">
        <f t="shared" si="72"/>
        <v>0.77224121612382601</v>
      </c>
      <c r="K109" s="625">
        <f t="shared" si="72"/>
        <v>0.75367972663762062</v>
      </c>
      <c r="L109" s="509"/>
      <c r="M109" s="338"/>
      <c r="N109" s="338"/>
      <c r="O109" s="338"/>
      <c r="P109" s="338"/>
      <c r="Q109" s="338"/>
      <c r="R109" s="338"/>
      <c r="S109" s="338"/>
      <c r="T109" s="338"/>
      <c r="U109" s="338"/>
      <c r="V109" s="338"/>
      <c r="W109" s="338"/>
      <c r="X109" s="338"/>
      <c r="Y109" s="338"/>
      <c r="Z109" s="338"/>
      <c r="AA109" s="338"/>
      <c r="AB109" s="338"/>
      <c r="AC109" s="338"/>
      <c r="AD109" s="338"/>
      <c r="AE109" s="338"/>
      <c r="AF109" s="338"/>
    </row>
    <row r="110" spans="1:34">
      <c r="A110" s="1825"/>
      <c r="B110" s="337"/>
      <c r="C110" s="337"/>
      <c r="D110" s="626" t="s">
        <v>868</v>
      </c>
      <c r="E110" s="627"/>
      <c r="F110" s="628">
        <f t="shared" ref="F110:K110" si="73">IFERROR(M59/(F$59+M$59+T$59),0)</f>
        <v>1.1939781969198824E-2</v>
      </c>
      <c r="G110" s="629">
        <f t="shared" si="73"/>
        <v>1.8345755905282559E-2</v>
      </c>
      <c r="H110" s="629">
        <f t="shared" si="73"/>
        <v>3.5841741265655307E-2</v>
      </c>
      <c r="I110" s="629">
        <f t="shared" si="73"/>
        <v>5.2702745513375289E-2</v>
      </c>
      <c r="J110" s="629">
        <f t="shared" si="73"/>
        <v>6.1939279029739988E-2</v>
      </c>
      <c r="K110" s="630">
        <f t="shared" si="73"/>
        <v>6.6861676464057732E-2</v>
      </c>
      <c r="L110" s="509"/>
      <c r="M110" s="338"/>
      <c r="N110" s="338"/>
      <c r="O110" s="338"/>
      <c r="P110" s="338"/>
      <c r="Q110" s="338"/>
      <c r="R110" s="338"/>
      <c r="S110" s="338"/>
      <c r="T110" s="338"/>
      <c r="U110" s="338"/>
      <c r="V110" s="338"/>
      <c r="W110" s="338"/>
      <c r="X110" s="338"/>
      <c r="Y110" s="338"/>
      <c r="Z110" s="338"/>
      <c r="AA110" s="338"/>
      <c r="AB110" s="338"/>
      <c r="AC110" s="338"/>
      <c r="AD110" s="338"/>
      <c r="AE110" s="338"/>
      <c r="AF110" s="338"/>
    </row>
    <row r="111" spans="1:34" ht="13.5" thickBot="1">
      <c r="A111" s="1825"/>
      <c r="B111" s="337"/>
      <c r="C111" s="337"/>
      <c r="D111" s="631" t="s">
        <v>571</v>
      </c>
      <c r="E111" s="632"/>
      <c r="F111" s="633">
        <f t="shared" ref="F111:K111" si="74">IFERROR(T59/(F$59+M$59+T$59),0)</f>
        <v>3.8068870046720896E-2</v>
      </c>
      <c r="G111" s="634">
        <f t="shared" si="74"/>
        <v>6.7959643225772984E-2</v>
      </c>
      <c r="H111" s="634">
        <f t="shared" si="74"/>
        <v>0.10775497854866885</v>
      </c>
      <c r="I111" s="634">
        <f t="shared" si="74"/>
        <v>0.14111853568384042</v>
      </c>
      <c r="J111" s="634">
        <f t="shared" si="74"/>
        <v>0.16581950484643396</v>
      </c>
      <c r="K111" s="635">
        <f t="shared" si="74"/>
        <v>0.17945859689832164</v>
      </c>
      <c r="L111" s="509"/>
      <c r="M111" s="338"/>
      <c r="N111" s="338"/>
      <c r="O111" s="338"/>
      <c r="P111" s="338"/>
      <c r="Q111" s="338"/>
      <c r="R111" s="338"/>
      <c r="S111" s="338"/>
      <c r="T111" s="338"/>
      <c r="U111" s="338"/>
      <c r="V111" s="338"/>
      <c r="W111" s="338"/>
      <c r="X111" s="338"/>
      <c r="Y111" s="338"/>
      <c r="Z111" s="338"/>
      <c r="AA111" s="338"/>
      <c r="AB111" s="338"/>
      <c r="AC111" s="338"/>
      <c r="AD111" s="338"/>
      <c r="AE111" s="338"/>
      <c r="AF111" s="338"/>
    </row>
    <row r="112" spans="1:34" ht="13.5" thickBot="1">
      <c r="A112" s="1825"/>
      <c r="B112" s="337"/>
      <c r="C112" s="337"/>
      <c r="D112" s="337"/>
      <c r="E112" s="338"/>
      <c r="F112" s="636">
        <f t="shared" ref="F112:K112" si="75">SUM(F109:F111)</f>
        <v>1</v>
      </c>
      <c r="G112" s="637">
        <f t="shared" si="75"/>
        <v>0.99999999999999989</v>
      </c>
      <c r="H112" s="637">
        <f t="shared" si="75"/>
        <v>1</v>
      </c>
      <c r="I112" s="637">
        <f t="shared" si="75"/>
        <v>1</v>
      </c>
      <c r="J112" s="637">
        <f t="shared" si="75"/>
        <v>0.99999999999999989</v>
      </c>
      <c r="K112" s="638">
        <f t="shared" si="75"/>
        <v>1</v>
      </c>
      <c r="L112" s="338"/>
      <c r="M112" s="338"/>
      <c r="N112" s="338"/>
      <c r="O112" s="338"/>
      <c r="P112" s="338"/>
      <c r="Q112" s="338"/>
      <c r="R112" s="338"/>
      <c r="S112" s="338"/>
      <c r="T112" s="338"/>
      <c r="U112" s="350" t="str">
        <f>'11. Амортиз. план'!P286</f>
        <v>Главен счетоводител:</v>
      </c>
      <c r="V112" s="339"/>
      <c r="W112" s="289"/>
      <c r="X112" s="219" t="s">
        <v>262</v>
      </c>
      <c r="Y112" s="199"/>
      <c r="Z112" s="217"/>
      <c r="AC112" s="338"/>
      <c r="AD112" s="338"/>
      <c r="AE112" s="338"/>
      <c r="AF112" s="338"/>
    </row>
    <row r="113" spans="1:32">
      <c r="A113" s="1825"/>
      <c r="B113" s="337"/>
      <c r="C113" s="337"/>
      <c r="D113" s="337"/>
      <c r="E113" s="338"/>
      <c r="F113" s="338"/>
      <c r="G113" s="338"/>
      <c r="H113" s="338"/>
      <c r="I113" s="338"/>
      <c r="J113" s="338"/>
      <c r="K113" s="338"/>
      <c r="L113" s="338"/>
      <c r="M113" s="338"/>
      <c r="N113" s="338"/>
      <c r="O113" s="338"/>
      <c r="P113" s="338"/>
      <c r="Q113" s="338"/>
      <c r="R113" s="338"/>
      <c r="S113" s="338"/>
      <c r="T113" s="338"/>
      <c r="V113" s="288"/>
      <c r="W113" s="220"/>
      <c r="X113" s="290"/>
      <c r="Y113" s="291" t="s">
        <v>5</v>
      </c>
      <c r="Z113" s="217"/>
      <c r="AC113" s="338"/>
      <c r="AD113" s="338"/>
      <c r="AE113" s="338"/>
      <c r="AF113" s="338"/>
    </row>
    <row r="114" spans="1:32">
      <c r="A114" s="1825"/>
      <c r="B114" s="337"/>
      <c r="C114" s="337"/>
      <c r="D114" s="337"/>
      <c r="E114" s="338"/>
      <c r="F114" s="338"/>
      <c r="G114" s="338"/>
      <c r="H114" s="338"/>
      <c r="I114" s="338"/>
      <c r="J114" s="338"/>
      <c r="K114" s="338"/>
      <c r="L114" s="338"/>
      <c r="M114" s="338"/>
      <c r="N114" s="338"/>
      <c r="O114" s="338"/>
      <c r="P114" s="338"/>
      <c r="Q114" s="338"/>
      <c r="R114" s="338"/>
      <c r="S114" s="338"/>
      <c r="T114" s="338"/>
      <c r="V114" s="288"/>
      <c r="W114" s="220"/>
      <c r="X114" s="290"/>
      <c r="Y114" s="291"/>
      <c r="Z114" s="217"/>
      <c r="AC114" s="338"/>
      <c r="AD114" s="338"/>
      <c r="AE114" s="338"/>
      <c r="AF114" s="338"/>
    </row>
    <row r="115" spans="1:32">
      <c r="C115" s="349" t="str">
        <f>'11. Амортиз. план'!C286</f>
        <v>Дата: 10.11.2017 г.</v>
      </c>
      <c r="V115" s="288"/>
      <c r="W115" s="220"/>
      <c r="X115" s="290"/>
      <c r="Y115" s="291"/>
      <c r="Z115" s="217"/>
    </row>
    <row r="116" spans="1:32">
      <c r="V116" s="288"/>
      <c r="W116" s="220"/>
      <c r="X116" s="290"/>
      <c r="Y116" s="291"/>
      <c r="Z116" s="217"/>
    </row>
    <row r="117" spans="1:32">
      <c r="B117" s="2937"/>
      <c r="C117" s="2937"/>
      <c r="D117" s="2937"/>
      <c r="V117" s="288"/>
      <c r="W117" s="220"/>
      <c r="X117" s="290"/>
      <c r="Y117" s="291"/>
      <c r="Z117" s="217"/>
    </row>
    <row r="118" spans="1:32">
      <c r="A118" s="2936" t="s">
        <v>247</v>
      </c>
      <c r="V118" s="292" t="str">
        <f>'11. Амортиз. план'!O290</f>
        <v>Управител:</v>
      </c>
      <c r="X118" s="219" t="s">
        <v>262</v>
      </c>
      <c r="Y118" s="217"/>
      <c r="Z118" s="217"/>
    </row>
    <row r="119" spans="1:32">
      <c r="A119" s="660" t="s">
        <v>767</v>
      </c>
      <c r="V119" s="288"/>
      <c r="W119" s="293"/>
      <c r="X119" s="290"/>
      <c r="Y119" s="291" t="s">
        <v>6</v>
      </c>
      <c r="Z119" s="290"/>
    </row>
    <row r="120" spans="1:32">
      <c r="A120" s="259"/>
      <c r="E120" s="2936"/>
      <c r="F120" s="2936"/>
      <c r="G120" s="176"/>
      <c r="H120" s="176"/>
      <c r="I120" s="176"/>
      <c r="J120" s="176"/>
    </row>
    <row r="121" spans="1:32">
      <c r="E121" s="2937"/>
      <c r="F121" s="2937"/>
      <c r="G121" s="176"/>
      <c r="H121" s="176"/>
      <c r="I121" s="176"/>
      <c r="J121" s="176"/>
    </row>
    <row r="122" spans="1:32">
      <c r="M122" s="261"/>
      <c r="N122" s="261"/>
      <c r="O122" s="261"/>
      <c r="P122" s="261"/>
      <c r="Q122" s="261"/>
    </row>
    <row r="123" spans="1:32">
      <c r="U123" s="339"/>
      <c r="V123" s="289"/>
      <c r="W123" s="219"/>
      <c r="X123" s="199"/>
      <c r="Y123" s="217"/>
    </row>
    <row r="124" spans="1:32">
      <c r="U124" s="288"/>
      <c r="V124" s="220"/>
      <c r="W124" s="290"/>
      <c r="X124" s="291"/>
      <c r="Y124" s="217"/>
    </row>
    <row r="125" spans="1:32">
      <c r="U125" s="288"/>
      <c r="V125" s="220"/>
      <c r="W125" s="290"/>
      <c r="X125" s="291"/>
      <c r="Y125" s="217"/>
    </row>
    <row r="126" spans="1:32">
      <c r="T126" s="350"/>
      <c r="U126" s="288"/>
      <c r="V126" s="220"/>
      <c r="W126" s="290"/>
      <c r="X126" s="291"/>
      <c r="Y126" s="217"/>
    </row>
    <row r="127" spans="1:32">
      <c r="U127" s="288"/>
      <c r="V127" s="220"/>
      <c r="W127" s="290"/>
      <c r="X127" s="291"/>
      <c r="Y127" s="217"/>
    </row>
    <row r="128" spans="1:32">
      <c r="U128" s="288"/>
      <c r="V128" s="220"/>
      <c r="W128" s="290"/>
      <c r="X128" s="291"/>
      <c r="Y128" s="217"/>
    </row>
    <row r="129" spans="21:25">
      <c r="U129" s="292"/>
      <c r="W129" s="219"/>
      <c r="X129" s="217"/>
      <c r="Y129" s="217"/>
    </row>
    <row r="130" spans="21:25">
      <c r="U130" s="288"/>
      <c r="V130" s="293"/>
      <c r="W130" s="290"/>
      <c r="X130" s="291"/>
      <c r="Y130" s="290"/>
    </row>
  </sheetData>
  <sheetProtection password="C6DB" sheet="1" objects="1" scenarios="1"/>
  <mergeCells count="12">
    <mergeCell ref="A2:R2"/>
    <mergeCell ref="A3:R3"/>
    <mergeCell ref="A4:R4"/>
    <mergeCell ref="AH8:AH9"/>
    <mergeCell ref="A8:A9"/>
    <mergeCell ref="D8:D9"/>
    <mergeCell ref="E8:K8"/>
    <mergeCell ref="L8:R8"/>
    <mergeCell ref="S8:Y8"/>
    <mergeCell ref="Z8:AF8"/>
    <mergeCell ref="B8:B9"/>
    <mergeCell ref="C8:C9"/>
  </mergeCells>
  <printOptions horizontalCentered="1"/>
  <pageMargins left="0.31496062992125984" right="0.31496062992125984" top="0.94488188976377963" bottom="0.35433070866141736" header="0.31496062992125984" footer="0.31496062992125984"/>
  <pageSetup paperSize="9" scale="70" orientation="landscape" r:id="rId1"/>
  <headerFooter>
    <oddFooter>&amp;A&amp;RPage &amp;P</oddFooter>
  </headerFooter>
  <rowBreaks count="3" manualBreakCount="3">
    <brk id="39" max="33" man="1"/>
    <brk id="76" max="33" man="1"/>
    <brk id="121" max="16383" man="1"/>
  </rowBreaks>
  <colBreaks count="1" manualBreakCount="1">
    <brk id="18" max="1048575" man="1"/>
  </colBreaks>
  <ignoredErrors>
    <ignoredError sqref="F14:AF14 F17:AF17 F21:AF21 F24:AF24 F44:AF44 F63:AF63 F93:AF93 F66:AF66 F70:AF70 F73:AF73 F33:AF33 F82:AF82 F98:AF98 F49:AF49" formula="1"/>
  </ignoredError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BCF6C6"/>
  </sheetPr>
  <dimension ref="A1:CB193"/>
  <sheetViews>
    <sheetView view="pageBreakPreview" zoomScale="85" zoomScaleNormal="70" zoomScaleSheetLayoutView="85" workbookViewId="0">
      <pane xSplit="4" ySplit="9" topLeftCell="E10" activePane="bottomRight" state="frozen"/>
      <selection pane="topRight" activeCell="E1" sqref="E1"/>
      <selection pane="bottomLeft" activeCell="A10" sqref="A10"/>
      <selection pane="bottomRight" activeCell="I20" sqref="I20"/>
    </sheetView>
  </sheetViews>
  <sheetFormatPr defaultColWidth="9.140625" defaultRowHeight="12.75"/>
  <cols>
    <col min="1" max="1" width="4.42578125" style="651" customWidth="1"/>
    <col min="2" max="2" width="9.42578125" style="259" customWidth="1"/>
    <col min="3" max="3" width="7.5703125" style="259" customWidth="1"/>
    <col min="4" max="4" width="45.7109375" style="259" customWidth="1"/>
    <col min="5" max="5" width="12.7109375" style="259" customWidth="1"/>
    <col min="6" max="7" width="11.85546875" style="259" customWidth="1"/>
    <col min="8" max="8" width="12" style="259" customWidth="1"/>
    <col min="9" max="11" width="14" style="259" customWidth="1"/>
    <col min="12" max="12" width="12" style="259" customWidth="1"/>
    <col min="13" max="13" width="11.7109375" style="339" customWidth="1"/>
    <col min="14" max="14" width="11.7109375" style="539" customWidth="1"/>
    <col min="15" max="15" width="10.7109375" style="339" customWidth="1"/>
    <col min="16" max="16" width="10.28515625" style="194" customWidth="1"/>
    <col min="17" max="32" width="9.140625" style="194"/>
    <col min="33" max="33" width="10.140625" style="194" customWidth="1"/>
    <col min="34" max="16384" width="9.140625" style="194"/>
  </cols>
  <sheetData>
    <row r="1" spans="1:80" ht="13.5">
      <c r="H1" s="339"/>
      <c r="I1" s="347"/>
      <c r="K1" s="294"/>
      <c r="P1" s="339"/>
      <c r="Q1" s="348" t="s">
        <v>249</v>
      </c>
      <c r="R1" s="339"/>
      <c r="S1" s="339"/>
      <c r="T1" s="339"/>
      <c r="U1" s="339"/>
      <c r="V1" s="339"/>
      <c r="W1" s="339"/>
      <c r="X1" s="339"/>
      <c r="AA1" s="339"/>
      <c r="AB1" s="339"/>
      <c r="AC1" s="339"/>
      <c r="AD1" s="339"/>
      <c r="AE1" s="339"/>
      <c r="AF1" s="348" t="s">
        <v>249</v>
      </c>
      <c r="AG1" s="339"/>
      <c r="AH1" s="339"/>
      <c r="AI1" s="339"/>
      <c r="AJ1" s="339"/>
      <c r="AK1" s="339"/>
      <c r="AL1" s="339"/>
      <c r="AM1" s="339"/>
      <c r="AN1" s="339"/>
      <c r="AO1" s="339"/>
      <c r="AP1" s="339"/>
      <c r="AQ1" s="339"/>
      <c r="AR1" s="339"/>
      <c r="AS1" s="339"/>
      <c r="AT1" s="339"/>
      <c r="AU1" s="339"/>
      <c r="AV1" s="339"/>
      <c r="AW1" s="339"/>
      <c r="AX1" s="339"/>
      <c r="AY1" s="339"/>
      <c r="AZ1" s="339"/>
      <c r="BA1" s="339"/>
      <c r="BB1" s="339"/>
      <c r="BC1" s="339"/>
      <c r="BD1" s="339"/>
      <c r="BE1" s="339"/>
      <c r="BF1" s="339"/>
      <c r="BG1" s="339"/>
      <c r="BH1" s="339"/>
      <c r="BI1" s="339"/>
      <c r="BJ1" s="339"/>
      <c r="BK1" s="339"/>
      <c r="BL1" s="339"/>
      <c r="BM1" s="339"/>
      <c r="BN1" s="339"/>
      <c r="BO1" s="339"/>
      <c r="BP1" s="339"/>
      <c r="BQ1" s="339"/>
      <c r="BR1" s="339"/>
      <c r="BS1" s="339"/>
      <c r="BT1" s="339"/>
      <c r="BU1" s="339"/>
      <c r="BV1" s="339"/>
      <c r="BW1" s="339"/>
      <c r="BX1" s="339"/>
      <c r="BY1" s="339"/>
      <c r="BZ1" s="339"/>
      <c r="CA1" s="339"/>
      <c r="CB1" s="339"/>
    </row>
    <row r="2" spans="1:80" ht="19.5" customHeight="1">
      <c r="A2" s="3565" t="s">
        <v>1416</v>
      </c>
      <c r="B2" s="3565"/>
      <c r="C2" s="3565"/>
      <c r="D2" s="3565"/>
      <c r="E2" s="3565"/>
      <c r="F2" s="3565"/>
      <c r="G2" s="3565"/>
      <c r="H2" s="3565"/>
      <c r="I2" s="3565"/>
      <c r="J2" s="3565"/>
      <c r="K2" s="3565"/>
      <c r="L2" s="3565"/>
      <c r="M2" s="3565"/>
      <c r="N2" s="3565"/>
      <c r="O2" s="3565"/>
      <c r="P2" s="3565"/>
      <c r="Q2" s="3565"/>
      <c r="R2" s="3565"/>
      <c r="S2" s="339"/>
      <c r="T2" s="339"/>
      <c r="U2" s="339"/>
      <c r="V2" s="339"/>
      <c r="W2" s="339"/>
      <c r="X2" s="339"/>
      <c r="Y2" s="339"/>
      <c r="Z2" s="339"/>
      <c r="AA2" s="339"/>
      <c r="AB2" s="339"/>
      <c r="AC2" s="339"/>
      <c r="AD2" s="339"/>
      <c r="AE2" s="339"/>
      <c r="AF2" s="339"/>
      <c r="AG2" s="339"/>
      <c r="AH2" s="339"/>
      <c r="AI2" s="339"/>
      <c r="AJ2" s="339"/>
      <c r="AK2" s="339"/>
      <c r="AL2" s="339"/>
      <c r="AM2" s="339"/>
      <c r="AN2" s="339"/>
      <c r="AO2" s="339"/>
      <c r="AP2" s="339"/>
      <c r="AQ2" s="339"/>
      <c r="AR2" s="339"/>
      <c r="AS2" s="339"/>
      <c r="AT2" s="339"/>
      <c r="AU2" s="339"/>
      <c r="AV2" s="339"/>
      <c r="AW2" s="339"/>
      <c r="AX2" s="339"/>
      <c r="AY2" s="339"/>
      <c r="AZ2" s="339"/>
      <c r="BA2" s="339"/>
      <c r="BB2" s="339"/>
      <c r="BC2" s="339"/>
      <c r="BD2" s="339"/>
      <c r="BE2" s="339"/>
      <c r="BF2" s="339"/>
      <c r="BG2" s="339"/>
      <c r="BH2" s="339"/>
      <c r="BI2" s="339"/>
      <c r="BJ2" s="339"/>
      <c r="BK2" s="339"/>
      <c r="BL2" s="339"/>
      <c r="BM2" s="339"/>
      <c r="BN2" s="339"/>
      <c r="BO2" s="339"/>
      <c r="BP2" s="339"/>
      <c r="BQ2" s="339"/>
      <c r="BR2" s="339"/>
      <c r="BS2" s="339"/>
      <c r="BT2" s="339"/>
      <c r="BU2" s="339"/>
      <c r="BV2" s="339"/>
      <c r="BW2" s="339"/>
      <c r="BX2" s="339"/>
      <c r="BY2" s="339"/>
      <c r="BZ2" s="339"/>
      <c r="CA2" s="339"/>
      <c r="CB2" s="339"/>
    </row>
    <row r="3" spans="1:80" ht="18.75">
      <c r="A3" s="3565" t="str">
        <f>'Приложение '!G12</f>
        <v>2015 г.</v>
      </c>
      <c r="B3" s="3565"/>
      <c r="C3" s="3565"/>
      <c r="D3" s="3565"/>
      <c r="E3" s="3565"/>
      <c r="F3" s="3565"/>
      <c r="G3" s="3565"/>
      <c r="H3" s="3565"/>
      <c r="I3" s="3565"/>
      <c r="J3" s="3565"/>
      <c r="K3" s="3565"/>
      <c r="L3" s="3565"/>
      <c r="M3" s="3565"/>
      <c r="N3" s="3565"/>
      <c r="O3" s="3565"/>
      <c r="P3" s="3565"/>
      <c r="Q3" s="3565"/>
      <c r="R3" s="3565"/>
      <c r="S3" s="339"/>
      <c r="T3" s="339"/>
      <c r="U3" s="339"/>
      <c r="V3" s="339"/>
      <c r="W3" s="339"/>
      <c r="X3" s="339"/>
      <c r="Y3" s="339"/>
      <c r="Z3" s="339"/>
      <c r="AA3" s="339"/>
      <c r="AB3" s="339"/>
      <c r="AC3" s="339"/>
      <c r="AD3" s="339"/>
      <c r="AE3" s="339"/>
      <c r="AF3" s="339"/>
      <c r="AG3" s="339"/>
      <c r="AH3" s="339"/>
      <c r="AI3" s="339"/>
      <c r="AJ3" s="339"/>
      <c r="AK3" s="339"/>
      <c r="AL3" s="339"/>
      <c r="AM3" s="339"/>
      <c r="AN3" s="339"/>
      <c r="AO3" s="339"/>
      <c r="AP3" s="339"/>
      <c r="AQ3" s="339"/>
      <c r="AR3" s="339"/>
      <c r="AS3" s="339"/>
      <c r="AT3" s="339"/>
      <c r="AU3" s="339"/>
      <c r="AV3" s="339"/>
      <c r="AW3" s="339"/>
      <c r="AX3" s="339"/>
      <c r="AY3" s="339"/>
      <c r="AZ3" s="339"/>
      <c r="BA3" s="339"/>
      <c r="BB3" s="339"/>
      <c r="BC3" s="339"/>
      <c r="BD3" s="339"/>
      <c r="BE3" s="339"/>
      <c r="BF3" s="339"/>
      <c r="BG3" s="339"/>
      <c r="BH3" s="339"/>
      <c r="BI3" s="339"/>
      <c r="BJ3" s="339"/>
      <c r="BK3" s="339"/>
      <c r="BL3" s="339"/>
      <c r="BM3" s="339"/>
      <c r="BN3" s="339"/>
      <c r="BO3" s="339"/>
      <c r="BP3" s="339"/>
      <c r="BQ3" s="339"/>
      <c r="BR3" s="339"/>
      <c r="BS3" s="339"/>
      <c r="BT3" s="339"/>
      <c r="BU3" s="339"/>
      <c r="BV3" s="339"/>
      <c r="BW3" s="339"/>
      <c r="BX3" s="339"/>
      <c r="BY3" s="339"/>
      <c r="BZ3" s="339"/>
      <c r="CA3" s="339"/>
      <c r="CB3" s="339"/>
    </row>
    <row r="4" spans="1:80" ht="15.75">
      <c r="A4" s="3572" t="str">
        <f>'1. Анкетна карта'!A3:J3</f>
        <v>на "ВОДОСНАБДЯВАНЕ И КАНАЛИЗАЦИЯ ДОБРИЧ" АД, гр. Добрич</v>
      </c>
      <c r="B4" s="3572"/>
      <c r="C4" s="3572"/>
      <c r="D4" s="3572"/>
      <c r="E4" s="3572"/>
      <c r="F4" s="3572"/>
      <c r="G4" s="3572"/>
      <c r="H4" s="3572"/>
      <c r="I4" s="3572"/>
      <c r="J4" s="3572"/>
      <c r="K4" s="3572"/>
      <c r="L4" s="3572"/>
      <c r="M4" s="3572"/>
      <c r="N4" s="3572"/>
      <c r="O4" s="3572"/>
      <c r="P4" s="3572"/>
      <c r="Q4" s="3572"/>
      <c r="R4" s="3572"/>
      <c r="S4" s="339"/>
      <c r="T4" s="339"/>
      <c r="U4" s="339"/>
      <c r="V4" s="339"/>
      <c r="W4" s="339"/>
      <c r="X4" s="339"/>
      <c r="Y4" s="339"/>
      <c r="Z4" s="339"/>
      <c r="AA4" s="339"/>
      <c r="AB4" s="339"/>
      <c r="AC4" s="339"/>
      <c r="AD4" s="339"/>
      <c r="AE4" s="339"/>
      <c r="AF4" s="339"/>
      <c r="AG4" s="339"/>
      <c r="AH4" s="339"/>
      <c r="AI4" s="339"/>
      <c r="AJ4" s="339"/>
      <c r="AK4" s="339"/>
      <c r="AL4" s="339"/>
      <c r="AM4" s="339"/>
      <c r="AN4" s="339"/>
      <c r="AO4" s="339"/>
      <c r="AP4" s="339"/>
      <c r="AQ4" s="339"/>
      <c r="AR4" s="339"/>
      <c r="AS4" s="339"/>
      <c r="AT4" s="339"/>
      <c r="AU4" s="339"/>
      <c r="AV4" s="339"/>
      <c r="AW4" s="339"/>
      <c r="AX4" s="339"/>
      <c r="AY4" s="339"/>
      <c r="AZ4" s="339"/>
      <c r="BA4" s="339"/>
      <c r="BB4" s="339"/>
      <c r="BC4" s="339"/>
      <c r="BD4" s="339"/>
      <c r="BE4" s="339"/>
      <c r="BF4" s="339"/>
      <c r="BG4" s="339"/>
      <c r="BH4" s="339"/>
      <c r="BI4" s="339"/>
      <c r="BJ4" s="339"/>
      <c r="BK4" s="339"/>
      <c r="BL4" s="339"/>
      <c r="BM4" s="339"/>
      <c r="BN4" s="339"/>
      <c r="BO4" s="339"/>
      <c r="BP4" s="339"/>
      <c r="BQ4" s="339"/>
      <c r="BR4" s="339"/>
      <c r="BS4" s="339"/>
      <c r="BT4" s="339"/>
      <c r="BU4" s="339"/>
      <c r="BV4" s="339"/>
      <c r="BW4" s="339"/>
      <c r="BX4" s="339"/>
      <c r="BY4" s="339"/>
      <c r="BZ4" s="339"/>
      <c r="CA4" s="339"/>
      <c r="CB4" s="339"/>
    </row>
    <row r="5" spans="1:80" ht="15.75">
      <c r="A5" s="3572" t="str">
        <f>'1. Анкетна карта'!A4:J4</f>
        <v>ЕИК по БУЛСТАТ: 204219357</v>
      </c>
      <c r="B5" s="3572"/>
      <c r="C5" s="3572"/>
      <c r="D5" s="3572"/>
      <c r="E5" s="3572"/>
      <c r="F5" s="3572"/>
      <c r="G5" s="3572"/>
      <c r="H5" s="3572"/>
      <c r="I5" s="3572"/>
      <c r="J5" s="3572"/>
      <c r="K5" s="3572"/>
      <c r="L5" s="3572"/>
      <c r="M5" s="3572"/>
      <c r="N5" s="3572"/>
      <c r="O5" s="3572"/>
      <c r="P5" s="3572"/>
      <c r="Q5" s="3572"/>
      <c r="R5" s="3572"/>
      <c r="S5" s="339"/>
      <c r="T5" s="339"/>
      <c r="U5" s="339"/>
      <c r="V5" s="339"/>
      <c r="W5" s="339"/>
      <c r="X5" s="339"/>
      <c r="Y5" s="339"/>
      <c r="Z5" s="339"/>
      <c r="AA5" s="339"/>
      <c r="AB5" s="339"/>
      <c r="AC5" s="339"/>
      <c r="AD5" s="339"/>
      <c r="AE5" s="339"/>
      <c r="AF5" s="339"/>
      <c r="AG5" s="339"/>
      <c r="AH5" s="339"/>
      <c r="AI5" s="339"/>
      <c r="AJ5" s="339"/>
      <c r="AK5" s="339"/>
      <c r="AL5" s="339"/>
      <c r="AM5" s="339"/>
      <c r="AN5" s="339"/>
      <c r="AO5" s="339"/>
      <c r="AP5" s="339"/>
      <c r="AQ5" s="339"/>
      <c r="AR5" s="339"/>
      <c r="AS5" s="339"/>
      <c r="AT5" s="339"/>
      <c r="AU5" s="339"/>
      <c r="AV5" s="339"/>
      <c r="AW5" s="339"/>
      <c r="AX5" s="339"/>
      <c r="AY5" s="339"/>
      <c r="AZ5" s="339"/>
      <c r="BA5" s="339"/>
      <c r="BB5" s="339"/>
      <c r="BC5" s="339"/>
      <c r="BD5" s="339"/>
      <c r="BE5" s="339"/>
      <c r="BF5" s="339"/>
      <c r="BG5" s="339"/>
      <c r="BH5" s="339"/>
      <c r="BI5" s="339"/>
      <c r="BJ5" s="339"/>
      <c r="BK5" s="339"/>
      <c r="BL5" s="339"/>
      <c r="BM5" s="339"/>
      <c r="BN5" s="339"/>
      <c r="BO5" s="339"/>
      <c r="BP5" s="339"/>
      <c r="BQ5" s="339"/>
      <c r="BR5" s="339"/>
      <c r="BS5" s="339"/>
      <c r="BT5" s="339"/>
      <c r="BU5" s="339"/>
      <c r="BV5" s="339"/>
      <c r="BW5" s="339"/>
      <c r="BX5" s="339"/>
      <c r="BY5" s="339"/>
      <c r="BZ5" s="339"/>
      <c r="CA5" s="339"/>
      <c r="CB5" s="339"/>
    </row>
    <row r="6" spans="1:80" ht="15.75">
      <c r="A6" s="1611"/>
      <c r="B6" s="531"/>
      <c r="C6" s="531"/>
      <c r="D6" s="531"/>
      <c r="E6" s="531"/>
      <c r="F6" s="531"/>
      <c r="G6" s="531"/>
      <c r="H6" s="531"/>
      <c r="I6" s="531"/>
      <c r="J6" s="531"/>
      <c r="K6" s="531"/>
      <c r="L6" s="531"/>
      <c r="P6" s="339"/>
      <c r="Q6" s="339"/>
      <c r="R6" s="339"/>
      <c r="S6" s="339"/>
      <c r="T6" s="339"/>
      <c r="U6" s="339"/>
      <c r="V6" s="339"/>
      <c r="W6" s="339"/>
      <c r="X6" s="339"/>
      <c r="Y6" s="339"/>
      <c r="Z6" s="339"/>
      <c r="AA6" s="339"/>
      <c r="AB6" s="339"/>
      <c r="AC6" s="339"/>
      <c r="AD6" s="339"/>
      <c r="AE6" s="339"/>
      <c r="AF6" s="339"/>
      <c r="AG6" s="339"/>
      <c r="AH6" s="339"/>
      <c r="AI6" s="339"/>
      <c r="AJ6" s="339"/>
      <c r="AK6" s="339"/>
      <c r="AL6" s="339"/>
      <c r="AM6" s="339"/>
      <c r="AN6" s="339"/>
      <c r="AO6" s="339"/>
      <c r="AP6" s="339"/>
      <c r="AQ6" s="339"/>
      <c r="AR6" s="339"/>
      <c r="AS6" s="339"/>
      <c r="AT6" s="339"/>
      <c r="AU6" s="339"/>
      <c r="AV6" s="339"/>
      <c r="AW6" s="339"/>
      <c r="AX6" s="339"/>
      <c r="AY6" s="339"/>
      <c r="AZ6" s="339"/>
      <c r="BA6" s="339"/>
      <c r="BB6" s="339"/>
      <c r="BC6" s="339"/>
      <c r="BD6" s="339"/>
      <c r="BE6" s="339"/>
      <c r="BF6" s="339"/>
      <c r="BG6" s="339"/>
      <c r="BH6" s="339"/>
      <c r="BI6" s="339"/>
      <c r="BJ6" s="339"/>
      <c r="BK6" s="339"/>
      <c r="BL6" s="339"/>
      <c r="BM6" s="339"/>
      <c r="BN6" s="339"/>
      <c r="BO6" s="339"/>
      <c r="BP6" s="339"/>
      <c r="BQ6" s="339"/>
      <c r="BR6" s="339"/>
      <c r="BS6" s="339"/>
      <c r="BT6" s="339"/>
      <c r="BU6" s="339"/>
      <c r="BV6" s="339"/>
      <c r="BW6" s="339"/>
      <c r="BX6" s="339"/>
      <c r="BY6" s="339"/>
      <c r="BZ6" s="339"/>
      <c r="CA6" s="339"/>
      <c r="CB6" s="339"/>
    </row>
    <row r="7" spans="1:80" ht="16.5" thickBot="1">
      <c r="A7" s="1611"/>
      <c r="B7" s="531"/>
      <c r="C7" s="531"/>
      <c r="D7" s="531"/>
      <c r="E7" s="531"/>
      <c r="F7" s="531"/>
      <c r="G7" s="531"/>
      <c r="H7" s="531"/>
      <c r="I7" s="531"/>
      <c r="J7" s="531"/>
      <c r="K7" s="531"/>
      <c r="L7" s="531"/>
      <c r="P7" s="339"/>
      <c r="Q7" s="339"/>
      <c r="R7" s="339"/>
      <c r="S7" s="339"/>
      <c r="T7" s="339"/>
      <c r="U7" s="339"/>
      <c r="V7" s="339"/>
      <c r="W7" s="339"/>
      <c r="X7" s="339"/>
      <c r="Y7" s="339"/>
      <c r="Z7" s="339"/>
      <c r="AA7" s="339"/>
      <c r="AB7" s="339"/>
      <c r="AC7" s="339"/>
      <c r="AD7" s="339"/>
      <c r="AE7" s="339"/>
      <c r="AF7" s="339"/>
      <c r="AH7" s="339"/>
      <c r="AI7" s="339"/>
      <c r="AJ7" s="339"/>
      <c r="AK7" s="339"/>
      <c r="AL7" s="339"/>
      <c r="AM7" s="339"/>
      <c r="AN7" s="339"/>
      <c r="AO7" s="339"/>
      <c r="AP7" s="339"/>
      <c r="AQ7" s="339"/>
      <c r="AR7" s="339"/>
      <c r="AS7" s="339"/>
      <c r="AT7" s="339"/>
      <c r="AU7" s="339"/>
      <c r="AV7" s="339"/>
      <c r="AW7" s="339"/>
      <c r="AX7" s="339"/>
      <c r="AY7" s="339"/>
      <c r="AZ7" s="339"/>
      <c r="BA7" s="339"/>
      <c r="BB7" s="339"/>
      <c r="BC7" s="339"/>
      <c r="BD7" s="339"/>
      <c r="BE7" s="339"/>
      <c r="BF7" s="339"/>
      <c r="BG7" s="339"/>
      <c r="BH7" s="339"/>
      <c r="BI7" s="339"/>
      <c r="BJ7" s="339"/>
      <c r="BK7" s="339"/>
      <c r="BL7" s="339"/>
      <c r="BM7" s="339"/>
      <c r="BN7" s="339"/>
      <c r="BO7" s="339"/>
      <c r="BP7" s="339"/>
      <c r="BQ7" s="339"/>
      <c r="BR7" s="339"/>
      <c r="BS7" s="339"/>
      <c r="BT7" s="339"/>
      <c r="BU7" s="339"/>
      <c r="BV7" s="339"/>
      <c r="BW7" s="339"/>
      <c r="BX7" s="339"/>
      <c r="BY7" s="339"/>
      <c r="BZ7" s="339"/>
      <c r="CA7" s="339"/>
      <c r="CB7" s="339"/>
    </row>
    <row r="8" spans="1:80" s="339" customFormat="1" ht="18" customHeight="1" thickBot="1">
      <c r="A8" s="3582" t="s">
        <v>1</v>
      </c>
      <c r="B8" s="3570" t="s">
        <v>1489</v>
      </c>
      <c r="C8" s="3570" t="s">
        <v>1488</v>
      </c>
      <c r="D8" s="3582" t="s">
        <v>95</v>
      </c>
      <c r="E8" s="3582" t="s">
        <v>273</v>
      </c>
      <c r="F8" s="3586"/>
      <c r="G8" s="3586"/>
      <c r="H8" s="3586"/>
      <c r="I8" s="3586"/>
      <c r="J8" s="3586"/>
      <c r="K8" s="3586"/>
      <c r="L8" s="3582" t="s">
        <v>230</v>
      </c>
      <c r="M8" s="3586"/>
      <c r="N8" s="3586"/>
      <c r="O8" s="3586"/>
      <c r="P8" s="3586"/>
      <c r="Q8" s="3586"/>
      <c r="R8" s="3587"/>
      <c r="S8" s="3582" t="s">
        <v>241</v>
      </c>
      <c r="T8" s="3586"/>
      <c r="U8" s="3586"/>
      <c r="V8" s="3586"/>
      <c r="W8" s="3586"/>
      <c r="X8" s="3586"/>
      <c r="Y8" s="3587"/>
      <c r="Z8" s="3579" t="s">
        <v>894</v>
      </c>
      <c r="AA8" s="3580"/>
      <c r="AB8" s="3580"/>
      <c r="AC8" s="3580"/>
      <c r="AD8" s="3580"/>
      <c r="AE8" s="3580"/>
      <c r="AF8" s="3581"/>
    </row>
    <row r="9" spans="1:80" s="339" customFormat="1" ht="22.5" customHeight="1" thickBot="1">
      <c r="A9" s="3583"/>
      <c r="B9" s="3571"/>
      <c r="C9" s="3571"/>
      <c r="D9" s="3583"/>
      <c r="E9" s="1178" t="str">
        <f>'Приложение '!G12</f>
        <v>2015 г.</v>
      </c>
      <c r="F9" s="1179" t="str">
        <f>'Приложение '!G13</f>
        <v>2016 г.</v>
      </c>
      <c r="G9" s="1180" t="str">
        <f>'Приложение '!G14</f>
        <v>2017 г.</v>
      </c>
      <c r="H9" s="1180" t="str">
        <f>'Приложение '!G15</f>
        <v>2018 г.</v>
      </c>
      <c r="I9" s="1180" t="str">
        <f>'Приложение '!G16</f>
        <v>2019 г.</v>
      </c>
      <c r="J9" s="1180" t="str">
        <f>'Приложение '!G17</f>
        <v>2020 г.</v>
      </c>
      <c r="K9" s="2037" t="str">
        <f>'Приложение '!G18</f>
        <v>2021 г.</v>
      </c>
      <c r="L9" s="1182" t="str">
        <f t="shared" ref="L9:AF9" si="0">E9</f>
        <v>2015 г.</v>
      </c>
      <c r="M9" s="1183" t="str">
        <f t="shared" si="0"/>
        <v>2016 г.</v>
      </c>
      <c r="N9" s="1180" t="str">
        <f t="shared" si="0"/>
        <v>2017 г.</v>
      </c>
      <c r="O9" s="1180" t="str">
        <f t="shared" si="0"/>
        <v>2018 г.</v>
      </c>
      <c r="P9" s="1180" t="str">
        <f t="shared" si="0"/>
        <v>2019 г.</v>
      </c>
      <c r="Q9" s="1180" t="str">
        <f t="shared" si="0"/>
        <v>2020 г.</v>
      </c>
      <c r="R9" s="2037" t="str">
        <f t="shared" si="0"/>
        <v>2021 г.</v>
      </c>
      <c r="S9" s="1182" t="str">
        <f t="shared" si="0"/>
        <v>2015 г.</v>
      </c>
      <c r="T9" s="1183" t="str">
        <f t="shared" si="0"/>
        <v>2016 г.</v>
      </c>
      <c r="U9" s="1180" t="str">
        <f t="shared" si="0"/>
        <v>2017 г.</v>
      </c>
      <c r="V9" s="1180" t="str">
        <f t="shared" si="0"/>
        <v>2018 г.</v>
      </c>
      <c r="W9" s="1180" t="str">
        <f t="shared" si="0"/>
        <v>2019 г.</v>
      </c>
      <c r="X9" s="1180" t="str">
        <f t="shared" si="0"/>
        <v>2020 г.</v>
      </c>
      <c r="Y9" s="1181" t="str">
        <f t="shared" si="0"/>
        <v>2021 г.</v>
      </c>
      <c r="Z9" s="1182" t="str">
        <f t="shared" si="0"/>
        <v>2015 г.</v>
      </c>
      <c r="AA9" s="1183" t="str">
        <f t="shared" si="0"/>
        <v>2016 г.</v>
      </c>
      <c r="AB9" s="1180" t="str">
        <f t="shared" si="0"/>
        <v>2017 г.</v>
      </c>
      <c r="AC9" s="1180" t="str">
        <f t="shared" si="0"/>
        <v>2018 г.</v>
      </c>
      <c r="AD9" s="1180" t="str">
        <f t="shared" si="0"/>
        <v>2019 г.</v>
      </c>
      <c r="AE9" s="1180" t="str">
        <f t="shared" si="0"/>
        <v>2020 г.</v>
      </c>
      <c r="AF9" s="1181" t="str">
        <f t="shared" si="0"/>
        <v>2021 г.</v>
      </c>
    </row>
    <row r="10" spans="1:80" s="262" customFormat="1" ht="39" thickBot="1">
      <c r="A10" s="245" t="s">
        <v>1529</v>
      </c>
      <c r="B10" s="245"/>
      <c r="C10" s="245"/>
      <c r="D10" s="2200" t="s">
        <v>1530</v>
      </c>
      <c r="E10" s="2035"/>
      <c r="F10" s="2035"/>
      <c r="G10" s="2035"/>
      <c r="H10" s="2035"/>
      <c r="I10" s="2035"/>
      <c r="J10" s="2035"/>
      <c r="K10" s="2035"/>
      <c r="L10" s="2200"/>
      <c r="M10" s="2035"/>
      <c r="N10" s="2035"/>
      <c r="O10" s="2035"/>
      <c r="P10" s="2035"/>
      <c r="Q10" s="2035"/>
      <c r="R10" s="2035"/>
      <c r="S10" s="2200"/>
      <c r="T10" s="2035"/>
      <c r="U10" s="2035"/>
      <c r="V10" s="2035"/>
      <c r="W10" s="2035"/>
      <c r="X10" s="2035"/>
      <c r="Y10" s="2036"/>
      <c r="Z10" s="2200"/>
      <c r="AA10" s="2035"/>
      <c r="AB10" s="2035"/>
      <c r="AC10" s="2035"/>
      <c r="AD10" s="2035"/>
      <c r="AE10" s="2035"/>
      <c r="AF10" s="2036"/>
      <c r="AG10" s="307"/>
    </row>
    <row r="11" spans="1:80" s="294" customFormat="1" ht="14.25" customHeight="1" thickBot="1">
      <c r="A11" s="3027" t="s">
        <v>268</v>
      </c>
      <c r="B11" s="3028"/>
      <c r="C11" s="3028"/>
      <c r="D11" s="3028" t="s">
        <v>483</v>
      </c>
      <c r="E11" s="654">
        <f t="shared" ref="E11:AF11" si="1">E12+E15+E18+E30+E45+E50+SUM(E54:E59)</f>
        <v>102</v>
      </c>
      <c r="F11" s="252">
        <f t="shared" si="1"/>
        <v>842</v>
      </c>
      <c r="G11" s="250">
        <f t="shared" si="1"/>
        <v>1238</v>
      </c>
      <c r="H11" s="250">
        <f t="shared" si="1"/>
        <v>30</v>
      </c>
      <c r="I11" s="250">
        <f t="shared" si="1"/>
        <v>360</v>
      </c>
      <c r="J11" s="250">
        <f t="shared" si="1"/>
        <v>30</v>
      </c>
      <c r="K11" s="2042">
        <f t="shared" si="1"/>
        <v>325</v>
      </c>
      <c r="L11" s="341">
        <f t="shared" si="1"/>
        <v>7</v>
      </c>
      <c r="M11" s="252">
        <f t="shared" si="1"/>
        <v>150</v>
      </c>
      <c r="N11" s="250">
        <f t="shared" si="1"/>
        <v>212</v>
      </c>
      <c r="O11" s="250">
        <f t="shared" si="1"/>
        <v>140</v>
      </c>
      <c r="P11" s="250">
        <f t="shared" si="1"/>
        <v>8</v>
      </c>
      <c r="Q11" s="250">
        <f t="shared" si="1"/>
        <v>10</v>
      </c>
      <c r="R11" s="2042">
        <f t="shared" si="1"/>
        <v>10</v>
      </c>
      <c r="S11" s="341">
        <f t="shared" si="1"/>
        <v>2</v>
      </c>
      <c r="T11" s="252">
        <f t="shared" si="1"/>
        <v>30</v>
      </c>
      <c r="U11" s="250">
        <f t="shared" si="1"/>
        <v>33.299999999999997</v>
      </c>
      <c r="V11" s="250">
        <f t="shared" si="1"/>
        <v>18</v>
      </c>
      <c r="W11" s="250">
        <f t="shared" si="1"/>
        <v>8</v>
      </c>
      <c r="X11" s="250">
        <f t="shared" si="1"/>
        <v>15</v>
      </c>
      <c r="Y11" s="251">
        <f t="shared" si="1"/>
        <v>3</v>
      </c>
      <c r="Z11" s="341">
        <f t="shared" si="1"/>
        <v>0</v>
      </c>
      <c r="AA11" s="252">
        <f t="shared" si="1"/>
        <v>0</v>
      </c>
      <c r="AB11" s="250">
        <f t="shared" si="1"/>
        <v>0</v>
      </c>
      <c r="AC11" s="250">
        <f t="shared" si="1"/>
        <v>0</v>
      </c>
      <c r="AD11" s="250">
        <f t="shared" si="1"/>
        <v>0</v>
      </c>
      <c r="AE11" s="250">
        <f t="shared" si="1"/>
        <v>0</v>
      </c>
      <c r="AF11" s="251">
        <f t="shared" si="1"/>
        <v>0</v>
      </c>
      <c r="AG11" s="3029"/>
      <c r="AH11" s="307"/>
    </row>
    <row r="12" spans="1:80" s="262" customFormat="1">
      <c r="A12" s="300">
        <v>1</v>
      </c>
      <c r="B12" s="300">
        <v>201</v>
      </c>
      <c r="C12" s="301">
        <v>0</v>
      </c>
      <c r="D12" s="2408" t="s">
        <v>280</v>
      </c>
      <c r="E12" s="2406">
        <f t="shared" ref="E12:Z12" si="2">SUM(E13:E14)</f>
        <v>0</v>
      </c>
      <c r="F12" s="2407">
        <f t="shared" si="2"/>
        <v>0</v>
      </c>
      <c r="G12" s="2404">
        <f t="shared" si="2"/>
        <v>0</v>
      </c>
      <c r="H12" s="2404">
        <f t="shared" si="2"/>
        <v>0</v>
      </c>
      <c r="I12" s="2404">
        <f t="shared" si="2"/>
        <v>0</v>
      </c>
      <c r="J12" s="2404">
        <f t="shared" si="2"/>
        <v>0</v>
      </c>
      <c r="K12" s="2405">
        <f t="shared" si="2"/>
        <v>0</v>
      </c>
      <c r="L12" s="2406">
        <f t="shared" si="2"/>
        <v>0</v>
      </c>
      <c r="M12" s="2407">
        <f t="shared" si="2"/>
        <v>0</v>
      </c>
      <c r="N12" s="2404">
        <f t="shared" si="2"/>
        <v>0</v>
      </c>
      <c r="O12" s="2404">
        <f t="shared" si="2"/>
        <v>0</v>
      </c>
      <c r="P12" s="2404">
        <f t="shared" si="2"/>
        <v>0</v>
      </c>
      <c r="Q12" s="2404">
        <f t="shared" si="2"/>
        <v>0</v>
      </c>
      <c r="R12" s="2405">
        <f t="shared" si="2"/>
        <v>0</v>
      </c>
      <c r="S12" s="2406">
        <f t="shared" si="2"/>
        <v>0</v>
      </c>
      <c r="T12" s="2407">
        <f t="shared" si="2"/>
        <v>0</v>
      </c>
      <c r="U12" s="2404">
        <f t="shared" si="2"/>
        <v>0</v>
      </c>
      <c r="V12" s="2404">
        <f t="shared" si="2"/>
        <v>0</v>
      </c>
      <c r="W12" s="2404">
        <f t="shared" si="2"/>
        <v>0</v>
      </c>
      <c r="X12" s="2404">
        <f t="shared" si="2"/>
        <v>0</v>
      </c>
      <c r="Y12" s="3045">
        <f t="shared" si="2"/>
        <v>0</v>
      </c>
      <c r="Z12" s="2406">
        <f t="shared" si="2"/>
        <v>0</v>
      </c>
      <c r="AA12" s="3084"/>
      <c r="AB12" s="3095"/>
      <c r="AC12" s="3095"/>
      <c r="AD12" s="3095"/>
      <c r="AE12" s="3095"/>
      <c r="AF12" s="3096"/>
      <c r="AG12" s="306"/>
    </row>
    <row r="13" spans="1:80" s="294" customFormat="1">
      <c r="A13" s="263"/>
      <c r="B13" s="1827">
        <v>20101</v>
      </c>
      <c r="C13" s="1828">
        <v>0</v>
      </c>
      <c r="D13" s="2403" t="s">
        <v>758</v>
      </c>
      <c r="E13" s="2250"/>
      <c r="F13" s="799"/>
      <c r="G13" s="786"/>
      <c r="H13" s="786"/>
      <c r="I13" s="786"/>
      <c r="J13" s="786"/>
      <c r="K13" s="2421"/>
      <c r="L13" s="2250"/>
      <c r="M13" s="799"/>
      <c r="N13" s="786"/>
      <c r="O13" s="786"/>
      <c r="P13" s="786"/>
      <c r="Q13" s="786"/>
      <c r="R13" s="2421"/>
      <c r="S13" s="2250"/>
      <c r="T13" s="799"/>
      <c r="U13" s="786"/>
      <c r="V13" s="786"/>
      <c r="W13" s="786"/>
      <c r="X13" s="786"/>
      <c r="Y13" s="795"/>
      <c r="Z13" s="2250"/>
      <c r="AA13" s="3083"/>
      <c r="AB13" s="3097"/>
      <c r="AC13" s="3097"/>
      <c r="AD13" s="3097"/>
      <c r="AE13" s="3097"/>
      <c r="AF13" s="3098"/>
      <c r="AG13" s="512"/>
    </row>
    <row r="14" spans="1:80" s="294" customFormat="1">
      <c r="A14" s="263"/>
      <c r="B14" s="1827">
        <v>20102</v>
      </c>
      <c r="C14" s="1828">
        <v>0</v>
      </c>
      <c r="D14" s="2409" t="s">
        <v>760</v>
      </c>
      <c r="E14" s="2250"/>
      <c r="F14" s="799"/>
      <c r="G14" s="786"/>
      <c r="H14" s="786"/>
      <c r="I14" s="786"/>
      <c r="J14" s="786"/>
      <c r="K14" s="2421"/>
      <c r="L14" s="2250"/>
      <c r="M14" s="799"/>
      <c r="N14" s="786"/>
      <c r="O14" s="786"/>
      <c r="P14" s="786"/>
      <c r="Q14" s="786"/>
      <c r="R14" s="2421"/>
      <c r="S14" s="2250"/>
      <c r="T14" s="799"/>
      <c r="U14" s="786"/>
      <c r="V14" s="786"/>
      <c r="W14" s="786"/>
      <c r="X14" s="786"/>
      <c r="Y14" s="795"/>
      <c r="Z14" s="2250"/>
      <c r="AA14" s="3083"/>
      <c r="AB14" s="3097"/>
      <c r="AC14" s="3097"/>
      <c r="AD14" s="3097"/>
      <c r="AE14" s="3097"/>
      <c r="AF14" s="3098"/>
      <c r="AG14" s="307"/>
    </row>
    <row r="15" spans="1:80" s="262" customFormat="1">
      <c r="A15" s="308">
        <v>2</v>
      </c>
      <c r="B15" s="1830">
        <v>202</v>
      </c>
      <c r="C15" s="1831">
        <v>0.03</v>
      </c>
      <c r="D15" s="2410" t="s">
        <v>576</v>
      </c>
      <c r="E15" s="342">
        <f>SUM(E16:E17)</f>
        <v>0</v>
      </c>
      <c r="F15" s="314">
        <f>SUM(F16:F17)</f>
        <v>0</v>
      </c>
      <c r="G15" s="312">
        <f t="shared" ref="G15:Z15" si="3">SUM(G16:G17)</f>
        <v>0</v>
      </c>
      <c r="H15" s="312">
        <f t="shared" si="3"/>
        <v>0</v>
      </c>
      <c r="I15" s="312">
        <f t="shared" si="3"/>
        <v>0</v>
      </c>
      <c r="J15" s="312">
        <f t="shared" si="3"/>
        <v>0</v>
      </c>
      <c r="K15" s="2039">
        <f t="shared" si="3"/>
        <v>0</v>
      </c>
      <c r="L15" s="342">
        <f t="shared" si="3"/>
        <v>0</v>
      </c>
      <c r="M15" s="314">
        <f t="shared" si="3"/>
        <v>0</v>
      </c>
      <c r="N15" s="312">
        <f t="shared" si="3"/>
        <v>0</v>
      </c>
      <c r="O15" s="312">
        <f t="shared" si="3"/>
        <v>0</v>
      </c>
      <c r="P15" s="312">
        <f t="shared" si="3"/>
        <v>0</v>
      </c>
      <c r="Q15" s="312">
        <f t="shared" si="3"/>
        <v>0</v>
      </c>
      <c r="R15" s="2039">
        <f t="shared" si="3"/>
        <v>0</v>
      </c>
      <c r="S15" s="342">
        <f t="shared" si="3"/>
        <v>0</v>
      </c>
      <c r="T15" s="314">
        <f t="shared" si="3"/>
        <v>0</v>
      </c>
      <c r="U15" s="312">
        <f t="shared" si="3"/>
        <v>0</v>
      </c>
      <c r="V15" s="312">
        <f t="shared" si="3"/>
        <v>0</v>
      </c>
      <c r="W15" s="312">
        <f t="shared" si="3"/>
        <v>0</v>
      </c>
      <c r="X15" s="312">
        <f t="shared" si="3"/>
        <v>0</v>
      </c>
      <c r="Y15" s="313">
        <f t="shared" si="3"/>
        <v>0</v>
      </c>
      <c r="Z15" s="342">
        <f t="shared" si="3"/>
        <v>0</v>
      </c>
      <c r="AA15" s="3083"/>
      <c r="AB15" s="3097"/>
      <c r="AC15" s="3097"/>
      <c r="AD15" s="3097"/>
      <c r="AE15" s="3097"/>
      <c r="AF15" s="3098"/>
    </row>
    <row r="16" spans="1:80" s="339" customFormat="1">
      <c r="A16" s="266"/>
      <c r="B16" s="1832">
        <v>20201</v>
      </c>
      <c r="C16" s="1833">
        <v>0.03</v>
      </c>
      <c r="D16" s="2411" t="s">
        <v>597</v>
      </c>
      <c r="E16" s="2250"/>
      <c r="F16" s="799"/>
      <c r="G16" s="786"/>
      <c r="H16" s="786"/>
      <c r="I16" s="786"/>
      <c r="J16" s="786"/>
      <c r="K16" s="2421"/>
      <c r="L16" s="2250"/>
      <c r="M16" s="799"/>
      <c r="N16" s="786"/>
      <c r="O16" s="786"/>
      <c r="P16" s="786"/>
      <c r="Q16" s="786"/>
      <c r="R16" s="2421"/>
      <c r="S16" s="2250"/>
      <c r="T16" s="799"/>
      <c r="U16" s="786"/>
      <c r="V16" s="786"/>
      <c r="W16" s="786"/>
      <c r="X16" s="786"/>
      <c r="Y16" s="795"/>
      <c r="Z16" s="2250"/>
      <c r="AA16" s="3083"/>
      <c r="AB16" s="3097"/>
      <c r="AC16" s="3097"/>
      <c r="AD16" s="3097"/>
      <c r="AE16" s="3097"/>
      <c r="AF16" s="3098"/>
      <c r="AG16" s="307"/>
    </row>
    <row r="17" spans="1:33" s="339" customFormat="1">
      <c r="A17" s="266"/>
      <c r="B17" s="1832">
        <v>20202</v>
      </c>
      <c r="C17" s="1833">
        <v>0.03</v>
      </c>
      <c r="D17" s="2411" t="s">
        <v>598</v>
      </c>
      <c r="E17" s="2250"/>
      <c r="F17" s="799"/>
      <c r="G17" s="786"/>
      <c r="H17" s="786"/>
      <c r="I17" s="786"/>
      <c r="J17" s="786"/>
      <c r="K17" s="2421"/>
      <c r="L17" s="2250"/>
      <c r="M17" s="799"/>
      <c r="N17" s="786"/>
      <c r="O17" s="786"/>
      <c r="P17" s="786"/>
      <c r="Q17" s="786"/>
      <c r="R17" s="2421"/>
      <c r="S17" s="2250"/>
      <c r="T17" s="799"/>
      <c r="U17" s="786"/>
      <c r="V17" s="786"/>
      <c r="W17" s="786"/>
      <c r="X17" s="786"/>
      <c r="Y17" s="795"/>
      <c r="Z17" s="2250"/>
      <c r="AA17" s="3083"/>
      <c r="AB17" s="3097"/>
      <c r="AC17" s="3097"/>
      <c r="AD17" s="3097"/>
      <c r="AE17" s="3097"/>
      <c r="AF17" s="3098"/>
      <c r="AG17" s="307"/>
    </row>
    <row r="18" spans="1:33" s="317" customFormat="1" ht="12.75" customHeight="1">
      <c r="A18" s="315">
        <v>3</v>
      </c>
      <c r="B18" s="1830">
        <v>203</v>
      </c>
      <c r="C18" s="1831"/>
      <c r="D18" s="2412" t="s">
        <v>577</v>
      </c>
      <c r="E18" s="342">
        <f t="shared" ref="E18:Z18" si="4">SUM(E19:E29)-E22-E25</f>
        <v>57</v>
      </c>
      <c r="F18" s="314">
        <f t="shared" si="4"/>
        <v>190</v>
      </c>
      <c r="G18" s="312">
        <f>SUM(G19:G29)-G22-G25</f>
        <v>960</v>
      </c>
      <c r="H18" s="312">
        <f t="shared" si="4"/>
        <v>0</v>
      </c>
      <c r="I18" s="312">
        <f t="shared" si="4"/>
        <v>0</v>
      </c>
      <c r="J18" s="312">
        <f t="shared" si="4"/>
        <v>10</v>
      </c>
      <c r="K18" s="2039">
        <f t="shared" si="4"/>
        <v>250</v>
      </c>
      <c r="L18" s="342">
        <f t="shared" si="4"/>
        <v>0</v>
      </c>
      <c r="M18" s="314">
        <f t="shared" si="4"/>
        <v>0</v>
      </c>
      <c r="N18" s="312">
        <f t="shared" si="4"/>
        <v>0</v>
      </c>
      <c r="O18" s="312">
        <f t="shared" si="4"/>
        <v>110</v>
      </c>
      <c r="P18" s="312">
        <f t="shared" si="4"/>
        <v>5</v>
      </c>
      <c r="Q18" s="312">
        <f t="shared" si="4"/>
        <v>0</v>
      </c>
      <c r="R18" s="2039">
        <f t="shared" si="4"/>
        <v>0</v>
      </c>
      <c r="S18" s="342">
        <f t="shared" si="4"/>
        <v>2</v>
      </c>
      <c r="T18" s="314">
        <f t="shared" si="4"/>
        <v>30</v>
      </c>
      <c r="U18" s="312">
        <f t="shared" si="4"/>
        <v>0</v>
      </c>
      <c r="V18" s="312">
        <f t="shared" si="4"/>
        <v>8</v>
      </c>
      <c r="W18" s="312">
        <f t="shared" si="4"/>
        <v>8</v>
      </c>
      <c r="X18" s="312">
        <f t="shared" si="4"/>
        <v>5</v>
      </c>
      <c r="Y18" s="313">
        <f t="shared" si="4"/>
        <v>0</v>
      </c>
      <c r="Z18" s="342">
        <f t="shared" si="4"/>
        <v>0</v>
      </c>
      <c r="AA18" s="3083"/>
      <c r="AB18" s="3097"/>
      <c r="AC18" s="3097"/>
      <c r="AD18" s="3097"/>
      <c r="AE18" s="3097"/>
      <c r="AF18" s="3098"/>
    </row>
    <row r="19" spans="1:33" s="339" customFormat="1">
      <c r="A19" s="266"/>
      <c r="B19" s="1832">
        <v>20301</v>
      </c>
      <c r="C19" s="1833">
        <v>0.1</v>
      </c>
      <c r="D19" s="2413" t="s">
        <v>599</v>
      </c>
      <c r="E19" s="2250"/>
      <c r="F19" s="799"/>
      <c r="G19" s="786"/>
      <c r="H19" s="786"/>
      <c r="I19" s="786"/>
      <c r="J19" s="786"/>
      <c r="K19" s="786"/>
      <c r="L19" s="2250"/>
      <c r="M19" s="799"/>
      <c r="N19" s="786"/>
      <c r="O19" s="786">
        <v>60</v>
      </c>
      <c r="P19" s="786">
        <v>5</v>
      </c>
      <c r="Q19" s="786"/>
      <c r="R19" s="2421"/>
      <c r="S19" s="2250"/>
      <c r="T19" s="799"/>
      <c r="U19" s="786"/>
      <c r="V19" s="786">
        <v>8</v>
      </c>
      <c r="W19" s="786">
        <v>8</v>
      </c>
      <c r="X19" s="786">
        <v>5</v>
      </c>
      <c r="Y19" s="795"/>
      <c r="Z19" s="2250"/>
      <c r="AA19" s="3083"/>
      <c r="AB19" s="3097"/>
      <c r="AC19" s="3097"/>
      <c r="AD19" s="3097"/>
      <c r="AE19" s="3097"/>
      <c r="AF19" s="3098"/>
      <c r="AG19" s="307"/>
    </row>
    <row r="20" spans="1:33" s="339" customFormat="1">
      <c r="A20" s="266"/>
      <c r="B20" s="1832">
        <v>20302</v>
      </c>
      <c r="C20" s="1833">
        <v>0.1</v>
      </c>
      <c r="D20" s="2413" t="s">
        <v>600</v>
      </c>
      <c r="E20" s="2250"/>
      <c r="F20" s="799"/>
      <c r="G20" s="786"/>
      <c r="H20" s="786"/>
      <c r="I20" s="786"/>
      <c r="J20" s="786"/>
      <c r="K20" s="786"/>
      <c r="L20" s="2250"/>
      <c r="M20" s="799"/>
      <c r="N20" s="786"/>
      <c r="O20" s="786">
        <v>50</v>
      </c>
      <c r="P20" s="786"/>
      <c r="Q20" s="786"/>
      <c r="R20" s="2421"/>
      <c r="S20" s="2250"/>
      <c r="T20" s="799"/>
      <c r="U20" s="786"/>
      <c r="V20" s="786"/>
      <c r="W20" s="786"/>
      <c r="X20" s="786"/>
      <c r="Y20" s="795"/>
      <c r="Z20" s="2250"/>
      <c r="AA20" s="3083"/>
      <c r="AB20" s="3097"/>
      <c r="AC20" s="3097"/>
      <c r="AD20" s="3097"/>
      <c r="AE20" s="3097"/>
      <c r="AF20" s="3098"/>
      <c r="AG20" s="307"/>
    </row>
    <row r="21" spans="1:33" s="339" customFormat="1">
      <c r="A21" s="266"/>
      <c r="B21" s="1832">
        <v>20303</v>
      </c>
      <c r="C21" s="1833">
        <v>0.1</v>
      </c>
      <c r="D21" s="2413" t="s">
        <v>578</v>
      </c>
      <c r="E21" s="2250"/>
      <c r="F21" s="799">
        <v>190</v>
      </c>
      <c r="G21" s="786">
        <v>960</v>
      </c>
      <c r="H21" s="786"/>
      <c r="I21" s="786"/>
      <c r="J21" s="786">
        <v>10</v>
      </c>
      <c r="K21" s="2421">
        <v>10</v>
      </c>
      <c r="L21" s="2250"/>
      <c r="M21" s="799"/>
      <c r="N21" s="786"/>
      <c r="O21" s="786"/>
      <c r="P21" s="786"/>
      <c r="Q21" s="786"/>
      <c r="R21" s="2421"/>
      <c r="S21" s="2250"/>
      <c r="T21" s="799">
        <v>30</v>
      </c>
      <c r="U21" s="786"/>
      <c r="V21" s="786"/>
      <c r="W21" s="786"/>
      <c r="X21" s="786"/>
      <c r="Y21" s="795"/>
      <c r="Z21" s="2250"/>
      <c r="AA21" s="3083"/>
      <c r="AB21" s="3097"/>
      <c r="AC21" s="3097"/>
      <c r="AD21" s="3097"/>
      <c r="AE21" s="3097"/>
      <c r="AF21" s="3098"/>
      <c r="AG21" s="307"/>
    </row>
    <row r="22" spans="1:33" s="339" customFormat="1">
      <c r="A22" s="266"/>
      <c r="B22" s="1832">
        <v>20304</v>
      </c>
      <c r="C22" s="1833">
        <v>0.1</v>
      </c>
      <c r="D22" s="2413" t="s">
        <v>579</v>
      </c>
      <c r="E22" s="345">
        <f t="shared" ref="E22:Z22" si="5">SUM(E23:E24)</f>
        <v>0</v>
      </c>
      <c r="F22" s="256">
        <f t="shared" si="5"/>
        <v>0</v>
      </c>
      <c r="G22" s="254">
        <f t="shared" si="5"/>
        <v>0</v>
      </c>
      <c r="H22" s="254">
        <f t="shared" si="5"/>
        <v>0</v>
      </c>
      <c r="I22" s="254">
        <f t="shared" si="5"/>
        <v>0</v>
      </c>
      <c r="J22" s="254">
        <f t="shared" si="5"/>
        <v>0</v>
      </c>
      <c r="K22" s="2040">
        <f t="shared" si="5"/>
        <v>0</v>
      </c>
      <c r="L22" s="345">
        <f t="shared" si="5"/>
        <v>0</v>
      </c>
      <c r="M22" s="256">
        <f t="shared" si="5"/>
        <v>0</v>
      </c>
      <c r="N22" s="254">
        <f t="shared" si="5"/>
        <v>0</v>
      </c>
      <c r="O22" s="254">
        <f t="shared" si="5"/>
        <v>0</v>
      </c>
      <c r="P22" s="254">
        <f t="shared" si="5"/>
        <v>0</v>
      </c>
      <c r="Q22" s="254">
        <f t="shared" si="5"/>
        <v>0</v>
      </c>
      <c r="R22" s="2040">
        <f t="shared" si="5"/>
        <v>0</v>
      </c>
      <c r="S22" s="345">
        <f t="shared" si="5"/>
        <v>0</v>
      </c>
      <c r="T22" s="256">
        <f t="shared" si="5"/>
        <v>0</v>
      </c>
      <c r="U22" s="254">
        <f t="shared" si="5"/>
        <v>0</v>
      </c>
      <c r="V22" s="254">
        <f t="shared" si="5"/>
        <v>0</v>
      </c>
      <c r="W22" s="254">
        <f t="shared" si="5"/>
        <v>0</v>
      </c>
      <c r="X22" s="254">
        <f t="shared" si="5"/>
        <v>0</v>
      </c>
      <c r="Y22" s="255">
        <f t="shared" si="5"/>
        <v>0</v>
      </c>
      <c r="Z22" s="345">
        <f t="shared" si="5"/>
        <v>0</v>
      </c>
      <c r="AA22" s="3083"/>
      <c r="AB22" s="3097"/>
      <c r="AC22" s="3097"/>
      <c r="AD22" s="3097"/>
      <c r="AE22" s="3097"/>
      <c r="AF22" s="3098"/>
    </row>
    <row r="23" spans="1:33" s="339" customFormat="1">
      <c r="A23" s="266"/>
      <c r="B23" s="1835">
        <v>2030401</v>
      </c>
      <c r="C23" s="1836">
        <v>0.1</v>
      </c>
      <c r="D23" s="2414" t="s">
        <v>1375</v>
      </c>
      <c r="E23" s="2250"/>
      <c r="F23" s="799"/>
      <c r="G23" s="786"/>
      <c r="H23" s="786"/>
      <c r="I23" s="786"/>
      <c r="J23" s="786"/>
      <c r="K23" s="2421"/>
      <c r="L23" s="2250"/>
      <c r="M23" s="799"/>
      <c r="N23" s="786"/>
      <c r="O23" s="786"/>
      <c r="P23" s="786"/>
      <c r="Q23" s="786"/>
      <c r="R23" s="2421"/>
      <c r="S23" s="2250"/>
      <c r="T23" s="799"/>
      <c r="U23" s="786"/>
      <c r="V23" s="786"/>
      <c r="W23" s="786"/>
      <c r="X23" s="786"/>
      <c r="Y23" s="795"/>
      <c r="Z23" s="2250"/>
      <c r="AA23" s="3083"/>
      <c r="AB23" s="3097"/>
      <c r="AC23" s="3097"/>
      <c r="AD23" s="3097"/>
      <c r="AE23" s="3097"/>
      <c r="AF23" s="3098"/>
      <c r="AG23" s="307"/>
    </row>
    <row r="24" spans="1:33" s="339" customFormat="1">
      <c r="A24" s="266"/>
      <c r="B24" s="1835">
        <v>2030402</v>
      </c>
      <c r="C24" s="1836">
        <v>0.1</v>
      </c>
      <c r="D24" s="2414" t="s">
        <v>601</v>
      </c>
      <c r="E24" s="2250"/>
      <c r="F24" s="799"/>
      <c r="G24" s="786"/>
      <c r="H24" s="786"/>
      <c r="I24" s="786"/>
      <c r="J24" s="786"/>
      <c r="K24" s="2421"/>
      <c r="L24" s="2250"/>
      <c r="M24" s="799"/>
      <c r="N24" s="786"/>
      <c r="O24" s="786"/>
      <c r="P24" s="786"/>
      <c r="Q24" s="786"/>
      <c r="R24" s="2421"/>
      <c r="S24" s="2250"/>
      <c r="T24" s="799"/>
      <c r="U24" s="786"/>
      <c r="V24" s="786"/>
      <c r="W24" s="786"/>
      <c r="X24" s="786"/>
      <c r="Y24" s="795"/>
      <c r="Z24" s="2250"/>
      <c r="AA24" s="3083"/>
      <c r="AB24" s="3097"/>
      <c r="AC24" s="3097"/>
      <c r="AD24" s="3097"/>
      <c r="AE24" s="3097"/>
      <c r="AF24" s="3098"/>
      <c r="AG24" s="307"/>
    </row>
    <row r="25" spans="1:33" s="339" customFormat="1">
      <c r="A25" s="266"/>
      <c r="B25" s="1832">
        <v>20305</v>
      </c>
      <c r="C25" s="1838">
        <v>0.1</v>
      </c>
      <c r="D25" s="2413" t="s">
        <v>602</v>
      </c>
      <c r="E25" s="345">
        <f>SUM(E26:E28)</f>
        <v>0</v>
      </c>
      <c r="F25" s="256">
        <f t="shared" ref="F25:Z25" si="6">SUM(F26:F28)</f>
        <v>0</v>
      </c>
      <c r="G25" s="254">
        <f t="shared" si="6"/>
        <v>0</v>
      </c>
      <c r="H25" s="254">
        <f t="shared" si="6"/>
        <v>0</v>
      </c>
      <c r="I25" s="254">
        <f t="shared" si="6"/>
        <v>0</v>
      </c>
      <c r="J25" s="254">
        <f t="shared" si="6"/>
        <v>0</v>
      </c>
      <c r="K25" s="2040">
        <f t="shared" si="6"/>
        <v>0</v>
      </c>
      <c r="L25" s="345">
        <f t="shared" si="6"/>
        <v>0</v>
      </c>
      <c r="M25" s="256">
        <f t="shared" si="6"/>
        <v>0</v>
      </c>
      <c r="N25" s="254">
        <f t="shared" si="6"/>
        <v>0</v>
      </c>
      <c r="O25" s="254">
        <f t="shared" si="6"/>
        <v>0</v>
      </c>
      <c r="P25" s="254">
        <f t="shared" si="6"/>
        <v>0</v>
      </c>
      <c r="Q25" s="254">
        <f t="shared" si="6"/>
        <v>0</v>
      </c>
      <c r="R25" s="2040">
        <f t="shared" si="6"/>
        <v>0</v>
      </c>
      <c r="S25" s="345">
        <f t="shared" si="6"/>
        <v>0</v>
      </c>
      <c r="T25" s="256">
        <f t="shared" si="6"/>
        <v>0</v>
      </c>
      <c r="U25" s="254">
        <f t="shared" si="6"/>
        <v>0</v>
      </c>
      <c r="V25" s="254">
        <f t="shared" si="6"/>
        <v>0</v>
      </c>
      <c r="W25" s="254">
        <f t="shared" si="6"/>
        <v>0</v>
      </c>
      <c r="X25" s="254">
        <f t="shared" si="6"/>
        <v>0</v>
      </c>
      <c r="Y25" s="255">
        <f t="shared" si="6"/>
        <v>0</v>
      </c>
      <c r="Z25" s="345">
        <f t="shared" si="6"/>
        <v>0</v>
      </c>
      <c r="AA25" s="3083"/>
      <c r="AB25" s="3097"/>
      <c r="AC25" s="3097"/>
      <c r="AD25" s="3097"/>
      <c r="AE25" s="3097"/>
      <c r="AF25" s="3098"/>
    </row>
    <row r="26" spans="1:33" s="339" customFormat="1">
      <c r="A26" s="266"/>
      <c r="B26" s="1832">
        <v>2030501</v>
      </c>
      <c r="C26" s="1839">
        <v>0.1</v>
      </c>
      <c r="D26" s="2414" t="s">
        <v>1391</v>
      </c>
      <c r="E26" s="2250"/>
      <c r="F26" s="799"/>
      <c r="G26" s="786"/>
      <c r="H26" s="786"/>
      <c r="I26" s="786"/>
      <c r="J26" s="786"/>
      <c r="K26" s="2421"/>
      <c r="L26" s="2250"/>
      <c r="M26" s="799"/>
      <c r="N26" s="786"/>
      <c r="O26" s="786"/>
      <c r="P26" s="786"/>
      <c r="Q26" s="786"/>
      <c r="R26" s="2421"/>
      <c r="S26" s="2250"/>
      <c r="T26" s="799"/>
      <c r="U26" s="786"/>
      <c r="V26" s="786"/>
      <c r="W26" s="786"/>
      <c r="X26" s="786"/>
      <c r="Y26" s="795"/>
      <c r="Z26" s="2250"/>
      <c r="AA26" s="3083"/>
      <c r="AB26" s="3097"/>
      <c r="AC26" s="3097"/>
      <c r="AD26" s="3097"/>
      <c r="AE26" s="3097"/>
      <c r="AF26" s="3098"/>
      <c r="AG26" s="307"/>
    </row>
    <row r="27" spans="1:33" s="339" customFormat="1" ht="25.5">
      <c r="A27" s="266"/>
      <c r="B27" s="1832">
        <v>2030502</v>
      </c>
      <c r="C27" s="1839">
        <v>0.1</v>
      </c>
      <c r="D27" s="2414" t="s">
        <v>948</v>
      </c>
      <c r="E27" s="2250"/>
      <c r="F27" s="799"/>
      <c r="G27" s="786"/>
      <c r="H27" s="786"/>
      <c r="I27" s="786"/>
      <c r="J27" s="786"/>
      <c r="K27" s="2421"/>
      <c r="L27" s="2250"/>
      <c r="M27" s="799"/>
      <c r="N27" s="786"/>
      <c r="O27" s="786"/>
      <c r="P27" s="786"/>
      <c r="Q27" s="786"/>
      <c r="R27" s="2421"/>
      <c r="S27" s="2250"/>
      <c r="T27" s="799"/>
      <c r="U27" s="786"/>
      <c r="V27" s="786"/>
      <c r="W27" s="786"/>
      <c r="X27" s="786"/>
      <c r="Y27" s="795"/>
      <c r="Z27" s="2250"/>
      <c r="AA27" s="3083"/>
      <c r="AB27" s="3097"/>
      <c r="AC27" s="3097"/>
      <c r="AD27" s="3097"/>
      <c r="AE27" s="3097"/>
      <c r="AF27" s="3098"/>
      <c r="AG27" s="307"/>
    </row>
    <row r="28" spans="1:33" s="339" customFormat="1">
      <c r="A28" s="266"/>
      <c r="B28" s="1832">
        <v>2030503</v>
      </c>
      <c r="C28" s="1839">
        <v>0.1</v>
      </c>
      <c r="D28" s="2414" t="s">
        <v>966</v>
      </c>
      <c r="E28" s="2250"/>
      <c r="F28" s="799"/>
      <c r="G28" s="786"/>
      <c r="H28" s="786"/>
      <c r="I28" s="786"/>
      <c r="J28" s="786"/>
      <c r="K28" s="2421"/>
      <c r="L28" s="2250"/>
      <c r="M28" s="799"/>
      <c r="N28" s="786"/>
      <c r="O28" s="786"/>
      <c r="P28" s="786"/>
      <c r="Q28" s="786"/>
      <c r="R28" s="2421"/>
      <c r="S28" s="2250"/>
      <c r="T28" s="799"/>
      <c r="U28" s="786"/>
      <c r="V28" s="786"/>
      <c r="W28" s="786"/>
      <c r="X28" s="786"/>
      <c r="Y28" s="795"/>
      <c r="Z28" s="2250"/>
      <c r="AA28" s="3083"/>
      <c r="AB28" s="3097"/>
      <c r="AC28" s="3097"/>
      <c r="AD28" s="3097"/>
      <c r="AE28" s="3097"/>
      <c r="AF28" s="3098"/>
      <c r="AG28" s="307"/>
    </row>
    <row r="29" spans="1:33" s="339" customFormat="1">
      <c r="A29" s="266"/>
      <c r="B29" s="1832">
        <v>20306</v>
      </c>
      <c r="C29" s="1833">
        <v>0.1</v>
      </c>
      <c r="D29" s="2413" t="s">
        <v>581</v>
      </c>
      <c r="E29" s="2250">
        <f>17+40</f>
        <v>57</v>
      </c>
      <c r="F29" s="799"/>
      <c r="G29" s="786"/>
      <c r="H29" s="786"/>
      <c r="I29" s="786"/>
      <c r="J29" s="786"/>
      <c r="K29" s="2421">
        <v>240</v>
      </c>
      <c r="L29" s="2250"/>
      <c r="M29" s="799"/>
      <c r="N29" s="786"/>
      <c r="O29" s="786"/>
      <c r="P29" s="786"/>
      <c r="Q29" s="786"/>
      <c r="R29" s="2421"/>
      <c r="S29" s="2250">
        <v>2</v>
      </c>
      <c r="T29" s="799"/>
      <c r="U29" s="786"/>
      <c r="V29" s="786"/>
      <c r="W29" s="786"/>
      <c r="X29" s="786"/>
      <c r="Y29" s="795"/>
      <c r="Z29" s="2250"/>
      <c r="AA29" s="3083"/>
      <c r="AB29" s="3097"/>
      <c r="AC29" s="3097"/>
      <c r="AD29" s="3097"/>
      <c r="AE29" s="3097"/>
      <c r="AF29" s="3098"/>
      <c r="AG29" s="307"/>
    </row>
    <row r="30" spans="1:33" s="339" customFormat="1" ht="14.25" customHeight="1">
      <c r="A30" s="308">
        <v>4</v>
      </c>
      <c r="B30" s="1830">
        <v>204</v>
      </c>
      <c r="C30" s="1831"/>
      <c r="D30" s="2415" t="s">
        <v>274</v>
      </c>
      <c r="E30" s="342">
        <f>E31+E34+E43+E44</f>
        <v>2</v>
      </c>
      <c r="F30" s="314">
        <f t="shared" ref="F30:K30" si="7">F31+F34+F43+F44</f>
        <v>0</v>
      </c>
      <c r="G30" s="312">
        <f t="shared" si="7"/>
        <v>0</v>
      </c>
      <c r="H30" s="312">
        <f t="shared" si="7"/>
        <v>0</v>
      </c>
      <c r="I30" s="312">
        <f t="shared" si="7"/>
        <v>0</v>
      </c>
      <c r="J30" s="312">
        <f t="shared" si="7"/>
        <v>0</v>
      </c>
      <c r="K30" s="2039">
        <f t="shared" si="7"/>
        <v>0</v>
      </c>
      <c r="L30" s="342">
        <f t="shared" ref="L30:Z30" si="8">L31+L34+L43+L44</f>
        <v>0</v>
      </c>
      <c r="M30" s="314">
        <f t="shared" si="8"/>
        <v>0</v>
      </c>
      <c r="N30" s="312">
        <f t="shared" si="8"/>
        <v>0</v>
      </c>
      <c r="O30" s="312">
        <f t="shared" si="8"/>
        <v>0</v>
      </c>
      <c r="P30" s="312">
        <f t="shared" si="8"/>
        <v>0</v>
      </c>
      <c r="Q30" s="312">
        <f t="shared" si="8"/>
        <v>0</v>
      </c>
      <c r="R30" s="2039">
        <f t="shared" si="8"/>
        <v>0</v>
      </c>
      <c r="S30" s="342">
        <f t="shared" si="8"/>
        <v>0</v>
      </c>
      <c r="T30" s="314">
        <f t="shared" si="8"/>
        <v>0</v>
      </c>
      <c r="U30" s="312">
        <f t="shared" si="8"/>
        <v>0</v>
      </c>
      <c r="V30" s="312">
        <f t="shared" si="8"/>
        <v>0</v>
      </c>
      <c r="W30" s="312">
        <f t="shared" si="8"/>
        <v>0</v>
      </c>
      <c r="X30" s="312">
        <f t="shared" si="8"/>
        <v>0</v>
      </c>
      <c r="Y30" s="313">
        <f t="shared" si="8"/>
        <v>0</v>
      </c>
      <c r="Z30" s="342">
        <f t="shared" si="8"/>
        <v>0</v>
      </c>
      <c r="AA30" s="3083"/>
      <c r="AB30" s="3097"/>
      <c r="AC30" s="3097"/>
      <c r="AD30" s="3097"/>
      <c r="AE30" s="3097"/>
      <c r="AF30" s="3098"/>
      <c r="AG30" s="307"/>
    </row>
    <row r="31" spans="1:33" s="339" customFormat="1">
      <c r="A31" s="266"/>
      <c r="B31" s="1832">
        <v>20401</v>
      </c>
      <c r="C31" s="1838"/>
      <c r="D31" s="2409" t="s">
        <v>589</v>
      </c>
      <c r="E31" s="345">
        <f t="shared" ref="E31:Z31" si="9">SUM(E32:E33)</f>
        <v>0</v>
      </c>
      <c r="F31" s="256">
        <f t="shared" si="9"/>
        <v>0</v>
      </c>
      <c r="G31" s="254">
        <f t="shared" si="9"/>
        <v>0</v>
      </c>
      <c r="H31" s="254">
        <f t="shared" si="9"/>
        <v>0</v>
      </c>
      <c r="I31" s="254">
        <f t="shared" si="9"/>
        <v>0</v>
      </c>
      <c r="J31" s="254">
        <f t="shared" si="9"/>
        <v>0</v>
      </c>
      <c r="K31" s="2040">
        <f t="shared" si="9"/>
        <v>0</v>
      </c>
      <c r="L31" s="345">
        <f t="shared" si="9"/>
        <v>0</v>
      </c>
      <c r="M31" s="256">
        <f t="shared" si="9"/>
        <v>0</v>
      </c>
      <c r="N31" s="254">
        <f t="shared" si="9"/>
        <v>0</v>
      </c>
      <c r="O31" s="254">
        <f t="shared" si="9"/>
        <v>0</v>
      </c>
      <c r="P31" s="254">
        <f t="shared" si="9"/>
        <v>0</v>
      </c>
      <c r="Q31" s="254">
        <f t="shared" si="9"/>
        <v>0</v>
      </c>
      <c r="R31" s="2040">
        <f t="shared" si="9"/>
        <v>0</v>
      </c>
      <c r="S31" s="345">
        <f t="shared" si="9"/>
        <v>0</v>
      </c>
      <c r="T31" s="256">
        <f t="shared" si="9"/>
        <v>0</v>
      </c>
      <c r="U31" s="254">
        <f t="shared" si="9"/>
        <v>0</v>
      </c>
      <c r="V31" s="254">
        <f t="shared" si="9"/>
        <v>0</v>
      </c>
      <c r="W31" s="254">
        <f t="shared" si="9"/>
        <v>0</v>
      </c>
      <c r="X31" s="254">
        <f t="shared" si="9"/>
        <v>0</v>
      </c>
      <c r="Y31" s="255">
        <f t="shared" si="9"/>
        <v>0</v>
      </c>
      <c r="Z31" s="345">
        <f t="shared" si="9"/>
        <v>0</v>
      </c>
      <c r="AA31" s="3083"/>
      <c r="AB31" s="3097"/>
      <c r="AC31" s="3097"/>
      <c r="AD31" s="3097"/>
      <c r="AE31" s="3097"/>
      <c r="AF31" s="3098"/>
    </row>
    <row r="32" spans="1:33" s="339" customFormat="1">
      <c r="A32" s="266"/>
      <c r="B32" s="1835">
        <v>2040101</v>
      </c>
      <c r="C32" s="1836">
        <v>0.1</v>
      </c>
      <c r="D32" s="2416" t="s">
        <v>603</v>
      </c>
      <c r="E32" s="2250"/>
      <c r="F32" s="799"/>
      <c r="G32" s="786"/>
      <c r="H32" s="786"/>
      <c r="I32" s="786"/>
      <c r="J32" s="786"/>
      <c r="K32" s="2421"/>
      <c r="L32" s="2250"/>
      <c r="M32" s="799"/>
      <c r="N32" s="786"/>
      <c r="O32" s="786"/>
      <c r="P32" s="786"/>
      <c r="Q32" s="786"/>
      <c r="R32" s="2421"/>
      <c r="S32" s="2250"/>
      <c r="T32" s="799"/>
      <c r="U32" s="786"/>
      <c r="V32" s="786"/>
      <c r="W32" s="786"/>
      <c r="X32" s="786"/>
      <c r="Y32" s="795"/>
      <c r="Z32" s="2250"/>
      <c r="AA32" s="3083"/>
      <c r="AB32" s="3097"/>
      <c r="AC32" s="3097"/>
      <c r="AD32" s="3097"/>
      <c r="AE32" s="3097"/>
      <c r="AF32" s="3098"/>
    </row>
    <row r="33" spans="1:33" s="339" customFormat="1">
      <c r="A33" s="266"/>
      <c r="B33" s="1835">
        <v>2040102</v>
      </c>
      <c r="C33" s="1836">
        <v>0.04</v>
      </c>
      <c r="D33" s="2416" t="s">
        <v>604</v>
      </c>
      <c r="E33" s="2250"/>
      <c r="F33" s="799"/>
      <c r="G33" s="786"/>
      <c r="H33" s="786"/>
      <c r="I33" s="786"/>
      <c r="J33" s="786"/>
      <c r="K33" s="2421"/>
      <c r="L33" s="2250"/>
      <c r="M33" s="799"/>
      <c r="N33" s="786"/>
      <c r="O33" s="786"/>
      <c r="P33" s="786"/>
      <c r="Q33" s="786"/>
      <c r="R33" s="2421"/>
      <c r="S33" s="2250"/>
      <c r="T33" s="799"/>
      <c r="U33" s="786"/>
      <c r="V33" s="786"/>
      <c r="W33" s="786"/>
      <c r="X33" s="786"/>
      <c r="Y33" s="795"/>
      <c r="Z33" s="2250"/>
      <c r="AA33" s="3083"/>
      <c r="AB33" s="3097"/>
      <c r="AC33" s="3097"/>
      <c r="AD33" s="3097"/>
      <c r="AE33" s="3097"/>
      <c r="AF33" s="3098"/>
    </row>
    <row r="34" spans="1:33" s="339" customFormat="1">
      <c r="A34" s="266"/>
      <c r="B34" s="1832">
        <v>20402</v>
      </c>
      <c r="C34" s="1838"/>
      <c r="D34" s="2409" t="s">
        <v>605</v>
      </c>
      <c r="E34" s="345">
        <f t="shared" ref="E34:L34" si="10">SUM(E35:E42)</f>
        <v>0</v>
      </c>
      <c r="F34" s="256">
        <f t="shared" si="10"/>
        <v>0</v>
      </c>
      <c r="G34" s="254">
        <f t="shared" si="10"/>
        <v>0</v>
      </c>
      <c r="H34" s="254">
        <f t="shared" si="10"/>
        <v>0</v>
      </c>
      <c r="I34" s="254">
        <f t="shared" si="10"/>
        <v>0</v>
      </c>
      <c r="J34" s="254">
        <f t="shared" si="10"/>
        <v>0</v>
      </c>
      <c r="K34" s="2040">
        <f t="shared" si="10"/>
        <v>0</v>
      </c>
      <c r="L34" s="345">
        <f t="shared" si="10"/>
        <v>0</v>
      </c>
      <c r="M34" s="256">
        <f t="shared" ref="M34:Z34" si="11">SUM(M35:M42)</f>
        <v>0</v>
      </c>
      <c r="N34" s="254">
        <f t="shared" si="11"/>
        <v>0</v>
      </c>
      <c r="O34" s="254">
        <f t="shared" si="11"/>
        <v>0</v>
      </c>
      <c r="P34" s="254">
        <f t="shared" si="11"/>
        <v>0</v>
      </c>
      <c r="Q34" s="254">
        <f t="shared" si="11"/>
        <v>0</v>
      </c>
      <c r="R34" s="2040">
        <f t="shared" si="11"/>
        <v>0</v>
      </c>
      <c r="S34" s="345">
        <f t="shared" si="11"/>
        <v>0</v>
      </c>
      <c r="T34" s="256">
        <f t="shared" si="11"/>
        <v>0</v>
      </c>
      <c r="U34" s="254">
        <f t="shared" si="11"/>
        <v>0</v>
      </c>
      <c r="V34" s="254">
        <f t="shared" si="11"/>
        <v>0</v>
      </c>
      <c r="W34" s="254">
        <f t="shared" si="11"/>
        <v>0</v>
      </c>
      <c r="X34" s="254">
        <f t="shared" si="11"/>
        <v>0</v>
      </c>
      <c r="Y34" s="255">
        <f t="shared" si="11"/>
        <v>0</v>
      </c>
      <c r="Z34" s="345">
        <f t="shared" si="11"/>
        <v>0</v>
      </c>
      <c r="AA34" s="3083"/>
      <c r="AB34" s="3097"/>
      <c r="AC34" s="3097"/>
      <c r="AD34" s="3097"/>
      <c r="AE34" s="3097"/>
      <c r="AF34" s="3098"/>
    </row>
    <row r="35" spans="1:33" s="339" customFormat="1">
      <c r="A35" s="266"/>
      <c r="B35" s="1832">
        <v>2040201</v>
      </c>
      <c r="C35" s="1833">
        <v>0.02</v>
      </c>
      <c r="D35" s="2414" t="s">
        <v>1007</v>
      </c>
      <c r="E35" s="2250"/>
      <c r="F35" s="799"/>
      <c r="G35" s="786"/>
      <c r="H35" s="786"/>
      <c r="I35" s="786"/>
      <c r="J35" s="786"/>
      <c r="K35" s="2421"/>
      <c r="L35" s="2250"/>
      <c r="M35" s="799"/>
      <c r="N35" s="786"/>
      <c r="O35" s="786"/>
      <c r="P35" s="786"/>
      <c r="Q35" s="786"/>
      <c r="R35" s="2421"/>
      <c r="S35" s="2250"/>
      <c r="T35" s="799"/>
      <c r="U35" s="786"/>
      <c r="V35" s="786"/>
      <c r="W35" s="786"/>
      <c r="X35" s="786"/>
      <c r="Y35" s="795"/>
      <c r="Z35" s="2250"/>
      <c r="AA35" s="3083"/>
      <c r="AB35" s="3097"/>
      <c r="AC35" s="3097"/>
      <c r="AD35" s="3097"/>
      <c r="AE35" s="3097"/>
      <c r="AF35" s="3098"/>
    </row>
    <row r="36" spans="1:33" s="339" customFormat="1">
      <c r="A36" s="266"/>
      <c r="B36" s="1832">
        <v>2040202</v>
      </c>
      <c r="C36" s="1833">
        <v>0.02</v>
      </c>
      <c r="D36" s="2414" t="s">
        <v>1008</v>
      </c>
      <c r="E36" s="2250"/>
      <c r="F36" s="799"/>
      <c r="G36" s="786"/>
      <c r="H36" s="786"/>
      <c r="I36" s="786"/>
      <c r="J36" s="786"/>
      <c r="K36" s="2421"/>
      <c r="L36" s="2250"/>
      <c r="M36" s="799"/>
      <c r="N36" s="786"/>
      <c r="O36" s="786"/>
      <c r="P36" s="786"/>
      <c r="Q36" s="786"/>
      <c r="R36" s="2421"/>
      <c r="S36" s="2250"/>
      <c r="T36" s="799"/>
      <c r="U36" s="786"/>
      <c r="V36" s="786"/>
      <c r="W36" s="786"/>
      <c r="X36" s="786"/>
      <c r="Y36" s="795"/>
      <c r="Z36" s="2250"/>
      <c r="AA36" s="3083"/>
      <c r="AB36" s="3097"/>
      <c r="AC36" s="3097"/>
      <c r="AD36" s="3097"/>
      <c r="AE36" s="3097"/>
      <c r="AF36" s="3098"/>
    </row>
    <row r="37" spans="1:33" s="339" customFormat="1">
      <c r="A37" s="266"/>
      <c r="B37" s="1832">
        <v>2040203</v>
      </c>
      <c r="C37" s="1833">
        <v>0.02</v>
      </c>
      <c r="D37" s="2414" t="s">
        <v>590</v>
      </c>
      <c r="E37" s="2250"/>
      <c r="F37" s="799"/>
      <c r="G37" s="786"/>
      <c r="H37" s="786"/>
      <c r="I37" s="786"/>
      <c r="J37" s="786"/>
      <c r="K37" s="2421"/>
      <c r="L37" s="2250"/>
      <c r="M37" s="799"/>
      <c r="N37" s="786"/>
      <c r="O37" s="786"/>
      <c r="P37" s="786"/>
      <c r="Q37" s="786"/>
      <c r="R37" s="2421"/>
      <c r="S37" s="2250"/>
      <c r="T37" s="799"/>
      <c r="U37" s="786"/>
      <c r="V37" s="786"/>
      <c r="W37" s="786"/>
      <c r="X37" s="786"/>
      <c r="Y37" s="795"/>
      <c r="Z37" s="2250"/>
      <c r="AA37" s="3083"/>
      <c r="AB37" s="3097"/>
      <c r="AC37" s="3097"/>
      <c r="AD37" s="3097"/>
      <c r="AE37" s="3097"/>
      <c r="AF37" s="3098"/>
    </row>
    <row r="38" spans="1:33" s="339" customFormat="1">
      <c r="A38" s="266"/>
      <c r="B38" s="1832">
        <v>2040204</v>
      </c>
      <c r="C38" s="1833">
        <v>0.02</v>
      </c>
      <c r="D38" s="2416" t="s">
        <v>591</v>
      </c>
      <c r="E38" s="2250"/>
      <c r="F38" s="799"/>
      <c r="G38" s="786"/>
      <c r="H38" s="786"/>
      <c r="I38" s="786"/>
      <c r="J38" s="786"/>
      <c r="K38" s="2421"/>
      <c r="L38" s="2250"/>
      <c r="M38" s="799"/>
      <c r="N38" s="786"/>
      <c r="O38" s="786"/>
      <c r="P38" s="786"/>
      <c r="Q38" s="786"/>
      <c r="R38" s="2421"/>
      <c r="S38" s="2250"/>
      <c r="T38" s="799"/>
      <c r="U38" s="786"/>
      <c r="V38" s="786"/>
      <c r="W38" s="786"/>
      <c r="X38" s="786"/>
      <c r="Y38" s="795"/>
      <c r="Z38" s="2250"/>
      <c r="AA38" s="3083"/>
      <c r="AB38" s="3097"/>
      <c r="AC38" s="3097"/>
      <c r="AD38" s="3097"/>
      <c r="AE38" s="3097"/>
      <c r="AF38" s="3098"/>
    </row>
    <row r="39" spans="1:33" s="339" customFormat="1">
      <c r="A39" s="266"/>
      <c r="B39" s="1832">
        <v>2040205</v>
      </c>
      <c r="C39" s="1833">
        <v>0.02</v>
      </c>
      <c r="D39" s="2414" t="s">
        <v>592</v>
      </c>
      <c r="E39" s="2250"/>
      <c r="F39" s="799"/>
      <c r="G39" s="786"/>
      <c r="H39" s="786"/>
      <c r="I39" s="786"/>
      <c r="J39" s="786"/>
      <c r="K39" s="2421"/>
      <c r="L39" s="2250"/>
      <c r="M39" s="799"/>
      <c r="N39" s="786"/>
      <c r="O39" s="786"/>
      <c r="P39" s="786"/>
      <c r="Q39" s="786"/>
      <c r="R39" s="2421"/>
      <c r="S39" s="2250"/>
      <c r="T39" s="799"/>
      <c r="U39" s="786"/>
      <c r="V39" s="786"/>
      <c r="W39" s="786"/>
      <c r="X39" s="786"/>
      <c r="Y39" s="795"/>
      <c r="Z39" s="2250"/>
      <c r="AA39" s="3083"/>
      <c r="AB39" s="3097"/>
      <c r="AC39" s="3097"/>
      <c r="AD39" s="3097"/>
      <c r="AE39" s="3097"/>
      <c r="AF39" s="3098"/>
    </row>
    <row r="40" spans="1:33" s="339" customFormat="1">
      <c r="A40" s="266"/>
      <c r="B40" s="1832">
        <v>2040206</v>
      </c>
      <c r="C40" s="1833">
        <v>0.02</v>
      </c>
      <c r="D40" s="2414" t="s">
        <v>593</v>
      </c>
      <c r="E40" s="2250"/>
      <c r="F40" s="799"/>
      <c r="G40" s="786"/>
      <c r="H40" s="786"/>
      <c r="I40" s="786"/>
      <c r="J40" s="786"/>
      <c r="K40" s="2421"/>
      <c r="L40" s="2250"/>
      <c r="M40" s="799"/>
      <c r="N40" s="786"/>
      <c r="O40" s="786"/>
      <c r="P40" s="786"/>
      <c r="Q40" s="786"/>
      <c r="R40" s="2421"/>
      <c r="S40" s="2250"/>
      <c r="T40" s="799"/>
      <c r="U40" s="786"/>
      <c r="V40" s="786"/>
      <c r="W40" s="786"/>
      <c r="X40" s="786"/>
      <c r="Y40" s="795"/>
      <c r="Z40" s="2250"/>
      <c r="AA40" s="3083"/>
      <c r="AB40" s="3097"/>
      <c r="AC40" s="3097"/>
      <c r="AD40" s="3097"/>
      <c r="AE40" s="3097"/>
      <c r="AF40" s="3098"/>
    </row>
    <row r="41" spans="1:33" s="339" customFormat="1" ht="25.5">
      <c r="A41" s="266"/>
      <c r="B41" s="1832">
        <v>2040207</v>
      </c>
      <c r="C41" s="1833">
        <v>0.04</v>
      </c>
      <c r="D41" s="2414" t="s">
        <v>594</v>
      </c>
      <c r="E41" s="2250"/>
      <c r="F41" s="799"/>
      <c r="G41" s="786"/>
      <c r="H41" s="786"/>
      <c r="I41" s="786"/>
      <c r="J41" s="786"/>
      <c r="K41" s="2421"/>
      <c r="L41" s="2250"/>
      <c r="M41" s="799"/>
      <c r="N41" s="786"/>
      <c r="O41" s="786"/>
      <c r="P41" s="786"/>
      <c r="Q41" s="786"/>
      <c r="R41" s="2421"/>
      <c r="S41" s="2250"/>
      <c r="T41" s="799"/>
      <c r="U41" s="786"/>
      <c r="V41" s="786"/>
      <c r="W41" s="786"/>
      <c r="X41" s="786"/>
      <c r="Y41" s="795"/>
      <c r="Z41" s="2250"/>
      <c r="AA41" s="3083"/>
      <c r="AB41" s="3097"/>
      <c r="AC41" s="3097"/>
      <c r="AD41" s="3097"/>
      <c r="AE41" s="3097"/>
      <c r="AF41" s="3098"/>
    </row>
    <row r="42" spans="1:33" s="339" customFormat="1">
      <c r="A42" s="266"/>
      <c r="B42" s="1832">
        <v>2040208</v>
      </c>
      <c r="C42" s="1833">
        <v>0.04</v>
      </c>
      <c r="D42" s="2414" t="s">
        <v>595</v>
      </c>
      <c r="E42" s="2250"/>
      <c r="F42" s="799"/>
      <c r="G42" s="786"/>
      <c r="H42" s="786"/>
      <c r="I42" s="786"/>
      <c r="J42" s="786"/>
      <c r="K42" s="2421"/>
      <c r="L42" s="2250"/>
      <c r="M42" s="799"/>
      <c r="N42" s="786"/>
      <c r="O42" s="786"/>
      <c r="P42" s="786"/>
      <c r="Q42" s="786"/>
      <c r="R42" s="2421"/>
      <c r="S42" s="2250"/>
      <c r="T42" s="799"/>
      <c r="U42" s="786"/>
      <c r="V42" s="786"/>
      <c r="W42" s="786"/>
      <c r="X42" s="786"/>
      <c r="Y42" s="795"/>
      <c r="Z42" s="2250"/>
      <c r="AA42" s="3083"/>
      <c r="AB42" s="3097"/>
      <c r="AC42" s="3097"/>
      <c r="AD42" s="3097"/>
      <c r="AE42" s="3097"/>
      <c r="AF42" s="3098"/>
    </row>
    <row r="43" spans="1:33" s="339" customFormat="1">
      <c r="A43" s="266"/>
      <c r="B43" s="1832">
        <v>20403</v>
      </c>
      <c r="C43" s="1833">
        <v>0.04</v>
      </c>
      <c r="D43" s="1821" t="s">
        <v>1524</v>
      </c>
      <c r="E43" s="2250"/>
      <c r="F43" s="799"/>
      <c r="G43" s="786"/>
      <c r="H43" s="786"/>
      <c r="I43" s="786"/>
      <c r="J43" s="786"/>
      <c r="K43" s="2421"/>
      <c r="L43" s="2250"/>
      <c r="M43" s="799"/>
      <c r="N43" s="786"/>
      <c r="O43" s="786"/>
      <c r="P43" s="786"/>
      <c r="Q43" s="786"/>
      <c r="R43" s="2421"/>
      <c r="S43" s="2250"/>
      <c r="T43" s="799"/>
      <c r="U43" s="786"/>
      <c r="V43" s="786"/>
      <c r="W43" s="786"/>
      <c r="X43" s="786"/>
      <c r="Y43" s="795"/>
      <c r="Z43" s="2250"/>
      <c r="AA43" s="3083"/>
      <c r="AB43" s="3097"/>
      <c r="AC43" s="3097"/>
      <c r="AD43" s="3097"/>
      <c r="AE43" s="3097"/>
      <c r="AF43" s="3098"/>
    </row>
    <row r="44" spans="1:33" s="339" customFormat="1" ht="25.5">
      <c r="A44" s="266"/>
      <c r="B44" s="1832" t="s">
        <v>1525</v>
      </c>
      <c r="C44" s="1833">
        <v>0.04</v>
      </c>
      <c r="D44" s="1821" t="s">
        <v>1526</v>
      </c>
      <c r="E44" s="2250">
        <v>2</v>
      </c>
      <c r="F44" s="799"/>
      <c r="G44" s="786"/>
      <c r="H44" s="786"/>
      <c r="I44" s="786"/>
      <c r="J44" s="786"/>
      <c r="K44" s="2421"/>
      <c r="L44" s="2250"/>
      <c r="M44" s="799"/>
      <c r="N44" s="786"/>
      <c r="O44" s="786"/>
      <c r="P44" s="786"/>
      <c r="Q44" s="786"/>
      <c r="R44" s="2421"/>
      <c r="S44" s="2250"/>
      <c r="T44" s="799"/>
      <c r="U44" s="786"/>
      <c r="V44" s="786"/>
      <c r="W44" s="786"/>
      <c r="X44" s="786"/>
      <c r="Y44" s="795"/>
      <c r="Z44" s="2250"/>
      <c r="AA44" s="3083"/>
      <c r="AB44" s="3097"/>
      <c r="AC44" s="3097"/>
      <c r="AD44" s="3097"/>
      <c r="AE44" s="3097"/>
      <c r="AF44" s="3098"/>
    </row>
    <row r="45" spans="1:33" s="339" customFormat="1">
      <c r="A45" s="308">
        <v>5</v>
      </c>
      <c r="B45" s="1830">
        <v>205</v>
      </c>
      <c r="C45" s="1830"/>
      <c r="D45" s="2412" t="s">
        <v>275</v>
      </c>
      <c r="E45" s="346">
        <f t="shared" ref="E45:Z45" si="12">SUM(E46:E49)</f>
        <v>34</v>
      </c>
      <c r="F45" s="2420">
        <f t="shared" si="12"/>
        <v>640</v>
      </c>
      <c r="G45" s="257">
        <f t="shared" si="12"/>
        <v>110</v>
      </c>
      <c r="H45" s="257">
        <f t="shared" si="12"/>
        <v>0</v>
      </c>
      <c r="I45" s="257">
        <f t="shared" si="12"/>
        <v>360</v>
      </c>
      <c r="J45" s="257">
        <f t="shared" si="12"/>
        <v>0</v>
      </c>
      <c r="K45" s="2041">
        <f t="shared" si="12"/>
        <v>20</v>
      </c>
      <c r="L45" s="346">
        <f t="shared" si="12"/>
        <v>7</v>
      </c>
      <c r="M45" s="314">
        <f t="shared" si="12"/>
        <v>140</v>
      </c>
      <c r="N45" s="312">
        <f t="shared" si="12"/>
        <v>210</v>
      </c>
      <c r="O45" s="312">
        <f t="shared" si="12"/>
        <v>0</v>
      </c>
      <c r="P45" s="312">
        <f t="shared" si="12"/>
        <v>0</v>
      </c>
      <c r="Q45" s="312">
        <f t="shared" si="12"/>
        <v>10</v>
      </c>
      <c r="R45" s="2039">
        <f t="shared" si="12"/>
        <v>10</v>
      </c>
      <c r="S45" s="346">
        <f t="shared" si="12"/>
        <v>0</v>
      </c>
      <c r="T45" s="2420">
        <f t="shared" si="12"/>
        <v>0</v>
      </c>
      <c r="U45" s="257">
        <f t="shared" si="12"/>
        <v>23.3</v>
      </c>
      <c r="V45" s="257">
        <f t="shared" si="12"/>
        <v>10</v>
      </c>
      <c r="W45" s="257">
        <f t="shared" si="12"/>
        <v>0</v>
      </c>
      <c r="X45" s="257">
        <f t="shared" si="12"/>
        <v>0</v>
      </c>
      <c r="Y45" s="3046">
        <f t="shared" si="12"/>
        <v>0</v>
      </c>
      <c r="Z45" s="346">
        <f t="shared" si="12"/>
        <v>0</v>
      </c>
      <c r="AA45" s="3083"/>
      <c r="AB45" s="3097"/>
      <c r="AC45" s="3097"/>
      <c r="AD45" s="3097"/>
      <c r="AE45" s="3097"/>
      <c r="AF45" s="3098"/>
    </row>
    <row r="46" spans="1:33" s="339" customFormat="1">
      <c r="A46" s="275"/>
      <c r="B46" s="1819">
        <v>20501</v>
      </c>
      <c r="C46" s="1820">
        <v>0.08</v>
      </c>
      <c r="D46" s="2417" t="s">
        <v>765</v>
      </c>
      <c r="E46" s="2250">
        <v>12</v>
      </c>
      <c r="F46" s="799"/>
      <c r="G46" s="786"/>
      <c r="H46" s="786"/>
      <c r="I46" s="786"/>
      <c r="J46" s="786"/>
      <c r="K46" s="2421">
        <v>10</v>
      </c>
      <c r="L46" s="2250"/>
      <c r="M46" s="799">
        <v>140</v>
      </c>
      <c r="N46" s="786">
        <v>200</v>
      </c>
      <c r="O46" s="786"/>
      <c r="P46" s="786"/>
      <c r="Q46" s="786"/>
      <c r="R46" s="2421"/>
      <c r="S46" s="2250"/>
      <c r="T46" s="799"/>
      <c r="U46" s="786">
        <v>2</v>
      </c>
      <c r="V46" s="786"/>
      <c r="W46" s="786"/>
      <c r="X46" s="786"/>
      <c r="Y46" s="795"/>
      <c r="Z46" s="2250"/>
      <c r="AA46" s="3083"/>
      <c r="AB46" s="3097"/>
      <c r="AC46" s="3097"/>
      <c r="AD46" s="3097"/>
      <c r="AE46" s="3097"/>
      <c r="AF46" s="3098"/>
      <c r="AG46" s="307"/>
    </row>
    <row r="47" spans="1:33" s="339" customFormat="1">
      <c r="A47" s="275"/>
      <c r="B47" s="1819">
        <v>20502</v>
      </c>
      <c r="C47" s="1820">
        <v>0.1</v>
      </c>
      <c r="D47" s="2417" t="s">
        <v>583</v>
      </c>
      <c r="E47" s="2250">
        <v>22</v>
      </c>
      <c r="F47" s="799"/>
      <c r="G47" s="786"/>
      <c r="H47" s="786"/>
      <c r="I47" s="786">
        <v>360</v>
      </c>
      <c r="J47" s="786"/>
      <c r="K47" s="2421">
        <v>10</v>
      </c>
      <c r="L47" s="2250">
        <v>7</v>
      </c>
      <c r="M47" s="799"/>
      <c r="N47" s="786"/>
      <c r="O47" s="786"/>
      <c r="P47" s="786"/>
      <c r="Q47" s="786">
        <v>10</v>
      </c>
      <c r="R47" s="2421">
        <v>10</v>
      </c>
      <c r="S47" s="2250"/>
      <c r="T47" s="799"/>
      <c r="U47" s="786">
        <v>19</v>
      </c>
      <c r="V47" s="786">
        <v>10</v>
      </c>
      <c r="W47" s="786"/>
      <c r="X47" s="786"/>
      <c r="Y47" s="795"/>
      <c r="Z47" s="2250"/>
      <c r="AA47" s="3083"/>
      <c r="AB47" s="3097"/>
      <c r="AC47" s="3097"/>
      <c r="AD47" s="3097"/>
      <c r="AE47" s="3097"/>
      <c r="AF47" s="3098"/>
      <c r="AG47" s="307"/>
    </row>
    <row r="48" spans="1:33" s="339" customFormat="1">
      <c r="A48" s="275"/>
      <c r="B48" s="1819">
        <v>20503</v>
      </c>
      <c r="C48" s="1820">
        <v>0.1</v>
      </c>
      <c r="D48" s="2413" t="s">
        <v>584</v>
      </c>
      <c r="E48" s="2250"/>
      <c r="F48" s="799">
        <v>640</v>
      </c>
      <c r="G48" s="786">
        <v>110</v>
      </c>
      <c r="H48" s="786"/>
      <c r="I48" s="786"/>
      <c r="J48" s="786"/>
      <c r="K48" s="2421"/>
      <c r="L48" s="2250"/>
      <c r="M48" s="799"/>
      <c r="N48" s="786">
        <v>10</v>
      </c>
      <c r="O48" s="786"/>
      <c r="P48" s="786"/>
      <c r="Q48" s="786"/>
      <c r="R48" s="2421"/>
      <c r="S48" s="2250"/>
      <c r="T48" s="799"/>
      <c r="U48" s="786">
        <v>2.2999999999999998</v>
      </c>
      <c r="V48" s="786"/>
      <c r="W48" s="786"/>
      <c r="X48" s="786"/>
      <c r="Y48" s="795"/>
      <c r="Z48" s="2250"/>
      <c r="AA48" s="3083"/>
      <c r="AB48" s="3097"/>
      <c r="AC48" s="3097"/>
      <c r="AD48" s="3097"/>
      <c r="AE48" s="3097"/>
      <c r="AF48" s="3098"/>
      <c r="AG48" s="307"/>
    </row>
    <row r="49" spans="1:33" s="339" customFormat="1">
      <c r="A49" s="275"/>
      <c r="B49" s="1819">
        <v>20504</v>
      </c>
      <c r="C49" s="1820">
        <v>0.1</v>
      </c>
      <c r="D49" s="2413" t="s">
        <v>759</v>
      </c>
      <c r="E49" s="2250"/>
      <c r="F49" s="799"/>
      <c r="G49" s="786"/>
      <c r="H49" s="786"/>
      <c r="I49" s="786"/>
      <c r="J49" s="786"/>
      <c r="K49" s="2421"/>
      <c r="L49" s="2250"/>
      <c r="M49" s="799"/>
      <c r="N49" s="786"/>
      <c r="O49" s="786"/>
      <c r="P49" s="786"/>
      <c r="Q49" s="786"/>
      <c r="R49" s="2421"/>
      <c r="S49" s="2250"/>
      <c r="T49" s="799"/>
      <c r="U49" s="786"/>
      <c r="V49" s="786"/>
      <c r="W49" s="786"/>
      <c r="X49" s="786"/>
      <c r="Y49" s="795"/>
      <c r="Z49" s="2250"/>
      <c r="AA49" s="3083"/>
      <c r="AB49" s="3097"/>
      <c r="AC49" s="3097"/>
      <c r="AD49" s="3097"/>
      <c r="AE49" s="3097"/>
      <c r="AF49" s="3098"/>
      <c r="AG49" s="307"/>
    </row>
    <row r="50" spans="1:33" s="339" customFormat="1">
      <c r="A50" s="323">
        <v>6</v>
      </c>
      <c r="B50" s="1843">
        <v>206</v>
      </c>
      <c r="C50" s="1844">
        <v>0.1</v>
      </c>
      <c r="D50" s="2415" t="s">
        <v>564</v>
      </c>
      <c r="E50" s="346">
        <f>SUM(E51:E53)</f>
        <v>7</v>
      </c>
      <c r="F50" s="2420">
        <f>SUM(F51:F53)</f>
        <v>12</v>
      </c>
      <c r="G50" s="257">
        <f t="shared" ref="G50:Z50" si="13">SUM(G51:G53)</f>
        <v>8</v>
      </c>
      <c r="H50" s="257">
        <f t="shared" si="13"/>
        <v>30</v>
      </c>
      <c r="I50" s="257">
        <f>SUM(I51:I53)</f>
        <v>0</v>
      </c>
      <c r="J50" s="257">
        <f t="shared" si="13"/>
        <v>0</v>
      </c>
      <c r="K50" s="2041">
        <f t="shared" si="13"/>
        <v>0</v>
      </c>
      <c r="L50" s="346">
        <f t="shared" si="13"/>
        <v>0</v>
      </c>
      <c r="M50" s="314">
        <f t="shared" si="13"/>
        <v>0</v>
      </c>
      <c r="N50" s="312">
        <f t="shared" si="13"/>
        <v>2</v>
      </c>
      <c r="O50" s="312">
        <f t="shared" si="13"/>
        <v>5</v>
      </c>
      <c r="P50" s="312">
        <f t="shared" si="13"/>
        <v>0</v>
      </c>
      <c r="Q50" s="312">
        <f t="shared" si="13"/>
        <v>0</v>
      </c>
      <c r="R50" s="2039">
        <f t="shared" si="13"/>
        <v>0</v>
      </c>
      <c r="S50" s="346">
        <f t="shared" si="13"/>
        <v>0</v>
      </c>
      <c r="T50" s="314">
        <f t="shared" si="13"/>
        <v>0</v>
      </c>
      <c r="U50" s="312">
        <f t="shared" si="13"/>
        <v>0</v>
      </c>
      <c r="V50" s="312">
        <f t="shared" si="13"/>
        <v>0</v>
      </c>
      <c r="W50" s="312">
        <f t="shared" si="13"/>
        <v>0</v>
      </c>
      <c r="X50" s="312">
        <f t="shared" si="13"/>
        <v>10</v>
      </c>
      <c r="Y50" s="313">
        <f t="shared" si="13"/>
        <v>3</v>
      </c>
      <c r="Z50" s="346">
        <f t="shared" si="13"/>
        <v>0</v>
      </c>
      <c r="AA50" s="3083"/>
      <c r="AB50" s="3097"/>
      <c r="AC50" s="3097"/>
      <c r="AD50" s="3097"/>
      <c r="AE50" s="3097"/>
      <c r="AF50" s="3098"/>
    </row>
    <row r="51" spans="1:33" s="339" customFormat="1">
      <c r="A51" s="323"/>
      <c r="B51" s="1819">
        <v>20601</v>
      </c>
      <c r="C51" s="1820">
        <v>0.1</v>
      </c>
      <c r="D51" s="2413" t="s">
        <v>766</v>
      </c>
      <c r="E51" s="2250"/>
      <c r="F51" s="799"/>
      <c r="G51" s="786"/>
      <c r="H51" s="786">
        <v>30</v>
      </c>
      <c r="I51" s="786"/>
      <c r="J51" s="786"/>
      <c r="K51" s="2421"/>
      <c r="L51" s="2250"/>
      <c r="M51" s="799"/>
      <c r="N51" s="786"/>
      <c r="O51" s="786">
        <v>5</v>
      </c>
      <c r="P51" s="786"/>
      <c r="Q51" s="786"/>
      <c r="R51" s="2421"/>
      <c r="S51" s="2250"/>
      <c r="T51" s="799"/>
      <c r="U51" s="786"/>
      <c r="V51" s="786"/>
      <c r="W51" s="786"/>
      <c r="X51" s="786">
        <v>5</v>
      </c>
      <c r="Y51" s="795">
        <v>3</v>
      </c>
      <c r="Z51" s="2250"/>
      <c r="AA51" s="3083"/>
      <c r="AB51" s="3097"/>
      <c r="AC51" s="3097"/>
      <c r="AD51" s="3097"/>
      <c r="AE51" s="3097"/>
      <c r="AF51" s="3098"/>
      <c r="AG51" s="307"/>
    </row>
    <row r="52" spans="1:33" s="339" customFormat="1">
      <c r="A52" s="323"/>
      <c r="B52" s="1819">
        <v>20602</v>
      </c>
      <c r="C52" s="1820">
        <v>0.1</v>
      </c>
      <c r="D52" s="2413" t="s">
        <v>607</v>
      </c>
      <c r="E52" s="2250">
        <v>7</v>
      </c>
      <c r="F52" s="799">
        <v>12</v>
      </c>
      <c r="G52" s="786">
        <v>8</v>
      </c>
      <c r="H52" s="786"/>
      <c r="I52" s="786"/>
      <c r="J52" s="786"/>
      <c r="K52" s="2421"/>
      <c r="L52" s="2250"/>
      <c r="M52" s="799"/>
      <c r="N52" s="786">
        <v>2</v>
      </c>
      <c r="O52" s="786"/>
      <c r="P52" s="786"/>
      <c r="Q52" s="786"/>
      <c r="R52" s="2421"/>
      <c r="S52" s="2250"/>
      <c r="T52" s="799"/>
      <c r="U52" s="786"/>
      <c r="V52" s="786"/>
      <c r="W52" s="786"/>
      <c r="X52" s="786">
        <v>5</v>
      </c>
      <c r="Y52" s="795"/>
      <c r="Z52" s="2250"/>
      <c r="AA52" s="3083"/>
      <c r="AB52" s="3097"/>
      <c r="AC52" s="3097"/>
      <c r="AD52" s="3097"/>
      <c r="AE52" s="3097"/>
      <c r="AF52" s="3098"/>
      <c r="AG52" s="307"/>
    </row>
    <row r="53" spans="1:33" s="339" customFormat="1">
      <c r="A53" s="323"/>
      <c r="B53" s="1819">
        <v>20603</v>
      </c>
      <c r="C53" s="1820">
        <v>0.5</v>
      </c>
      <c r="D53" s="2413" t="s">
        <v>1441</v>
      </c>
      <c r="E53" s="2250"/>
      <c r="F53" s="799"/>
      <c r="G53" s="786"/>
      <c r="H53" s="786"/>
      <c r="I53" s="786"/>
      <c r="J53" s="786"/>
      <c r="K53" s="2421"/>
      <c r="L53" s="2250"/>
      <c r="M53" s="799"/>
      <c r="N53" s="786"/>
      <c r="O53" s="786"/>
      <c r="P53" s="786"/>
      <c r="Q53" s="786"/>
      <c r="R53" s="2421"/>
      <c r="S53" s="2250"/>
      <c r="T53" s="799"/>
      <c r="U53" s="786"/>
      <c r="V53" s="786"/>
      <c r="W53" s="786"/>
      <c r="X53" s="786"/>
      <c r="Y53" s="795"/>
      <c r="Z53" s="2250"/>
      <c r="AA53" s="3083"/>
      <c r="AB53" s="3097"/>
      <c r="AC53" s="3097"/>
      <c r="AD53" s="3097"/>
      <c r="AE53" s="3097"/>
      <c r="AF53" s="3098"/>
      <c r="AG53" s="307"/>
    </row>
    <row r="54" spans="1:33" s="262" customFormat="1">
      <c r="A54" s="323">
        <v>7</v>
      </c>
      <c r="B54" s="1843">
        <v>208</v>
      </c>
      <c r="C54" s="1844">
        <v>0.2</v>
      </c>
      <c r="D54" s="2415" t="s">
        <v>585</v>
      </c>
      <c r="E54" s="2250">
        <v>2</v>
      </c>
      <c r="F54" s="799"/>
      <c r="G54" s="786">
        <v>160</v>
      </c>
      <c r="H54" s="786"/>
      <c r="I54" s="786"/>
      <c r="J54" s="786"/>
      <c r="K54" s="2421"/>
      <c r="L54" s="2250"/>
      <c r="M54" s="799">
        <v>10</v>
      </c>
      <c r="N54" s="786"/>
      <c r="O54" s="786">
        <v>5</v>
      </c>
      <c r="P54" s="786">
        <v>3</v>
      </c>
      <c r="Q54" s="786"/>
      <c r="R54" s="2421"/>
      <c r="S54" s="2250"/>
      <c r="T54" s="799"/>
      <c r="U54" s="786">
        <v>5</v>
      </c>
      <c r="V54" s="786"/>
      <c r="W54" s="786"/>
      <c r="X54" s="786"/>
      <c r="Y54" s="795"/>
      <c r="Z54" s="2250"/>
      <c r="AA54" s="3083"/>
      <c r="AB54" s="3097"/>
      <c r="AC54" s="3097"/>
      <c r="AD54" s="3097"/>
      <c r="AE54" s="3097"/>
      <c r="AF54" s="3098"/>
      <c r="AG54" s="307"/>
    </row>
    <row r="55" spans="1:33" s="262" customFormat="1">
      <c r="A55" s="323">
        <v>8</v>
      </c>
      <c r="B55" s="1843">
        <v>209</v>
      </c>
      <c r="C55" s="1844">
        <v>0.1</v>
      </c>
      <c r="D55" s="2415" t="s">
        <v>276</v>
      </c>
      <c r="E55" s="2250"/>
      <c r="F55" s="799"/>
      <c r="G55" s="786"/>
      <c r="H55" s="786"/>
      <c r="I55" s="786"/>
      <c r="J55" s="786"/>
      <c r="K55" s="2421"/>
      <c r="L55" s="2250"/>
      <c r="M55" s="799"/>
      <c r="N55" s="786"/>
      <c r="O55" s="786"/>
      <c r="P55" s="786"/>
      <c r="Q55" s="786"/>
      <c r="R55" s="2421"/>
      <c r="S55" s="2250"/>
      <c r="T55" s="799"/>
      <c r="U55" s="786"/>
      <c r="V55" s="786"/>
      <c r="W55" s="786"/>
      <c r="X55" s="786"/>
      <c r="Y55" s="795"/>
      <c r="Z55" s="2250"/>
      <c r="AA55" s="3083"/>
      <c r="AB55" s="3097"/>
      <c r="AC55" s="3097"/>
      <c r="AD55" s="3097"/>
      <c r="AE55" s="3097"/>
      <c r="AF55" s="3098"/>
      <c r="AG55" s="307"/>
    </row>
    <row r="56" spans="1:33" s="262" customFormat="1">
      <c r="A56" s="323">
        <v>9</v>
      </c>
      <c r="B56" s="1843">
        <v>212</v>
      </c>
      <c r="C56" s="1844">
        <v>0.2</v>
      </c>
      <c r="D56" s="2418" t="s">
        <v>277</v>
      </c>
      <c r="E56" s="2250"/>
      <c r="F56" s="799"/>
      <c r="G56" s="786"/>
      <c r="H56" s="786"/>
      <c r="I56" s="786"/>
      <c r="J56" s="786">
        <v>20</v>
      </c>
      <c r="K56" s="2421">
        <v>55</v>
      </c>
      <c r="L56" s="2250"/>
      <c r="M56" s="799"/>
      <c r="N56" s="786"/>
      <c r="O56" s="786">
        <v>20</v>
      </c>
      <c r="P56" s="786"/>
      <c r="Q56" s="786"/>
      <c r="R56" s="2421"/>
      <c r="S56" s="2250"/>
      <c r="T56" s="799"/>
      <c r="U56" s="786">
        <v>5</v>
      </c>
      <c r="V56" s="786"/>
      <c r="W56" s="786"/>
      <c r="X56" s="786"/>
      <c r="Y56" s="795"/>
      <c r="Z56" s="2250"/>
      <c r="AA56" s="3083"/>
      <c r="AB56" s="3097"/>
      <c r="AC56" s="3097"/>
      <c r="AD56" s="3097"/>
      <c r="AE56" s="3097"/>
      <c r="AF56" s="3098"/>
      <c r="AG56" s="307"/>
    </row>
    <row r="57" spans="1:33" s="262" customFormat="1">
      <c r="A57" s="323">
        <v>10</v>
      </c>
      <c r="B57" s="1843">
        <v>213</v>
      </c>
      <c r="C57" s="1844">
        <v>0.2</v>
      </c>
      <c r="D57" s="2412" t="s">
        <v>278</v>
      </c>
      <c r="E57" s="2250"/>
      <c r="F57" s="799"/>
      <c r="G57" s="786"/>
      <c r="H57" s="786"/>
      <c r="I57" s="786"/>
      <c r="J57" s="786"/>
      <c r="K57" s="2421"/>
      <c r="L57" s="2250"/>
      <c r="M57" s="799"/>
      <c r="N57" s="786"/>
      <c r="O57" s="786"/>
      <c r="P57" s="786"/>
      <c r="Q57" s="786"/>
      <c r="R57" s="2421"/>
      <c r="S57" s="2250"/>
      <c r="T57" s="799"/>
      <c r="U57" s="786"/>
      <c r="V57" s="786"/>
      <c r="W57" s="786"/>
      <c r="X57" s="786"/>
      <c r="Y57" s="795"/>
      <c r="Z57" s="2250"/>
      <c r="AA57" s="3083"/>
      <c r="AB57" s="3097"/>
      <c r="AC57" s="3097"/>
      <c r="AD57" s="3097"/>
      <c r="AE57" s="3097"/>
      <c r="AF57" s="3098"/>
      <c r="AG57" s="307"/>
    </row>
    <row r="58" spans="1:33" s="262" customFormat="1" ht="25.5">
      <c r="A58" s="323">
        <v>11</v>
      </c>
      <c r="B58" s="1843">
        <v>215</v>
      </c>
      <c r="C58" s="1844">
        <v>0.2</v>
      </c>
      <c r="D58" s="2412" t="s">
        <v>911</v>
      </c>
      <c r="E58" s="2250"/>
      <c r="F58" s="799"/>
      <c r="G58" s="786"/>
      <c r="H58" s="786"/>
      <c r="I58" s="786"/>
      <c r="J58" s="786"/>
      <c r="K58" s="2421"/>
      <c r="L58" s="2250"/>
      <c r="M58" s="799"/>
      <c r="N58" s="786"/>
      <c r="O58" s="786"/>
      <c r="P58" s="786"/>
      <c r="Q58" s="786"/>
      <c r="R58" s="2421"/>
      <c r="S58" s="2250"/>
      <c r="T58" s="799"/>
      <c r="U58" s="786"/>
      <c r="V58" s="786"/>
      <c r="W58" s="786"/>
      <c r="X58" s="786"/>
      <c r="Y58" s="795"/>
      <c r="Z58" s="2250"/>
      <c r="AA58" s="3083"/>
      <c r="AB58" s="3097"/>
      <c r="AC58" s="3097"/>
      <c r="AD58" s="3097"/>
      <c r="AE58" s="3097"/>
      <c r="AF58" s="3098"/>
      <c r="AG58" s="307"/>
    </row>
    <row r="59" spans="1:33" s="262" customFormat="1" ht="13.5" thickBot="1">
      <c r="A59" s="323">
        <v>12</v>
      </c>
      <c r="B59" s="334">
        <v>219</v>
      </c>
      <c r="C59" s="335">
        <v>0.1</v>
      </c>
      <c r="D59" s="2419" t="s">
        <v>279</v>
      </c>
      <c r="E59" s="2251"/>
      <c r="F59" s="799"/>
      <c r="G59" s="786"/>
      <c r="H59" s="786"/>
      <c r="I59" s="786"/>
      <c r="J59" s="786"/>
      <c r="K59" s="2421"/>
      <c r="L59" s="2251"/>
      <c r="M59" s="799"/>
      <c r="N59" s="786"/>
      <c r="O59" s="786"/>
      <c r="P59" s="786"/>
      <c r="Q59" s="786"/>
      <c r="R59" s="2421"/>
      <c r="S59" s="2251"/>
      <c r="T59" s="799"/>
      <c r="U59" s="786"/>
      <c r="V59" s="786"/>
      <c r="W59" s="786"/>
      <c r="X59" s="786"/>
      <c r="Y59" s="795"/>
      <c r="Z59" s="2251"/>
      <c r="AA59" s="3099"/>
      <c r="AB59" s="3100"/>
      <c r="AC59" s="3100"/>
      <c r="AD59" s="3100"/>
      <c r="AE59" s="3100"/>
      <c r="AF59" s="3101"/>
      <c r="AG59" s="307"/>
    </row>
    <row r="60" spans="1:33" s="298" customFormat="1" ht="15" thickBot="1">
      <c r="A60" s="1826" t="s">
        <v>269</v>
      </c>
      <c r="B60" s="258"/>
      <c r="C60" s="258"/>
      <c r="D60" s="248" t="s">
        <v>281</v>
      </c>
      <c r="E60" s="340">
        <f t="shared" ref="E60:AF60" si="14">E61+E64+E67+E79+E94+E99+SUM(E103:E108)</f>
        <v>2.7766666666666668</v>
      </c>
      <c r="F60" s="570">
        <f t="shared" si="14"/>
        <v>-74.16</v>
      </c>
      <c r="G60" s="250">
        <f t="shared" si="14"/>
        <v>-213.96</v>
      </c>
      <c r="H60" s="250">
        <f t="shared" si="14"/>
        <v>-216.96</v>
      </c>
      <c r="I60" s="250">
        <f t="shared" si="14"/>
        <v>-252.96</v>
      </c>
      <c r="J60" s="250">
        <f t="shared" si="14"/>
        <v>-257.96000000000004</v>
      </c>
      <c r="K60" s="2042">
        <f t="shared" si="14"/>
        <v>-295.76000000000005</v>
      </c>
      <c r="L60" s="341">
        <f t="shared" si="14"/>
        <v>0.35000000000000003</v>
      </c>
      <c r="M60" s="249">
        <f t="shared" si="14"/>
        <v>-12.500000000000002</v>
      </c>
      <c r="N60" s="250">
        <f t="shared" si="14"/>
        <v>-29.700000000000003</v>
      </c>
      <c r="O60" s="250">
        <f t="shared" si="14"/>
        <v>-46.2</v>
      </c>
      <c r="P60" s="250">
        <f t="shared" si="14"/>
        <v>-47.300000000000004</v>
      </c>
      <c r="Q60" s="250">
        <f t="shared" si="14"/>
        <v>-48.300000000000004</v>
      </c>
      <c r="R60" s="251">
        <f t="shared" si="14"/>
        <v>-49.300000000000004</v>
      </c>
      <c r="S60" s="341">
        <f t="shared" si="14"/>
        <v>0</v>
      </c>
      <c r="T60" s="252">
        <f t="shared" si="14"/>
        <v>-2.8</v>
      </c>
      <c r="U60" s="250">
        <f t="shared" si="14"/>
        <v>-7.09</v>
      </c>
      <c r="V60" s="250">
        <f t="shared" si="14"/>
        <v>-8.89</v>
      </c>
      <c r="W60" s="250">
        <f t="shared" si="14"/>
        <v>-9.69</v>
      </c>
      <c r="X60" s="250">
        <f t="shared" si="14"/>
        <v>-11.19</v>
      </c>
      <c r="Y60" s="251">
        <f t="shared" si="14"/>
        <v>-11.49</v>
      </c>
      <c r="Z60" s="341">
        <f t="shared" si="14"/>
        <v>0</v>
      </c>
      <c r="AA60" s="252">
        <f t="shared" si="14"/>
        <v>0</v>
      </c>
      <c r="AB60" s="250">
        <f t="shared" si="14"/>
        <v>0</v>
      </c>
      <c r="AC60" s="250">
        <f t="shared" si="14"/>
        <v>0</v>
      </c>
      <c r="AD60" s="250">
        <f t="shared" si="14"/>
        <v>0</v>
      </c>
      <c r="AE60" s="250">
        <f t="shared" si="14"/>
        <v>0</v>
      </c>
      <c r="AF60" s="251">
        <f t="shared" si="14"/>
        <v>0</v>
      </c>
      <c r="AG60" s="307"/>
    </row>
    <row r="61" spans="1:33" s="262" customFormat="1">
      <c r="A61" s="300">
        <v>1</v>
      </c>
      <c r="B61" s="300">
        <v>201</v>
      </c>
      <c r="C61" s="301">
        <v>0</v>
      </c>
      <c r="D61" s="302" t="s">
        <v>280</v>
      </c>
      <c r="E61" s="589">
        <f t="shared" ref="E61:Z61" si="15">SUM(E62:E63)</f>
        <v>0</v>
      </c>
      <c r="F61" s="576">
        <f t="shared" si="15"/>
        <v>0</v>
      </c>
      <c r="G61" s="304">
        <f t="shared" si="15"/>
        <v>0</v>
      </c>
      <c r="H61" s="304">
        <f t="shared" si="15"/>
        <v>0</v>
      </c>
      <c r="I61" s="304">
        <f t="shared" si="15"/>
        <v>0</v>
      </c>
      <c r="J61" s="304">
        <f t="shared" si="15"/>
        <v>0</v>
      </c>
      <c r="K61" s="2038">
        <f t="shared" si="15"/>
        <v>0</v>
      </c>
      <c r="L61" s="590">
        <f t="shared" si="15"/>
        <v>0</v>
      </c>
      <c r="M61" s="303">
        <f t="shared" si="15"/>
        <v>0</v>
      </c>
      <c r="N61" s="304">
        <f t="shared" si="15"/>
        <v>0</v>
      </c>
      <c r="O61" s="304">
        <f t="shared" si="15"/>
        <v>0</v>
      </c>
      <c r="P61" s="304">
        <f t="shared" si="15"/>
        <v>0</v>
      </c>
      <c r="Q61" s="304">
        <f t="shared" si="15"/>
        <v>0</v>
      </c>
      <c r="R61" s="305">
        <f t="shared" si="15"/>
        <v>0</v>
      </c>
      <c r="S61" s="590">
        <f t="shared" si="15"/>
        <v>0</v>
      </c>
      <c r="T61" s="303">
        <f t="shared" si="15"/>
        <v>0</v>
      </c>
      <c r="U61" s="304">
        <f t="shared" si="15"/>
        <v>0</v>
      </c>
      <c r="V61" s="304">
        <f t="shared" si="15"/>
        <v>0</v>
      </c>
      <c r="W61" s="304">
        <f t="shared" si="15"/>
        <v>0</v>
      </c>
      <c r="X61" s="304">
        <f t="shared" si="15"/>
        <v>0</v>
      </c>
      <c r="Y61" s="305">
        <f t="shared" si="15"/>
        <v>0</v>
      </c>
      <c r="Z61" s="590">
        <f t="shared" si="15"/>
        <v>0</v>
      </c>
      <c r="AA61" s="3084"/>
      <c r="AB61" s="3095"/>
      <c r="AC61" s="3095"/>
      <c r="AD61" s="3095"/>
      <c r="AE61" s="3095"/>
      <c r="AF61" s="3096"/>
      <c r="AG61" s="306"/>
    </row>
    <row r="62" spans="1:33" s="294" customFormat="1">
      <c r="A62" s="263"/>
      <c r="B62" s="263">
        <v>20101</v>
      </c>
      <c r="C62" s="264">
        <v>0</v>
      </c>
      <c r="D62" s="607" t="s">
        <v>758</v>
      </c>
      <c r="E62" s="2250"/>
      <c r="F62" s="605">
        <f>($E13*$C62)-(F13*$C62)</f>
        <v>0</v>
      </c>
      <c r="G62" s="587">
        <f t="shared" ref="G62:K63" si="16">F62-(G13*$C62)</f>
        <v>0</v>
      </c>
      <c r="H62" s="270">
        <f t="shared" si="16"/>
        <v>0</v>
      </c>
      <c r="I62" s="270">
        <f t="shared" si="16"/>
        <v>0</v>
      </c>
      <c r="J62" s="270">
        <f t="shared" si="16"/>
        <v>0</v>
      </c>
      <c r="K62" s="333">
        <f t="shared" si="16"/>
        <v>0</v>
      </c>
      <c r="L62" s="2250"/>
      <c r="M62" s="514">
        <f>($L13*$C62)-(M13*$C62)</f>
        <v>0</v>
      </c>
      <c r="N62" s="587">
        <f t="shared" ref="N62:R63" si="17">M62-(N13*$C62)</f>
        <v>0</v>
      </c>
      <c r="O62" s="270">
        <f t="shared" si="17"/>
        <v>0</v>
      </c>
      <c r="P62" s="270">
        <f t="shared" si="17"/>
        <v>0</v>
      </c>
      <c r="Q62" s="270">
        <f t="shared" si="17"/>
        <v>0</v>
      </c>
      <c r="R62" s="271">
        <f t="shared" si="17"/>
        <v>0</v>
      </c>
      <c r="S62" s="2250"/>
      <c r="T62" s="514">
        <f>($S13*$C62)-(T13*$C62)</f>
        <v>0</v>
      </c>
      <c r="U62" s="587">
        <f t="shared" ref="U62:Y63" si="18">T62-(U13*$C62)</f>
        <v>0</v>
      </c>
      <c r="V62" s="270">
        <f t="shared" si="18"/>
        <v>0</v>
      </c>
      <c r="W62" s="270">
        <f t="shared" si="18"/>
        <v>0</v>
      </c>
      <c r="X62" s="270">
        <f t="shared" si="18"/>
        <v>0</v>
      </c>
      <c r="Y62" s="271">
        <f t="shared" si="18"/>
        <v>0</v>
      </c>
      <c r="Z62" s="2250"/>
      <c r="AA62" s="3083"/>
      <c r="AB62" s="3097"/>
      <c r="AC62" s="3097"/>
      <c r="AD62" s="3097"/>
      <c r="AE62" s="3097"/>
      <c r="AF62" s="3098"/>
      <c r="AG62" s="512"/>
    </row>
    <row r="63" spans="1:33" s="294" customFormat="1">
      <c r="A63" s="263"/>
      <c r="B63" s="263">
        <v>20102</v>
      </c>
      <c r="C63" s="264">
        <v>0</v>
      </c>
      <c r="D63" s="322" t="s">
        <v>760</v>
      </c>
      <c r="E63" s="2250"/>
      <c r="F63" s="514">
        <f>($E14*$C63)-(F14*$C63)</f>
        <v>0</v>
      </c>
      <c r="G63" s="270">
        <f t="shared" si="16"/>
        <v>0</v>
      </c>
      <c r="H63" s="270">
        <f t="shared" si="16"/>
        <v>0</v>
      </c>
      <c r="I63" s="270">
        <f t="shared" si="16"/>
        <v>0</v>
      </c>
      <c r="J63" s="270">
        <f t="shared" si="16"/>
        <v>0</v>
      </c>
      <c r="K63" s="333">
        <f t="shared" si="16"/>
        <v>0</v>
      </c>
      <c r="L63" s="2250"/>
      <c r="M63" s="514">
        <f>($L14*$C63)-(M14*$C63)</f>
        <v>0</v>
      </c>
      <c r="N63" s="270">
        <f t="shared" si="17"/>
        <v>0</v>
      </c>
      <c r="O63" s="270">
        <f t="shared" si="17"/>
        <v>0</v>
      </c>
      <c r="P63" s="270">
        <f t="shared" si="17"/>
        <v>0</v>
      </c>
      <c r="Q63" s="270">
        <f t="shared" si="17"/>
        <v>0</v>
      </c>
      <c r="R63" s="271">
        <f t="shared" si="17"/>
        <v>0</v>
      </c>
      <c r="S63" s="2250"/>
      <c r="T63" s="514">
        <f>($S14*$C63)-(T14*$C63)</f>
        <v>0</v>
      </c>
      <c r="U63" s="270">
        <f t="shared" si="18"/>
        <v>0</v>
      </c>
      <c r="V63" s="270">
        <f t="shared" si="18"/>
        <v>0</v>
      </c>
      <c r="W63" s="270">
        <f t="shared" si="18"/>
        <v>0</v>
      </c>
      <c r="X63" s="270">
        <f t="shared" si="18"/>
        <v>0</v>
      </c>
      <c r="Y63" s="271">
        <f t="shared" si="18"/>
        <v>0</v>
      </c>
      <c r="Z63" s="2250"/>
      <c r="AA63" s="3083"/>
      <c r="AB63" s="3097"/>
      <c r="AC63" s="3097"/>
      <c r="AD63" s="3097"/>
      <c r="AE63" s="3097"/>
      <c r="AF63" s="3098"/>
      <c r="AG63" s="510"/>
    </row>
    <row r="64" spans="1:33" s="262" customFormat="1">
      <c r="A64" s="308">
        <v>2</v>
      </c>
      <c r="B64" s="308">
        <v>202</v>
      </c>
      <c r="C64" s="309">
        <v>0.03</v>
      </c>
      <c r="D64" s="310" t="s">
        <v>576</v>
      </c>
      <c r="E64" s="571">
        <f>SUM(E65:E66)</f>
        <v>0</v>
      </c>
      <c r="F64" s="571">
        <f>SUM(F65:F66)</f>
        <v>0</v>
      </c>
      <c r="G64" s="312">
        <f t="shared" ref="G64:Z64" si="19">SUM(G65:G66)</f>
        <v>0</v>
      </c>
      <c r="H64" s="312">
        <f t="shared" si="19"/>
        <v>0</v>
      </c>
      <c r="I64" s="312">
        <f t="shared" si="19"/>
        <v>0</v>
      </c>
      <c r="J64" s="312">
        <f t="shared" si="19"/>
        <v>0</v>
      </c>
      <c r="K64" s="2039">
        <f t="shared" si="19"/>
        <v>0</v>
      </c>
      <c r="L64" s="342">
        <f t="shared" si="19"/>
        <v>0</v>
      </c>
      <c r="M64" s="311">
        <f t="shared" si="19"/>
        <v>0</v>
      </c>
      <c r="N64" s="312">
        <f t="shared" si="19"/>
        <v>0</v>
      </c>
      <c r="O64" s="312">
        <f t="shared" si="19"/>
        <v>0</v>
      </c>
      <c r="P64" s="312">
        <f t="shared" si="19"/>
        <v>0</v>
      </c>
      <c r="Q64" s="312">
        <f t="shared" si="19"/>
        <v>0</v>
      </c>
      <c r="R64" s="313">
        <f t="shared" si="19"/>
        <v>0</v>
      </c>
      <c r="S64" s="342">
        <f t="shared" si="19"/>
        <v>0</v>
      </c>
      <c r="T64" s="314">
        <f t="shared" si="19"/>
        <v>0</v>
      </c>
      <c r="U64" s="312">
        <f t="shared" si="19"/>
        <v>0</v>
      </c>
      <c r="V64" s="312">
        <f t="shared" si="19"/>
        <v>0</v>
      </c>
      <c r="W64" s="312">
        <f t="shared" si="19"/>
        <v>0</v>
      </c>
      <c r="X64" s="312">
        <f t="shared" si="19"/>
        <v>0</v>
      </c>
      <c r="Y64" s="313">
        <f t="shared" si="19"/>
        <v>0</v>
      </c>
      <c r="Z64" s="342">
        <f t="shared" si="19"/>
        <v>0</v>
      </c>
      <c r="AA64" s="3083"/>
      <c r="AB64" s="3097"/>
      <c r="AC64" s="3097"/>
      <c r="AD64" s="3097"/>
      <c r="AE64" s="3097"/>
      <c r="AF64" s="3098"/>
      <c r="AG64" s="511"/>
    </row>
    <row r="65" spans="1:33" s="339" customFormat="1">
      <c r="A65" s="266"/>
      <c r="B65" s="266">
        <v>20201</v>
      </c>
      <c r="C65" s="267">
        <v>0.03</v>
      </c>
      <c r="D65" s="284" t="s">
        <v>597</v>
      </c>
      <c r="E65" s="2250"/>
      <c r="F65" s="514">
        <f>($E16*$C65)-(F16*$C65)</f>
        <v>0</v>
      </c>
      <c r="G65" s="270">
        <f t="shared" ref="G65:K66" si="20">F65-(G16*$C65)</f>
        <v>0</v>
      </c>
      <c r="H65" s="270">
        <f t="shared" si="20"/>
        <v>0</v>
      </c>
      <c r="I65" s="270">
        <f t="shared" si="20"/>
        <v>0</v>
      </c>
      <c r="J65" s="270">
        <f t="shared" si="20"/>
        <v>0</v>
      </c>
      <c r="K65" s="333">
        <f t="shared" si="20"/>
        <v>0</v>
      </c>
      <c r="L65" s="2250"/>
      <c r="M65" s="514">
        <f>($L16*$C65)-(M16*$C65)</f>
        <v>0</v>
      </c>
      <c r="N65" s="270">
        <f t="shared" ref="N65:R66" si="21">M65-(N16*$C65)</f>
        <v>0</v>
      </c>
      <c r="O65" s="270">
        <f t="shared" si="21"/>
        <v>0</v>
      </c>
      <c r="P65" s="270">
        <f t="shared" si="21"/>
        <v>0</v>
      </c>
      <c r="Q65" s="270">
        <f t="shared" si="21"/>
        <v>0</v>
      </c>
      <c r="R65" s="271">
        <f t="shared" si="21"/>
        <v>0</v>
      </c>
      <c r="S65" s="2250"/>
      <c r="T65" s="514">
        <f>($S16*$C65)-(T16*$C65)</f>
        <v>0</v>
      </c>
      <c r="U65" s="270">
        <f t="shared" ref="U65:Y66" si="22">T65-(U16*$C65)</f>
        <v>0</v>
      </c>
      <c r="V65" s="270">
        <f t="shared" si="22"/>
        <v>0</v>
      </c>
      <c r="W65" s="270">
        <f t="shared" si="22"/>
        <v>0</v>
      </c>
      <c r="X65" s="270">
        <f t="shared" si="22"/>
        <v>0</v>
      </c>
      <c r="Y65" s="271">
        <f t="shared" si="22"/>
        <v>0</v>
      </c>
      <c r="Z65" s="2250"/>
      <c r="AA65" s="3083"/>
      <c r="AB65" s="3097"/>
      <c r="AC65" s="3097"/>
      <c r="AD65" s="3097"/>
      <c r="AE65" s="3097"/>
      <c r="AF65" s="3098"/>
      <c r="AG65" s="510"/>
    </row>
    <row r="66" spans="1:33" s="339" customFormat="1">
      <c r="A66" s="266"/>
      <c r="B66" s="266">
        <v>20202</v>
      </c>
      <c r="C66" s="267">
        <v>0.03</v>
      </c>
      <c r="D66" s="284" t="s">
        <v>598</v>
      </c>
      <c r="E66" s="2250"/>
      <c r="F66" s="514">
        <f>($E17*$C66)-(F17*$C66)</f>
        <v>0</v>
      </c>
      <c r="G66" s="270">
        <f t="shared" si="20"/>
        <v>0</v>
      </c>
      <c r="H66" s="270">
        <f t="shared" si="20"/>
        <v>0</v>
      </c>
      <c r="I66" s="270">
        <f t="shared" si="20"/>
        <v>0</v>
      </c>
      <c r="J66" s="270">
        <f t="shared" si="20"/>
        <v>0</v>
      </c>
      <c r="K66" s="333">
        <f t="shared" si="20"/>
        <v>0</v>
      </c>
      <c r="L66" s="2250"/>
      <c r="M66" s="514">
        <f>($L17*$C66)-(M17*$C66)</f>
        <v>0</v>
      </c>
      <c r="N66" s="270">
        <f t="shared" si="21"/>
        <v>0</v>
      </c>
      <c r="O66" s="270">
        <f t="shared" si="21"/>
        <v>0</v>
      </c>
      <c r="P66" s="270">
        <f t="shared" si="21"/>
        <v>0</v>
      </c>
      <c r="Q66" s="270">
        <f t="shared" si="21"/>
        <v>0</v>
      </c>
      <c r="R66" s="271">
        <f t="shared" si="21"/>
        <v>0</v>
      </c>
      <c r="S66" s="2250"/>
      <c r="T66" s="514">
        <f>($S17*$C66)-(T17*$C66)</f>
        <v>0</v>
      </c>
      <c r="U66" s="270">
        <f t="shared" si="22"/>
        <v>0</v>
      </c>
      <c r="V66" s="270">
        <f t="shared" si="22"/>
        <v>0</v>
      </c>
      <c r="W66" s="270">
        <f t="shared" si="22"/>
        <v>0</v>
      </c>
      <c r="X66" s="270">
        <f t="shared" si="22"/>
        <v>0</v>
      </c>
      <c r="Y66" s="271">
        <f t="shared" si="22"/>
        <v>0</v>
      </c>
      <c r="Z66" s="2250"/>
      <c r="AA66" s="3083"/>
      <c r="AB66" s="3097"/>
      <c r="AC66" s="3097"/>
      <c r="AD66" s="3097"/>
      <c r="AE66" s="3097"/>
      <c r="AF66" s="3098"/>
      <c r="AG66" s="510"/>
    </row>
    <row r="67" spans="1:33" s="317" customFormat="1" ht="12.75" customHeight="1">
      <c r="A67" s="315">
        <v>3</v>
      </c>
      <c r="B67" s="308">
        <v>203</v>
      </c>
      <c r="C67" s="309"/>
      <c r="D67" s="316" t="s">
        <v>577</v>
      </c>
      <c r="E67" s="343">
        <f>SUM(E68:E78)-E71-E74</f>
        <v>0</v>
      </c>
      <c r="F67" s="571">
        <f t="shared" ref="F67:Z67" si="23">SUM(F68:F78)-F71-F74</f>
        <v>-13.3</v>
      </c>
      <c r="G67" s="312">
        <f t="shared" si="23"/>
        <v>-109.3</v>
      </c>
      <c r="H67" s="312">
        <f t="shared" si="23"/>
        <v>-109.3</v>
      </c>
      <c r="I67" s="312">
        <f t="shared" si="23"/>
        <v>-109.3</v>
      </c>
      <c r="J67" s="312">
        <f t="shared" si="23"/>
        <v>-110.3</v>
      </c>
      <c r="K67" s="2039">
        <f t="shared" si="23"/>
        <v>-135.30000000000001</v>
      </c>
      <c r="L67" s="342">
        <f t="shared" si="23"/>
        <v>0</v>
      </c>
      <c r="M67" s="311">
        <f t="shared" si="23"/>
        <v>0</v>
      </c>
      <c r="N67" s="312">
        <f t="shared" si="23"/>
        <v>0</v>
      </c>
      <c r="O67" s="312">
        <f t="shared" si="23"/>
        <v>-11</v>
      </c>
      <c r="P67" s="312">
        <f t="shared" si="23"/>
        <v>-11.5</v>
      </c>
      <c r="Q67" s="312">
        <f t="shared" si="23"/>
        <v>-11.5</v>
      </c>
      <c r="R67" s="313">
        <f t="shared" si="23"/>
        <v>-11.5</v>
      </c>
      <c r="S67" s="342">
        <f t="shared" si="23"/>
        <v>0</v>
      </c>
      <c r="T67" s="314">
        <f t="shared" si="23"/>
        <v>-2.8</v>
      </c>
      <c r="U67" s="312">
        <f t="shared" si="23"/>
        <v>-2.8</v>
      </c>
      <c r="V67" s="312">
        <f t="shared" si="23"/>
        <v>-3.5999999999999996</v>
      </c>
      <c r="W67" s="312">
        <f t="shared" si="23"/>
        <v>-4.3999999999999995</v>
      </c>
      <c r="X67" s="312">
        <f t="shared" si="23"/>
        <v>-4.8999999999999995</v>
      </c>
      <c r="Y67" s="313">
        <f t="shared" si="23"/>
        <v>-4.8999999999999995</v>
      </c>
      <c r="Z67" s="342">
        <f t="shared" si="23"/>
        <v>0</v>
      </c>
      <c r="AA67" s="3083"/>
      <c r="AB67" s="3097"/>
      <c r="AC67" s="3097"/>
      <c r="AD67" s="3097"/>
      <c r="AE67" s="3097"/>
      <c r="AF67" s="3098"/>
      <c r="AG67" s="513"/>
    </row>
    <row r="68" spans="1:33" s="339" customFormat="1">
      <c r="A68" s="266"/>
      <c r="B68" s="266">
        <v>20301</v>
      </c>
      <c r="C68" s="267">
        <v>0.1</v>
      </c>
      <c r="D68" s="318" t="s">
        <v>599</v>
      </c>
      <c r="E68" s="2250"/>
      <c r="F68" s="514">
        <f>($E19*$C68)-(F19*$C68)</f>
        <v>0</v>
      </c>
      <c r="G68" s="270">
        <f t="shared" ref="G68:K70" si="24">F68-(G19*$C68)</f>
        <v>0</v>
      </c>
      <c r="H68" s="270">
        <f t="shared" si="24"/>
        <v>0</v>
      </c>
      <c r="I68" s="270">
        <f t="shared" si="24"/>
        <v>0</v>
      </c>
      <c r="J68" s="270">
        <f t="shared" si="24"/>
        <v>0</v>
      </c>
      <c r="K68" s="333">
        <f t="shared" si="24"/>
        <v>0</v>
      </c>
      <c r="L68" s="2250"/>
      <c r="M68" s="514">
        <f>($L19*$C68)-(M19*$C68)</f>
        <v>0</v>
      </c>
      <c r="N68" s="270">
        <f t="shared" ref="N68:R70" si="25">M68-(N19*$C68)</f>
        <v>0</v>
      </c>
      <c r="O68" s="270">
        <f t="shared" si="25"/>
        <v>-6</v>
      </c>
      <c r="P68" s="270">
        <f t="shared" si="25"/>
        <v>-6.5</v>
      </c>
      <c r="Q68" s="270">
        <f t="shared" si="25"/>
        <v>-6.5</v>
      </c>
      <c r="R68" s="271">
        <f t="shared" si="25"/>
        <v>-6.5</v>
      </c>
      <c r="S68" s="2250"/>
      <c r="T68" s="514">
        <f>($S19*$C68)-(T19*$C68)</f>
        <v>0</v>
      </c>
      <c r="U68" s="270">
        <f t="shared" ref="U68:Y70" si="26">T68-(U19*$C68)</f>
        <v>0</v>
      </c>
      <c r="V68" s="270">
        <f t="shared" si="26"/>
        <v>-0.8</v>
      </c>
      <c r="W68" s="270">
        <f t="shared" si="26"/>
        <v>-1.6</v>
      </c>
      <c r="X68" s="270">
        <f t="shared" si="26"/>
        <v>-2.1</v>
      </c>
      <c r="Y68" s="271">
        <f t="shared" si="26"/>
        <v>-2.1</v>
      </c>
      <c r="Z68" s="2250"/>
      <c r="AA68" s="3083"/>
      <c r="AB68" s="3097"/>
      <c r="AC68" s="3097"/>
      <c r="AD68" s="3097"/>
      <c r="AE68" s="3097"/>
      <c r="AF68" s="3098"/>
      <c r="AG68" s="307"/>
    </row>
    <row r="69" spans="1:33" s="339" customFormat="1">
      <c r="A69" s="266"/>
      <c r="B69" s="266">
        <v>20302</v>
      </c>
      <c r="C69" s="267">
        <v>0.1</v>
      </c>
      <c r="D69" s="318" t="s">
        <v>600</v>
      </c>
      <c r="E69" s="2250"/>
      <c r="F69" s="514">
        <f>($E20*$C69)-(F20*$C69)</f>
        <v>0</v>
      </c>
      <c r="G69" s="270">
        <f t="shared" si="24"/>
        <v>0</v>
      </c>
      <c r="H69" s="270">
        <f t="shared" si="24"/>
        <v>0</v>
      </c>
      <c r="I69" s="270">
        <f t="shared" si="24"/>
        <v>0</v>
      </c>
      <c r="J69" s="270">
        <f t="shared" si="24"/>
        <v>0</v>
      </c>
      <c r="K69" s="333">
        <f t="shared" si="24"/>
        <v>0</v>
      </c>
      <c r="L69" s="2250"/>
      <c r="M69" s="514">
        <f>($L20*$C69)-(M20*$C69)</f>
        <v>0</v>
      </c>
      <c r="N69" s="270">
        <f t="shared" si="25"/>
        <v>0</v>
      </c>
      <c r="O69" s="270">
        <f t="shared" si="25"/>
        <v>-5</v>
      </c>
      <c r="P69" s="270">
        <f t="shared" si="25"/>
        <v>-5</v>
      </c>
      <c r="Q69" s="270">
        <f t="shared" si="25"/>
        <v>-5</v>
      </c>
      <c r="R69" s="271">
        <f t="shared" si="25"/>
        <v>-5</v>
      </c>
      <c r="S69" s="2250"/>
      <c r="T69" s="514">
        <f>($S20*$C69)-(T20*$C69)</f>
        <v>0</v>
      </c>
      <c r="U69" s="270">
        <f t="shared" si="26"/>
        <v>0</v>
      </c>
      <c r="V69" s="270">
        <f t="shared" si="26"/>
        <v>0</v>
      </c>
      <c r="W69" s="270">
        <f t="shared" si="26"/>
        <v>0</v>
      </c>
      <c r="X69" s="270">
        <f t="shared" si="26"/>
        <v>0</v>
      </c>
      <c r="Y69" s="271">
        <f t="shared" si="26"/>
        <v>0</v>
      </c>
      <c r="Z69" s="2250"/>
      <c r="AA69" s="3083"/>
      <c r="AB69" s="3097"/>
      <c r="AC69" s="3097"/>
      <c r="AD69" s="3097"/>
      <c r="AE69" s="3097"/>
      <c r="AF69" s="3098"/>
      <c r="AG69" s="307"/>
    </row>
    <row r="70" spans="1:33" s="339" customFormat="1">
      <c r="A70" s="266"/>
      <c r="B70" s="266">
        <v>20303</v>
      </c>
      <c r="C70" s="267">
        <v>0.1</v>
      </c>
      <c r="D70" s="318" t="s">
        <v>578</v>
      </c>
      <c r="E70" s="2250"/>
      <c r="F70" s="514">
        <f>($E21*$C70)-(F21*$C70)</f>
        <v>-19</v>
      </c>
      <c r="G70" s="270">
        <f t="shared" si="24"/>
        <v>-115</v>
      </c>
      <c r="H70" s="270">
        <f t="shared" si="24"/>
        <v>-115</v>
      </c>
      <c r="I70" s="270">
        <f t="shared" si="24"/>
        <v>-115</v>
      </c>
      <c r="J70" s="270">
        <f t="shared" si="24"/>
        <v>-116</v>
      </c>
      <c r="K70" s="333">
        <f t="shared" si="24"/>
        <v>-117</v>
      </c>
      <c r="L70" s="2250"/>
      <c r="M70" s="514">
        <f>($L21*$C70)-(M21*$C70)</f>
        <v>0</v>
      </c>
      <c r="N70" s="270">
        <f t="shared" si="25"/>
        <v>0</v>
      </c>
      <c r="O70" s="270">
        <f t="shared" si="25"/>
        <v>0</v>
      </c>
      <c r="P70" s="270">
        <f t="shared" si="25"/>
        <v>0</v>
      </c>
      <c r="Q70" s="270">
        <f t="shared" si="25"/>
        <v>0</v>
      </c>
      <c r="R70" s="271">
        <f t="shared" si="25"/>
        <v>0</v>
      </c>
      <c r="S70" s="2250"/>
      <c r="T70" s="514">
        <f>($S21*$C70)-(T21*$C70)</f>
        <v>-3</v>
      </c>
      <c r="U70" s="270">
        <f t="shared" si="26"/>
        <v>-3</v>
      </c>
      <c r="V70" s="270">
        <f t="shared" si="26"/>
        <v>-3</v>
      </c>
      <c r="W70" s="270">
        <f t="shared" si="26"/>
        <v>-3</v>
      </c>
      <c r="X70" s="270">
        <f t="shared" si="26"/>
        <v>-3</v>
      </c>
      <c r="Y70" s="271">
        <f t="shared" si="26"/>
        <v>-3</v>
      </c>
      <c r="Z70" s="2250"/>
      <c r="AA70" s="3083"/>
      <c r="AB70" s="3097"/>
      <c r="AC70" s="3097"/>
      <c r="AD70" s="3097"/>
      <c r="AE70" s="3097"/>
      <c r="AF70" s="3098"/>
      <c r="AG70" s="307"/>
    </row>
    <row r="71" spans="1:33" s="339" customFormat="1">
      <c r="A71" s="266"/>
      <c r="B71" s="266">
        <v>20304</v>
      </c>
      <c r="C71" s="274">
        <v>0.1</v>
      </c>
      <c r="D71" s="318" t="s">
        <v>579</v>
      </c>
      <c r="E71" s="344">
        <f>SUM(E72:E73)</f>
        <v>0</v>
      </c>
      <c r="F71" s="572">
        <f t="shared" ref="F71:Z71" si="27">SUM(F72:F73)</f>
        <v>0</v>
      </c>
      <c r="G71" s="254">
        <f t="shared" si="27"/>
        <v>0</v>
      </c>
      <c r="H71" s="254">
        <f t="shared" si="27"/>
        <v>0</v>
      </c>
      <c r="I71" s="254">
        <f t="shared" si="27"/>
        <v>0</v>
      </c>
      <c r="J71" s="254">
        <f t="shared" si="27"/>
        <v>0</v>
      </c>
      <c r="K71" s="2040">
        <f t="shared" si="27"/>
        <v>0</v>
      </c>
      <c r="L71" s="345">
        <f t="shared" si="27"/>
        <v>0</v>
      </c>
      <c r="M71" s="253">
        <f t="shared" si="27"/>
        <v>0</v>
      </c>
      <c r="N71" s="254">
        <f t="shared" si="27"/>
        <v>0</v>
      </c>
      <c r="O71" s="254">
        <f t="shared" si="27"/>
        <v>0</v>
      </c>
      <c r="P71" s="254">
        <f t="shared" si="27"/>
        <v>0</v>
      </c>
      <c r="Q71" s="254">
        <f t="shared" si="27"/>
        <v>0</v>
      </c>
      <c r="R71" s="255">
        <f t="shared" si="27"/>
        <v>0</v>
      </c>
      <c r="S71" s="345">
        <f t="shared" si="27"/>
        <v>0</v>
      </c>
      <c r="T71" s="256">
        <f t="shared" si="27"/>
        <v>0</v>
      </c>
      <c r="U71" s="254">
        <f t="shared" si="27"/>
        <v>0</v>
      </c>
      <c r="V71" s="254">
        <f t="shared" si="27"/>
        <v>0</v>
      </c>
      <c r="W71" s="254">
        <f t="shared" si="27"/>
        <v>0</v>
      </c>
      <c r="X71" s="254">
        <f t="shared" si="27"/>
        <v>0</v>
      </c>
      <c r="Y71" s="255">
        <f t="shared" si="27"/>
        <v>0</v>
      </c>
      <c r="Z71" s="345">
        <f t="shared" si="27"/>
        <v>0</v>
      </c>
      <c r="AA71" s="3083"/>
      <c r="AB71" s="3097"/>
      <c r="AC71" s="3097"/>
      <c r="AD71" s="3097"/>
      <c r="AE71" s="3097"/>
      <c r="AF71" s="3098"/>
      <c r="AG71" s="307"/>
    </row>
    <row r="72" spans="1:33" s="339" customFormat="1">
      <c r="A72" s="266"/>
      <c r="B72" s="319">
        <v>2030401</v>
      </c>
      <c r="C72" s="320">
        <v>0.1</v>
      </c>
      <c r="D72" s="321" t="s">
        <v>1375</v>
      </c>
      <c r="E72" s="2250"/>
      <c r="F72" s="514">
        <f>($E23*$C72)-(F23*$C72)</f>
        <v>0</v>
      </c>
      <c r="G72" s="270">
        <f t="shared" ref="G72:K73" si="28">F72-(G23*$C72)</f>
        <v>0</v>
      </c>
      <c r="H72" s="270">
        <f t="shared" si="28"/>
        <v>0</v>
      </c>
      <c r="I72" s="270">
        <f t="shared" si="28"/>
        <v>0</v>
      </c>
      <c r="J72" s="270">
        <f t="shared" si="28"/>
        <v>0</v>
      </c>
      <c r="K72" s="333">
        <f t="shared" si="28"/>
        <v>0</v>
      </c>
      <c r="L72" s="2250"/>
      <c r="M72" s="514">
        <f>($L23*$C72)-(M23*$C72)</f>
        <v>0</v>
      </c>
      <c r="N72" s="270">
        <f t="shared" ref="N72:R73" si="29">M72-(N23*$C72)</f>
        <v>0</v>
      </c>
      <c r="O72" s="270">
        <f t="shared" si="29"/>
        <v>0</v>
      </c>
      <c r="P72" s="270">
        <f t="shared" si="29"/>
        <v>0</v>
      </c>
      <c r="Q72" s="270">
        <f t="shared" si="29"/>
        <v>0</v>
      </c>
      <c r="R72" s="271">
        <f t="shared" si="29"/>
        <v>0</v>
      </c>
      <c r="S72" s="2250">
        <f>S23*C23/12*6</f>
        <v>0</v>
      </c>
      <c r="T72" s="514">
        <f>($S23*$C72)-(T23*$C72)</f>
        <v>0</v>
      </c>
      <c r="U72" s="270">
        <f t="shared" ref="U72:Y73" si="30">T72-(U23*$C72)</f>
        <v>0</v>
      </c>
      <c r="V72" s="270">
        <f t="shared" si="30"/>
        <v>0</v>
      </c>
      <c r="W72" s="270">
        <f t="shared" si="30"/>
        <v>0</v>
      </c>
      <c r="X72" s="270">
        <f t="shared" si="30"/>
        <v>0</v>
      </c>
      <c r="Y72" s="271">
        <f t="shared" si="30"/>
        <v>0</v>
      </c>
      <c r="Z72" s="2250"/>
      <c r="AA72" s="3083"/>
      <c r="AB72" s="3097"/>
      <c r="AC72" s="3097"/>
      <c r="AD72" s="3097"/>
      <c r="AE72" s="3097"/>
      <c r="AF72" s="3098"/>
      <c r="AG72" s="307"/>
    </row>
    <row r="73" spans="1:33" s="339" customFormat="1">
      <c r="A73" s="266"/>
      <c r="B73" s="319">
        <v>2030402</v>
      </c>
      <c r="C73" s="320">
        <v>0.1</v>
      </c>
      <c r="D73" s="321" t="s">
        <v>601</v>
      </c>
      <c r="E73" s="2250"/>
      <c r="F73" s="514">
        <f>($E24*$C73)-(F24*$C73)</f>
        <v>0</v>
      </c>
      <c r="G73" s="270">
        <f t="shared" si="28"/>
        <v>0</v>
      </c>
      <c r="H73" s="270">
        <f t="shared" si="28"/>
        <v>0</v>
      </c>
      <c r="I73" s="270">
        <f t="shared" si="28"/>
        <v>0</v>
      </c>
      <c r="J73" s="270">
        <f t="shared" si="28"/>
        <v>0</v>
      </c>
      <c r="K73" s="333">
        <f t="shared" si="28"/>
        <v>0</v>
      </c>
      <c r="L73" s="2250"/>
      <c r="M73" s="514">
        <f>($L24*$C73)-(M24*$C73)</f>
        <v>0</v>
      </c>
      <c r="N73" s="270">
        <f t="shared" si="29"/>
        <v>0</v>
      </c>
      <c r="O73" s="270">
        <f t="shared" si="29"/>
        <v>0</v>
      </c>
      <c r="P73" s="270">
        <f t="shared" si="29"/>
        <v>0</v>
      </c>
      <c r="Q73" s="270">
        <f t="shared" si="29"/>
        <v>0</v>
      </c>
      <c r="R73" s="271">
        <f t="shared" si="29"/>
        <v>0</v>
      </c>
      <c r="S73" s="2250"/>
      <c r="T73" s="514">
        <f>($S24*$C73)-(T24*$C73)</f>
        <v>0</v>
      </c>
      <c r="U73" s="270">
        <f t="shared" si="30"/>
        <v>0</v>
      </c>
      <c r="V73" s="270">
        <f t="shared" si="30"/>
        <v>0</v>
      </c>
      <c r="W73" s="270">
        <f t="shared" si="30"/>
        <v>0</v>
      </c>
      <c r="X73" s="270">
        <f t="shared" si="30"/>
        <v>0</v>
      </c>
      <c r="Y73" s="271">
        <f t="shared" si="30"/>
        <v>0</v>
      </c>
      <c r="Z73" s="2250"/>
      <c r="AA73" s="3083"/>
      <c r="AB73" s="3097"/>
      <c r="AC73" s="3097"/>
      <c r="AD73" s="3097"/>
      <c r="AE73" s="3097"/>
      <c r="AF73" s="3098"/>
      <c r="AG73" s="307"/>
    </row>
    <row r="74" spans="1:33" s="339" customFormat="1">
      <c r="A74" s="266"/>
      <c r="B74" s="266">
        <v>20305</v>
      </c>
      <c r="C74" s="274"/>
      <c r="D74" s="318" t="s">
        <v>602</v>
      </c>
      <c r="E74" s="344">
        <f>SUM(E75:E77)</f>
        <v>0</v>
      </c>
      <c r="F74" s="572">
        <f t="shared" ref="F74:Z74" si="31">SUM(F75:F77)</f>
        <v>0</v>
      </c>
      <c r="G74" s="254">
        <f t="shared" si="31"/>
        <v>0</v>
      </c>
      <c r="H74" s="254">
        <f t="shared" si="31"/>
        <v>0</v>
      </c>
      <c r="I74" s="254">
        <f t="shared" si="31"/>
        <v>0</v>
      </c>
      <c r="J74" s="254">
        <f t="shared" si="31"/>
        <v>0</v>
      </c>
      <c r="K74" s="2040">
        <f t="shared" si="31"/>
        <v>0</v>
      </c>
      <c r="L74" s="345">
        <f t="shared" si="31"/>
        <v>0</v>
      </c>
      <c r="M74" s="253">
        <f t="shared" si="31"/>
        <v>0</v>
      </c>
      <c r="N74" s="254">
        <f t="shared" si="31"/>
        <v>0</v>
      </c>
      <c r="O74" s="254">
        <f t="shared" si="31"/>
        <v>0</v>
      </c>
      <c r="P74" s="254">
        <f t="shared" si="31"/>
        <v>0</v>
      </c>
      <c r="Q74" s="254">
        <f t="shared" si="31"/>
        <v>0</v>
      </c>
      <c r="R74" s="255">
        <f t="shared" si="31"/>
        <v>0</v>
      </c>
      <c r="S74" s="345">
        <f t="shared" si="31"/>
        <v>0</v>
      </c>
      <c r="T74" s="256">
        <f t="shared" si="31"/>
        <v>0</v>
      </c>
      <c r="U74" s="254">
        <f t="shared" si="31"/>
        <v>0</v>
      </c>
      <c r="V74" s="254">
        <f t="shared" si="31"/>
        <v>0</v>
      </c>
      <c r="W74" s="254">
        <f t="shared" si="31"/>
        <v>0</v>
      </c>
      <c r="X74" s="254">
        <f t="shared" si="31"/>
        <v>0</v>
      </c>
      <c r="Y74" s="255">
        <f t="shared" si="31"/>
        <v>0</v>
      </c>
      <c r="Z74" s="345">
        <f t="shared" si="31"/>
        <v>0</v>
      </c>
      <c r="AA74" s="3083"/>
      <c r="AB74" s="3097"/>
      <c r="AC74" s="3097"/>
      <c r="AD74" s="3097"/>
      <c r="AE74" s="3097"/>
      <c r="AF74" s="3098"/>
      <c r="AG74" s="307"/>
    </row>
    <row r="75" spans="1:33" s="339" customFormat="1">
      <c r="A75" s="266"/>
      <c r="B75" s="266">
        <v>2030501</v>
      </c>
      <c r="C75" s="606">
        <v>0.1</v>
      </c>
      <c r="D75" s="321" t="s">
        <v>1391</v>
      </c>
      <c r="E75" s="2250"/>
      <c r="F75" s="514">
        <f>($E26*$C75)-(F26*$C75)</f>
        <v>0</v>
      </c>
      <c r="G75" s="270">
        <f t="shared" ref="G75:K78" si="32">F75-(G26*$C75)</f>
        <v>0</v>
      </c>
      <c r="H75" s="270">
        <f t="shared" si="32"/>
        <v>0</v>
      </c>
      <c r="I75" s="270">
        <f t="shared" si="32"/>
        <v>0</v>
      </c>
      <c r="J75" s="270">
        <f t="shared" si="32"/>
        <v>0</v>
      </c>
      <c r="K75" s="333">
        <f t="shared" si="32"/>
        <v>0</v>
      </c>
      <c r="L75" s="2250"/>
      <c r="M75" s="514">
        <f>($L26*$C75)-(M26*$C75)</f>
        <v>0</v>
      </c>
      <c r="N75" s="270">
        <f t="shared" ref="N75:R78" si="33">M75-(N26*$C75)</f>
        <v>0</v>
      </c>
      <c r="O75" s="270">
        <f t="shared" si="33"/>
        <v>0</v>
      </c>
      <c r="P75" s="270">
        <f t="shared" si="33"/>
        <v>0</v>
      </c>
      <c r="Q75" s="270">
        <f t="shared" si="33"/>
        <v>0</v>
      </c>
      <c r="R75" s="271">
        <f t="shared" si="33"/>
        <v>0</v>
      </c>
      <c r="S75" s="2250"/>
      <c r="T75" s="514">
        <f>($S26*$C75)-(T26*$C75)</f>
        <v>0</v>
      </c>
      <c r="U75" s="270">
        <f t="shared" ref="U75:Y78" si="34">T75-(U26*$C75)</f>
        <v>0</v>
      </c>
      <c r="V75" s="270">
        <f t="shared" si="34"/>
        <v>0</v>
      </c>
      <c r="W75" s="270">
        <f t="shared" si="34"/>
        <v>0</v>
      </c>
      <c r="X75" s="270">
        <f t="shared" si="34"/>
        <v>0</v>
      </c>
      <c r="Y75" s="271">
        <f t="shared" si="34"/>
        <v>0</v>
      </c>
      <c r="Z75" s="2250"/>
      <c r="AA75" s="3083"/>
      <c r="AB75" s="3097"/>
      <c r="AC75" s="3097"/>
      <c r="AD75" s="3097"/>
      <c r="AE75" s="3097"/>
      <c r="AF75" s="3098"/>
      <c r="AG75" s="307"/>
    </row>
    <row r="76" spans="1:33" s="339" customFormat="1" ht="25.5">
      <c r="A76" s="266"/>
      <c r="B76" s="1832">
        <v>2030502</v>
      </c>
      <c r="C76" s="1839">
        <v>0.1</v>
      </c>
      <c r="D76" s="1837" t="s">
        <v>948</v>
      </c>
      <c r="E76" s="2250"/>
      <c r="F76" s="514">
        <f>($E27*$C76)-(F27*$C76)</f>
        <v>0</v>
      </c>
      <c r="G76" s="270">
        <f t="shared" si="32"/>
        <v>0</v>
      </c>
      <c r="H76" s="270">
        <f t="shared" si="32"/>
        <v>0</v>
      </c>
      <c r="I76" s="270">
        <f t="shared" si="32"/>
        <v>0</v>
      </c>
      <c r="J76" s="270">
        <f t="shared" si="32"/>
        <v>0</v>
      </c>
      <c r="K76" s="333">
        <f t="shared" si="32"/>
        <v>0</v>
      </c>
      <c r="L76" s="2250"/>
      <c r="M76" s="514">
        <f>($L27*$C76)-(M27*$C76)</f>
        <v>0</v>
      </c>
      <c r="N76" s="270">
        <f t="shared" si="33"/>
        <v>0</v>
      </c>
      <c r="O76" s="270">
        <f t="shared" si="33"/>
        <v>0</v>
      </c>
      <c r="P76" s="270">
        <f t="shared" si="33"/>
        <v>0</v>
      </c>
      <c r="Q76" s="270">
        <f t="shared" si="33"/>
        <v>0</v>
      </c>
      <c r="R76" s="271">
        <f t="shared" si="33"/>
        <v>0</v>
      </c>
      <c r="S76" s="2250"/>
      <c r="T76" s="514">
        <f>($S27*$C76)-(T27*$C76)</f>
        <v>0</v>
      </c>
      <c r="U76" s="270">
        <f t="shared" si="34"/>
        <v>0</v>
      </c>
      <c r="V76" s="270">
        <f t="shared" si="34"/>
        <v>0</v>
      </c>
      <c r="W76" s="270">
        <f t="shared" si="34"/>
        <v>0</v>
      </c>
      <c r="X76" s="270">
        <f t="shared" si="34"/>
        <v>0</v>
      </c>
      <c r="Y76" s="271">
        <f t="shared" si="34"/>
        <v>0</v>
      </c>
      <c r="Z76" s="2250"/>
      <c r="AA76" s="3083"/>
      <c r="AB76" s="3097"/>
      <c r="AC76" s="3097"/>
      <c r="AD76" s="3097"/>
      <c r="AE76" s="3097"/>
      <c r="AF76" s="3098"/>
      <c r="AG76" s="307"/>
    </row>
    <row r="77" spans="1:33" s="339" customFormat="1">
      <c r="A77" s="266"/>
      <c r="B77" s="1832">
        <v>2030503</v>
      </c>
      <c r="C77" s="1839">
        <v>0.1</v>
      </c>
      <c r="D77" s="1837" t="s">
        <v>966</v>
      </c>
      <c r="E77" s="2250"/>
      <c r="F77" s="514">
        <f>($E28*$C77)-(F28*$C77)</f>
        <v>0</v>
      </c>
      <c r="G77" s="270">
        <f t="shared" si="32"/>
        <v>0</v>
      </c>
      <c r="H77" s="270">
        <f t="shared" si="32"/>
        <v>0</v>
      </c>
      <c r="I77" s="270">
        <f t="shared" si="32"/>
        <v>0</v>
      </c>
      <c r="J77" s="270">
        <f t="shared" si="32"/>
        <v>0</v>
      </c>
      <c r="K77" s="333">
        <f t="shared" si="32"/>
        <v>0</v>
      </c>
      <c r="L77" s="2250"/>
      <c r="M77" s="514">
        <f>($L28*$C77)-(M28*$C77)</f>
        <v>0</v>
      </c>
      <c r="N77" s="270">
        <f t="shared" si="33"/>
        <v>0</v>
      </c>
      <c r="O77" s="270">
        <f t="shared" si="33"/>
        <v>0</v>
      </c>
      <c r="P77" s="270">
        <f t="shared" si="33"/>
        <v>0</v>
      </c>
      <c r="Q77" s="270">
        <f t="shared" si="33"/>
        <v>0</v>
      </c>
      <c r="R77" s="271">
        <f t="shared" si="33"/>
        <v>0</v>
      </c>
      <c r="S77" s="2250"/>
      <c r="T77" s="514">
        <f>($S28*$C77)-(T28*$C77)</f>
        <v>0</v>
      </c>
      <c r="U77" s="270">
        <f t="shared" si="34"/>
        <v>0</v>
      </c>
      <c r="V77" s="270">
        <f t="shared" si="34"/>
        <v>0</v>
      </c>
      <c r="W77" s="270">
        <f t="shared" si="34"/>
        <v>0</v>
      </c>
      <c r="X77" s="270">
        <f t="shared" si="34"/>
        <v>0</v>
      </c>
      <c r="Y77" s="271">
        <f t="shared" si="34"/>
        <v>0</v>
      </c>
      <c r="Z77" s="2250"/>
      <c r="AA77" s="3083"/>
      <c r="AB77" s="3097"/>
      <c r="AC77" s="3097"/>
      <c r="AD77" s="3097"/>
      <c r="AE77" s="3097"/>
      <c r="AF77" s="3098"/>
      <c r="AG77" s="307"/>
    </row>
    <row r="78" spans="1:33" s="339" customFormat="1">
      <c r="A78" s="266"/>
      <c r="B78" s="1832">
        <v>20306</v>
      </c>
      <c r="C78" s="1833">
        <v>0.1</v>
      </c>
      <c r="D78" s="1821" t="s">
        <v>581</v>
      </c>
      <c r="E78" s="2250"/>
      <c r="F78" s="514">
        <f>($E29*$C78)-(F29*$C78)</f>
        <v>5.7</v>
      </c>
      <c r="G78" s="270">
        <f t="shared" si="32"/>
        <v>5.7</v>
      </c>
      <c r="H78" s="270">
        <f t="shared" si="32"/>
        <v>5.7</v>
      </c>
      <c r="I78" s="270">
        <f t="shared" si="32"/>
        <v>5.7</v>
      </c>
      <c r="J78" s="270">
        <f t="shared" si="32"/>
        <v>5.7</v>
      </c>
      <c r="K78" s="333">
        <f t="shared" si="32"/>
        <v>-18.3</v>
      </c>
      <c r="L78" s="2250"/>
      <c r="M78" s="514">
        <f>($L29*$C78)-(M29*$C78)</f>
        <v>0</v>
      </c>
      <c r="N78" s="270">
        <f t="shared" si="33"/>
        <v>0</v>
      </c>
      <c r="O78" s="270">
        <f t="shared" si="33"/>
        <v>0</v>
      </c>
      <c r="P78" s="270">
        <f t="shared" si="33"/>
        <v>0</v>
      </c>
      <c r="Q78" s="270">
        <f t="shared" si="33"/>
        <v>0</v>
      </c>
      <c r="R78" s="271">
        <f t="shared" si="33"/>
        <v>0</v>
      </c>
      <c r="S78" s="2250"/>
      <c r="T78" s="514">
        <f>($S29*$C78)-(T29*$C78)</f>
        <v>0.2</v>
      </c>
      <c r="U78" s="270">
        <f t="shared" si="34"/>
        <v>0.2</v>
      </c>
      <c r="V78" s="270">
        <f t="shared" si="34"/>
        <v>0.2</v>
      </c>
      <c r="W78" s="270">
        <f t="shared" si="34"/>
        <v>0.2</v>
      </c>
      <c r="X78" s="270">
        <f t="shared" si="34"/>
        <v>0.2</v>
      </c>
      <c r="Y78" s="271">
        <f t="shared" si="34"/>
        <v>0.2</v>
      </c>
      <c r="Z78" s="2250"/>
      <c r="AA78" s="3083"/>
      <c r="AB78" s="3097"/>
      <c r="AC78" s="3097"/>
      <c r="AD78" s="3097"/>
      <c r="AE78" s="3097"/>
      <c r="AF78" s="3098"/>
      <c r="AG78" s="307"/>
    </row>
    <row r="79" spans="1:33" s="339" customFormat="1" ht="14.25" customHeight="1">
      <c r="A79" s="308">
        <v>4</v>
      </c>
      <c r="B79" s="1830">
        <v>204</v>
      </c>
      <c r="C79" s="1831"/>
      <c r="D79" s="1840" t="s">
        <v>274</v>
      </c>
      <c r="E79" s="343">
        <f>E80+E83+E92+E93</f>
        <v>5.3333333333333337E-2</v>
      </c>
      <c r="F79" s="571">
        <f t="shared" ref="F79:Z79" si="35">F80+F83+F92+F93</f>
        <v>0.08</v>
      </c>
      <c r="G79" s="312">
        <f t="shared" si="35"/>
        <v>0.08</v>
      </c>
      <c r="H79" s="312">
        <f t="shared" si="35"/>
        <v>0.08</v>
      </c>
      <c r="I79" s="312">
        <f t="shared" si="35"/>
        <v>0.08</v>
      </c>
      <c r="J79" s="312">
        <f t="shared" si="35"/>
        <v>0.08</v>
      </c>
      <c r="K79" s="2039">
        <f t="shared" si="35"/>
        <v>0.08</v>
      </c>
      <c r="L79" s="342">
        <f t="shared" si="35"/>
        <v>0</v>
      </c>
      <c r="M79" s="311">
        <f t="shared" si="35"/>
        <v>0</v>
      </c>
      <c r="N79" s="312">
        <f t="shared" si="35"/>
        <v>0</v>
      </c>
      <c r="O79" s="312">
        <f t="shared" si="35"/>
        <v>0</v>
      </c>
      <c r="P79" s="312">
        <f t="shared" si="35"/>
        <v>0</v>
      </c>
      <c r="Q79" s="312">
        <f t="shared" si="35"/>
        <v>0</v>
      </c>
      <c r="R79" s="313">
        <f t="shared" si="35"/>
        <v>0</v>
      </c>
      <c r="S79" s="342">
        <f t="shared" si="35"/>
        <v>0</v>
      </c>
      <c r="T79" s="314">
        <f t="shared" si="35"/>
        <v>0</v>
      </c>
      <c r="U79" s="312">
        <f t="shared" si="35"/>
        <v>0</v>
      </c>
      <c r="V79" s="312">
        <f t="shared" si="35"/>
        <v>0</v>
      </c>
      <c r="W79" s="312">
        <f t="shared" si="35"/>
        <v>0</v>
      </c>
      <c r="X79" s="312">
        <f t="shared" si="35"/>
        <v>0</v>
      </c>
      <c r="Y79" s="313">
        <f t="shared" si="35"/>
        <v>0</v>
      </c>
      <c r="Z79" s="342">
        <f t="shared" si="35"/>
        <v>0</v>
      </c>
      <c r="AA79" s="3083"/>
      <c r="AB79" s="3097"/>
      <c r="AC79" s="3097"/>
      <c r="AD79" s="3097"/>
      <c r="AE79" s="3097"/>
      <c r="AF79" s="3098"/>
      <c r="AG79" s="307"/>
    </row>
    <row r="80" spans="1:33" s="339" customFormat="1">
      <c r="A80" s="266"/>
      <c r="B80" s="1832">
        <v>20401</v>
      </c>
      <c r="C80" s="1838"/>
      <c r="D80" s="1829" t="s">
        <v>589</v>
      </c>
      <c r="E80" s="344">
        <f>SUM(E81:E82)</f>
        <v>0</v>
      </c>
      <c r="F80" s="572">
        <f t="shared" ref="F80:Z80" si="36">SUM(F81:F82)</f>
        <v>0</v>
      </c>
      <c r="G80" s="254">
        <f t="shared" si="36"/>
        <v>0</v>
      </c>
      <c r="H80" s="254">
        <f t="shared" si="36"/>
        <v>0</v>
      </c>
      <c r="I80" s="254">
        <f t="shared" si="36"/>
        <v>0</v>
      </c>
      <c r="J80" s="254">
        <f t="shared" si="36"/>
        <v>0</v>
      </c>
      <c r="K80" s="2040">
        <f t="shared" si="36"/>
        <v>0</v>
      </c>
      <c r="L80" s="345">
        <f t="shared" si="36"/>
        <v>0</v>
      </c>
      <c r="M80" s="253">
        <f t="shared" si="36"/>
        <v>0</v>
      </c>
      <c r="N80" s="254">
        <f t="shared" si="36"/>
        <v>0</v>
      </c>
      <c r="O80" s="254">
        <f t="shared" si="36"/>
        <v>0</v>
      </c>
      <c r="P80" s="254">
        <f t="shared" si="36"/>
        <v>0</v>
      </c>
      <c r="Q80" s="254">
        <f t="shared" si="36"/>
        <v>0</v>
      </c>
      <c r="R80" s="255">
        <f t="shared" si="36"/>
        <v>0</v>
      </c>
      <c r="S80" s="345">
        <f t="shared" si="36"/>
        <v>0</v>
      </c>
      <c r="T80" s="256">
        <f t="shared" si="36"/>
        <v>0</v>
      </c>
      <c r="U80" s="254">
        <f t="shared" si="36"/>
        <v>0</v>
      </c>
      <c r="V80" s="254">
        <f t="shared" si="36"/>
        <v>0</v>
      </c>
      <c r="W80" s="254">
        <f t="shared" si="36"/>
        <v>0</v>
      </c>
      <c r="X80" s="254">
        <f t="shared" si="36"/>
        <v>0</v>
      </c>
      <c r="Y80" s="255">
        <f t="shared" si="36"/>
        <v>0</v>
      </c>
      <c r="Z80" s="345">
        <f t="shared" si="36"/>
        <v>0</v>
      </c>
      <c r="AA80" s="3083"/>
      <c r="AB80" s="3097"/>
      <c r="AC80" s="3097"/>
      <c r="AD80" s="3097"/>
      <c r="AE80" s="3097"/>
      <c r="AF80" s="3098"/>
      <c r="AG80" s="307"/>
    </row>
    <row r="81" spans="1:33" s="339" customFormat="1">
      <c r="A81" s="266"/>
      <c r="B81" s="1835">
        <v>2040101</v>
      </c>
      <c r="C81" s="1836">
        <v>0.1</v>
      </c>
      <c r="D81" s="1841" t="s">
        <v>603</v>
      </c>
      <c r="E81" s="2250"/>
      <c r="F81" s="514">
        <f>($E32*$C81)-(F32*$C81)</f>
        <v>0</v>
      </c>
      <c r="G81" s="270">
        <f t="shared" ref="G81:K82" si="37">F81-(G32*$C81)</f>
        <v>0</v>
      </c>
      <c r="H81" s="270">
        <f t="shared" si="37"/>
        <v>0</v>
      </c>
      <c r="I81" s="270">
        <f t="shared" si="37"/>
        <v>0</v>
      </c>
      <c r="J81" s="270">
        <f t="shared" si="37"/>
        <v>0</v>
      </c>
      <c r="K81" s="333">
        <f t="shared" si="37"/>
        <v>0</v>
      </c>
      <c r="L81" s="2250"/>
      <c r="M81" s="514">
        <f>($L32*$C81)-(M32*$C81)</f>
        <v>0</v>
      </c>
      <c r="N81" s="270">
        <f t="shared" ref="N81:R82" si="38">M81-(N32*$C81)</f>
        <v>0</v>
      </c>
      <c r="O81" s="270">
        <f t="shared" si="38"/>
        <v>0</v>
      </c>
      <c r="P81" s="270">
        <f t="shared" si="38"/>
        <v>0</v>
      </c>
      <c r="Q81" s="270">
        <f t="shared" si="38"/>
        <v>0</v>
      </c>
      <c r="R81" s="271">
        <f t="shared" si="38"/>
        <v>0</v>
      </c>
      <c r="S81" s="2250"/>
      <c r="T81" s="514">
        <f>($S32*$C81)-(T32*$C81)</f>
        <v>0</v>
      </c>
      <c r="U81" s="270">
        <f t="shared" ref="U81:Y82" si="39">T81-(U32*$C81)</f>
        <v>0</v>
      </c>
      <c r="V81" s="270">
        <f t="shared" si="39"/>
        <v>0</v>
      </c>
      <c r="W81" s="270">
        <f t="shared" si="39"/>
        <v>0</v>
      </c>
      <c r="X81" s="270">
        <f t="shared" si="39"/>
        <v>0</v>
      </c>
      <c r="Y81" s="271">
        <f t="shared" si="39"/>
        <v>0</v>
      </c>
      <c r="Z81" s="2250"/>
      <c r="AA81" s="3083"/>
      <c r="AB81" s="3097"/>
      <c r="AC81" s="3097"/>
      <c r="AD81" s="3097"/>
      <c r="AE81" s="3097"/>
      <c r="AF81" s="3098"/>
      <c r="AG81" s="307"/>
    </row>
    <row r="82" spans="1:33" s="339" customFormat="1">
      <c r="A82" s="266"/>
      <c r="B82" s="1835">
        <v>2040102</v>
      </c>
      <c r="C82" s="1836">
        <v>0.04</v>
      </c>
      <c r="D82" s="1841" t="s">
        <v>604</v>
      </c>
      <c r="E82" s="2250"/>
      <c r="F82" s="514">
        <f>($E33*$C82)-(F33*$C82)</f>
        <v>0</v>
      </c>
      <c r="G82" s="270">
        <f t="shared" si="37"/>
        <v>0</v>
      </c>
      <c r="H82" s="270">
        <f t="shared" si="37"/>
        <v>0</v>
      </c>
      <c r="I82" s="270">
        <f t="shared" si="37"/>
        <v>0</v>
      </c>
      <c r="J82" s="270">
        <f t="shared" si="37"/>
        <v>0</v>
      </c>
      <c r="K82" s="333">
        <f t="shared" si="37"/>
        <v>0</v>
      </c>
      <c r="L82" s="2250"/>
      <c r="M82" s="514">
        <f>($L33*$C82)-(M33*$C82)</f>
        <v>0</v>
      </c>
      <c r="N82" s="270">
        <f t="shared" si="38"/>
        <v>0</v>
      </c>
      <c r="O82" s="270">
        <f t="shared" si="38"/>
        <v>0</v>
      </c>
      <c r="P82" s="270">
        <f t="shared" si="38"/>
        <v>0</v>
      </c>
      <c r="Q82" s="270">
        <f t="shared" si="38"/>
        <v>0</v>
      </c>
      <c r="R82" s="271">
        <f t="shared" si="38"/>
        <v>0</v>
      </c>
      <c r="S82" s="2250"/>
      <c r="T82" s="514">
        <f>($S33*$C82)-(T33*$C82)</f>
        <v>0</v>
      </c>
      <c r="U82" s="270">
        <f t="shared" si="39"/>
        <v>0</v>
      </c>
      <c r="V82" s="270">
        <f t="shared" si="39"/>
        <v>0</v>
      </c>
      <c r="W82" s="270">
        <f t="shared" si="39"/>
        <v>0</v>
      </c>
      <c r="X82" s="270">
        <f t="shared" si="39"/>
        <v>0</v>
      </c>
      <c r="Y82" s="271">
        <f t="shared" si="39"/>
        <v>0</v>
      </c>
      <c r="Z82" s="2250"/>
      <c r="AA82" s="3083"/>
      <c r="AB82" s="3097"/>
      <c r="AC82" s="3097"/>
      <c r="AD82" s="3097"/>
      <c r="AE82" s="3097"/>
      <c r="AF82" s="3098"/>
      <c r="AG82" s="307"/>
    </row>
    <row r="83" spans="1:33" s="339" customFormat="1">
      <c r="A83" s="266"/>
      <c r="B83" s="1832">
        <v>20402</v>
      </c>
      <c r="C83" s="1838"/>
      <c r="D83" s="1829" t="s">
        <v>605</v>
      </c>
      <c r="E83" s="344">
        <f>SUM(E84:E91)</f>
        <v>0</v>
      </c>
      <c r="F83" s="572">
        <f t="shared" ref="F83:K83" si="40">SUM(F84:F91)</f>
        <v>0</v>
      </c>
      <c r="G83" s="254">
        <f t="shared" si="40"/>
        <v>0</v>
      </c>
      <c r="H83" s="254">
        <f t="shared" si="40"/>
        <v>0</v>
      </c>
      <c r="I83" s="254">
        <f t="shared" si="40"/>
        <v>0</v>
      </c>
      <c r="J83" s="254">
        <f t="shared" si="40"/>
        <v>0</v>
      </c>
      <c r="K83" s="2040">
        <f t="shared" si="40"/>
        <v>0</v>
      </c>
      <c r="L83" s="345">
        <f t="shared" ref="L83:Z83" si="41">SUM(L84:L91)</f>
        <v>0</v>
      </c>
      <c r="M83" s="253">
        <f t="shared" si="41"/>
        <v>0</v>
      </c>
      <c r="N83" s="254">
        <f t="shared" si="41"/>
        <v>0</v>
      </c>
      <c r="O83" s="254">
        <f t="shared" si="41"/>
        <v>0</v>
      </c>
      <c r="P83" s="254">
        <f t="shared" si="41"/>
        <v>0</v>
      </c>
      <c r="Q83" s="254">
        <f t="shared" si="41"/>
        <v>0</v>
      </c>
      <c r="R83" s="255">
        <f t="shared" si="41"/>
        <v>0</v>
      </c>
      <c r="S83" s="345">
        <f t="shared" si="41"/>
        <v>0</v>
      </c>
      <c r="T83" s="256">
        <f t="shared" si="41"/>
        <v>0</v>
      </c>
      <c r="U83" s="254">
        <f t="shared" si="41"/>
        <v>0</v>
      </c>
      <c r="V83" s="254">
        <f t="shared" si="41"/>
        <v>0</v>
      </c>
      <c r="W83" s="254">
        <f t="shared" si="41"/>
        <v>0</v>
      </c>
      <c r="X83" s="254">
        <f t="shared" si="41"/>
        <v>0</v>
      </c>
      <c r="Y83" s="255">
        <f t="shared" si="41"/>
        <v>0</v>
      </c>
      <c r="Z83" s="345">
        <f t="shared" si="41"/>
        <v>0</v>
      </c>
      <c r="AA83" s="3083"/>
      <c r="AB83" s="3097"/>
      <c r="AC83" s="3097"/>
      <c r="AD83" s="3097"/>
      <c r="AE83" s="3097"/>
      <c r="AF83" s="3098"/>
      <c r="AG83" s="307"/>
    </row>
    <row r="84" spans="1:33" s="339" customFormat="1">
      <c r="A84" s="266"/>
      <c r="B84" s="1832">
        <v>2040201</v>
      </c>
      <c r="C84" s="1833">
        <v>0.02</v>
      </c>
      <c r="D84" s="1837" t="s">
        <v>1007</v>
      </c>
      <c r="E84" s="2250"/>
      <c r="F84" s="514">
        <f t="shared" ref="F84:F92" si="42">($E35*$C84)-(F35*$C84)</f>
        <v>0</v>
      </c>
      <c r="G84" s="270">
        <f t="shared" ref="G84:K91" si="43">F84-(G35*$C84)</f>
        <v>0</v>
      </c>
      <c r="H84" s="270">
        <f t="shared" si="43"/>
        <v>0</v>
      </c>
      <c r="I84" s="270">
        <f t="shared" si="43"/>
        <v>0</v>
      </c>
      <c r="J84" s="270">
        <f t="shared" si="43"/>
        <v>0</v>
      </c>
      <c r="K84" s="333">
        <f t="shared" si="43"/>
        <v>0</v>
      </c>
      <c r="L84" s="2250"/>
      <c r="M84" s="514">
        <f t="shared" ref="M84:M91" si="44">($L35*$C84)-(M35*$C84)</f>
        <v>0</v>
      </c>
      <c r="N84" s="270">
        <f t="shared" ref="N84:R91" si="45">M84-(N35*$C84)</f>
        <v>0</v>
      </c>
      <c r="O84" s="270">
        <f t="shared" si="45"/>
        <v>0</v>
      </c>
      <c r="P84" s="270">
        <f t="shared" si="45"/>
        <v>0</v>
      </c>
      <c r="Q84" s="270">
        <f t="shared" si="45"/>
        <v>0</v>
      </c>
      <c r="R84" s="271">
        <f t="shared" si="45"/>
        <v>0</v>
      </c>
      <c r="S84" s="2250"/>
      <c r="T84" s="514">
        <f t="shared" ref="T84:T91" si="46">($S35*$C84)-(T35*$C84)</f>
        <v>0</v>
      </c>
      <c r="U84" s="270">
        <f t="shared" ref="U84:Y91" si="47">T84-(U35*$C84)</f>
        <v>0</v>
      </c>
      <c r="V84" s="270">
        <f t="shared" si="47"/>
        <v>0</v>
      </c>
      <c r="W84" s="270">
        <f t="shared" si="47"/>
        <v>0</v>
      </c>
      <c r="X84" s="270">
        <f t="shared" si="47"/>
        <v>0</v>
      </c>
      <c r="Y84" s="271">
        <f t="shared" si="47"/>
        <v>0</v>
      </c>
      <c r="Z84" s="2250"/>
      <c r="AA84" s="3083"/>
      <c r="AB84" s="3097"/>
      <c r="AC84" s="3097"/>
      <c r="AD84" s="3097"/>
      <c r="AE84" s="3097"/>
      <c r="AF84" s="3098"/>
      <c r="AG84" s="307"/>
    </row>
    <row r="85" spans="1:33" s="339" customFormat="1">
      <c r="A85" s="266"/>
      <c r="B85" s="1832">
        <v>2040202</v>
      </c>
      <c r="C85" s="1833">
        <v>0.02</v>
      </c>
      <c r="D85" s="1837" t="s">
        <v>1008</v>
      </c>
      <c r="E85" s="2250"/>
      <c r="F85" s="514">
        <f t="shared" si="42"/>
        <v>0</v>
      </c>
      <c r="G85" s="270">
        <f t="shared" si="43"/>
        <v>0</v>
      </c>
      <c r="H85" s="270">
        <f t="shared" si="43"/>
        <v>0</v>
      </c>
      <c r="I85" s="270">
        <f t="shared" si="43"/>
        <v>0</v>
      </c>
      <c r="J85" s="270">
        <f t="shared" si="43"/>
        <v>0</v>
      </c>
      <c r="K85" s="333">
        <f t="shared" si="43"/>
        <v>0</v>
      </c>
      <c r="L85" s="2250"/>
      <c r="M85" s="514">
        <f t="shared" si="44"/>
        <v>0</v>
      </c>
      <c r="N85" s="270">
        <f t="shared" si="45"/>
        <v>0</v>
      </c>
      <c r="O85" s="270">
        <f t="shared" si="45"/>
        <v>0</v>
      </c>
      <c r="P85" s="270">
        <f t="shared" si="45"/>
        <v>0</v>
      </c>
      <c r="Q85" s="270">
        <f t="shared" si="45"/>
        <v>0</v>
      </c>
      <c r="R85" s="271">
        <f t="shared" si="45"/>
        <v>0</v>
      </c>
      <c r="S85" s="2250"/>
      <c r="T85" s="514">
        <f t="shared" si="46"/>
        <v>0</v>
      </c>
      <c r="U85" s="270">
        <f t="shared" si="47"/>
        <v>0</v>
      </c>
      <c r="V85" s="270">
        <f t="shared" si="47"/>
        <v>0</v>
      </c>
      <c r="W85" s="270">
        <f t="shared" si="47"/>
        <v>0</v>
      </c>
      <c r="X85" s="270">
        <f t="shared" si="47"/>
        <v>0</v>
      </c>
      <c r="Y85" s="271">
        <f t="shared" si="47"/>
        <v>0</v>
      </c>
      <c r="Z85" s="2250"/>
      <c r="AA85" s="3083"/>
      <c r="AB85" s="3097"/>
      <c r="AC85" s="3097"/>
      <c r="AD85" s="3097"/>
      <c r="AE85" s="3097"/>
      <c r="AF85" s="3098"/>
      <c r="AG85" s="307"/>
    </row>
    <row r="86" spans="1:33" s="339" customFormat="1">
      <c r="A86" s="266"/>
      <c r="B86" s="1832">
        <v>2040203</v>
      </c>
      <c r="C86" s="1833">
        <v>0.02</v>
      </c>
      <c r="D86" s="1837" t="s">
        <v>590</v>
      </c>
      <c r="E86" s="2250"/>
      <c r="F86" s="514">
        <f t="shared" si="42"/>
        <v>0</v>
      </c>
      <c r="G86" s="270">
        <f t="shared" si="43"/>
        <v>0</v>
      </c>
      <c r="H86" s="270">
        <f t="shared" si="43"/>
        <v>0</v>
      </c>
      <c r="I86" s="270">
        <f t="shared" si="43"/>
        <v>0</v>
      </c>
      <c r="J86" s="270">
        <f t="shared" si="43"/>
        <v>0</v>
      </c>
      <c r="K86" s="333">
        <f t="shared" si="43"/>
        <v>0</v>
      </c>
      <c r="L86" s="2250"/>
      <c r="M86" s="514">
        <f t="shared" si="44"/>
        <v>0</v>
      </c>
      <c r="N86" s="270">
        <f t="shared" si="45"/>
        <v>0</v>
      </c>
      <c r="O86" s="270">
        <f t="shared" si="45"/>
        <v>0</v>
      </c>
      <c r="P86" s="270">
        <f t="shared" si="45"/>
        <v>0</v>
      </c>
      <c r="Q86" s="270">
        <f t="shared" si="45"/>
        <v>0</v>
      </c>
      <c r="R86" s="271">
        <f t="shared" si="45"/>
        <v>0</v>
      </c>
      <c r="S86" s="2250"/>
      <c r="T86" s="514">
        <f t="shared" si="46"/>
        <v>0</v>
      </c>
      <c r="U86" s="270">
        <f t="shared" si="47"/>
        <v>0</v>
      </c>
      <c r="V86" s="270">
        <f t="shared" si="47"/>
        <v>0</v>
      </c>
      <c r="W86" s="270">
        <f t="shared" si="47"/>
        <v>0</v>
      </c>
      <c r="X86" s="270">
        <f t="shared" si="47"/>
        <v>0</v>
      </c>
      <c r="Y86" s="271">
        <f t="shared" si="47"/>
        <v>0</v>
      </c>
      <c r="Z86" s="2250"/>
      <c r="AA86" s="3083"/>
      <c r="AB86" s="3097"/>
      <c r="AC86" s="3097"/>
      <c r="AD86" s="3097"/>
      <c r="AE86" s="3097"/>
      <c r="AF86" s="3098"/>
      <c r="AG86" s="307"/>
    </row>
    <row r="87" spans="1:33" s="339" customFormat="1">
      <c r="A87" s="266"/>
      <c r="B87" s="1832">
        <v>2040204</v>
      </c>
      <c r="C87" s="1833">
        <v>0.02</v>
      </c>
      <c r="D87" s="1841" t="s">
        <v>591</v>
      </c>
      <c r="E87" s="2250"/>
      <c r="F87" s="514">
        <f t="shared" si="42"/>
        <v>0</v>
      </c>
      <c r="G87" s="270">
        <f t="shared" si="43"/>
        <v>0</v>
      </c>
      <c r="H87" s="270">
        <f t="shared" si="43"/>
        <v>0</v>
      </c>
      <c r="I87" s="270">
        <f t="shared" si="43"/>
        <v>0</v>
      </c>
      <c r="J87" s="270">
        <f t="shared" si="43"/>
        <v>0</v>
      </c>
      <c r="K87" s="333">
        <f t="shared" si="43"/>
        <v>0</v>
      </c>
      <c r="L87" s="2250"/>
      <c r="M87" s="514">
        <f t="shared" si="44"/>
        <v>0</v>
      </c>
      <c r="N87" s="270">
        <f t="shared" si="45"/>
        <v>0</v>
      </c>
      <c r="O87" s="270">
        <f t="shared" si="45"/>
        <v>0</v>
      </c>
      <c r="P87" s="270">
        <f t="shared" si="45"/>
        <v>0</v>
      </c>
      <c r="Q87" s="270">
        <f t="shared" si="45"/>
        <v>0</v>
      </c>
      <c r="R87" s="271">
        <f t="shared" si="45"/>
        <v>0</v>
      </c>
      <c r="S87" s="2250"/>
      <c r="T87" s="514">
        <f t="shared" si="46"/>
        <v>0</v>
      </c>
      <c r="U87" s="270">
        <f t="shared" si="47"/>
        <v>0</v>
      </c>
      <c r="V87" s="270">
        <f t="shared" si="47"/>
        <v>0</v>
      </c>
      <c r="W87" s="270">
        <f t="shared" si="47"/>
        <v>0</v>
      </c>
      <c r="X87" s="270">
        <f t="shared" si="47"/>
        <v>0</v>
      </c>
      <c r="Y87" s="271">
        <f t="shared" si="47"/>
        <v>0</v>
      </c>
      <c r="Z87" s="2250"/>
      <c r="AA87" s="3083"/>
      <c r="AB87" s="3097"/>
      <c r="AC87" s="3097"/>
      <c r="AD87" s="3097"/>
      <c r="AE87" s="3097"/>
      <c r="AF87" s="3098"/>
      <c r="AG87" s="307"/>
    </row>
    <row r="88" spans="1:33" s="339" customFormat="1">
      <c r="A88" s="266"/>
      <c r="B88" s="1832">
        <v>2040205</v>
      </c>
      <c r="C88" s="1833">
        <v>0.02</v>
      </c>
      <c r="D88" s="1837" t="s">
        <v>592</v>
      </c>
      <c r="E88" s="2250"/>
      <c r="F88" s="514">
        <f t="shared" si="42"/>
        <v>0</v>
      </c>
      <c r="G88" s="270">
        <f t="shared" si="43"/>
        <v>0</v>
      </c>
      <c r="H88" s="270">
        <f t="shared" si="43"/>
        <v>0</v>
      </c>
      <c r="I88" s="270">
        <f t="shared" si="43"/>
        <v>0</v>
      </c>
      <c r="J88" s="270">
        <f t="shared" si="43"/>
        <v>0</v>
      </c>
      <c r="K88" s="333">
        <f t="shared" si="43"/>
        <v>0</v>
      </c>
      <c r="L88" s="2250"/>
      <c r="M88" s="514">
        <f t="shared" si="44"/>
        <v>0</v>
      </c>
      <c r="N88" s="270">
        <f t="shared" si="45"/>
        <v>0</v>
      </c>
      <c r="O88" s="270">
        <f t="shared" si="45"/>
        <v>0</v>
      </c>
      <c r="P88" s="270">
        <f t="shared" si="45"/>
        <v>0</v>
      </c>
      <c r="Q88" s="270">
        <f t="shared" si="45"/>
        <v>0</v>
      </c>
      <c r="R88" s="271">
        <f t="shared" si="45"/>
        <v>0</v>
      </c>
      <c r="S88" s="2250"/>
      <c r="T88" s="514">
        <f t="shared" si="46"/>
        <v>0</v>
      </c>
      <c r="U88" s="270">
        <f t="shared" si="47"/>
        <v>0</v>
      </c>
      <c r="V88" s="270">
        <f t="shared" si="47"/>
        <v>0</v>
      </c>
      <c r="W88" s="270">
        <f t="shared" si="47"/>
        <v>0</v>
      </c>
      <c r="X88" s="270">
        <f t="shared" si="47"/>
        <v>0</v>
      </c>
      <c r="Y88" s="271">
        <f t="shared" si="47"/>
        <v>0</v>
      </c>
      <c r="Z88" s="2250"/>
      <c r="AA88" s="3083"/>
      <c r="AB88" s="3097"/>
      <c r="AC88" s="3097"/>
      <c r="AD88" s="3097"/>
      <c r="AE88" s="3097"/>
      <c r="AF88" s="3098"/>
      <c r="AG88" s="307"/>
    </row>
    <row r="89" spans="1:33" s="339" customFormat="1">
      <c r="A89" s="266"/>
      <c r="B89" s="1832">
        <v>2040206</v>
      </c>
      <c r="C89" s="1833">
        <v>0.02</v>
      </c>
      <c r="D89" s="1837" t="s">
        <v>593</v>
      </c>
      <c r="E89" s="2250"/>
      <c r="F89" s="514">
        <f t="shared" si="42"/>
        <v>0</v>
      </c>
      <c r="G89" s="270">
        <f t="shared" si="43"/>
        <v>0</v>
      </c>
      <c r="H89" s="270">
        <f t="shared" si="43"/>
        <v>0</v>
      </c>
      <c r="I89" s="270">
        <f t="shared" si="43"/>
        <v>0</v>
      </c>
      <c r="J89" s="270">
        <f t="shared" si="43"/>
        <v>0</v>
      </c>
      <c r="K89" s="333">
        <f t="shared" si="43"/>
        <v>0</v>
      </c>
      <c r="L89" s="2250"/>
      <c r="M89" s="514">
        <f t="shared" si="44"/>
        <v>0</v>
      </c>
      <c r="N89" s="270">
        <f t="shared" si="45"/>
        <v>0</v>
      </c>
      <c r="O89" s="270">
        <f t="shared" si="45"/>
        <v>0</v>
      </c>
      <c r="P89" s="270">
        <f t="shared" si="45"/>
        <v>0</v>
      </c>
      <c r="Q89" s="270">
        <f t="shared" si="45"/>
        <v>0</v>
      </c>
      <c r="R89" s="271">
        <f t="shared" si="45"/>
        <v>0</v>
      </c>
      <c r="S89" s="2250"/>
      <c r="T89" s="514">
        <f t="shared" si="46"/>
        <v>0</v>
      </c>
      <c r="U89" s="270">
        <f t="shared" si="47"/>
        <v>0</v>
      </c>
      <c r="V89" s="270">
        <f t="shared" si="47"/>
        <v>0</v>
      </c>
      <c r="W89" s="270">
        <f t="shared" si="47"/>
        <v>0</v>
      </c>
      <c r="X89" s="270">
        <f t="shared" si="47"/>
        <v>0</v>
      </c>
      <c r="Y89" s="271">
        <f t="shared" si="47"/>
        <v>0</v>
      </c>
      <c r="Z89" s="2250"/>
      <c r="AA89" s="3083"/>
      <c r="AB89" s="3097"/>
      <c r="AC89" s="3097"/>
      <c r="AD89" s="3097"/>
      <c r="AE89" s="3097"/>
      <c r="AF89" s="3098"/>
      <c r="AG89" s="307"/>
    </row>
    <row r="90" spans="1:33" s="339" customFormat="1" ht="25.5">
      <c r="A90" s="266"/>
      <c r="B90" s="1832">
        <v>2040207</v>
      </c>
      <c r="C90" s="1833">
        <v>0.04</v>
      </c>
      <c r="D90" s="1837" t="s">
        <v>594</v>
      </c>
      <c r="E90" s="2250"/>
      <c r="F90" s="514">
        <f t="shared" si="42"/>
        <v>0</v>
      </c>
      <c r="G90" s="270">
        <f t="shared" si="43"/>
        <v>0</v>
      </c>
      <c r="H90" s="270">
        <f t="shared" si="43"/>
        <v>0</v>
      </c>
      <c r="I90" s="270">
        <f t="shared" si="43"/>
        <v>0</v>
      </c>
      <c r="J90" s="270">
        <f t="shared" si="43"/>
        <v>0</v>
      </c>
      <c r="K90" s="333">
        <f t="shared" si="43"/>
        <v>0</v>
      </c>
      <c r="L90" s="2250"/>
      <c r="M90" s="514">
        <f t="shared" si="44"/>
        <v>0</v>
      </c>
      <c r="N90" s="270">
        <f t="shared" si="45"/>
        <v>0</v>
      </c>
      <c r="O90" s="270">
        <f t="shared" si="45"/>
        <v>0</v>
      </c>
      <c r="P90" s="270">
        <f t="shared" si="45"/>
        <v>0</v>
      </c>
      <c r="Q90" s="270">
        <f t="shared" si="45"/>
        <v>0</v>
      </c>
      <c r="R90" s="271">
        <f t="shared" si="45"/>
        <v>0</v>
      </c>
      <c r="S90" s="2250"/>
      <c r="T90" s="514">
        <f t="shared" si="46"/>
        <v>0</v>
      </c>
      <c r="U90" s="270">
        <f t="shared" si="47"/>
        <v>0</v>
      </c>
      <c r="V90" s="270">
        <f t="shared" si="47"/>
        <v>0</v>
      </c>
      <c r="W90" s="270">
        <f t="shared" si="47"/>
        <v>0</v>
      </c>
      <c r="X90" s="270">
        <f t="shared" si="47"/>
        <v>0</v>
      </c>
      <c r="Y90" s="271">
        <f t="shared" si="47"/>
        <v>0</v>
      </c>
      <c r="Z90" s="2250"/>
      <c r="AA90" s="3083"/>
      <c r="AB90" s="3097"/>
      <c r="AC90" s="3097"/>
      <c r="AD90" s="3097"/>
      <c r="AE90" s="3097"/>
      <c r="AF90" s="3098"/>
      <c r="AG90" s="307"/>
    </row>
    <row r="91" spans="1:33" s="339" customFormat="1">
      <c r="A91" s="266"/>
      <c r="B91" s="1832">
        <v>2040208</v>
      </c>
      <c r="C91" s="1833">
        <v>0.04</v>
      </c>
      <c r="D91" s="1837" t="s">
        <v>595</v>
      </c>
      <c r="E91" s="2250"/>
      <c r="F91" s="514">
        <f t="shared" si="42"/>
        <v>0</v>
      </c>
      <c r="G91" s="270">
        <f t="shared" si="43"/>
        <v>0</v>
      </c>
      <c r="H91" s="270">
        <f t="shared" si="43"/>
        <v>0</v>
      </c>
      <c r="I91" s="270">
        <f t="shared" si="43"/>
        <v>0</v>
      </c>
      <c r="J91" s="270">
        <f t="shared" si="43"/>
        <v>0</v>
      </c>
      <c r="K91" s="333">
        <f t="shared" si="43"/>
        <v>0</v>
      </c>
      <c r="L91" s="2250"/>
      <c r="M91" s="514">
        <f t="shared" si="44"/>
        <v>0</v>
      </c>
      <c r="N91" s="270">
        <f t="shared" si="45"/>
        <v>0</v>
      </c>
      <c r="O91" s="270">
        <f t="shared" si="45"/>
        <v>0</v>
      </c>
      <c r="P91" s="270">
        <f t="shared" si="45"/>
        <v>0</v>
      </c>
      <c r="Q91" s="270">
        <f t="shared" si="45"/>
        <v>0</v>
      </c>
      <c r="R91" s="271">
        <f t="shared" si="45"/>
        <v>0</v>
      </c>
      <c r="S91" s="2250"/>
      <c r="T91" s="514">
        <f t="shared" si="46"/>
        <v>0</v>
      </c>
      <c r="U91" s="270">
        <f t="shared" si="47"/>
        <v>0</v>
      </c>
      <c r="V91" s="270">
        <f t="shared" si="47"/>
        <v>0</v>
      </c>
      <c r="W91" s="270">
        <f t="shared" si="47"/>
        <v>0</v>
      </c>
      <c r="X91" s="270">
        <f t="shared" si="47"/>
        <v>0</v>
      </c>
      <c r="Y91" s="271">
        <f t="shared" si="47"/>
        <v>0</v>
      </c>
      <c r="Z91" s="2250"/>
      <c r="AA91" s="3083"/>
      <c r="AB91" s="3097"/>
      <c r="AC91" s="3097"/>
      <c r="AD91" s="3097"/>
      <c r="AE91" s="3097"/>
      <c r="AF91" s="3098"/>
      <c r="AG91" s="307"/>
    </row>
    <row r="92" spans="1:33" s="339" customFormat="1">
      <c r="A92" s="266"/>
      <c r="B92" s="1832">
        <v>20403</v>
      </c>
      <c r="C92" s="1833">
        <v>0.04</v>
      </c>
      <c r="D92" s="1821" t="s">
        <v>1524</v>
      </c>
      <c r="E92" s="2250"/>
      <c r="F92" s="514">
        <f t="shared" si="42"/>
        <v>0</v>
      </c>
      <c r="G92" s="270">
        <f t="shared" ref="G92:K93" si="48">F92-(G43*$C92)</f>
        <v>0</v>
      </c>
      <c r="H92" s="270">
        <f t="shared" si="48"/>
        <v>0</v>
      </c>
      <c r="I92" s="270">
        <f t="shared" si="48"/>
        <v>0</v>
      </c>
      <c r="J92" s="270">
        <f t="shared" si="48"/>
        <v>0</v>
      </c>
      <c r="K92" s="333">
        <f t="shared" si="48"/>
        <v>0</v>
      </c>
      <c r="L92" s="2250"/>
      <c r="M92" s="514">
        <f>($L43*$C92)-(M43*$C92)</f>
        <v>0</v>
      </c>
      <c r="N92" s="270">
        <f t="shared" ref="N92:R93" si="49">M92-(N43*$C92)</f>
        <v>0</v>
      </c>
      <c r="O92" s="270">
        <f t="shared" si="49"/>
        <v>0</v>
      </c>
      <c r="P92" s="270">
        <f t="shared" si="49"/>
        <v>0</v>
      </c>
      <c r="Q92" s="270">
        <f t="shared" si="49"/>
        <v>0</v>
      </c>
      <c r="R92" s="271">
        <f t="shared" si="49"/>
        <v>0</v>
      </c>
      <c r="S92" s="2250"/>
      <c r="T92" s="514">
        <f>($S43*$C92)-(T43*$C92)</f>
        <v>0</v>
      </c>
      <c r="U92" s="270">
        <f t="shared" ref="U92:Y93" si="50">T92-(U43*$C92)</f>
        <v>0</v>
      </c>
      <c r="V92" s="270">
        <f t="shared" si="50"/>
        <v>0</v>
      </c>
      <c r="W92" s="270">
        <f t="shared" si="50"/>
        <v>0</v>
      </c>
      <c r="X92" s="270">
        <f t="shared" si="50"/>
        <v>0</v>
      </c>
      <c r="Y92" s="271">
        <f t="shared" si="50"/>
        <v>0</v>
      </c>
      <c r="Z92" s="2250"/>
      <c r="AA92" s="3083"/>
      <c r="AB92" s="3097"/>
      <c r="AC92" s="3097"/>
      <c r="AD92" s="3097"/>
      <c r="AE92" s="3097"/>
      <c r="AF92" s="3098"/>
      <c r="AG92" s="307"/>
    </row>
    <row r="93" spans="1:33" s="339" customFormat="1" ht="25.5">
      <c r="A93" s="266"/>
      <c r="B93" s="1832" t="s">
        <v>1525</v>
      </c>
      <c r="C93" s="1833">
        <v>0.04</v>
      </c>
      <c r="D93" s="1821" t="s">
        <v>1526</v>
      </c>
      <c r="E93" s="3161">
        <f>E44*C44/12*8</f>
        <v>5.3333333333333337E-2</v>
      </c>
      <c r="F93" s="514">
        <f>($E44*$C93)-(F44*$C93)</f>
        <v>0.08</v>
      </c>
      <c r="G93" s="270">
        <f t="shared" si="48"/>
        <v>0.08</v>
      </c>
      <c r="H93" s="270">
        <f t="shared" si="48"/>
        <v>0.08</v>
      </c>
      <c r="I93" s="270">
        <f t="shared" si="48"/>
        <v>0.08</v>
      </c>
      <c r="J93" s="270">
        <f t="shared" si="48"/>
        <v>0.08</v>
      </c>
      <c r="K93" s="333">
        <f t="shared" si="48"/>
        <v>0.08</v>
      </c>
      <c r="L93" s="2250"/>
      <c r="M93" s="514">
        <f>($L44*$C93)-(M44*$C93)</f>
        <v>0</v>
      </c>
      <c r="N93" s="270">
        <f t="shared" si="49"/>
        <v>0</v>
      </c>
      <c r="O93" s="270">
        <f t="shared" si="49"/>
        <v>0</v>
      </c>
      <c r="P93" s="270">
        <f t="shared" si="49"/>
        <v>0</v>
      </c>
      <c r="Q93" s="270">
        <f t="shared" si="49"/>
        <v>0</v>
      </c>
      <c r="R93" s="271">
        <f t="shared" si="49"/>
        <v>0</v>
      </c>
      <c r="S93" s="2250"/>
      <c r="T93" s="514">
        <f>($S44*$C93)-(T44*$C93)</f>
        <v>0</v>
      </c>
      <c r="U93" s="270">
        <f t="shared" si="50"/>
        <v>0</v>
      </c>
      <c r="V93" s="270">
        <f t="shared" si="50"/>
        <v>0</v>
      </c>
      <c r="W93" s="270">
        <f t="shared" si="50"/>
        <v>0</v>
      </c>
      <c r="X93" s="270">
        <f t="shared" si="50"/>
        <v>0</v>
      </c>
      <c r="Y93" s="271">
        <f t="shared" si="50"/>
        <v>0</v>
      </c>
      <c r="Z93" s="2250"/>
      <c r="AA93" s="3083"/>
      <c r="AB93" s="3097"/>
      <c r="AC93" s="3097"/>
      <c r="AD93" s="3097"/>
      <c r="AE93" s="3097"/>
      <c r="AF93" s="3098"/>
      <c r="AG93" s="307"/>
    </row>
    <row r="94" spans="1:33" s="339" customFormat="1">
      <c r="A94" s="308">
        <v>5</v>
      </c>
      <c r="B94" s="1830">
        <v>205</v>
      </c>
      <c r="C94" s="1830"/>
      <c r="D94" s="1834" t="s">
        <v>275</v>
      </c>
      <c r="E94" s="579">
        <f t="shared" ref="E94:Z94" si="51">SUM(E95:E98)</f>
        <v>2.1066666666666669</v>
      </c>
      <c r="F94" s="580">
        <f t="shared" si="51"/>
        <v>-60.84</v>
      </c>
      <c r="G94" s="581">
        <f t="shared" si="51"/>
        <v>-71.84</v>
      </c>
      <c r="H94" s="581">
        <f t="shared" si="51"/>
        <v>-71.84</v>
      </c>
      <c r="I94" s="581">
        <f t="shared" si="51"/>
        <v>-107.84</v>
      </c>
      <c r="J94" s="581">
        <f t="shared" si="51"/>
        <v>-107.84</v>
      </c>
      <c r="K94" s="2043">
        <f t="shared" si="51"/>
        <v>-109.64</v>
      </c>
      <c r="L94" s="583">
        <f t="shared" si="51"/>
        <v>0.35000000000000003</v>
      </c>
      <c r="M94" s="584">
        <f t="shared" si="51"/>
        <v>-10.500000000000002</v>
      </c>
      <c r="N94" s="581">
        <f t="shared" si="51"/>
        <v>-27.500000000000004</v>
      </c>
      <c r="O94" s="581">
        <f t="shared" si="51"/>
        <v>-27.500000000000004</v>
      </c>
      <c r="P94" s="581">
        <f t="shared" si="51"/>
        <v>-27.500000000000004</v>
      </c>
      <c r="Q94" s="581">
        <f t="shared" si="51"/>
        <v>-28.500000000000004</v>
      </c>
      <c r="R94" s="582">
        <f t="shared" si="51"/>
        <v>-29.500000000000004</v>
      </c>
      <c r="S94" s="583">
        <f t="shared" si="51"/>
        <v>0</v>
      </c>
      <c r="T94" s="585">
        <f t="shared" si="51"/>
        <v>0</v>
      </c>
      <c r="U94" s="581">
        <f t="shared" si="51"/>
        <v>-2.29</v>
      </c>
      <c r="V94" s="581">
        <f t="shared" si="51"/>
        <v>-3.2900000000000005</v>
      </c>
      <c r="W94" s="581">
        <f t="shared" si="51"/>
        <v>-3.2900000000000005</v>
      </c>
      <c r="X94" s="581">
        <f t="shared" si="51"/>
        <v>-3.2900000000000005</v>
      </c>
      <c r="Y94" s="582">
        <f t="shared" si="51"/>
        <v>-3.2900000000000005</v>
      </c>
      <c r="Z94" s="583">
        <f t="shared" si="51"/>
        <v>0</v>
      </c>
      <c r="AA94" s="3083"/>
      <c r="AB94" s="3097"/>
      <c r="AC94" s="3097"/>
      <c r="AD94" s="3097"/>
      <c r="AE94" s="3097"/>
      <c r="AF94" s="3098"/>
      <c r="AG94" s="307"/>
    </row>
    <row r="95" spans="1:33" s="339" customFormat="1">
      <c r="A95" s="275"/>
      <c r="B95" s="1819">
        <v>20501</v>
      </c>
      <c r="C95" s="1820">
        <v>0.08</v>
      </c>
      <c r="D95" s="1842" t="s">
        <v>765</v>
      </c>
      <c r="E95" s="3161">
        <f>E46*C46/12*8</f>
        <v>0.64</v>
      </c>
      <c r="F95" s="514">
        <f>($E46*$C95)-(F46*$C95)</f>
        <v>0.96</v>
      </c>
      <c r="G95" s="270">
        <f t="shared" ref="G95:K98" si="52">F95-(G46*$C95)</f>
        <v>0.96</v>
      </c>
      <c r="H95" s="270">
        <f t="shared" si="52"/>
        <v>0.96</v>
      </c>
      <c r="I95" s="270">
        <f t="shared" si="52"/>
        <v>0.96</v>
      </c>
      <c r="J95" s="270">
        <f t="shared" si="52"/>
        <v>0.96</v>
      </c>
      <c r="K95" s="333">
        <f t="shared" si="52"/>
        <v>0.15999999999999992</v>
      </c>
      <c r="L95" s="2250"/>
      <c r="M95" s="514">
        <f>($L46*$C95)-(M46*$C95)</f>
        <v>-11.200000000000001</v>
      </c>
      <c r="N95" s="270">
        <f t="shared" ref="N95:R98" si="53">M95-(N46*$C95)</f>
        <v>-27.200000000000003</v>
      </c>
      <c r="O95" s="270">
        <f t="shared" si="53"/>
        <v>-27.200000000000003</v>
      </c>
      <c r="P95" s="270">
        <f t="shared" si="53"/>
        <v>-27.200000000000003</v>
      </c>
      <c r="Q95" s="270">
        <f t="shared" si="53"/>
        <v>-27.200000000000003</v>
      </c>
      <c r="R95" s="271">
        <f t="shared" si="53"/>
        <v>-27.200000000000003</v>
      </c>
      <c r="S95" s="2250"/>
      <c r="T95" s="514">
        <f>($S46*$C95)-(T46*$C95)</f>
        <v>0</v>
      </c>
      <c r="U95" s="270">
        <f t="shared" ref="U95:Y98" si="54">T95-(U46*$C95)</f>
        <v>-0.16</v>
      </c>
      <c r="V95" s="270">
        <f t="shared" si="54"/>
        <v>-0.16</v>
      </c>
      <c r="W95" s="270">
        <f t="shared" si="54"/>
        <v>-0.16</v>
      </c>
      <c r="X95" s="270">
        <f t="shared" si="54"/>
        <v>-0.16</v>
      </c>
      <c r="Y95" s="271">
        <f t="shared" si="54"/>
        <v>-0.16</v>
      </c>
      <c r="Z95" s="2250"/>
      <c r="AA95" s="3083"/>
      <c r="AB95" s="3097"/>
      <c r="AC95" s="3097"/>
      <c r="AD95" s="3097"/>
      <c r="AE95" s="3097"/>
      <c r="AF95" s="3098"/>
      <c r="AG95" s="307"/>
    </row>
    <row r="96" spans="1:33" s="339" customFormat="1">
      <c r="A96" s="275"/>
      <c r="B96" s="1819">
        <v>20502</v>
      </c>
      <c r="C96" s="1820">
        <v>0.1</v>
      </c>
      <c r="D96" s="1842" t="s">
        <v>583</v>
      </c>
      <c r="E96" s="3161">
        <f>E47*C47/12*8</f>
        <v>1.4666666666666668</v>
      </c>
      <c r="F96" s="514">
        <f>($E47*$C96)-(F47*$C96)</f>
        <v>2.2000000000000002</v>
      </c>
      <c r="G96" s="270">
        <f t="shared" si="52"/>
        <v>2.2000000000000002</v>
      </c>
      <c r="H96" s="270">
        <f t="shared" si="52"/>
        <v>2.2000000000000002</v>
      </c>
      <c r="I96" s="270">
        <f t="shared" si="52"/>
        <v>-33.799999999999997</v>
      </c>
      <c r="J96" s="270">
        <f t="shared" si="52"/>
        <v>-33.799999999999997</v>
      </c>
      <c r="K96" s="333">
        <f t="shared" si="52"/>
        <v>-34.799999999999997</v>
      </c>
      <c r="L96" s="2250">
        <f>L47*C47/12*6</f>
        <v>0.35000000000000003</v>
      </c>
      <c r="M96" s="514">
        <f>($L47*$C96)-(M47*$C96)</f>
        <v>0.70000000000000007</v>
      </c>
      <c r="N96" s="270">
        <f t="shared" si="53"/>
        <v>0.70000000000000007</v>
      </c>
      <c r="O96" s="270">
        <f t="shared" si="53"/>
        <v>0.70000000000000007</v>
      </c>
      <c r="P96" s="270">
        <f t="shared" si="53"/>
        <v>0.70000000000000007</v>
      </c>
      <c r="Q96" s="270">
        <f t="shared" si="53"/>
        <v>-0.29999999999999993</v>
      </c>
      <c r="R96" s="271">
        <f t="shared" si="53"/>
        <v>-1.2999999999999998</v>
      </c>
      <c r="S96" s="2250"/>
      <c r="T96" s="514">
        <f>($S47*$C96)-(T47*$C96)</f>
        <v>0</v>
      </c>
      <c r="U96" s="270">
        <f t="shared" si="54"/>
        <v>-1.9000000000000001</v>
      </c>
      <c r="V96" s="270">
        <f t="shared" si="54"/>
        <v>-2.9000000000000004</v>
      </c>
      <c r="W96" s="270">
        <f t="shared" si="54"/>
        <v>-2.9000000000000004</v>
      </c>
      <c r="X96" s="270">
        <f t="shared" si="54"/>
        <v>-2.9000000000000004</v>
      </c>
      <c r="Y96" s="271">
        <f t="shared" si="54"/>
        <v>-2.9000000000000004</v>
      </c>
      <c r="Z96" s="2250"/>
      <c r="AA96" s="3083"/>
      <c r="AB96" s="3097"/>
      <c r="AC96" s="3097"/>
      <c r="AD96" s="3097"/>
      <c r="AE96" s="3097"/>
      <c r="AF96" s="3098"/>
      <c r="AG96" s="307"/>
    </row>
    <row r="97" spans="1:33" s="339" customFormat="1">
      <c r="A97" s="275"/>
      <c r="B97" s="1819">
        <v>20503</v>
      </c>
      <c r="C97" s="1820">
        <v>0.1</v>
      </c>
      <c r="D97" s="1821" t="s">
        <v>584</v>
      </c>
      <c r="E97" s="2250"/>
      <c r="F97" s="514">
        <f>($E48*$C97)-(F48*$C97)</f>
        <v>-64</v>
      </c>
      <c r="G97" s="270">
        <f t="shared" si="52"/>
        <v>-75</v>
      </c>
      <c r="H97" s="270">
        <f t="shared" si="52"/>
        <v>-75</v>
      </c>
      <c r="I97" s="270">
        <f t="shared" si="52"/>
        <v>-75</v>
      </c>
      <c r="J97" s="270">
        <f t="shared" si="52"/>
        <v>-75</v>
      </c>
      <c r="K97" s="333">
        <f t="shared" si="52"/>
        <v>-75</v>
      </c>
      <c r="L97" s="2250"/>
      <c r="M97" s="514">
        <f>($L48*$C97)-(M48*$C97)</f>
        <v>0</v>
      </c>
      <c r="N97" s="270">
        <f t="shared" si="53"/>
        <v>-1</v>
      </c>
      <c r="O97" s="270">
        <f t="shared" si="53"/>
        <v>-1</v>
      </c>
      <c r="P97" s="270">
        <f t="shared" si="53"/>
        <v>-1</v>
      </c>
      <c r="Q97" s="270">
        <f t="shared" si="53"/>
        <v>-1</v>
      </c>
      <c r="R97" s="271">
        <f t="shared" si="53"/>
        <v>-1</v>
      </c>
      <c r="S97" s="2250"/>
      <c r="T97" s="514">
        <f>($S48*$C97)-(T48*$C97)</f>
        <v>0</v>
      </c>
      <c r="U97" s="270">
        <f t="shared" si="54"/>
        <v>-0.22999999999999998</v>
      </c>
      <c r="V97" s="270">
        <f t="shared" si="54"/>
        <v>-0.22999999999999998</v>
      </c>
      <c r="W97" s="270">
        <f t="shared" si="54"/>
        <v>-0.22999999999999998</v>
      </c>
      <c r="X97" s="270">
        <f t="shared" si="54"/>
        <v>-0.22999999999999998</v>
      </c>
      <c r="Y97" s="271">
        <f t="shared" si="54"/>
        <v>-0.22999999999999998</v>
      </c>
      <c r="Z97" s="2250"/>
      <c r="AA97" s="3083"/>
      <c r="AB97" s="3097"/>
      <c r="AC97" s="3097"/>
      <c r="AD97" s="3097"/>
      <c r="AE97" s="3097"/>
      <c r="AF97" s="3098"/>
      <c r="AG97" s="307"/>
    </row>
    <row r="98" spans="1:33" s="339" customFormat="1">
      <c r="A98" s="275"/>
      <c r="B98" s="1819">
        <v>20504</v>
      </c>
      <c r="C98" s="1820">
        <v>0.1</v>
      </c>
      <c r="D98" s="1821" t="s">
        <v>759</v>
      </c>
      <c r="E98" s="2250"/>
      <c r="F98" s="514">
        <f>($E49*$C98)-(F49*$C98)</f>
        <v>0</v>
      </c>
      <c r="G98" s="270">
        <f t="shared" si="52"/>
        <v>0</v>
      </c>
      <c r="H98" s="270">
        <f t="shared" si="52"/>
        <v>0</v>
      </c>
      <c r="I98" s="270">
        <f t="shared" si="52"/>
        <v>0</v>
      </c>
      <c r="J98" s="270">
        <f t="shared" si="52"/>
        <v>0</v>
      </c>
      <c r="K98" s="333">
        <f t="shared" si="52"/>
        <v>0</v>
      </c>
      <c r="L98" s="2250"/>
      <c r="M98" s="514">
        <f>($L49*$C98)-(M49*$C98)</f>
        <v>0</v>
      </c>
      <c r="N98" s="270">
        <f t="shared" si="53"/>
        <v>0</v>
      </c>
      <c r="O98" s="270">
        <f t="shared" si="53"/>
        <v>0</v>
      </c>
      <c r="P98" s="270">
        <f t="shared" si="53"/>
        <v>0</v>
      </c>
      <c r="Q98" s="270">
        <f t="shared" si="53"/>
        <v>0</v>
      </c>
      <c r="R98" s="271">
        <f t="shared" si="53"/>
        <v>0</v>
      </c>
      <c r="S98" s="2250"/>
      <c r="T98" s="514">
        <f>($S49*$C98)-(T49*$C98)</f>
        <v>0</v>
      </c>
      <c r="U98" s="270">
        <f t="shared" si="54"/>
        <v>0</v>
      </c>
      <c r="V98" s="270">
        <f t="shared" si="54"/>
        <v>0</v>
      </c>
      <c r="W98" s="270">
        <f t="shared" si="54"/>
        <v>0</v>
      </c>
      <c r="X98" s="270">
        <f t="shared" si="54"/>
        <v>0</v>
      </c>
      <c r="Y98" s="271">
        <f t="shared" si="54"/>
        <v>0</v>
      </c>
      <c r="Z98" s="2250"/>
      <c r="AA98" s="3083"/>
      <c r="AB98" s="3097"/>
      <c r="AC98" s="3097"/>
      <c r="AD98" s="3097"/>
      <c r="AE98" s="3097"/>
      <c r="AF98" s="3098"/>
      <c r="AG98" s="307"/>
    </row>
    <row r="99" spans="1:33" s="262" customFormat="1">
      <c r="A99" s="323">
        <v>6</v>
      </c>
      <c r="B99" s="1843">
        <v>206</v>
      </c>
      <c r="C99" s="1844">
        <v>0.1</v>
      </c>
      <c r="D99" s="1840" t="s">
        <v>564</v>
      </c>
      <c r="E99" s="579">
        <f>SUM(E100:E102)</f>
        <v>0.35000000000000003</v>
      </c>
      <c r="F99" s="580">
        <f>SUM(F100:F102)</f>
        <v>-0.50000000000000011</v>
      </c>
      <c r="G99" s="581">
        <f>SUM(G100:G102)</f>
        <v>-1.3000000000000003</v>
      </c>
      <c r="H99" s="581">
        <f t="shared" ref="H99:Z99" si="55">SUM(H100:H102)</f>
        <v>-4.3000000000000007</v>
      </c>
      <c r="I99" s="581">
        <f t="shared" si="55"/>
        <v>-4.3000000000000007</v>
      </c>
      <c r="J99" s="581">
        <f t="shared" si="55"/>
        <v>-4.3000000000000007</v>
      </c>
      <c r="K99" s="2043">
        <f t="shared" si="55"/>
        <v>-4.3000000000000007</v>
      </c>
      <c r="L99" s="583">
        <f t="shared" si="55"/>
        <v>0</v>
      </c>
      <c r="M99" s="584">
        <f t="shared" si="55"/>
        <v>0</v>
      </c>
      <c r="N99" s="581">
        <f t="shared" si="55"/>
        <v>-0.2</v>
      </c>
      <c r="O99" s="581">
        <f t="shared" si="55"/>
        <v>-0.7</v>
      </c>
      <c r="P99" s="581">
        <f t="shared" si="55"/>
        <v>-0.7</v>
      </c>
      <c r="Q99" s="581">
        <f t="shared" si="55"/>
        <v>-0.7</v>
      </c>
      <c r="R99" s="582">
        <f t="shared" si="55"/>
        <v>-0.7</v>
      </c>
      <c r="S99" s="583">
        <f t="shared" si="55"/>
        <v>0</v>
      </c>
      <c r="T99" s="585">
        <f t="shared" si="55"/>
        <v>0</v>
      </c>
      <c r="U99" s="581">
        <f t="shared" si="55"/>
        <v>0</v>
      </c>
      <c r="V99" s="581">
        <f t="shared" si="55"/>
        <v>0</v>
      </c>
      <c r="W99" s="581">
        <f t="shared" si="55"/>
        <v>0</v>
      </c>
      <c r="X99" s="581">
        <f t="shared" si="55"/>
        <v>-1</v>
      </c>
      <c r="Y99" s="582">
        <f t="shared" si="55"/>
        <v>-1.3</v>
      </c>
      <c r="Z99" s="583">
        <f t="shared" si="55"/>
        <v>0</v>
      </c>
      <c r="AA99" s="3083"/>
      <c r="AB99" s="3097"/>
      <c r="AC99" s="3097"/>
      <c r="AD99" s="3097"/>
      <c r="AE99" s="3097"/>
      <c r="AF99" s="3098"/>
      <c r="AG99" s="307"/>
    </row>
    <row r="100" spans="1:33" s="339" customFormat="1">
      <c r="A100" s="323"/>
      <c r="B100" s="1819">
        <v>20601</v>
      </c>
      <c r="C100" s="1820">
        <v>0.1</v>
      </c>
      <c r="D100" s="1821" t="s">
        <v>766</v>
      </c>
      <c r="E100" s="2250"/>
      <c r="F100" s="514">
        <f t="shared" ref="F100:F108" si="56">($E51*$C100)-(F51*$C100)</f>
        <v>0</v>
      </c>
      <c r="G100" s="270">
        <f t="shared" ref="G100:K108" si="57">F100-(G51*$C100)</f>
        <v>0</v>
      </c>
      <c r="H100" s="270">
        <f t="shared" si="57"/>
        <v>-3</v>
      </c>
      <c r="I100" s="270">
        <f t="shared" si="57"/>
        <v>-3</v>
      </c>
      <c r="J100" s="270">
        <f t="shared" si="57"/>
        <v>-3</v>
      </c>
      <c r="K100" s="333">
        <f t="shared" si="57"/>
        <v>-3</v>
      </c>
      <c r="L100" s="2250"/>
      <c r="M100" s="269">
        <f t="shared" ref="M100:M108" si="58">($L51*$C100)-(M51*$C100)</f>
        <v>0</v>
      </c>
      <c r="N100" s="270">
        <f t="shared" ref="N100:R108" si="59">M100-(N51*$C100)</f>
        <v>0</v>
      </c>
      <c r="O100" s="270">
        <f t="shared" si="59"/>
        <v>-0.5</v>
      </c>
      <c r="P100" s="270">
        <f t="shared" si="59"/>
        <v>-0.5</v>
      </c>
      <c r="Q100" s="270">
        <f t="shared" si="59"/>
        <v>-0.5</v>
      </c>
      <c r="R100" s="271">
        <f t="shared" si="59"/>
        <v>-0.5</v>
      </c>
      <c r="S100" s="2250"/>
      <c r="T100" s="269">
        <f t="shared" ref="T100:T108" si="60">($S51*$C100)-(T51*$C100)</f>
        <v>0</v>
      </c>
      <c r="U100" s="270">
        <f t="shared" ref="U100:Y108" si="61">T100-(U51*$C100)</f>
        <v>0</v>
      </c>
      <c r="V100" s="270">
        <f t="shared" si="61"/>
        <v>0</v>
      </c>
      <c r="W100" s="270">
        <f t="shared" si="61"/>
        <v>0</v>
      </c>
      <c r="X100" s="270">
        <f t="shared" si="61"/>
        <v>-0.5</v>
      </c>
      <c r="Y100" s="271">
        <f t="shared" si="61"/>
        <v>-0.8</v>
      </c>
      <c r="Z100" s="2250"/>
      <c r="AA100" s="3083"/>
      <c r="AB100" s="3097"/>
      <c r="AC100" s="3097"/>
      <c r="AD100" s="3097"/>
      <c r="AE100" s="3097"/>
      <c r="AF100" s="3098"/>
      <c r="AG100" s="307"/>
    </row>
    <row r="101" spans="1:33" s="339" customFormat="1">
      <c r="A101" s="323"/>
      <c r="B101" s="1819">
        <v>20602</v>
      </c>
      <c r="C101" s="1820">
        <v>0.1</v>
      </c>
      <c r="D101" s="1821" t="s">
        <v>607</v>
      </c>
      <c r="E101" s="3161">
        <f>E52*C52/12*6</f>
        <v>0.35000000000000003</v>
      </c>
      <c r="F101" s="514">
        <f t="shared" si="56"/>
        <v>-0.50000000000000011</v>
      </c>
      <c r="G101" s="270">
        <f t="shared" si="57"/>
        <v>-1.3000000000000003</v>
      </c>
      <c r="H101" s="270">
        <f t="shared" si="57"/>
        <v>-1.3000000000000003</v>
      </c>
      <c r="I101" s="270">
        <f t="shared" si="57"/>
        <v>-1.3000000000000003</v>
      </c>
      <c r="J101" s="270">
        <f t="shared" si="57"/>
        <v>-1.3000000000000003</v>
      </c>
      <c r="K101" s="333">
        <f t="shared" si="57"/>
        <v>-1.3000000000000003</v>
      </c>
      <c r="L101" s="2250"/>
      <c r="M101" s="269">
        <f t="shared" si="58"/>
        <v>0</v>
      </c>
      <c r="N101" s="270">
        <f t="shared" si="59"/>
        <v>-0.2</v>
      </c>
      <c r="O101" s="270">
        <f t="shared" si="59"/>
        <v>-0.2</v>
      </c>
      <c r="P101" s="270">
        <f t="shared" si="59"/>
        <v>-0.2</v>
      </c>
      <c r="Q101" s="270">
        <f t="shared" si="59"/>
        <v>-0.2</v>
      </c>
      <c r="R101" s="271">
        <f t="shared" si="59"/>
        <v>-0.2</v>
      </c>
      <c r="S101" s="2250"/>
      <c r="T101" s="269">
        <f t="shared" si="60"/>
        <v>0</v>
      </c>
      <c r="U101" s="270">
        <f t="shared" si="61"/>
        <v>0</v>
      </c>
      <c r="V101" s="270">
        <f t="shared" si="61"/>
        <v>0</v>
      </c>
      <c r="W101" s="270">
        <f t="shared" si="61"/>
        <v>0</v>
      </c>
      <c r="X101" s="270">
        <f t="shared" si="61"/>
        <v>-0.5</v>
      </c>
      <c r="Y101" s="271">
        <f t="shared" si="61"/>
        <v>-0.5</v>
      </c>
      <c r="Z101" s="2250"/>
      <c r="AA101" s="3083"/>
      <c r="AB101" s="3097"/>
      <c r="AC101" s="3097"/>
      <c r="AD101" s="3097"/>
      <c r="AE101" s="3097"/>
      <c r="AF101" s="3098"/>
      <c r="AG101" s="307"/>
    </row>
    <row r="102" spans="1:33" s="339" customFormat="1">
      <c r="A102" s="323"/>
      <c r="B102" s="1819">
        <v>20603</v>
      </c>
      <c r="C102" s="1820">
        <v>0.5</v>
      </c>
      <c r="D102" s="1821" t="s">
        <v>1441</v>
      </c>
      <c r="E102" s="2250"/>
      <c r="F102" s="514">
        <f t="shared" si="56"/>
        <v>0</v>
      </c>
      <c r="G102" s="270">
        <f t="shared" si="57"/>
        <v>0</v>
      </c>
      <c r="H102" s="270">
        <f t="shared" si="57"/>
        <v>0</v>
      </c>
      <c r="I102" s="270">
        <f t="shared" si="57"/>
        <v>0</v>
      </c>
      <c r="J102" s="270">
        <f t="shared" si="57"/>
        <v>0</v>
      </c>
      <c r="K102" s="333">
        <f t="shared" si="57"/>
        <v>0</v>
      </c>
      <c r="L102" s="2250"/>
      <c r="M102" s="269">
        <f t="shared" si="58"/>
        <v>0</v>
      </c>
      <c r="N102" s="270">
        <f t="shared" si="59"/>
        <v>0</v>
      </c>
      <c r="O102" s="270">
        <f t="shared" si="59"/>
        <v>0</v>
      </c>
      <c r="P102" s="270">
        <f t="shared" si="59"/>
        <v>0</v>
      </c>
      <c r="Q102" s="270">
        <f t="shared" si="59"/>
        <v>0</v>
      </c>
      <c r="R102" s="271">
        <f t="shared" si="59"/>
        <v>0</v>
      </c>
      <c r="S102" s="2250"/>
      <c r="T102" s="269">
        <f t="shared" si="60"/>
        <v>0</v>
      </c>
      <c r="U102" s="270">
        <f t="shared" si="61"/>
        <v>0</v>
      </c>
      <c r="V102" s="270">
        <f t="shared" si="61"/>
        <v>0</v>
      </c>
      <c r="W102" s="270">
        <f t="shared" si="61"/>
        <v>0</v>
      </c>
      <c r="X102" s="270">
        <f t="shared" si="61"/>
        <v>0</v>
      </c>
      <c r="Y102" s="271">
        <f t="shared" si="61"/>
        <v>0</v>
      </c>
      <c r="Z102" s="2250"/>
      <c r="AA102" s="3083"/>
      <c r="AB102" s="3097"/>
      <c r="AC102" s="3097"/>
      <c r="AD102" s="3097"/>
      <c r="AE102" s="3097"/>
      <c r="AF102" s="3098"/>
      <c r="AG102" s="307"/>
    </row>
    <row r="103" spans="1:33" s="262" customFormat="1">
      <c r="A103" s="323">
        <v>7</v>
      </c>
      <c r="B103" s="1843">
        <v>208</v>
      </c>
      <c r="C103" s="1844">
        <v>0.2</v>
      </c>
      <c r="D103" s="1840" t="s">
        <v>585</v>
      </c>
      <c r="E103" s="3161">
        <f>E54*C54/12*8</f>
        <v>0.26666666666666666</v>
      </c>
      <c r="F103" s="577">
        <f t="shared" si="56"/>
        <v>0.4</v>
      </c>
      <c r="G103" s="325">
        <f t="shared" si="57"/>
        <v>-31.6</v>
      </c>
      <c r="H103" s="325">
        <f t="shared" si="57"/>
        <v>-31.6</v>
      </c>
      <c r="I103" s="325">
        <f t="shared" si="57"/>
        <v>-31.6</v>
      </c>
      <c r="J103" s="325">
        <f t="shared" si="57"/>
        <v>-31.6</v>
      </c>
      <c r="K103" s="2044">
        <f t="shared" si="57"/>
        <v>-31.6</v>
      </c>
      <c r="L103" s="2250"/>
      <c r="M103" s="324">
        <f t="shared" si="58"/>
        <v>-2</v>
      </c>
      <c r="N103" s="325">
        <f t="shared" si="59"/>
        <v>-2</v>
      </c>
      <c r="O103" s="325">
        <f t="shared" si="59"/>
        <v>-3</v>
      </c>
      <c r="P103" s="325">
        <f t="shared" si="59"/>
        <v>-3.6</v>
      </c>
      <c r="Q103" s="325">
        <f t="shared" si="59"/>
        <v>-3.6</v>
      </c>
      <c r="R103" s="326">
        <f t="shared" si="59"/>
        <v>-3.6</v>
      </c>
      <c r="S103" s="2250"/>
      <c r="T103" s="327">
        <f t="shared" si="60"/>
        <v>0</v>
      </c>
      <c r="U103" s="325">
        <f t="shared" si="61"/>
        <v>-1</v>
      </c>
      <c r="V103" s="325">
        <f t="shared" si="61"/>
        <v>-1</v>
      </c>
      <c r="W103" s="325">
        <f t="shared" si="61"/>
        <v>-1</v>
      </c>
      <c r="X103" s="325">
        <f t="shared" si="61"/>
        <v>-1</v>
      </c>
      <c r="Y103" s="326">
        <f t="shared" si="61"/>
        <v>-1</v>
      </c>
      <c r="Z103" s="2250"/>
      <c r="AA103" s="3083"/>
      <c r="AB103" s="3097"/>
      <c r="AC103" s="3097"/>
      <c r="AD103" s="3097"/>
      <c r="AE103" s="3097"/>
      <c r="AF103" s="3098"/>
      <c r="AG103" s="307"/>
    </row>
    <row r="104" spans="1:33" s="262" customFormat="1">
      <c r="A104" s="323">
        <v>8</v>
      </c>
      <c r="B104" s="1843">
        <v>209</v>
      </c>
      <c r="C104" s="1844">
        <v>0.1</v>
      </c>
      <c r="D104" s="1840" t="s">
        <v>276</v>
      </c>
      <c r="E104" s="2250"/>
      <c r="F104" s="577">
        <f t="shared" si="56"/>
        <v>0</v>
      </c>
      <c r="G104" s="325">
        <f t="shared" si="57"/>
        <v>0</v>
      </c>
      <c r="H104" s="325">
        <f t="shared" si="57"/>
        <v>0</v>
      </c>
      <c r="I104" s="325">
        <f t="shared" si="57"/>
        <v>0</v>
      </c>
      <c r="J104" s="325">
        <f t="shared" si="57"/>
        <v>0</v>
      </c>
      <c r="K104" s="2044">
        <f t="shared" si="57"/>
        <v>0</v>
      </c>
      <c r="L104" s="2250"/>
      <c r="M104" s="324">
        <f t="shared" si="58"/>
        <v>0</v>
      </c>
      <c r="N104" s="325">
        <f t="shared" si="59"/>
        <v>0</v>
      </c>
      <c r="O104" s="325">
        <f t="shared" si="59"/>
        <v>0</v>
      </c>
      <c r="P104" s="325">
        <f t="shared" si="59"/>
        <v>0</v>
      </c>
      <c r="Q104" s="325">
        <f t="shared" si="59"/>
        <v>0</v>
      </c>
      <c r="R104" s="326">
        <f t="shared" si="59"/>
        <v>0</v>
      </c>
      <c r="S104" s="2250"/>
      <c r="T104" s="327">
        <f t="shared" si="60"/>
        <v>0</v>
      </c>
      <c r="U104" s="325">
        <f t="shared" si="61"/>
        <v>0</v>
      </c>
      <c r="V104" s="325">
        <f t="shared" si="61"/>
        <v>0</v>
      </c>
      <c r="W104" s="325">
        <f t="shared" si="61"/>
        <v>0</v>
      </c>
      <c r="X104" s="325">
        <f t="shared" si="61"/>
        <v>0</v>
      </c>
      <c r="Y104" s="326">
        <f t="shared" si="61"/>
        <v>0</v>
      </c>
      <c r="Z104" s="2250"/>
      <c r="AA104" s="3083"/>
      <c r="AB104" s="3097"/>
      <c r="AC104" s="3097"/>
      <c r="AD104" s="3097"/>
      <c r="AE104" s="3097"/>
      <c r="AF104" s="3098"/>
      <c r="AG104" s="307"/>
    </row>
    <row r="105" spans="1:33" s="262" customFormat="1">
      <c r="A105" s="323">
        <v>9</v>
      </c>
      <c r="B105" s="1843">
        <v>212</v>
      </c>
      <c r="C105" s="1844">
        <v>0.2</v>
      </c>
      <c r="D105" s="1845" t="s">
        <v>277</v>
      </c>
      <c r="E105" s="2250"/>
      <c r="F105" s="577">
        <f t="shared" si="56"/>
        <v>0</v>
      </c>
      <c r="G105" s="325">
        <f t="shared" si="57"/>
        <v>0</v>
      </c>
      <c r="H105" s="325">
        <f t="shared" si="57"/>
        <v>0</v>
      </c>
      <c r="I105" s="325">
        <f t="shared" si="57"/>
        <v>0</v>
      </c>
      <c r="J105" s="325">
        <f t="shared" si="57"/>
        <v>-4</v>
      </c>
      <c r="K105" s="2044">
        <f t="shared" si="57"/>
        <v>-15</v>
      </c>
      <c r="L105" s="2250"/>
      <c r="M105" s="324">
        <f t="shared" si="58"/>
        <v>0</v>
      </c>
      <c r="N105" s="325">
        <f t="shared" si="59"/>
        <v>0</v>
      </c>
      <c r="O105" s="325">
        <f t="shared" si="59"/>
        <v>-4</v>
      </c>
      <c r="P105" s="325">
        <f t="shared" si="59"/>
        <v>-4</v>
      </c>
      <c r="Q105" s="325">
        <f t="shared" si="59"/>
        <v>-4</v>
      </c>
      <c r="R105" s="326">
        <f t="shared" si="59"/>
        <v>-4</v>
      </c>
      <c r="S105" s="2250"/>
      <c r="T105" s="327">
        <f t="shared" si="60"/>
        <v>0</v>
      </c>
      <c r="U105" s="325">
        <f t="shared" si="61"/>
        <v>-1</v>
      </c>
      <c r="V105" s="325">
        <f t="shared" si="61"/>
        <v>-1</v>
      </c>
      <c r="W105" s="325">
        <f t="shared" si="61"/>
        <v>-1</v>
      </c>
      <c r="X105" s="325">
        <f t="shared" si="61"/>
        <v>-1</v>
      </c>
      <c r="Y105" s="326">
        <f t="shared" si="61"/>
        <v>-1</v>
      </c>
      <c r="Z105" s="2250"/>
      <c r="AA105" s="3083"/>
      <c r="AB105" s="3097"/>
      <c r="AC105" s="3097"/>
      <c r="AD105" s="3097"/>
      <c r="AE105" s="3097"/>
      <c r="AF105" s="3098"/>
      <c r="AG105" s="307"/>
    </row>
    <row r="106" spans="1:33" s="262" customFormat="1">
      <c r="A106" s="323">
        <v>10</v>
      </c>
      <c r="B106" s="1843">
        <v>213</v>
      </c>
      <c r="C106" s="1844">
        <v>0.2</v>
      </c>
      <c r="D106" s="1834" t="s">
        <v>278</v>
      </c>
      <c r="E106" s="2250"/>
      <c r="F106" s="577">
        <f t="shared" si="56"/>
        <v>0</v>
      </c>
      <c r="G106" s="325">
        <f t="shared" si="57"/>
        <v>0</v>
      </c>
      <c r="H106" s="325">
        <f t="shared" si="57"/>
        <v>0</v>
      </c>
      <c r="I106" s="325">
        <f t="shared" si="57"/>
        <v>0</v>
      </c>
      <c r="J106" s="325">
        <f t="shared" si="57"/>
        <v>0</v>
      </c>
      <c r="K106" s="2044">
        <f t="shared" si="57"/>
        <v>0</v>
      </c>
      <c r="L106" s="2250"/>
      <c r="M106" s="324">
        <f t="shared" si="58"/>
        <v>0</v>
      </c>
      <c r="N106" s="325">
        <f t="shared" si="59"/>
        <v>0</v>
      </c>
      <c r="O106" s="325">
        <f t="shared" si="59"/>
        <v>0</v>
      </c>
      <c r="P106" s="325">
        <f t="shared" si="59"/>
        <v>0</v>
      </c>
      <c r="Q106" s="325">
        <f t="shared" si="59"/>
        <v>0</v>
      </c>
      <c r="R106" s="326">
        <f t="shared" si="59"/>
        <v>0</v>
      </c>
      <c r="S106" s="2250"/>
      <c r="T106" s="327">
        <f t="shared" si="60"/>
        <v>0</v>
      </c>
      <c r="U106" s="325">
        <f t="shared" si="61"/>
        <v>0</v>
      </c>
      <c r="V106" s="325">
        <f t="shared" si="61"/>
        <v>0</v>
      </c>
      <c r="W106" s="325">
        <f t="shared" si="61"/>
        <v>0</v>
      </c>
      <c r="X106" s="325">
        <f t="shared" si="61"/>
        <v>0</v>
      </c>
      <c r="Y106" s="326">
        <f t="shared" si="61"/>
        <v>0</v>
      </c>
      <c r="Z106" s="2250"/>
      <c r="AA106" s="3083"/>
      <c r="AB106" s="3097"/>
      <c r="AC106" s="3097"/>
      <c r="AD106" s="3097"/>
      <c r="AE106" s="3097"/>
      <c r="AF106" s="3098"/>
      <c r="AG106" s="307"/>
    </row>
    <row r="107" spans="1:33" s="262" customFormat="1" ht="25.5">
      <c r="A107" s="328">
        <v>11</v>
      </c>
      <c r="B107" s="1843">
        <v>215</v>
      </c>
      <c r="C107" s="1844">
        <v>0.2</v>
      </c>
      <c r="D107" s="1834" t="s">
        <v>911</v>
      </c>
      <c r="E107" s="2250"/>
      <c r="F107" s="577">
        <f t="shared" si="56"/>
        <v>0</v>
      </c>
      <c r="G107" s="325">
        <f t="shared" si="57"/>
        <v>0</v>
      </c>
      <c r="H107" s="325">
        <f t="shared" si="57"/>
        <v>0</v>
      </c>
      <c r="I107" s="325">
        <f t="shared" si="57"/>
        <v>0</v>
      </c>
      <c r="J107" s="325">
        <f t="shared" si="57"/>
        <v>0</v>
      </c>
      <c r="K107" s="2044">
        <f t="shared" si="57"/>
        <v>0</v>
      </c>
      <c r="L107" s="2250"/>
      <c r="M107" s="324">
        <f t="shared" si="58"/>
        <v>0</v>
      </c>
      <c r="N107" s="325">
        <f t="shared" si="59"/>
        <v>0</v>
      </c>
      <c r="O107" s="325">
        <f t="shared" si="59"/>
        <v>0</v>
      </c>
      <c r="P107" s="325">
        <f t="shared" si="59"/>
        <v>0</v>
      </c>
      <c r="Q107" s="325">
        <f t="shared" si="59"/>
        <v>0</v>
      </c>
      <c r="R107" s="326">
        <f t="shared" si="59"/>
        <v>0</v>
      </c>
      <c r="S107" s="2250"/>
      <c r="T107" s="327">
        <f t="shared" si="60"/>
        <v>0</v>
      </c>
      <c r="U107" s="325">
        <f t="shared" si="61"/>
        <v>0</v>
      </c>
      <c r="V107" s="325">
        <f t="shared" si="61"/>
        <v>0</v>
      </c>
      <c r="W107" s="325">
        <f t="shared" si="61"/>
        <v>0</v>
      </c>
      <c r="X107" s="325">
        <f t="shared" si="61"/>
        <v>0</v>
      </c>
      <c r="Y107" s="326">
        <f t="shared" si="61"/>
        <v>0</v>
      </c>
      <c r="Z107" s="2250"/>
      <c r="AA107" s="3083"/>
      <c r="AB107" s="3097"/>
      <c r="AC107" s="3097"/>
      <c r="AD107" s="3097"/>
      <c r="AE107" s="3097"/>
      <c r="AF107" s="3098"/>
      <c r="AG107" s="307"/>
    </row>
    <row r="108" spans="1:33" s="262" customFormat="1" ht="13.5" thickBot="1">
      <c r="A108" s="334">
        <v>12</v>
      </c>
      <c r="B108" s="334">
        <v>219</v>
      </c>
      <c r="C108" s="335">
        <v>0.1</v>
      </c>
      <c r="D108" s="336" t="s">
        <v>279</v>
      </c>
      <c r="E108" s="2250"/>
      <c r="F108" s="578">
        <f t="shared" si="56"/>
        <v>0</v>
      </c>
      <c r="G108" s="330">
        <f t="shared" si="57"/>
        <v>0</v>
      </c>
      <c r="H108" s="330">
        <f t="shared" si="57"/>
        <v>0</v>
      </c>
      <c r="I108" s="330">
        <f t="shared" si="57"/>
        <v>0</v>
      </c>
      <c r="J108" s="330">
        <f t="shared" si="57"/>
        <v>0</v>
      </c>
      <c r="K108" s="2045">
        <f t="shared" si="57"/>
        <v>0</v>
      </c>
      <c r="L108" s="2250"/>
      <c r="M108" s="329">
        <f t="shared" si="58"/>
        <v>0</v>
      </c>
      <c r="N108" s="330">
        <f t="shared" si="59"/>
        <v>0</v>
      </c>
      <c r="O108" s="330">
        <f t="shared" si="59"/>
        <v>0</v>
      </c>
      <c r="P108" s="330">
        <f t="shared" si="59"/>
        <v>0</v>
      </c>
      <c r="Q108" s="330">
        <f t="shared" si="59"/>
        <v>0</v>
      </c>
      <c r="R108" s="331">
        <f t="shared" si="59"/>
        <v>0</v>
      </c>
      <c r="S108" s="2250"/>
      <c r="T108" s="332">
        <f t="shared" si="60"/>
        <v>0</v>
      </c>
      <c r="U108" s="330">
        <f t="shared" si="61"/>
        <v>0</v>
      </c>
      <c r="V108" s="330">
        <f t="shared" si="61"/>
        <v>0</v>
      </c>
      <c r="W108" s="330">
        <f t="shared" si="61"/>
        <v>0</v>
      </c>
      <c r="X108" s="330">
        <f t="shared" si="61"/>
        <v>0</v>
      </c>
      <c r="Y108" s="331">
        <f t="shared" si="61"/>
        <v>0</v>
      </c>
      <c r="Z108" s="2250"/>
      <c r="AA108" s="3099"/>
      <c r="AB108" s="3100"/>
      <c r="AC108" s="3100"/>
      <c r="AD108" s="3100"/>
      <c r="AE108" s="3100"/>
      <c r="AF108" s="3101"/>
      <c r="AG108" s="307"/>
    </row>
    <row r="109" spans="1:33" s="262" customFormat="1" ht="40.5" customHeight="1" thickBot="1">
      <c r="A109" s="245" t="s">
        <v>596</v>
      </c>
      <c r="B109" s="245"/>
      <c r="C109" s="245"/>
      <c r="D109" s="2034" t="s">
        <v>867</v>
      </c>
      <c r="E109" s="2034"/>
      <c r="F109" s="2035"/>
      <c r="G109" s="2035"/>
      <c r="H109" s="2035"/>
      <c r="I109" s="2035"/>
      <c r="J109" s="2035"/>
      <c r="K109" s="2035"/>
      <c r="L109" s="2034"/>
      <c r="M109" s="2035"/>
      <c r="N109" s="2035"/>
      <c r="O109" s="2035"/>
      <c r="P109" s="2035"/>
      <c r="Q109" s="2035"/>
      <c r="R109" s="2036"/>
      <c r="S109" s="2034"/>
      <c r="T109" s="2035"/>
      <c r="U109" s="2035"/>
      <c r="V109" s="2035"/>
      <c r="W109" s="2035"/>
      <c r="X109" s="2035"/>
      <c r="Y109" s="2036"/>
      <c r="Z109" s="2034"/>
      <c r="AA109" s="2035"/>
      <c r="AB109" s="2035"/>
      <c r="AC109" s="2035"/>
      <c r="AD109" s="2035"/>
      <c r="AE109" s="2035"/>
      <c r="AF109" s="2036"/>
      <c r="AG109" s="307"/>
    </row>
    <row r="110" spans="1:33" s="262" customFormat="1" ht="19.5" customHeight="1" thickBot="1">
      <c r="A110" s="3027" t="s">
        <v>642</v>
      </c>
      <c r="B110" s="3028"/>
      <c r="C110" s="3028"/>
      <c r="D110" s="3028" t="s">
        <v>1527</v>
      </c>
      <c r="E110" s="654">
        <f>SUM(E111:E131)</f>
        <v>0</v>
      </c>
      <c r="F110" s="655">
        <f>SUM(F111:F131)</f>
        <v>0</v>
      </c>
      <c r="G110" s="656">
        <f t="shared" ref="G110:AF110" si="62">SUM(G111:G131)</f>
        <v>0</v>
      </c>
      <c r="H110" s="656">
        <f t="shared" si="62"/>
        <v>0</v>
      </c>
      <c r="I110" s="656">
        <f t="shared" si="62"/>
        <v>0</v>
      </c>
      <c r="J110" s="656">
        <f t="shared" si="62"/>
        <v>0</v>
      </c>
      <c r="K110" s="657">
        <f t="shared" si="62"/>
        <v>0</v>
      </c>
      <c r="L110" s="341">
        <f t="shared" si="62"/>
        <v>0</v>
      </c>
      <c r="M110" s="655">
        <f t="shared" si="62"/>
        <v>0</v>
      </c>
      <c r="N110" s="656">
        <f t="shared" si="62"/>
        <v>0</v>
      </c>
      <c r="O110" s="656">
        <f t="shared" si="62"/>
        <v>0</v>
      </c>
      <c r="P110" s="656">
        <f t="shared" si="62"/>
        <v>0</v>
      </c>
      <c r="Q110" s="656">
        <f t="shared" si="62"/>
        <v>0</v>
      </c>
      <c r="R110" s="658">
        <f t="shared" si="62"/>
        <v>0</v>
      </c>
      <c r="S110" s="654">
        <f t="shared" si="62"/>
        <v>0</v>
      </c>
      <c r="T110" s="655">
        <f t="shared" si="62"/>
        <v>0</v>
      </c>
      <c r="U110" s="656">
        <f t="shared" si="62"/>
        <v>0</v>
      </c>
      <c r="V110" s="656">
        <f t="shared" si="62"/>
        <v>0</v>
      </c>
      <c r="W110" s="656">
        <f t="shared" si="62"/>
        <v>0</v>
      </c>
      <c r="X110" s="656">
        <f t="shared" si="62"/>
        <v>0</v>
      </c>
      <c r="Y110" s="658">
        <f t="shared" si="62"/>
        <v>0</v>
      </c>
      <c r="Z110" s="654">
        <f t="shared" si="62"/>
        <v>0</v>
      </c>
      <c r="AA110" s="655">
        <f t="shared" si="62"/>
        <v>0</v>
      </c>
      <c r="AB110" s="656">
        <f t="shared" si="62"/>
        <v>0</v>
      </c>
      <c r="AC110" s="656">
        <f t="shared" si="62"/>
        <v>0</v>
      </c>
      <c r="AD110" s="656">
        <f t="shared" si="62"/>
        <v>0</v>
      </c>
      <c r="AE110" s="656">
        <f t="shared" si="62"/>
        <v>0</v>
      </c>
      <c r="AF110" s="658">
        <f t="shared" si="62"/>
        <v>0</v>
      </c>
      <c r="AG110" s="307"/>
    </row>
    <row r="111" spans="1:33" s="262" customFormat="1">
      <c r="A111" s="278">
        <v>1</v>
      </c>
      <c r="B111" s="1629" t="s">
        <v>949</v>
      </c>
      <c r="C111" s="1633">
        <v>0</v>
      </c>
      <c r="D111" s="1637" t="s">
        <v>760</v>
      </c>
      <c r="E111" s="3044"/>
      <c r="F111" s="799"/>
      <c r="G111" s="786"/>
      <c r="H111" s="786"/>
      <c r="I111" s="786"/>
      <c r="J111" s="786"/>
      <c r="K111" s="2421"/>
      <c r="L111" s="3044"/>
      <c r="M111" s="799"/>
      <c r="N111" s="786"/>
      <c r="O111" s="786"/>
      <c r="P111" s="786"/>
      <c r="Q111" s="786"/>
      <c r="R111" s="2421"/>
      <c r="S111" s="3044"/>
      <c r="T111" s="799"/>
      <c r="U111" s="786"/>
      <c r="V111" s="786"/>
      <c r="W111" s="786"/>
      <c r="X111" s="786"/>
      <c r="Y111" s="795"/>
      <c r="Z111" s="3102"/>
      <c r="AA111" s="3103"/>
      <c r="AB111" s="3104"/>
      <c r="AC111" s="3104"/>
      <c r="AD111" s="3104"/>
      <c r="AE111" s="3104"/>
      <c r="AF111" s="3105"/>
      <c r="AG111" s="307"/>
    </row>
    <row r="112" spans="1:33" s="262" customFormat="1">
      <c r="A112" s="278">
        <v>2</v>
      </c>
      <c r="B112" s="1631" t="s">
        <v>950</v>
      </c>
      <c r="C112" s="1633">
        <v>0.03</v>
      </c>
      <c r="D112" s="1635" t="s">
        <v>598</v>
      </c>
      <c r="E112" s="3044"/>
      <c r="F112" s="799"/>
      <c r="G112" s="786"/>
      <c r="H112" s="786"/>
      <c r="I112" s="786"/>
      <c r="J112" s="786"/>
      <c r="K112" s="2421"/>
      <c r="L112" s="3044"/>
      <c r="M112" s="799"/>
      <c r="N112" s="786"/>
      <c r="O112" s="786"/>
      <c r="P112" s="786"/>
      <c r="Q112" s="786"/>
      <c r="R112" s="2421"/>
      <c r="S112" s="3044"/>
      <c r="T112" s="799"/>
      <c r="U112" s="786"/>
      <c r="V112" s="786"/>
      <c r="W112" s="786"/>
      <c r="X112" s="786"/>
      <c r="Y112" s="795"/>
      <c r="Z112" s="3044"/>
      <c r="AA112" s="3106"/>
      <c r="AB112" s="3107"/>
      <c r="AC112" s="3107"/>
      <c r="AD112" s="3107"/>
      <c r="AE112" s="3107"/>
      <c r="AF112" s="3108"/>
      <c r="AG112" s="307"/>
    </row>
    <row r="113" spans="1:33" s="262" customFormat="1">
      <c r="A113" s="278">
        <v>3</v>
      </c>
      <c r="B113" s="1631">
        <v>911301</v>
      </c>
      <c r="C113" s="1632">
        <v>0.1</v>
      </c>
      <c r="D113" s="1635" t="s">
        <v>599</v>
      </c>
      <c r="E113" s="3044"/>
      <c r="F113" s="799"/>
      <c r="G113" s="786"/>
      <c r="H113" s="786"/>
      <c r="I113" s="786"/>
      <c r="J113" s="786"/>
      <c r="K113" s="2421"/>
      <c r="L113" s="3044"/>
      <c r="M113" s="799"/>
      <c r="N113" s="786"/>
      <c r="O113" s="786"/>
      <c r="P113" s="786"/>
      <c r="Q113" s="786"/>
      <c r="R113" s="2421"/>
      <c r="S113" s="3044"/>
      <c r="T113" s="799"/>
      <c r="U113" s="786"/>
      <c r="V113" s="786"/>
      <c r="W113" s="786"/>
      <c r="X113" s="786"/>
      <c r="Y113" s="795"/>
      <c r="Z113" s="3044"/>
      <c r="AA113" s="3106"/>
      <c r="AB113" s="3107"/>
      <c r="AC113" s="3107"/>
      <c r="AD113" s="3107"/>
      <c r="AE113" s="3107"/>
      <c r="AF113" s="3108"/>
      <c r="AG113" s="307"/>
    </row>
    <row r="114" spans="1:33" s="262" customFormat="1">
      <c r="A114" s="278">
        <v>4</v>
      </c>
      <c r="B114" s="1631">
        <v>911302</v>
      </c>
      <c r="C114" s="1632">
        <v>0.1</v>
      </c>
      <c r="D114" s="1635" t="s">
        <v>600</v>
      </c>
      <c r="E114" s="3044"/>
      <c r="F114" s="799"/>
      <c r="G114" s="786"/>
      <c r="H114" s="786"/>
      <c r="I114" s="786"/>
      <c r="J114" s="786"/>
      <c r="K114" s="2421"/>
      <c r="L114" s="3044"/>
      <c r="M114" s="799"/>
      <c r="N114" s="786"/>
      <c r="O114" s="786"/>
      <c r="P114" s="786"/>
      <c r="Q114" s="786"/>
      <c r="R114" s="2421"/>
      <c r="S114" s="3044"/>
      <c r="T114" s="799"/>
      <c r="U114" s="786"/>
      <c r="V114" s="786"/>
      <c r="W114" s="786"/>
      <c r="X114" s="786"/>
      <c r="Y114" s="795"/>
      <c r="Z114" s="3044"/>
      <c r="AA114" s="3106"/>
      <c r="AB114" s="3107"/>
      <c r="AC114" s="3107"/>
      <c r="AD114" s="3107"/>
      <c r="AE114" s="3107"/>
      <c r="AF114" s="3108"/>
      <c r="AG114" s="307"/>
    </row>
    <row r="115" spans="1:33" s="262" customFormat="1">
      <c r="A115" s="278">
        <v>5</v>
      </c>
      <c r="B115" s="1631" t="s">
        <v>967</v>
      </c>
      <c r="C115" s="1632">
        <v>0.1</v>
      </c>
      <c r="D115" s="1625" t="s">
        <v>579</v>
      </c>
      <c r="E115" s="3044"/>
      <c r="F115" s="799"/>
      <c r="G115" s="786"/>
      <c r="H115" s="786"/>
      <c r="I115" s="786"/>
      <c r="J115" s="786"/>
      <c r="K115" s="2421"/>
      <c r="L115" s="3044"/>
      <c r="M115" s="799"/>
      <c r="N115" s="786"/>
      <c r="O115" s="786"/>
      <c r="P115" s="786"/>
      <c r="Q115" s="786"/>
      <c r="R115" s="2421"/>
      <c r="S115" s="3044"/>
      <c r="T115" s="799"/>
      <c r="U115" s="786"/>
      <c r="V115" s="786"/>
      <c r="W115" s="786"/>
      <c r="X115" s="786"/>
      <c r="Y115" s="795"/>
      <c r="Z115" s="3044"/>
      <c r="AA115" s="3106"/>
      <c r="AB115" s="3107"/>
      <c r="AC115" s="3107"/>
      <c r="AD115" s="3107"/>
      <c r="AE115" s="3107"/>
      <c r="AF115" s="3108"/>
      <c r="AG115" s="307"/>
    </row>
    <row r="116" spans="1:33" s="262" customFormat="1">
      <c r="A116" s="278">
        <v>6</v>
      </c>
      <c r="B116" s="1631" t="s">
        <v>968</v>
      </c>
      <c r="C116" s="1632">
        <v>0.1</v>
      </c>
      <c r="D116" s="1625" t="s">
        <v>580</v>
      </c>
      <c r="E116" s="3044"/>
      <c r="F116" s="799"/>
      <c r="G116" s="786"/>
      <c r="H116" s="786"/>
      <c r="I116" s="786"/>
      <c r="J116" s="786"/>
      <c r="K116" s="2421"/>
      <c r="L116" s="3044"/>
      <c r="M116" s="799"/>
      <c r="N116" s="786"/>
      <c r="O116" s="786"/>
      <c r="P116" s="786"/>
      <c r="Q116" s="786"/>
      <c r="R116" s="2421"/>
      <c r="S116" s="3044"/>
      <c r="T116" s="799"/>
      <c r="U116" s="786"/>
      <c r="V116" s="786"/>
      <c r="W116" s="786"/>
      <c r="X116" s="786"/>
      <c r="Y116" s="795"/>
      <c r="Z116" s="3044"/>
      <c r="AA116" s="3106"/>
      <c r="AB116" s="3107"/>
      <c r="AC116" s="3107"/>
      <c r="AD116" s="3107"/>
      <c r="AE116" s="3107"/>
      <c r="AF116" s="3108"/>
      <c r="AG116" s="307"/>
    </row>
    <row r="117" spans="1:33" s="262" customFormat="1" ht="24">
      <c r="A117" s="278">
        <v>7</v>
      </c>
      <c r="B117" s="1631" t="s">
        <v>959</v>
      </c>
      <c r="C117" s="1632">
        <v>0.1</v>
      </c>
      <c r="D117" s="1625" t="s">
        <v>948</v>
      </c>
      <c r="E117" s="3044"/>
      <c r="F117" s="799"/>
      <c r="G117" s="786"/>
      <c r="H117" s="786"/>
      <c r="I117" s="786"/>
      <c r="J117" s="786"/>
      <c r="K117" s="2421"/>
      <c r="L117" s="3044"/>
      <c r="M117" s="799"/>
      <c r="N117" s="786"/>
      <c r="O117" s="786"/>
      <c r="P117" s="786"/>
      <c r="Q117" s="786"/>
      <c r="R117" s="2421"/>
      <c r="S117" s="3044"/>
      <c r="T117" s="799"/>
      <c r="U117" s="786"/>
      <c r="V117" s="786"/>
      <c r="W117" s="786"/>
      <c r="X117" s="786"/>
      <c r="Y117" s="795"/>
      <c r="Z117" s="3044"/>
      <c r="AA117" s="3106"/>
      <c r="AB117" s="3107"/>
      <c r="AC117" s="3107"/>
      <c r="AD117" s="3107"/>
      <c r="AE117" s="3107"/>
      <c r="AF117" s="3108"/>
      <c r="AG117" s="307"/>
    </row>
    <row r="118" spans="1:33" s="262" customFormat="1">
      <c r="A118" s="278">
        <v>8</v>
      </c>
      <c r="B118" s="1631" t="s">
        <v>969</v>
      </c>
      <c r="C118" s="1632">
        <v>0.1</v>
      </c>
      <c r="D118" s="1625" t="s">
        <v>966</v>
      </c>
      <c r="E118" s="3044"/>
      <c r="F118" s="799"/>
      <c r="G118" s="786"/>
      <c r="H118" s="786"/>
      <c r="I118" s="786"/>
      <c r="J118" s="786"/>
      <c r="K118" s="2421"/>
      <c r="L118" s="3044"/>
      <c r="M118" s="799"/>
      <c r="N118" s="786"/>
      <c r="O118" s="786"/>
      <c r="P118" s="786"/>
      <c r="Q118" s="786"/>
      <c r="R118" s="2421"/>
      <c r="S118" s="3044"/>
      <c r="T118" s="799"/>
      <c r="U118" s="786"/>
      <c r="V118" s="786"/>
      <c r="W118" s="786"/>
      <c r="X118" s="786"/>
      <c r="Y118" s="795"/>
      <c r="Z118" s="3044"/>
      <c r="AA118" s="3106"/>
      <c r="AB118" s="3107"/>
      <c r="AC118" s="3107"/>
      <c r="AD118" s="3107"/>
      <c r="AE118" s="3107"/>
      <c r="AF118" s="3108"/>
      <c r="AG118" s="307"/>
    </row>
    <row r="119" spans="1:33" s="262" customFormat="1">
      <c r="A119" s="608">
        <v>9</v>
      </c>
      <c r="B119" s="1631">
        <v>911306</v>
      </c>
      <c r="C119" s="1632">
        <v>0.1</v>
      </c>
      <c r="D119" s="1635" t="s">
        <v>1471</v>
      </c>
      <c r="E119" s="3044"/>
      <c r="F119" s="799"/>
      <c r="G119" s="786"/>
      <c r="H119" s="786"/>
      <c r="I119" s="786"/>
      <c r="J119" s="786"/>
      <c r="K119" s="2421"/>
      <c r="L119" s="3044"/>
      <c r="M119" s="799"/>
      <c r="N119" s="786"/>
      <c r="O119" s="786"/>
      <c r="P119" s="786"/>
      <c r="Q119" s="786"/>
      <c r="R119" s="2421"/>
      <c r="S119" s="3044"/>
      <c r="T119" s="799"/>
      <c r="U119" s="786"/>
      <c r="V119" s="786"/>
      <c r="W119" s="786"/>
      <c r="X119" s="786"/>
      <c r="Y119" s="795"/>
      <c r="Z119" s="3044"/>
      <c r="AA119" s="3106"/>
      <c r="AB119" s="3107"/>
      <c r="AC119" s="3107"/>
      <c r="AD119" s="3107"/>
      <c r="AE119" s="3107"/>
      <c r="AF119" s="3108"/>
      <c r="AG119" s="307"/>
    </row>
    <row r="120" spans="1:33" s="262" customFormat="1">
      <c r="A120" s="608">
        <v>10</v>
      </c>
      <c r="B120" s="1631">
        <v>91140101</v>
      </c>
      <c r="C120" s="1636">
        <v>0.1</v>
      </c>
      <c r="D120" s="1637" t="s">
        <v>1442</v>
      </c>
      <c r="E120" s="3044"/>
      <c r="F120" s="799"/>
      <c r="G120" s="786"/>
      <c r="H120" s="786"/>
      <c r="I120" s="786"/>
      <c r="J120" s="786"/>
      <c r="K120" s="2421"/>
      <c r="L120" s="3044"/>
      <c r="M120" s="799"/>
      <c r="N120" s="786"/>
      <c r="O120" s="786"/>
      <c r="P120" s="786"/>
      <c r="Q120" s="786"/>
      <c r="R120" s="2421"/>
      <c r="S120" s="3044"/>
      <c r="T120" s="799"/>
      <c r="U120" s="786"/>
      <c r="V120" s="786"/>
      <c r="W120" s="786"/>
      <c r="X120" s="786"/>
      <c r="Y120" s="795"/>
      <c r="Z120" s="3044"/>
      <c r="AA120" s="3106"/>
      <c r="AB120" s="3107"/>
      <c r="AC120" s="3107"/>
      <c r="AD120" s="3107"/>
      <c r="AE120" s="3107"/>
      <c r="AF120" s="3108"/>
      <c r="AG120" s="307"/>
    </row>
    <row r="121" spans="1:33" s="262" customFormat="1">
      <c r="A121" s="608">
        <v>11</v>
      </c>
      <c r="B121" s="1631">
        <v>91140102</v>
      </c>
      <c r="C121" s="1636">
        <v>0.04</v>
      </c>
      <c r="D121" s="1637" t="s">
        <v>604</v>
      </c>
      <c r="E121" s="3044"/>
      <c r="F121" s="799"/>
      <c r="G121" s="786"/>
      <c r="H121" s="786"/>
      <c r="I121" s="786"/>
      <c r="J121" s="786"/>
      <c r="K121" s="2421"/>
      <c r="L121" s="3044"/>
      <c r="M121" s="799"/>
      <c r="N121" s="786"/>
      <c r="O121" s="786"/>
      <c r="P121" s="786"/>
      <c r="Q121" s="786"/>
      <c r="R121" s="2421"/>
      <c r="S121" s="3044"/>
      <c r="T121" s="799"/>
      <c r="U121" s="786"/>
      <c r="V121" s="786"/>
      <c r="W121" s="786"/>
      <c r="X121" s="786"/>
      <c r="Y121" s="795"/>
      <c r="Z121" s="3044"/>
      <c r="AA121" s="3106"/>
      <c r="AB121" s="3107"/>
      <c r="AC121" s="3107"/>
      <c r="AD121" s="3107"/>
      <c r="AE121" s="3107"/>
      <c r="AF121" s="3108"/>
      <c r="AG121" s="307"/>
    </row>
    <row r="122" spans="1:33" s="262" customFormat="1">
      <c r="A122" s="608">
        <v>12</v>
      </c>
      <c r="B122" s="1631" t="s">
        <v>951</v>
      </c>
      <c r="C122" s="1632">
        <v>0.02</v>
      </c>
      <c r="D122" s="1623" t="s">
        <v>1007</v>
      </c>
      <c r="E122" s="3044"/>
      <c r="F122" s="799"/>
      <c r="G122" s="786"/>
      <c r="H122" s="786"/>
      <c r="I122" s="786"/>
      <c r="J122" s="786"/>
      <c r="K122" s="2421"/>
      <c r="L122" s="3044"/>
      <c r="M122" s="799"/>
      <c r="N122" s="786"/>
      <c r="O122" s="786"/>
      <c r="P122" s="786"/>
      <c r="Q122" s="786"/>
      <c r="R122" s="2421"/>
      <c r="S122" s="3044"/>
      <c r="T122" s="799"/>
      <c r="U122" s="786"/>
      <c r="V122" s="786"/>
      <c r="W122" s="786"/>
      <c r="X122" s="786"/>
      <c r="Y122" s="795"/>
      <c r="Z122" s="3044"/>
      <c r="AA122" s="3106"/>
      <c r="AB122" s="3107"/>
      <c r="AC122" s="3107"/>
      <c r="AD122" s="3107"/>
      <c r="AE122" s="3107"/>
      <c r="AF122" s="3108"/>
      <c r="AG122" s="307"/>
    </row>
    <row r="123" spans="1:33" s="262" customFormat="1">
      <c r="A123" s="608">
        <v>13</v>
      </c>
      <c r="B123" s="1631" t="s">
        <v>952</v>
      </c>
      <c r="C123" s="1632">
        <v>0.02</v>
      </c>
      <c r="D123" s="1623" t="s">
        <v>1008</v>
      </c>
      <c r="E123" s="3044"/>
      <c r="F123" s="799"/>
      <c r="G123" s="786"/>
      <c r="H123" s="786"/>
      <c r="I123" s="786"/>
      <c r="J123" s="786"/>
      <c r="K123" s="2421"/>
      <c r="L123" s="3044"/>
      <c r="M123" s="799"/>
      <c r="N123" s="786"/>
      <c r="O123" s="786"/>
      <c r="P123" s="786"/>
      <c r="Q123" s="786"/>
      <c r="R123" s="2421"/>
      <c r="S123" s="3044"/>
      <c r="T123" s="799"/>
      <c r="U123" s="786"/>
      <c r="V123" s="786"/>
      <c r="W123" s="786"/>
      <c r="X123" s="786"/>
      <c r="Y123" s="795"/>
      <c r="Z123" s="3044"/>
      <c r="AA123" s="3106"/>
      <c r="AB123" s="3107"/>
      <c r="AC123" s="3107"/>
      <c r="AD123" s="3107"/>
      <c r="AE123" s="3107"/>
      <c r="AF123" s="3108"/>
      <c r="AG123" s="307"/>
    </row>
    <row r="124" spans="1:33" s="262" customFormat="1">
      <c r="A124" s="608">
        <v>14</v>
      </c>
      <c r="B124" s="1631" t="s">
        <v>953</v>
      </c>
      <c r="C124" s="1632">
        <v>0.02</v>
      </c>
      <c r="D124" s="1623" t="s">
        <v>590</v>
      </c>
      <c r="E124" s="3044"/>
      <c r="F124" s="799"/>
      <c r="G124" s="786"/>
      <c r="H124" s="786"/>
      <c r="I124" s="786"/>
      <c r="J124" s="786"/>
      <c r="K124" s="2421"/>
      <c r="L124" s="3044"/>
      <c r="M124" s="799"/>
      <c r="N124" s="786"/>
      <c r="O124" s="786"/>
      <c r="P124" s="786"/>
      <c r="Q124" s="786"/>
      <c r="R124" s="2421"/>
      <c r="S124" s="3044"/>
      <c r="T124" s="799"/>
      <c r="U124" s="786"/>
      <c r="V124" s="786"/>
      <c r="W124" s="786"/>
      <c r="X124" s="786"/>
      <c r="Y124" s="795"/>
      <c r="Z124" s="3044"/>
      <c r="AA124" s="3106"/>
      <c r="AB124" s="3107"/>
      <c r="AC124" s="3107"/>
      <c r="AD124" s="3107"/>
      <c r="AE124" s="3107"/>
      <c r="AF124" s="3108"/>
      <c r="AG124" s="307"/>
    </row>
    <row r="125" spans="1:33" s="262" customFormat="1">
      <c r="A125" s="608">
        <v>15</v>
      </c>
      <c r="B125" s="1631" t="s">
        <v>954</v>
      </c>
      <c r="C125" s="1632">
        <v>0.02</v>
      </c>
      <c r="D125" s="1637" t="s">
        <v>591</v>
      </c>
      <c r="E125" s="3044"/>
      <c r="F125" s="799"/>
      <c r="G125" s="786"/>
      <c r="H125" s="786"/>
      <c r="I125" s="786"/>
      <c r="J125" s="786"/>
      <c r="K125" s="2421"/>
      <c r="L125" s="3044"/>
      <c r="M125" s="799"/>
      <c r="N125" s="786"/>
      <c r="O125" s="786"/>
      <c r="P125" s="786"/>
      <c r="Q125" s="786"/>
      <c r="R125" s="2421"/>
      <c r="S125" s="3044"/>
      <c r="T125" s="799"/>
      <c r="U125" s="786"/>
      <c r="V125" s="786"/>
      <c r="W125" s="786"/>
      <c r="X125" s="786"/>
      <c r="Y125" s="795"/>
      <c r="Z125" s="3044"/>
      <c r="AA125" s="3106"/>
      <c r="AB125" s="3107"/>
      <c r="AC125" s="3107"/>
      <c r="AD125" s="3107"/>
      <c r="AE125" s="3107"/>
      <c r="AF125" s="3108"/>
      <c r="AG125" s="307"/>
    </row>
    <row r="126" spans="1:33" s="262" customFormat="1">
      <c r="A126" s="608">
        <v>16</v>
      </c>
      <c r="B126" s="1631" t="s">
        <v>955</v>
      </c>
      <c r="C126" s="1632">
        <v>0.02</v>
      </c>
      <c r="D126" s="1623" t="s">
        <v>592</v>
      </c>
      <c r="E126" s="3044"/>
      <c r="F126" s="799"/>
      <c r="G126" s="786"/>
      <c r="H126" s="786"/>
      <c r="I126" s="786"/>
      <c r="J126" s="786"/>
      <c r="K126" s="2421"/>
      <c r="L126" s="3044"/>
      <c r="M126" s="799"/>
      <c r="N126" s="786"/>
      <c r="O126" s="786"/>
      <c r="P126" s="786"/>
      <c r="Q126" s="786"/>
      <c r="R126" s="2421"/>
      <c r="S126" s="3044"/>
      <c r="T126" s="799"/>
      <c r="U126" s="786"/>
      <c r="V126" s="786"/>
      <c r="W126" s="786"/>
      <c r="X126" s="786"/>
      <c r="Y126" s="795"/>
      <c r="Z126" s="3044"/>
      <c r="AA126" s="3106"/>
      <c r="AB126" s="3107"/>
      <c r="AC126" s="3107"/>
      <c r="AD126" s="3107"/>
      <c r="AE126" s="3107"/>
      <c r="AF126" s="3108"/>
      <c r="AG126" s="307"/>
    </row>
    <row r="127" spans="1:33" s="262" customFormat="1">
      <c r="A127" s="608">
        <v>17</v>
      </c>
      <c r="B127" s="1631" t="s">
        <v>956</v>
      </c>
      <c r="C127" s="1632">
        <v>0.02</v>
      </c>
      <c r="D127" s="1625" t="s">
        <v>593</v>
      </c>
      <c r="E127" s="3044"/>
      <c r="F127" s="799"/>
      <c r="G127" s="786"/>
      <c r="H127" s="786"/>
      <c r="I127" s="786"/>
      <c r="J127" s="786"/>
      <c r="K127" s="2421"/>
      <c r="L127" s="3044"/>
      <c r="M127" s="799"/>
      <c r="N127" s="786"/>
      <c r="O127" s="786"/>
      <c r="P127" s="786"/>
      <c r="Q127" s="786"/>
      <c r="R127" s="2421"/>
      <c r="S127" s="3044"/>
      <c r="T127" s="799"/>
      <c r="U127" s="786"/>
      <c r="V127" s="786"/>
      <c r="W127" s="786"/>
      <c r="X127" s="786"/>
      <c r="Y127" s="795"/>
      <c r="Z127" s="3044"/>
      <c r="AA127" s="3106"/>
      <c r="AB127" s="3107"/>
      <c r="AC127" s="3107"/>
      <c r="AD127" s="3107"/>
      <c r="AE127" s="3107"/>
      <c r="AF127" s="3108"/>
      <c r="AG127" s="307"/>
    </row>
    <row r="128" spans="1:33" s="262" customFormat="1" ht="24">
      <c r="A128" s="608">
        <v>18</v>
      </c>
      <c r="B128" s="1631" t="s">
        <v>957</v>
      </c>
      <c r="C128" s="1632">
        <v>0.04</v>
      </c>
      <c r="D128" s="1625" t="s">
        <v>594</v>
      </c>
      <c r="E128" s="3044"/>
      <c r="F128" s="799"/>
      <c r="G128" s="786"/>
      <c r="H128" s="786"/>
      <c r="I128" s="786"/>
      <c r="J128" s="786"/>
      <c r="K128" s="2421"/>
      <c r="L128" s="3044"/>
      <c r="M128" s="799"/>
      <c r="N128" s="786"/>
      <c r="O128" s="786"/>
      <c r="P128" s="786"/>
      <c r="Q128" s="786"/>
      <c r="R128" s="2421"/>
      <c r="S128" s="3044"/>
      <c r="T128" s="799"/>
      <c r="U128" s="786"/>
      <c r="V128" s="786"/>
      <c r="W128" s="786"/>
      <c r="X128" s="786"/>
      <c r="Y128" s="795"/>
      <c r="Z128" s="3044"/>
      <c r="AA128" s="3106"/>
      <c r="AB128" s="3107"/>
      <c r="AC128" s="3107"/>
      <c r="AD128" s="3107"/>
      <c r="AE128" s="3107"/>
      <c r="AF128" s="3108"/>
      <c r="AG128" s="307"/>
    </row>
    <row r="129" spans="1:33" s="262" customFormat="1">
      <c r="A129" s="608">
        <v>19</v>
      </c>
      <c r="B129" s="1631" t="s">
        <v>958</v>
      </c>
      <c r="C129" s="1632">
        <v>0.04</v>
      </c>
      <c r="D129" s="1625" t="s">
        <v>595</v>
      </c>
      <c r="E129" s="3044"/>
      <c r="F129" s="799"/>
      <c r="G129" s="786"/>
      <c r="H129" s="786"/>
      <c r="I129" s="786"/>
      <c r="J129" s="786"/>
      <c r="K129" s="2421"/>
      <c r="L129" s="3044"/>
      <c r="M129" s="799"/>
      <c r="N129" s="786"/>
      <c r="O129" s="786"/>
      <c r="P129" s="786"/>
      <c r="Q129" s="786"/>
      <c r="R129" s="2421"/>
      <c r="S129" s="3044"/>
      <c r="T129" s="799"/>
      <c r="U129" s="786"/>
      <c r="V129" s="786"/>
      <c r="W129" s="786"/>
      <c r="X129" s="786"/>
      <c r="Y129" s="795"/>
      <c r="Z129" s="3044"/>
      <c r="AA129" s="3106"/>
      <c r="AB129" s="3107"/>
      <c r="AC129" s="3107"/>
      <c r="AD129" s="3107"/>
      <c r="AE129" s="3107"/>
      <c r="AF129" s="3108"/>
      <c r="AG129" s="307"/>
    </row>
    <row r="130" spans="1:33" s="262" customFormat="1">
      <c r="A130" s="608">
        <v>20</v>
      </c>
      <c r="B130" s="1631" t="s">
        <v>970</v>
      </c>
      <c r="C130" s="1632">
        <v>0.04</v>
      </c>
      <c r="D130" s="1635" t="s">
        <v>606</v>
      </c>
      <c r="E130" s="3044"/>
      <c r="F130" s="799"/>
      <c r="G130" s="786"/>
      <c r="H130" s="786"/>
      <c r="I130" s="786"/>
      <c r="J130" s="786"/>
      <c r="K130" s="2421"/>
      <c r="L130" s="3044"/>
      <c r="M130" s="799"/>
      <c r="N130" s="786"/>
      <c r="O130" s="786"/>
      <c r="P130" s="786"/>
      <c r="Q130" s="786"/>
      <c r="R130" s="2421"/>
      <c r="S130" s="3044"/>
      <c r="T130" s="799"/>
      <c r="U130" s="786"/>
      <c r="V130" s="786"/>
      <c r="W130" s="786"/>
      <c r="X130" s="786"/>
      <c r="Y130" s="795"/>
      <c r="Z130" s="3044"/>
      <c r="AA130" s="3106"/>
      <c r="AB130" s="3107"/>
      <c r="AC130" s="3107"/>
      <c r="AD130" s="3107"/>
      <c r="AE130" s="3107"/>
      <c r="AF130" s="3108"/>
      <c r="AG130" s="307"/>
    </row>
    <row r="131" spans="1:33" s="262" customFormat="1" ht="24.75" thickBot="1">
      <c r="A131" s="608">
        <v>21</v>
      </c>
      <c r="B131" s="1631" t="s">
        <v>960</v>
      </c>
      <c r="C131" s="1844">
        <v>0.2</v>
      </c>
      <c r="D131" s="1625" t="s">
        <v>911</v>
      </c>
      <c r="E131" s="3044"/>
      <c r="F131" s="799"/>
      <c r="G131" s="786"/>
      <c r="H131" s="786"/>
      <c r="I131" s="786"/>
      <c r="J131" s="786"/>
      <c r="K131" s="2421"/>
      <c r="L131" s="3044"/>
      <c r="M131" s="799"/>
      <c r="N131" s="786"/>
      <c r="O131" s="786"/>
      <c r="P131" s="786"/>
      <c r="Q131" s="786"/>
      <c r="R131" s="2421"/>
      <c r="S131" s="3044"/>
      <c r="T131" s="799"/>
      <c r="U131" s="786"/>
      <c r="V131" s="786"/>
      <c r="W131" s="786"/>
      <c r="X131" s="786"/>
      <c r="Y131" s="795"/>
      <c r="Z131" s="3047"/>
      <c r="AA131" s="3109"/>
      <c r="AB131" s="3110"/>
      <c r="AC131" s="3110"/>
      <c r="AD131" s="3110"/>
      <c r="AE131" s="3110"/>
      <c r="AF131" s="3111"/>
      <c r="AG131" s="307"/>
    </row>
    <row r="132" spans="1:33" s="262" customFormat="1" ht="19.5" customHeight="1" thickBot="1">
      <c r="A132" s="3027" t="s">
        <v>644</v>
      </c>
      <c r="B132" s="3028"/>
      <c r="C132" s="3028"/>
      <c r="D132" s="3028" t="s">
        <v>1528</v>
      </c>
      <c r="E132" s="654">
        <f>SUM(E133:E153)</f>
        <v>0</v>
      </c>
      <c r="F132" s="655">
        <f>SUM(F133:F153)</f>
        <v>720</v>
      </c>
      <c r="G132" s="656">
        <f t="shared" ref="G132:AF132" si="63">SUM(G133:G153)</f>
        <v>260</v>
      </c>
      <c r="H132" s="656">
        <f t="shared" si="63"/>
        <v>2155</v>
      </c>
      <c r="I132" s="656">
        <f t="shared" si="63"/>
        <v>205</v>
      </c>
      <c r="J132" s="656">
        <f t="shared" si="63"/>
        <v>1108</v>
      </c>
      <c r="K132" s="657">
        <f t="shared" si="63"/>
        <v>332</v>
      </c>
      <c r="L132" s="341">
        <f t="shared" si="63"/>
        <v>0</v>
      </c>
      <c r="M132" s="655">
        <f t="shared" si="63"/>
        <v>30</v>
      </c>
      <c r="N132" s="656">
        <f t="shared" si="63"/>
        <v>0</v>
      </c>
      <c r="O132" s="656">
        <f t="shared" si="63"/>
        <v>2</v>
      </c>
      <c r="P132" s="656">
        <f t="shared" si="63"/>
        <v>4</v>
      </c>
      <c r="Q132" s="656">
        <f t="shared" si="63"/>
        <v>0</v>
      </c>
      <c r="R132" s="658">
        <f t="shared" si="63"/>
        <v>0</v>
      </c>
      <c r="S132" s="654">
        <f t="shared" si="63"/>
        <v>0</v>
      </c>
      <c r="T132" s="655">
        <f t="shared" si="63"/>
        <v>5</v>
      </c>
      <c r="U132" s="656">
        <f t="shared" si="63"/>
        <v>30</v>
      </c>
      <c r="V132" s="656">
        <f t="shared" si="63"/>
        <v>0</v>
      </c>
      <c r="W132" s="656">
        <f t="shared" si="63"/>
        <v>17</v>
      </c>
      <c r="X132" s="656">
        <f t="shared" si="63"/>
        <v>0</v>
      </c>
      <c r="Y132" s="658">
        <f t="shared" si="63"/>
        <v>0</v>
      </c>
      <c r="Z132" s="3112">
        <f t="shared" si="63"/>
        <v>0</v>
      </c>
      <c r="AA132" s="3113">
        <f t="shared" si="63"/>
        <v>0</v>
      </c>
      <c r="AB132" s="3114">
        <f t="shared" si="63"/>
        <v>0</v>
      </c>
      <c r="AC132" s="3114">
        <f t="shared" si="63"/>
        <v>0</v>
      </c>
      <c r="AD132" s="3114">
        <f t="shared" si="63"/>
        <v>0</v>
      </c>
      <c r="AE132" s="3114">
        <f t="shared" si="63"/>
        <v>0</v>
      </c>
      <c r="AF132" s="3115">
        <f t="shared" si="63"/>
        <v>0</v>
      </c>
      <c r="AG132" s="307"/>
    </row>
    <row r="133" spans="1:33" s="262" customFormat="1">
      <c r="A133" s="278">
        <v>1</v>
      </c>
      <c r="B133" s="1629" t="s">
        <v>949</v>
      </c>
      <c r="C133" s="1633">
        <v>0</v>
      </c>
      <c r="D133" s="1637" t="s">
        <v>760</v>
      </c>
      <c r="E133" s="3044"/>
      <c r="F133" s="799"/>
      <c r="G133" s="786"/>
      <c r="H133" s="786"/>
      <c r="I133" s="786"/>
      <c r="J133" s="786"/>
      <c r="K133" s="2421"/>
      <c r="L133" s="3044"/>
      <c r="M133" s="799"/>
      <c r="N133" s="786"/>
      <c r="O133" s="786"/>
      <c r="P133" s="786"/>
      <c r="Q133" s="786"/>
      <c r="R133" s="2421"/>
      <c r="S133" s="3044"/>
      <c r="T133" s="799"/>
      <c r="U133" s="786"/>
      <c r="V133" s="786"/>
      <c r="W133" s="786"/>
      <c r="X133" s="786"/>
      <c r="Y133" s="795"/>
      <c r="Z133" s="3102"/>
      <c r="AA133" s="3103"/>
      <c r="AB133" s="3104"/>
      <c r="AC133" s="3104"/>
      <c r="AD133" s="3104"/>
      <c r="AE133" s="3104"/>
      <c r="AF133" s="3105"/>
      <c r="AG133" s="307"/>
    </row>
    <row r="134" spans="1:33" s="262" customFormat="1">
      <c r="A134" s="278">
        <v>2</v>
      </c>
      <c r="B134" s="1631" t="s">
        <v>950</v>
      </c>
      <c r="C134" s="1633">
        <v>0.03</v>
      </c>
      <c r="D134" s="1635" t="s">
        <v>598</v>
      </c>
      <c r="E134" s="3044"/>
      <c r="F134" s="799"/>
      <c r="G134" s="786"/>
      <c r="H134" s="786"/>
      <c r="I134" s="786"/>
      <c r="J134" s="786"/>
      <c r="K134" s="2421"/>
      <c r="L134" s="3044"/>
      <c r="M134" s="799"/>
      <c r="N134" s="786"/>
      <c r="O134" s="786"/>
      <c r="P134" s="786"/>
      <c r="Q134" s="786"/>
      <c r="R134" s="2421"/>
      <c r="S134" s="3044"/>
      <c r="T134" s="799"/>
      <c r="U134" s="786"/>
      <c r="V134" s="786"/>
      <c r="W134" s="786"/>
      <c r="X134" s="786"/>
      <c r="Y134" s="795"/>
      <c r="Z134" s="3044"/>
      <c r="AA134" s="3106"/>
      <c r="AB134" s="3107"/>
      <c r="AC134" s="3107"/>
      <c r="AD134" s="3107"/>
      <c r="AE134" s="3107"/>
      <c r="AF134" s="3108"/>
      <c r="AG134" s="307"/>
    </row>
    <row r="135" spans="1:33" s="262" customFormat="1">
      <c r="A135" s="278">
        <v>3</v>
      </c>
      <c r="B135" s="1631">
        <v>911301</v>
      </c>
      <c r="C135" s="1632">
        <v>0.1</v>
      </c>
      <c r="D135" s="1635" t="s">
        <v>599</v>
      </c>
      <c r="E135" s="3044"/>
      <c r="F135" s="799"/>
      <c r="G135" s="786">
        <v>240</v>
      </c>
      <c r="H135" s="786">
        <v>2035</v>
      </c>
      <c r="I135" s="786">
        <v>80</v>
      </c>
      <c r="J135" s="786">
        <v>5</v>
      </c>
      <c r="K135" s="2421">
        <v>2</v>
      </c>
      <c r="L135" s="3044"/>
      <c r="M135" s="799"/>
      <c r="N135" s="786"/>
      <c r="O135" s="786"/>
      <c r="P135" s="786"/>
      <c r="Q135" s="786"/>
      <c r="R135" s="2421"/>
      <c r="S135" s="3044"/>
      <c r="T135" s="799"/>
      <c r="U135" s="786"/>
      <c r="V135" s="786"/>
      <c r="W135" s="786"/>
      <c r="X135" s="786"/>
      <c r="Y135" s="795"/>
      <c r="Z135" s="3044"/>
      <c r="AA135" s="3106"/>
      <c r="AB135" s="3107"/>
      <c r="AC135" s="3107"/>
      <c r="AD135" s="3107"/>
      <c r="AE135" s="3107"/>
      <c r="AF135" s="3108"/>
      <c r="AG135" s="307"/>
    </row>
    <row r="136" spans="1:33" s="262" customFormat="1">
      <c r="A136" s="278">
        <v>4</v>
      </c>
      <c r="B136" s="1631">
        <v>911302</v>
      </c>
      <c r="C136" s="1632">
        <v>0.1</v>
      </c>
      <c r="D136" s="1635" t="s">
        <v>600</v>
      </c>
      <c r="E136" s="3044"/>
      <c r="F136" s="799"/>
      <c r="G136" s="786"/>
      <c r="H136" s="786"/>
      <c r="I136" s="786"/>
      <c r="J136" s="786"/>
      <c r="K136" s="2421"/>
      <c r="L136" s="3044"/>
      <c r="M136" s="799"/>
      <c r="N136" s="786"/>
      <c r="O136" s="786"/>
      <c r="P136" s="786"/>
      <c r="Q136" s="786"/>
      <c r="R136" s="2421"/>
      <c r="S136" s="3044"/>
      <c r="T136" s="799"/>
      <c r="U136" s="786"/>
      <c r="V136" s="786"/>
      <c r="W136" s="786"/>
      <c r="X136" s="786"/>
      <c r="Y136" s="795"/>
      <c r="Z136" s="3044"/>
      <c r="AA136" s="3106"/>
      <c r="AB136" s="3107"/>
      <c r="AC136" s="3107"/>
      <c r="AD136" s="3107"/>
      <c r="AE136" s="3107"/>
      <c r="AF136" s="3108"/>
      <c r="AG136" s="307"/>
    </row>
    <row r="137" spans="1:33" s="262" customFormat="1">
      <c r="A137" s="278">
        <v>5</v>
      </c>
      <c r="B137" s="1631" t="s">
        <v>967</v>
      </c>
      <c r="C137" s="1632">
        <v>0.1</v>
      </c>
      <c r="D137" s="1625" t="s">
        <v>579</v>
      </c>
      <c r="E137" s="3044"/>
      <c r="F137" s="799">
        <v>680</v>
      </c>
      <c r="G137" s="786"/>
      <c r="H137" s="786"/>
      <c r="I137" s="786">
        <v>20</v>
      </c>
      <c r="J137" s="786">
        <v>91</v>
      </c>
      <c r="K137" s="2421"/>
      <c r="L137" s="3044"/>
      <c r="M137" s="799"/>
      <c r="N137" s="786"/>
      <c r="O137" s="786"/>
      <c r="P137" s="786"/>
      <c r="Q137" s="786"/>
      <c r="R137" s="2421"/>
      <c r="S137" s="3044"/>
      <c r="T137" s="799"/>
      <c r="U137" s="786"/>
      <c r="V137" s="786"/>
      <c r="W137" s="786"/>
      <c r="X137" s="786"/>
      <c r="Y137" s="795"/>
      <c r="Z137" s="3044"/>
      <c r="AA137" s="3106"/>
      <c r="AB137" s="3107"/>
      <c r="AC137" s="3107"/>
      <c r="AD137" s="3107"/>
      <c r="AE137" s="3107"/>
      <c r="AF137" s="3108"/>
      <c r="AG137" s="307"/>
    </row>
    <row r="138" spans="1:33" s="262" customFormat="1">
      <c r="A138" s="278">
        <v>6</v>
      </c>
      <c r="B138" s="1631" t="s">
        <v>968</v>
      </c>
      <c r="C138" s="1632">
        <v>0.1</v>
      </c>
      <c r="D138" s="1625" t="s">
        <v>580</v>
      </c>
      <c r="E138" s="3044"/>
      <c r="F138" s="799"/>
      <c r="G138" s="786"/>
      <c r="H138" s="786">
        <v>120</v>
      </c>
      <c r="I138" s="786">
        <v>45</v>
      </c>
      <c r="J138" s="786"/>
      <c r="K138" s="2421"/>
      <c r="L138" s="3044"/>
      <c r="M138" s="799"/>
      <c r="N138" s="786"/>
      <c r="O138" s="786"/>
      <c r="P138" s="786">
        <v>4</v>
      </c>
      <c r="Q138" s="786"/>
      <c r="R138" s="2421"/>
      <c r="S138" s="3044"/>
      <c r="T138" s="799"/>
      <c r="U138" s="786"/>
      <c r="V138" s="786"/>
      <c r="W138" s="786"/>
      <c r="X138" s="786"/>
      <c r="Y138" s="795"/>
      <c r="Z138" s="3044"/>
      <c r="AA138" s="3106"/>
      <c r="AB138" s="3107"/>
      <c r="AC138" s="3107"/>
      <c r="AD138" s="3107"/>
      <c r="AE138" s="3107"/>
      <c r="AF138" s="3108"/>
      <c r="AG138" s="307"/>
    </row>
    <row r="139" spans="1:33" s="262" customFormat="1" ht="24">
      <c r="A139" s="278">
        <v>7</v>
      </c>
      <c r="B139" s="1631" t="s">
        <v>959</v>
      </c>
      <c r="C139" s="1632">
        <v>0.1</v>
      </c>
      <c r="D139" s="1625" t="s">
        <v>948</v>
      </c>
      <c r="E139" s="3044"/>
      <c r="F139" s="799"/>
      <c r="G139" s="786"/>
      <c r="H139" s="786"/>
      <c r="I139" s="786"/>
      <c r="J139" s="786">
        <v>300</v>
      </c>
      <c r="K139" s="2421">
        <v>330</v>
      </c>
      <c r="L139" s="3044"/>
      <c r="M139" s="799"/>
      <c r="N139" s="786"/>
      <c r="O139" s="786"/>
      <c r="P139" s="786"/>
      <c r="Q139" s="786"/>
      <c r="R139" s="2421"/>
      <c r="S139" s="3044"/>
      <c r="T139" s="799">
        <v>5</v>
      </c>
      <c r="U139" s="786"/>
      <c r="V139" s="786"/>
      <c r="W139" s="786">
        <v>2</v>
      </c>
      <c r="X139" s="786"/>
      <c r="Y139" s="795"/>
      <c r="Z139" s="3044"/>
      <c r="AA139" s="3106"/>
      <c r="AB139" s="3107"/>
      <c r="AC139" s="3107"/>
      <c r="AD139" s="3107"/>
      <c r="AE139" s="3107"/>
      <c r="AF139" s="3108"/>
      <c r="AG139" s="307"/>
    </row>
    <row r="140" spans="1:33" s="262" customFormat="1">
      <c r="A140" s="278">
        <v>8</v>
      </c>
      <c r="B140" s="1631" t="s">
        <v>969</v>
      </c>
      <c r="C140" s="1632">
        <v>0.1</v>
      </c>
      <c r="D140" s="1625" t="s">
        <v>966</v>
      </c>
      <c r="E140" s="3044"/>
      <c r="F140" s="799"/>
      <c r="G140" s="786"/>
      <c r="H140" s="786"/>
      <c r="I140" s="786"/>
      <c r="J140" s="786"/>
      <c r="K140" s="2421"/>
      <c r="L140" s="3044"/>
      <c r="M140" s="799"/>
      <c r="N140" s="786"/>
      <c r="O140" s="786"/>
      <c r="P140" s="786"/>
      <c r="Q140" s="786"/>
      <c r="R140" s="2421"/>
      <c r="S140" s="3044"/>
      <c r="T140" s="799"/>
      <c r="U140" s="786"/>
      <c r="V140" s="786"/>
      <c r="W140" s="786"/>
      <c r="X140" s="786"/>
      <c r="Y140" s="795"/>
      <c r="Z140" s="3044"/>
      <c r="AA140" s="3106"/>
      <c r="AB140" s="3107"/>
      <c r="AC140" s="3107"/>
      <c r="AD140" s="3107"/>
      <c r="AE140" s="3107"/>
      <c r="AF140" s="3108"/>
      <c r="AG140" s="307"/>
    </row>
    <row r="141" spans="1:33" s="262" customFormat="1">
      <c r="A141" s="608">
        <v>9</v>
      </c>
      <c r="B141" s="1631">
        <v>911306</v>
      </c>
      <c r="C141" s="1632">
        <v>0.1</v>
      </c>
      <c r="D141" s="1635" t="s">
        <v>1471</v>
      </c>
      <c r="E141" s="3044"/>
      <c r="F141" s="799"/>
      <c r="G141" s="786"/>
      <c r="H141" s="786"/>
      <c r="I141" s="786"/>
      <c r="J141" s="786"/>
      <c r="K141" s="2421"/>
      <c r="L141" s="3044"/>
      <c r="M141" s="799"/>
      <c r="N141" s="786"/>
      <c r="O141" s="786"/>
      <c r="P141" s="786"/>
      <c r="Q141" s="786"/>
      <c r="R141" s="2421"/>
      <c r="S141" s="3044"/>
      <c r="T141" s="799"/>
      <c r="U141" s="786"/>
      <c r="V141" s="786"/>
      <c r="W141" s="786"/>
      <c r="X141" s="786"/>
      <c r="Y141" s="795"/>
      <c r="Z141" s="3044"/>
      <c r="AA141" s="3106"/>
      <c r="AB141" s="3107"/>
      <c r="AC141" s="3107"/>
      <c r="AD141" s="3107"/>
      <c r="AE141" s="3107"/>
      <c r="AF141" s="3108"/>
      <c r="AG141" s="307"/>
    </row>
    <row r="142" spans="1:33" s="262" customFormat="1">
      <c r="A142" s="608">
        <v>10</v>
      </c>
      <c r="B142" s="1631">
        <v>91140101</v>
      </c>
      <c r="C142" s="1636">
        <v>0.1</v>
      </c>
      <c r="D142" s="1637" t="s">
        <v>1442</v>
      </c>
      <c r="E142" s="3044"/>
      <c r="F142" s="799"/>
      <c r="G142" s="786"/>
      <c r="H142" s="786"/>
      <c r="I142" s="786">
        <v>60</v>
      </c>
      <c r="J142" s="786">
        <v>710</v>
      </c>
      <c r="K142" s="2421"/>
      <c r="L142" s="3044"/>
      <c r="M142" s="799"/>
      <c r="N142" s="786"/>
      <c r="O142" s="786"/>
      <c r="P142" s="786"/>
      <c r="Q142" s="786"/>
      <c r="R142" s="2421"/>
      <c r="S142" s="3044"/>
      <c r="T142" s="799"/>
      <c r="U142" s="786">
        <v>30</v>
      </c>
      <c r="V142" s="786"/>
      <c r="W142" s="786">
        <v>5</v>
      </c>
      <c r="X142" s="786"/>
      <c r="Y142" s="795"/>
      <c r="Z142" s="3044"/>
      <c r="AA142" s="3106"/>
      <c r="AB142" s="3107"/>
      <c r="AC142" s="3107"/>
      <c r="AD142" s="3107"/>
      <c r="AE142" s="3107"/>
      <c r="AF142" s="3108"/>
      <c r="AG142" s="307"/>
    </row>
    <row r="143" spans="1:33" s="262" customFormat="1">
      <c r="A143" s="608">
        <v>11</v>
      </c>
      <c r="B143" s="1631">
        <v>91140102</v>
      </c>
      <c r="C143" s="1636">
        <v>0.04</v>
      </c>
      <c r="D143" s="1637" t="s">
        <v>604</v>
      </c>
      <c r="E143" s="3044"/>
      <c r="F143" s="799"/>
      <c r="G143" s="786"/>
      <c r="H143" s="786"/>
      <c r="I143" s="786"/>
      <c r="J143" s="786"/>
      <c r="K143" s="2421"/>
      <c r="L143" s="3044"/>
      <c r="M143" s="799"/>
      <c r="N143" s="786"/>
      <c r="O143" s="786"/>
      <c r="P143" s="786"/>
      <c r="Q143" s="786"/>
      <c r="R143" s="2421"/>
      <c r="S143" s="3044"/>
      <c r="T143" s="799"/>
      <c r="U143" s="786"/>
      <c r="V143" s="786"/>
      <c r="W143" s="786">
        <v>10</v>
      </c>
      <c r="X143" s="786"/>
      <c r="Y143" s="795"/>
      <c r="Z143" s="3044"/>
      <c r="AA143" s="3106"/>
      <c r="AB143" s="3107"/>
      <c r="AC143" s="3107"/>
      <c r="AD143" s="3107"/>
      <c r="AE143" s="3107"/>
      <c r="AF143" s="3108"/>
      <c r="AG143" s="307"/>
    </row>
    <row r="144" spans="1:33" s="262" customFormat="1">
      <c r="A144" s="608">
        <v>12</v>
      </c>
      <c r="B144" s="1631" t="s">
        <v>951</v>
      </c>
      <c r="C144" s="1632">
        <v>0.02</v>
      </c>
      <c r="D144" s="1623" t="s">
        <v>1007</v>
      </c>
      <c r="E144" s="3044"/>
      <c r="F144" s="799"/>
      <c r="G144" s="786"/>
      <c r="H144" s="786"/>
      <c r="I144" s="786"/>
      <c r="J144" s="786"/>
      <c r="K144" s="2421"/>
      <c r="L144" s="3044"/>
      <c r="M144" s="799"/>
      <c r="N144" s="786"/>
      <c r="O144" s="786"/>
      <c r="P144" s="786"/>
      <c r="Q144" s="786"/>
      <c r="R144" s="2421"/>
      <c r="S144" s="3044"/>
      <c r="T144" s="799"/>
      <c r="U144" s="786"/>
      <c r="V144" s="786"/>
      <c r="W144" s="786"/>
      <c r="X144" s="786"/>
      <c r="Y144" s="795"/>
      <c r="Z144" s="3044"/>
      <c r="AA144" s="3106"/>
      <c r="AB144" s="3107"/>
      <c r="AC144" s="3107"/>
      <c r="AD144" s="3107"/>
      <c r="AE144" s="3107"/>
      <c r="AF144" s="3108"/>
      <c r="AG144" s="307"/>
    </row>
    <row r="145" spans="1:33" s="262" customFormat="1">
      <c r="A145" s="608">
        <v>13</v>
      </c>
      <c r="B145" s="1631" t="s">
        <v>952</v>
      </c>
      <c r="C145" s="1632">
        <v>0.02</v>
      </c>
      <c r="D145" s="1623" t="s">
        <v>1008</v>
      </c>
      <c r="E145" s="3044"/>
      <c r="F145" s="799"/>
      <c r="G145" s="786"/>
      <c r="H145" s="786"/>
      <c r="I145" s="786"/>
      <c r="J145" s="786"/>
      <c r="K145" s="2421"/>
      <c r="L145" s="3044"/>
      <c r="M145" s="799"/>
      <c r="N145" s="786"/>
      <c r="O145" s="786"/>
      <c r="P145" s="786"/>
      <c r="Q145" s="786"/>
      <c r="R145" s="2421"/>
      <c r="S145" s="3044"/>
      <c r="T145" s="799"/>
      <c r="U145" s="786"/>
      <c r="V145" s="786"/>
      <c r="W145" s="786"/>
      <c r="X145" s="786"/>
      <c r="Y145" s="795"/>
      <c r="Z145" s="3044"/>
      <c r="AA145" s="3106"/>
      <c r="AB145" s="3107"/>
      <c r="AC145" s="3107"/>
      <c r="AD145" s="3107"/>
      <c r="AE145" s="3107"/>
      <c r="AF145" s="3108"/>
      <c r="AG145" s="307"/>
    </row>
    <row r="146" spans="1:33" s="262" customFormat="1">
      <c r="A146" s="608">
        <v>14</v>
      </c>
      <c r="B146" s="1631" t="s">
        <v>953</v>
      </c>
      <c r="C146" s="1632">
        <v>0.02</v>
      </c>
      <c r="D146" s="1623" t="s">
        <v>590</v>
      </c>
      <c r="E146" s="3044"/>
      <c r="F146" s="799"/>
      <c r="G146" s="786"/>
      <c r="H146" s="786"/>
      <c r="I146" s="786"/>
      <c r="J146" s="786"/>
      <c r="K146" s="2421"/>
      <c r="L146" s="3044"/>
      <c r="M146" s="799"/>
      <c r="N146" s="786"/>
      <c r="O146" s="786"/>
      <c r="P146" s="786"/>
      <c r="Q146" s="786"/>
      <c r="R146" s="2421"/>
      <c r="S146" s="3044"/>
      <c r="T146" s="799"/>
      <c r="U146" s="786"/>
      <c r="V146" s="786"/>
      <c r="W146" s="786"/>
      <c r="X146" s="786"/>
      <c r="Y146" s="795"/>
      <c r="Z146" s="3044"/>
      <c r="AA146" s="3106"/>
      <c r="AB146" s="3107"/>
      <c r="AC146" s="3107"/>
      <c r="AD146" s="3107"/>
      <c r="AE146" s="3107"/>
      <c r="AF146" s="3108"/>
      <c r="AG146" s="307"/>
    </row>
    <row r="147" spans="1:33" s="262" customFormat="1">
      <c r="A147" s="608">
        <v>15</v>
      </c>
      <c r="B147" s="1631" t="s">
        <v>954</v>
      </c>
      <c r="C147" s="1632">
        <v>0.02</v>
      </c>
      <c r="D147" s="1637" t="s">
        <v>591</v>
      </c>
      <c r="E147" s="3044"/>
      <c r="F147" s="799"/>
      <c r="G147" s="786"/>
      <c r="H147" s="786"/>
      <c r="I147" s="786"/>
      <c r="J147" s="786"/>
      <c r="K147" s="2421"/>
      <c r="L147" s="3044"/>
      <c r="M147" s="799"/>
      <c r="N147" s="786"/>
      <c r="O147" s="786"/>
      <c r="P147" s="786"/>
      <c r="Q147" s="786"/>
      <c r="R147" s="2421"/>
      <c r="S147" s="3044"/>
      <c r="T147" s="799"/>
      <c r="U147" s="786"/>
      <c r="V147" s="786"/>
      <c r="W147" s="786"/>
      <c r="X147" s="786"/>
      <c r="Y147" s="795"/>
      <c r="Z147" s="3044"/>
      <c r="AA147" s="3106"/>
      <c r="AB147" s="3107"/>
      <c r="AC147" s="3107"/>
      <c r="AD147" s="3107"/>
      <c r="AE147" s="3107"/>
      <c r="AF147" s="3108"/>
      <c r="AG147" s="307"/>
    </row>
    <row r="148" spans="1:33" s="262" customFormat="1">
      <c r="A148" s="608">
        <v>16</v>
      </c>
      <c r="B148" s="1631" t="s">
        <v>955</v>
      </c>
      <c r="C148" s="1632">
        <v>0.02</v>
      </c>
      <c r="D148" s="1623" t="s">
        <v>592</v>
      </c>
      <c r="E148" s="3044"/>
      <c r="F148" s="799"/>
      <c r="G148" s="786"/>
      <c r="H148" s="786"/>
      <c r="I148" s="786"/>
      <c r="J148" s="786"/>
      <c r="K148" s="2421"/>
      <c r="L148" s="3044"/>
      <c r="M148" s="799"/>
      <c r="N148" s="786"/>
      <c r="O148" s="786"/>
      <c r="P148" s="786"/>
      <c r="Q148" s="786"/>
      <c r="R148" s="2421"/>
      <c r="S148" s="3044"/>
      <c r="T148" s="799"/>
      <c r="U148" s="786"/>
      <c r="V148" s="786"/>
      <c r="W148" s="786"/>
      <c r="X148" s="786"/>
      <c r="Y148" s="795"/>
      <c r="Z148" s="3044"/>
      <c r="AA148" s="3106"/>
      <c r="AB148" s="3107"/>
      <c r="AC148" s="3107"/>
      <c r="AD148" s="3107"/>
      <c r="AE148" s="3107"/>
      <c r="AF148" s="3108"/>
      <c r="AG148" s="307"/>
    </row>
    <row r="149" spans="1:33" s="262" customFormat="1">
      <c r="A149" s="608">
        <v>17</v>
      </c>
      <c r="B149" s="1631" t="s">
        <v>956</v>
      </c>
      <c r="C149" s="1632">
        <v>0.02</v>
      </c>
      <c r="D149" s="1625" t="s">
        <v>593</v>
      </c>
      <c r="E149" s="3044"/>
      <c r="F149" s="799"/>
      <c r="G149" s="786"/>
      <c r="H149" s="786"/>
      <c r="I149" s="786"/>
      <c r="J149" s="786"/>
      <c r="K149" s="2421"/>
      <c r="L149" s="3044"/>
      <c r="M149" s="799"/>
      <c r="N149" s="786"/>
      <c r="O149" s="786"/>
      <c r="P149" s="786"/>
      <c r="Q149" s="786"/>
      <c r="R149" s="2421"/>
      <c r="S149" s="3044"/>
      <c r="T149" s="799"/>
      <c r="U149" s="786"/>
      <c r="V149" s="786"/>
      <c r="W149" s="786"/>
      <c r="X149" s="786"/>
      <c r="Y149" s="795"/>
      <c r="Z149" s="3044"/>
      <c r="AA149" s="3106"/>
      <c r="AB149" s="3107"/>
      <c r="AC149" s="3107"/>
      <c r="AD149" s="3107"/>
      <c r="AE149" s="3107"/>
      <c r="AF149" s="3108"/>
      <c r="AG149" s="307"/>
    </row>
    <row r="150" spans="1:33" s="262" customFormat="1" ht="24">
      <c r="A150" s="608">
        <v>18</v>
      </c>
      <c r="B150" s="1631" t="s">
        <v>957</v>
      </c>
      <c r="C150" s="1632">
        <v>0.04</v>
      </c>
      <c r="D150" s="1625" t="s">
        <v>594</v>
      </c>
      <c r="E150" s="3044"/>
      <c r="F150" s="799"/>
      <c r="G150" s="786"/>
      <c r="H150" s="786"/>
      <c r="I150" s="786"/>
      <c r="J150" s="786"/>
      <c r="K150" s="2421"/>
      <c r="L150" s="3044"/>
      <c r="M150" s="799"/>
      <c r="N150" s="786"/>
      <c r="O150" s="786"/>
      <c r="P150" s="786"/>
      <c r="Q150" s="786"/>
      <c r="R150" s="2421"/>
      <c r="S150" s="3044"/>
      <c r="T150" s="799"/>
      <c r="U150" s="786"/>
      <c r="V150" s="786"/>
      <c r="W150" s="786"/>
      <c r="X150" s="786"/>
      <c r="Y150" s="795"/>
      <c r="Z150" s="3044"/>
      <c r="AA150" s="3106"/>
      <c r="AB150" s="3107"/>
      <c r="AC150" s="3107"/>
      <c r="AD150" s="3107"/>
      <c r="AE150" s="3107"/>
      <c r="AF150" s="3108"/>
      <c r="AG150" s="307"/>
    </row>
    <row r="151" spans="1:33" s="262" customFormat="1">
      <c r="A151" s="608">
        <v>19</v>
      </c>
      <c r="B151" s="1631" t="s">
        <v>958</v>
      </c>
      <c r="C151" s="1632">
        <v>0.04</v>
      </c>
      <c r="D151" s="1625" t="s">
        <v>595</v>
      </c>
      <c r="E151" s="3044"/>
      <c r="F151" s="799"/>
      <c r="G151" s="786"/>
      <c r="H151" s="786"/>
      <c r="I151" s="786"/>
      <c r="J151" s="786"/>
      <c r="K151" s="2421"/>
      <c r="L151" s="3044"/>
      <c r="M151" s="799"/>
      <c r="N151" s="786"/>
      <c r="O151" s="786"/>
      <c r="P151" s="786"/>
      <c r="Q151" s="786"/>
      <c r="R151" s="2421"/>
      <c r="S151" s="3044"/>
      <c r="T151" s="799"/>
      <c r="U151" s="786"/>
      <c r="V151" s="786"/>
      <c r="W151" s="786"/>
      <c r="X151" s="786"/>
      <c r="Y151" s="795"/>
      <c r="Z151" s="3044"/>
      <c r="AA151" s="3106"/>
      <c r="AB151" s="3107"/>
      <c r="AC151" s="3107"/>
      <c r="AD151" s="3107"/>
      <c r="AE151" s="3107"/>
      <c r="AF151" s="3108"/>
      <c r="AG151" s="307"/>
    </row>
    <row r="152" spans="1:33" s="262" customFormat="1">
      <c r="A152" s="608">
        <v>20</v>
      </c>
      <c r="B152" s="1631" t="s">
        <v>970</v>
      </c>
      <c r="C152" s="1632">
        <v>0.04</v>
      </c>
      <c r="D152" s="1635" t="s">
        <v>606</v>
      </c>
      <c r="E152" s="3044"/>
      <c r="F152" s="799"/>
      <c r="G152" s="786"/>
      <c r="H152" s="786"/>
      <c r="I152" s="786"/>
      <c r="J152" s="786"/>
      <c r="K152" s="2421"/>
      <c r="L152" s="3044"/>
      <c r="M152" s="799"/>
      <c r="N152" s="786"/>
      <c r="O152" s="786"/>
      <c r="P152" s="786"/>
      <c r="Q152" s="786"/>
      <c r="R152" s="2421"/>
      <c r="S152" s="3044"/>
      <c r="T152" s="799"/>
      <c r="U152" s="786"/>
      <c r="V152" s="786"/>
      <c r="W152" s="786"/>
      <c r="X152" s="786"/>
      <c r="Y152" s="795"/>
      <c r="Z152" s="3044"/>
      <c r="AA152" s="3106"/>
      <c r="AB152" s="3107"/>
      <c r="AC152" s="3107"/>
      <c r="AD152" s="3107"/>
      <c r="AE152" s="3107"/>
      <c r="AF152" s="3108"/>
      <c r="AG152" s="307"/>
    </row>
    <row r="153" spans="1:33" s="262" customFormat="1" ht="24.75" thickBot="1">
      <c r="A153" s="608">
        <v>21</v>
      </c>
      <c r="B153" s="1631" t="s">
        <v>960</v>
      </c>
      <c r="C153" s="1844">
        <v>0.2</v>
      </c>
      <c r="D153" s="1625" t="s">
        <v>911</v>
      </c>
      <c r="E153" s="3044"/>
      <c r="F153" s="799">
        <v>40</v>
      </c>
      <c r="G153" s="786">
        <v>20</v>
      </c>
      <c r="H153" s="786"/>
      <c r="I153" s="786"/>
      <c r="J153" s="786">
        <v>2</v>
      </c>
      <c r="K153" s="2421"/>
      <c r="L153" s="3044"/>
      <c r="M153" s="799">
        <v>30</v>
      </c>
      <c r="N153" s="786"/>
      <c r="O153" s="786">
        <v>2</v>
      </c>
      <c r="P153" s="786"/>
      <c r="Q153" s="786"/>
      <c r="R153" s="2421"/>
      <c r="S153" s="3044"/>
      <c r="T153" s="799"/>
      <c r="U153" s="786"/>
      <c r="V153" s="786"/>
      <c r="W153" s="786"/>
      <c r="X153" s="786"/>
      <c r="Y153" s="795"/>
      <c r="Z153" s="3047"/>
      <c r="AA153" s="3109"/>
      <c r="AB153" s="3110"/>
      <c r="AC153" s="3110"/>
      <c r="AD153" s="3110"/>
      <c r="AE153" s="3110"/>
      <c r="AF153" s="3111"/>
      <c r="AG153" s="307"/>
    </row>
    <row r="154" spans="1:33" s="262" customFormat="1" ht="21.75" customHeight="1" thickBot="1">
      <c r="A154" s="3030">
        <v>2</v>
      </c>
      <c r="B154" s="3031"/>
      <c r="C154" s="3031"/>
      <c r="D154" s="3028" t="s">
        <v>281</v>
      </c>
      <c r="E154" s="654">
        <f>SUM(E155:E175)</f>
        <v>0</v>
      </c>
      <c r="F154" s="655">
        <f>SUM(F155:F175)</f>
        <v>-76</v>
      </c>
      <c r="G154" s="656">
        <f t="shared" ref="G154:AF154" si="64">SUM(G155:G175)</f>
        <v>-104</v>
      </c>
      <c r="H154" s="656">
        <f t="shared" si="64"/>
        <v>-319.5</v>
      </c>
      <c r="I154" s="656">
        <f t="shared" si="64"/>
        <v>-340</v>
      </c>
      <c r="J154" s="656">
        <f t="shared" si="64"/>
        <v>-451</v>
      </c>
      <c r="K154" s="657">
        <f t="shared" si="64"/>
        <v>-484.19999999999993</v>
      </c>
      <c r="L154" s="341">
        <f t="shared" si="64"/>
        <v>0</v>
      </c>
      <c r="M154" s="655">
        <f t="shared" si="64"/>
        <v>-6</v>
      </c>
      <c r="N154" s="656">
        <f t="shared" si="64"/>
        <v>-6</v>
      </c>
      <c r="O154" s="656">
        <f t="shared" si="64"/>
        <v>-6.4</v>
      </c>
      <c r="P154" s="656">
        <f t="shared" si="64"/>
        <v>-6.8000000000000007</v>
      </c>
      <c r="Q154" s="656">
        <f t="shared" si="64"/>
        <v>-6.8000000000000007</v>
      </c>
      <c r="R154" s="658">
        <f t="shared" si="64"/>
        <v>-6.8000000000000007</v>
      </c>
      <c r="S154" s="654">
        <f t="shared" si="64"/>
        <v>0</v>
      </c>
      <c r="T154" s="655">
        <f t="shared" si="64"/>
        <v>-0.5</v>
      </c>
      <c r="U154" s="656">
        <f t="shared" si="64"/>
        <v>-3.5</v>
      </c>
      <c r="V154" s="656">
        <f t="shared" si="64"/>
        <v>-3.5</v>
      </c>
      <c r="W154" s="656">
        <f t="shared" si="64"/>
        <v>-4.6000000000000005</v>
      </c>
      <c r="X154" s="656">
        <f t="shared" si="64"/>
        <v>-4.6000000000000005</v>
      </c>
      <c r="Y154" s="658">
        <f t="shared" si="64"/>
        <v>-4.6000000000000005</v>
      </c>
      <c r="Z154" s="3112">
        <f t="shared" si="64"/>
        <v>0</v>
      </c>
      <c r="AA154" s="3113">
        <f t="shared" si="64"/>
        <v>0</v>
      </c>
      <c r="AB154" s="3114">
        <f t="shared" si="64"/>
        <v>0</v>
      </c>
      <c r="AC154" s="3114">
        <f t="shared" si="64"/>
        <v>0</v>
      </c>
      <c r="AD154" s="3114">
        <f t="shared" si="64"/>
        <v>0</v>
      </c>
      <c r="AE154" s="3114">
        <f t="shared" si="64"/>
        <v>0</v>
      </c>
      <c r="AF154" s="3115">
        <f t="shared" si="64"/>
        <v>0</v>
      </c>
      <c r="AG154" s="307"/>
    </row>
    <row r="155" spans="1:33" s="262" customFormat="1">
      <c r="A155" s="278">
        <v>1</v>
      </c>
      <c r="B155" s="1629" t="s">
        <v>949</v>
      </c>
      <c r="C155" s="1633">
        <v>0</v>
      </c>
      <c r="D155" s="1637" t="s">
        <v>760</v>
      </c>
      <c r="E155" s="3044"/>
      <c r="F155" s="645">
        <f>(E111*$C111)+(F111*$C111)-(F133*$C111)</f>
        <v>0</v>
      </c>
      <c r="G155" s="646">
        <f t="shared" ref="G155:K164" si="65">F155+(G111*$C111)-(G133*$C111)</f>
        <v>0</v>
      </c>
      <c r="H155" s="646">
        <f t="shared" si="65"/>
        <v>0</v>
      </c>
      <c r="I155" s="646">
        <f t="shared" si="65"/>
        <v>0</v>
      </c>
      <c r="J155" s="646">
        <f t="shared" si="65"/>
        <v>0</v>
      </c>
      <c r="K155" s="647">
        <f t="shared" si="65"/>
        <v>0</v>
      </c>
      <c r="L155" s="3044"/>
      <c r="M155" s="645">
        <f>(L111*$C111)+(M111*$C111)-(M133*$C111)</f>
        <v>0</v>
      </c>
      <c r="N155" s="646">
        <f t="shared" ref="N155:R164" si="66">M155+(N111*$C111)-(N133*$C111)</f>
        <v>0</v>
      </c>
      <c r="O155" s="646">
        <f t="shared" si="66"/>
        <v>0</v>
      </c>
      <c r="P155" s="646">
        <f t="shared" si="66"/>
        <v>0</v>
      </c>
      <c r="Q155" s="646">
        <f t="shared" si="66"/>
        <v>0</v>
      </c>
      <c r="R155" s="647">
        <f t="shared" si="66"/>
        <v>0</v>
      </c>
      <c r="S155" s="3044"/>
      <c r="T155" s="645">
        <f>(S111*$C111)+(T111*$C111)-(T133*$C111)</f>
        <v>0</v>
      </c>
      <c r="U155" s="646">
        <f t="shared" ref="U155:Y164" si="67">T155+(U111*$C111)-(U133*$C111)</f>
        <v>0</v>
      </c>
      <c r="V155" s="646">
        <f t="shared" si="67"/>
        <v>0</v>
      </c>
      <c r="W155" s="646">
        <f t="shared" si="67"/>
        <v>0</v>
      </c>
      <c r="X155" s="646">
        <f t="shared" si="67"/>
        <v>0</v>
      </c>
      <c r="Y155" s="647">
        <f t="shared" si="67"/>
        <v>0</v>
      </c>
      <c r="Z155" s="3102"/>
      <c r="AA155" s="3103"/>
      <c r="AB155" s="3104"/>
      <c r="AC155" s="3104"/>
      <c r="AD155" s="3104"/>
      <c r="AE155" s="3104"/>
      <c r="AF155" s="3105"/>
      <c r="AG155" s="307"/>
    </row>
    <row r="156" spans="1:33" s="262" customFormat="1">
      <c r="A156" s="278">
        <v>2</v>
      </c>
      <c r="B156" s="1631" t="s">
        <v>950</v>
      </c>
      <c r="C156" s="1633">
        <v>0.03</v>
      </c>
      <c r="D156" s="1635" t="s">
        <v>598</v>
      </c>
      <c r="E156" s="3044"/>
      <c r="F156" s="586">
        <f t="shared" ref="F156:F175" si="68">(E112*$C112)+(F112*$C112)-(F134*$C112)</f>
        <v>0</v>
      </c>
      <c r="G156" s="587">
        <f t="shared" si="65"/>
        <v>0</v>
      </c>
      <c r="H156" s="587">
        <f t="shared" si="65"/>
        <v>0</v>
      </c>
      <c r="I156" s="587">
        <f t="shared" si="65"/>
        <v>0</v>
      </c>
      <c r="J156" s="587">
        <f t="shared" si="65"/>
        <v>0</v>
      </c>
      <c r="K156" s="588">
        <f t="shared" si="65"/>
        <v>0</v>
      </c>
      <c r="L156" s="3044"/>
      <c r="M156" s="586">
        <f t="shared" ref="M156:M175" si="69">(L112*$C112)+(M112*$C112)-(M134*$C112)</f>
        <v>0</v>
      </c>
      <c r="N156" s="587">
        <f t="shared" si="66"/>
        <v>0</v>
      </c>
      <c r="O156" s="587">
        <f t="shared" si="66"/>
        <v>0</v>
      </c>
      <c r="P156" s="587">
        <f t="shared" si="66"/>
        <v>0</v>
      </c>
      <c r="Q156" s="587">
        <f t="shared" si="66"/>
        <v>0</v>
      </c>
      <c r="R156" s="588">
        <f t="shared" si="66"/>
        <v>0</v>
      </c>
      <c r="S156" s="3044"/>
      <c r="T156" s="586">
        <f t="shared" ref="T156:T175" si="70">(S112*$C112)+(T112*$C112)-(T134*$C112)</f>
        <v>0</v>
      </c>
      <c r="U156" s="587">
        <f t="shared" si="67"/>
        <v>0</v>
      </c>
      <c r="V156" s="587">
        <f t="shared" si="67"/>
        <v>0</v>
      </c>
      <c r="W156" s="587">
        <f t="shared" si="67"/>
        <v>0</v>
      </c>
      <c r="X156" s="587">
        <f t="shared" si="67"/>
        <v>0</v>
      </c>
      <c r="Y156" s="588">
        <f t="shared" si="67"/>
        <v>0</v>
      </c>
      <c r="Z156" s="3044"/>
      <c r="AA156" s="3106"/>
      <c r="AB156" s="3107"/>
      <c r="AC156" s="3107"/>
      <c r="AD156" s="3107"/>
      <c r="AE156" s="3107"/>
      <c r="AF156" s="3108"/>
      <c r="AG156" s="307"/>
    </row>
    <row r="157" spans="1:33" s="262" customFormat="1">
      <c r="A157" s="278">
        <v>3</v>
      </c>
      <c r="B157" s="1631">
        <v>911301</v>
      </c>
      <c r="C157" s="1632">
        <v>0.1</v>
      </c>
      <c r="D157" s="1635" t="s">
        <v>599</v>
      </c>
      <c r="E157" s="3044"/>
      <c r="F157" s="586">
        <f t="shared" si="68"/>
        <v>0</v>
      </c>
      <c r="G157" s="587">
        <f t="shared" si="65"/>
        <v>-24</v>
      </c>
      <c r="H157" s="587">
        <f t="shared" si="65"/>
        <v>-227.5</v>
      </c>
      <c r="I157" s="587">
        <f t="shared" si="65"/>
        <v>-235.5</v>
      </c>
      <c r="J157" s="587">
        <f t="shared" si="65"/>
        <v>-236</v>
      </c>
      <c r="K157" s="588">
        <f t="shared" si="65"/>
        <v>-236.2</v>
      </c>
      <c r="L157" s="3044"/>
      <c r="M157" s="586">
        <f t="shared" si="69"/>
        <v>0</v>
      </c>
      <c r="N157" s="587">
        <f t="shared" si="66"/>
        <v>0</v>
      </c>
      <c r="O157" s="587">
        <f t="shared" si="66"/>
        <v>0</v>
      </c>
      <c r="P157" s="587">
        <f t="shared" si="66"/>
        <v>0</v>
      </c>
      <c r="Q157" s="587">
        <f t="shared" si="66"/>
        <v>0</v>
      </c>
      <c r="R157" s="588">
        <f t="shared" si="66"/>
        <v>0</v>
      </c>
      <c r="S157" s="3044"/>
      <c r="T157" s="586">
        <f t="shared" si="70"/>
        <v>0</v>
      </c>
      <c r="U157" s="587">
        <f t="shared" si="67"/>
        <v>0</v>
      </c>
      <c r="V157" s="587">
        <f t="shared" si="67"/>
        <v>0</v>
      </c>
      <c r="W157" s="587">
        <f t="shared" si="67"/>
        <v>0</v>
      </c>
      <c r="X157" s="587">
        <f t="shared" si="67"/>
        <v>0</v>
      </c>
      <c r="Y157" s="588">
        <f t="shared" si="67"/>
        <v>0</v>
      </c>
      <c r="Z157" s="3044"/>
      <c r="AA157" s="3106"/>
      <c r="AB157" s="3107"/>
      <c r="AC157" s="3107"/>
      <c r="AD157" s="3107"/>
      <c r="AE157" s="3107"/>
      <c r="AF157" s="3108"/>
      <c r="AG157" s="307"/>
    </row>
    <row r="158" spans="1:33" s="262" customFormat="1">
      <c r="A158" s="278">
        <v>4</v>
      </c>
      <c r="B158" s="1631">
        <v>911302</v>
      </c>
      <c r="C158" s="1632">
        <v>0.1</v>
      </c>
      <c r="D158" s="1635" t="s">
        <v>600</v>
      </c>
      <c r="E158" s="3044"/>
      <c r="F158" s="586">
        <f t="shared" si="68"/>
        <v>0</v>
      </c>
      <c r="G158" s="587">
        <f t="shared" si="65"/>
        <v>0</v>
      </c>
      <c r="H158" s="587">
        <f t="shared" si="65"/>
        <v>0</v>
      </c>
      <c r="I158" s="587">
        <f t="shared" si="65"/>
        <v>0</v>
      </c>
      <c r="J158" s="587">
        <f t="shared" si="65"/>
        <v>0</v>
      </c>
      <c r="K158" s="588">
        <f t="shared" si="65"/>
        <v>0</v>
      </c>
      <c r="L158" s="3044"/>
      <c r="M158" s="586">
        <f t="shared" si="69"/>
        <v>0</v>
      </c>
      <c r="N158" s="587">
        <f t="shared" si="66"/>
        <v>0</v>
      </c>
      <c r="O158" s="587">
        <f t="shared" si="66"/>
        <v>0</v>
      </c>
      <c r="P158" s="587">
        <f t="shared" si="66"/>
        <v>0</v>
      </c>
      <c r="Q158" s="587">
        <f t="shared" si="66"/>
        <v>0</v>
      </c>
      <c r="R158" s="588">
        <f t="shared" si="66"/>
        <v>0</v>
      </c>
      <c r="S158" s="3044"/>
      <c r="T158" s="586">
        <f t="shared" si="70"/>
        <v>0</v>
      </c>
      <c r="U158" s="587">
        <f t="shared" si="67"/>
        <v>0</v>
      </c>
      <c r="V158" s="587">
        <f t="shared" si="67"/>
        <v>0</v>
      </c>
      <c r="W158" s="587">
        <f t="shared" si="67"/>
        <v>0</v>
      </c>
      <c r="X158" s="587">
        <f t="shared" si="67"/>
        <v>0</v>
      </c>
      <c r="Y158" s="588">
        <f t="shared" si="67"/>
        <v>0</v>
      </c>
      <c r="Z158" s="3044"/>
      <c r="AA158" s="3106"/>
      <c r="AB158" s="3107"/>
      <c r="AC158" s="3107"/>
      <c r="AD158" s="3107"/>
      <c r="AE158" s="3107"/>
      <c r="AF158" s="3108"/>
      <c r="AG158" s="307"/>
    </row>
    <row r="159" spans="1:33" s="262" customFormat="1">
      <c r="A159" s="278">
        <v>5</v>
      </c>
      <c r="B159" s="1631" t="s">
        <v>967</v>
      </c>
      <c r="C159" s="1632">
        <v>0.1</v>
      </c>
      <c r="D159" s="1625" t="s">
        <v>579</v>
      </c>
      <c r="E159" s="3044"/>
      <c r="F159" s="586">
        <f t="shared" si="68"/>
        <v>-68</v>
      </c>
      <c r="G159" s="587">
        <f t="shared" si="65"/>
        <v>-68</v>
      </c>
      <c r="H159" s="587">
        <f t="shared" si="65"/>
        <v>-68</v>
      </c>
      <c r="I159" s="587">
        <f t="shared" si="65"/>
        <v>-70</v>
      </c>
      <c r="J159" s="587">
        <f t="shared" si="65"/>
        <v>-79.099999999999994</v>
      </c>
      <c r="K159" s="588">
        <f t="shared" si="65"/>
        <v>-79.099999999999994</v>
      </c>
      <c r="L159" s="3044"/>
      <c r="M159" s="586">
        <f t="shared" si="69"/>
        <v>0</v>
      </c>
      <c r="N159" s="587">
        <f t="shared" si="66"/>
        <v>0</v>
      </c>
      <c r="O159" s="587">
        <f t="shared" si="66"/>
        <v>0</v>
      </c>
      <c r="P159" s="587">
        <f t="shared" si="66"/>
        <v>0</v>
      </c>
      <c r="Q159" s="587">
        <f t="shared" si="66"/>
        <v>0</v>
      </c>
      <c r="R159" s="588">
        <f t="shared" si="66"/>
        <v>0</v>
      </c>
      <c r="S159" s="3044"/>
      <c r="T159" s="586">
        <f t="shared" si="70"/>
        <v>0</v>
      </c>
      <c r="U159" s="587">
        <f t="shared" si="67"/>
        <v>0</v>
      </c>
      <c r="V159" s="587">
        <f t="shared" si="67"/>
        <v>0</v>
      </c>
      <c r="W159" s="587">
        <f t="shared" si="67"/>
        <v>0</v>
      </c>
      <c r="X159" s="587">
        <f t="shared" si="67"/>
        <v>0</v>
      </c>
      <c r="Y159" s="588">
        <f t="shared" si="67"/>
        <v>0</v>
      </c>
      <c r="Z159" s="3044"/>
      <c r="AA159" s="3106"/>
      <c r="AB159" s="3107"/>
      <c r="AC159" s="3107"/>
      <c r="AD159" s="3107"/>
      <c r="AE159" s="3107"/>
      <c r="AF159" s="3108"/>
      <c r="AG159" s="307"/>
    </row>
    <row r="160" spans="1:33" s="262" customFormat="1">
      <c r="A160" s="278">
        <v>6</v>
      </c>
      <c r="B160" s="1631" t="s">
        <v>968</v>
      </c>
      <c r="C160" s="1632">
        <v>0.1</v>
      </c>
      <c r="D160" s="1625" t="s">
        <v>580</v>
      </c>
      <c r="E160" s="3044"/>
      <c r="F160" s="586">
        <f t="shared" si="68"/>
        <v>0</v>
      </c>
      <c r="G160" s="587">
        <f t="shared" si="65"/>
        <v>0</v>
      </c>
      <c r="H160" s="587">
        <f t="shared" si="65"/>
        <v>-12</v>
      </c>
      <c r="I160" s="587">
        <f t="shared" si="65"/>
        <v>-16.5</v>
      </c>
      <c r="J160" s="587">
        <f t="shared" si="65"/>
        <v>-16.5</v>
      </c>
      <c r="K160" s="588">
        <f t="shared" si="65"/>
        <v>-16.5</v>
      </c>
      <c r="L160" s="3044"/>
      <c r="M160" s="586">
        <f t="shared" si="69"/>
        <v>0</v>
      </c>
      <c r="N160" s="587">
        <f t="shared" si="66"/>
        <v>0</v>
      </c>
      <c r="O160" s="587">
        <f t="shared" si="66"/>
        <v>0</v>
      </c>
      <c r="P160" s="587">
        <f t="shared" si="66"/>
        <v>-0.4</v>
      </c>
      <c r="Q160" s="587">
        <f t="shared" si="66"/>
        <v>-0.4</v>
      </c>
      <c r="R160" s="588">
        <f t="shared" si="66"/>
        <v>-0.4</v>
      </c>
      <c r="S160" s="3044"/>
      <c r="T160" s="586">
        <f t="shared" si="70"/>
        <v>0</v>
      </c>
      <c r="U160" s="587">
        <f t="shared" si="67"/>
        <v>0</v>
      </c>
      <c r="V160" s="587">
        <f t="shared" si="67"/>
        <v>0</v>
      </c>
      <c r="W160" s="587">
        <f t="shared" si="67"/>
        <v>0</v>
      </c>
      <c r="X160" s="587">
        <f t="shared" si="67"/>
        <v>0</v>
      </c>
      <c r="Y160" s="588">
        <f t="shared" si="67"/>
        <v>0</v>
      </c>
      <c r="Z160" s="3044"/>
      <c r="AA160" s="3106"/>
      <c r="AB160" s="3107"/>
      <c r="AC160" s="3107"/>
      <c r="AD160" s="3107"/>
      <c r="AE160" s="3107"/>
      <c r="AF160" s="3108"/>
      <c r="AG160" s="307"/>
    </row>
    <row r="161" spans="1:33" s="262" customFormat="1" ht="21.75" customHeight="1">
      <c r="A161" s="278">
        <v>7</v>
      </c>
      <c r="B161" s="1631" t="s">
        <v>959</v>
      </c>
      <c r="C161" s="1632">
        <v>0.1</v>
      </c>
      <c r="D161" s="1625" t="s">
        <v>948</v>
      </c>
      <c r="E161" s="3044"/>
      <c r="F161" s="586">
        <f t="shared" si="68"/>
        <v>0</v>
      </c>
      <c r="G161" s="587">
        <f t="shared" si="65"/>
        <v>0</v>
      </c>
      <c r="H161" s="587">
        <f t="shared" si="65"/>
        <v>0</v>
      </c>
      <c r="I161" s="587">
        <f t="shared" si="65"/>
        <v>0</v>
      </c>
      <c r="J161" s="587">
        <f t="shared" si="65"/>
        <v>-30</v>
      </c>
      <c r="K161" s="588">
        <f t="shared" si="65"/>
        <v>-63</v>
      </c>
      <c r="L161" s="3044"/>
      <c r="M161" s="586">
        <f t="shared" si="69"/>
        <v>0</v>
      </c>
      <c r="N161" s="587">
        <f t="shared" si="66"/>
        <v>0</v>
      </c>
      <c r="O161" s="587">
        <f t="shared" si="66"/>
        <v>0</v>
      </c>
      <c r="P161" s="587">
        <f t="shared" si="66"/>
        <v>0</v>
      </c>
      <c r="Q161" s="587">
        <f t="shared" si="66"/>
        <v>0</v>
      </c>
      <c r="R161" s="588">
        <f t="shared" si="66"/>
        <v>0</v>
      </c>
      <c r="S161" s="3044"/>
      <c r="T161" s="586">
        <f t="shared" si="70"/>
        <v>-0.5</v>
      </c>
      <c r="U161" s="587">
        <f t="shared" si="67"/>
        <v>-0.5</v>
      </c>
      <c r="V161" s="587">
        <f t="shared" si="67"/>
        <v>-0.5</v>
      </c>
      <c r="W161" s="587">
        <f t="shared" si="67"/>
        <v>-0.7</v>
      </c>
      <c r="X161" s="587">
        <f t="shared" si="67"/>
        <v>-0.7</v>
      </c>
      <c r="Y161" s="588">
        <f t="shared" si="67"/>
        <v>-0.7</v>
      </c>
      <c r="Z161" s="3044"/>
      <c r="AA161" s="3106"/>
      <c r="AB161" s="3107"/>
      <c r="AC161" s="3107"/>
      <c r="AD161" s="3107"/>
      <c r="AE161" s="3107"/>
      <c r="AF161" s="3108"/>
      <c r="AG161" s="307"/>
    </row>
    <row r="162" spans="1:33" s="262" customFormat="1">
      <c r="A162" s="278">
        <v>8</v>
      </c>
      <c r="B162" s="1631" t="s">
        <v>969</v>
      </c>
      <c r="C162" s="1632">
        <v>0.1</v>
      </c>
      <c r="D162" s="1625" t="s">
        <v>966</v>
      </c>
      <c r="E162" s="3044"/>
      <c r="F162" s="586">
        <f t="shared" si="68"/>
        <v>0</v>
      </c>
      <c r="G162" s="587">
        <f t="shared" si="65"/>
        <v>0</v>
      </c>
      <c r="H162" s="587">
        <f t="shared" si="65"/>
        <v>0</v>
      </c>
      <c r="I162" s="587">
        <f t="shared" si="65"/>
        <v>0</v>
      </c>
      <c r="J162" s="587">
        <f t="shared" si="65"/>
        <v>0</v>
      </c>
      <c r="K162" s="588">
        <f t="shared" si="65"/>
        <v>0</v>
      </c>
      <c r="L162" s="3044"/>
      <c r="M162" s="586">
        <f t="shared" si="69"/>
        <v>0</v>
      </c>
      <c r="N162" s="587">
        <f t="shared" si="66"/>
        <v>0</v>
      </c>
      <c r="O162" s="587">
        <f t="shared" si="66"/>
        <v>0</v>
      </c>
      <c r="P162" s="587">
        <f t="shared" si="66"/>
        <v>0</v>
      </c>
      <c r="Q162" s="587">
        <f t="shared" si="66"/>
        <v>0</v>
      </c>
      <c r="R162" s="588">
        <f t="shared" si="66"/>
        <v>0</v>
      </c>
      <c r="S162" s="3044"/>
      <c r="T162" s="586">
        <f t="shared" si="70"/>
        <v>0</v>
      </c>
      <c r="U162" s="587">
        <f t="shared" si="67"/>
        <v>0</v>
      </c>
      <c r="V162" s="587">
        <f t="shared" si="67"/>
        <v>0</v>
      </c>
      <c r="W162" s="587">
        <f t="shared" si="67"/>
        <v>0</v>
      </c>
      <c r="X162" s="587">
        <f t="shared" si="67"/>
        <v>0</v>
      </c>
      <c r="Y162" s="588">
        <f t="shared" si="67"/>
        <v>0</v>
      </c>
      <c r="Z162" s="3044"/>
      <c r="AA162" s="3106"/>
      <c r="AB162" s="3107"/>
      <c r="AC162" s="3107"/>
      <c r="AD162" s="3107"/>
      <c r="AE162" s="3107"/>
      <c r="AF162" s="3108"/>
      <c r="AG162" s="307"/>
    </row>
    <row r="163" spans="1:33" s="262" customFormat="1">
      <c r="A163" s="608">
        <v>9</v>
      </c>
      <c r="B163" s="1631">
        <v>911306</v>
      </c>
      <c r="C163" s="1632">
        <v>0.1</v>
      </c>
      <c r="D163" s="1635" t="s">
        <v>1471</v>
      </c>
      <c r="E163" s="3044"/>
      <c r="F163" s="586">
        <f t="shared" si="68"/>
        <v>0</v>
      </c>
      <c r="G163" s="587">
        <f t="shared" si="65"/>
        <v>0</v>
      </c>
      <c r="H163" s="587">
        <f t="shared" si="65"/>
        <v>0</v>
      </c>
      <c r="I163" s="587">
        <f t="shared" si="65"/>
        <v>0</v>
      </c>
      <c r="J163" s="587">
        <f t="shared" si="65"/>
        <v>0</v>
      </c>
      <c r="K163" s="588">
        <f t="shared" si="65"/>
        <v>0</v>
      </c>
      <c r="L163" s="3044"/>
      <c r="M163" s="586">
        <f t="shared" si="69"/>
        <v>0</v>
      </c>
      <c r="N163" s="587">
        <f t="shared" si="66"/>
        <v>0</v>
      </c>
      <c r="O163" s="587">
        <f t="shared" si="66"/>
        <v>0</v>
      </c>
      <c r="P163" s="587">
        <f t="shared" si="66"/>
        <v>0</v>
      </c>
      <c r="Q163" s="587">
        <f t="shared" si="66"/>
        <v>0</v>
      </c>
      <c r="R163" s="588">
        <f t="shared" si="66"/>
        <v>0</v>
      </c>
      <c r="S163" s="3044"/>
      <c r="T163" s="586">
        <f t="shared" si="70"/>
        <v>0</v>
      </c>
      <c r="U163" s="587">
        <f t="shared" si="67"/>
        <v>0</v>
      </c>
      <c r="V163" s="587">
        <f t="shared" si="67"/>
        <v>0</v>
      </c>
      <c r="W163" s="587">
        <f t="shared" si="67"/>
        <v>0</v>
      </c>
      <c r="X163" s="587">
        <f t="shared" si="67"/>
        <v>0</v>
      </c>
      <c r="Y163" s="588">
        <f t="shared" si="67"/>
        <v>0</v>
      </c>
      <c r="Z163" s="3044"/>
      <c r="AA163" s="3106"/>
      <c r="AB163" s="3107"/>
      <c r="AC163" s="3107"/>
      <c r="AD163" s="3107"/>
      <c r="AE163" s="3107"/>
      <c r="AF163" s="3108"/>
      <c r="AG163" s="307"/>
    </row>
    <row r="164" spans="1:33" s="262" customFormat="1">
      <c r="A164" s="608">
        <v>10</v>
      </c>
      <c r="B164" s="1631">
        <v>91140101</v>
      </c>
      <c r="C164" s="1636">
        <v>0.1</v>
      </c>
      <c r="D164" s="1637" t="s">
        <v>1442</v>
      </c>
      <c r="E164" s="3044"/>
      <c r="F164" s="586">
        <f t="shared" si="68"/>
        <v>0</v>
      </c>
      <c r="G164" s="587">
        <f t="shared" si="65"/>
        <v>0</v>
      </c>
      <c r="H164" s="587">
        <f t="shared" si="65"/>
        <v>0</v>
      </c>
      <c r="I164" s="587">
        <f t="shared" si="65"/>
        <v>-6</v>
      </c>
      <c r="J164" s="587">
        <f t="shared" si="65"/>
        <v>-77</v>
      </c>
      <c r="K164" s="588">
        <f t="shared" si="65"/>
        <v>-77</v>
      </c>
      <c r="L164" s="3044"/>
      <c r="M164" s="586">
        <f t="shared" si="69"/>
        <v>0</v>
      </c>
      <c r="N164" s="587">
        <f t="shared" si="66"/>
        <v>0</v>
      </c>
      <c r="O164" s="587">
        <f t="shared" si="66"/>
        <v>0</v>
      </c>
      <c r="P164" s="587">
        <f t="shared" si="66"/>
        <v>0</v>
      </c>
      <c r="Q164" s="587">
        <f t="shared" si="66"/>
        <v>0</v>
      </c>
      <c r="R164" s="588">
        <f t="shared" si="66"/>
        <v>0</v>
      </c>
      <c r="S164" s="3044"/>
      <c r="T164" s="586">
        <f t="shared" si="70"/>
        <v>0</v>
      </c>
      <c r="U164" s="587">
        <f t="shared" si="67"/>
        <v>-3</v>
      </c>
      <c r="V164" s="587">
        <f t="shared" si="67"/>
        <v>-3</v>
      </c>
      <c r="W164" s="587">
        <f t="shared" si="67"/>
        <v>-3.5</v>
      </c>
      <c r="X164" s="587">
        <f t="shared" si="67"/>
        <v>-3.5</v>
      </c>
      <c r="Y164" s="588">
        <f t="shared" si="67"/>
        <v>-3.5</v>
      </c>
      <c r="Z164" s="3044"/>
      <c r="AA164" s="3106"/>
      <c r="AB164" s="3107"/>
      <c r="AC164" s="3107"/>
      <c r="AD164" s="3107"/>
      <c r="AE164" s="3107"/>
      <c r="AF164" s="3108"/>
      <c r="AG164" s="307"/>
    </row>
    <row r="165" spans="1:33" s="262" customFormat="1">
      <c r="A165" s="608">
        <v>11</v>
      </c>
      <c r="B165" s="1631">
        <v>91140102</v>
      </c>
      <c r="C165" s="1636">
        <v>0.04</v>
      </c>
      <c r="D165" s="1637" t="s">
        <v>604</v>
      </c>
      <c r="E165" s="3044"/>
      <c r="F165" s="586">
        <f t="shared" si="68"/>
        <v>0</v>
      </c>
      <c r="G165" s="587">
        <f t="shared" ref="G165:K174" si="71">F165+(G121*$C121)-(G143*$C121)</f>
        <v>0</v>
      </c>
      <c r="H165" s="587">
        <f t="shared" si="71"/>
        <v>0</v>
      </c>
      <c r="I165" s="587">
        <f t="shared" si="71"/>
        <v>0</v>
      </c>
      <c r="J165" s="587">
        <f t="shared" si="71"/>
        <v>0</v>
      </c>
      <c r="K165" s="588">
        <f t="shared" si="71"/>
        <v>0</v>
      </c>
      <c r="L165" s="3044"/>
      <c r="M165" s="586">
        <f t="shared" si="69"/>
        <v>0</v>
      </c>
      <c r="N165" s="587">
        <f t="shared" ref="N165:R174" si="72">M165+(N121*$C121)-(N143*$C121)</f>
        <v>0</v>
      </c>
      <c r="O165" s="587">
        <f t="shared" si="72"/>
        <v>0</v>
      </c>
      <c r="P165" s="587">
        <f t="shared" si="72"/>
        <v>0</v>
      </c>
      <c r="Q165" s="587">
        <f t="shared" si="72"/>
        <v>0</v>
      </c>
      <c r="R165" s="588">
        <f t="shared" si="72"/>
        <v>0</v>
      </c>
      <c r="S165" s="3044"/>
      <c r="T165" s="586">
        <f t="shared" si="70"/>
        <v>0</v>
      </c>
      <c r="U165" s="587">
        <f t="shared" ref="U165:Y174" si="73">T165+(U121*$C121)-(U143*$C121)</f>
        <v>0</v>
      </c>
      <c r="V165" s="587">
        <f t="shared" si="73"/>
        <v>0</v>
      </c>
      <c r="W165" s="587">
        <f t="shared" si="73"/>
        <v>-0.4</v>
      </c>
      <c r="X165" s="587">
        <f t="shared" si="73"/>
        <v>-0.4</v>
      </c>
      <c r="Y165" s="588">
        <f t="shared" si="73"/>
        <v>-0.4</v>
      </c>
      <c r="Z165" s="3044"/>
      <c r="AA165" s="3106"/>
      <c r="AB165" s="3107"/>
      <c r="AC165" s="3107"/>
      <c r="AD165" s="3107"/>
      <c r="AE165" s="3107"/>
      <c r="AF165" s="3108"/>
      <c r="AG165" s="307"/>
    </row>
    <row r="166" spans="1:33" s="262" customFormat="1">
      <c r="A166" s="608">
        <v>12</v>
      </c>
      <c r="B166" s="1631" t="s">
        <v>951</v>
      </c>
      <c r="C166" s="1632">
        <v>0.02</v>
      </c>
      <c r="D166" s="1623" t="s">
        <v>1007</v>
      </c>
      <c r="E166" s="3044"/>
      <c r="F166" s="586">
        <f t="shared" si="68"/>
        <v>0</v>
      </c>
      <c r="G166" s="587">
        <f t="shared" si="71"/>
        <v>0</v>
      </c>
      <c r="H166" s="587">
        <f t="shared" si="71"/>
        <v>0</v>
      </c>
      <c r="I166" s="587">
        <f t="shared" si="71"/>
        <v>0</v>
      </c>
      <c r="J166" s="587">
        <f t="shared" si="71"/>
        <v>0</v>
      </c>
      <c r="K166" s="588">
        <f t="shared" si="71"/>
        <v>0</v>
      </c>
      <c r="L166" s="3044"/>
      <c r="M166" s="586">
        <f t="shared" si="69"/>
        <v>0</v>
      </c>
      <c r="N166" s="587">
        <f t="shared" si="72"/>
        <v>0</v>
      </c>
      <c r="O166" s="587">
        <f t="shared" si="72"/>
        <v>0</v>
      </c>
      <c r="P166" s="587">
        <f t="shared" si="72"/>
        <v>0</v>
      </c>
      <c r="Q166" s="587">
        <f t="shared" si="72"/>
        <v>0</v>
      </c>
      <c r="R166" s="588">
        <f t="shared" si="72"/>
        <v>0</v>
      </c>
      <c r="S166" s="3044"/>
      <c r="T166" s="586">
        <f t="shared" si="70"/>
        <v>0</v>
      </c>
      <c r="U166" s="587">
        <f t="shared" si="73"/>
        <v>0</v>
      </c>
      <c r="V166" s="587">
        <f t="shared" si="73"/>
        <v>0</v>
      </c>
      <c r="W166" s="587">
        <f t="shared" si="73"/>
        <v>0</v>
      </c>
      <c r="X166" s="587">
        <f t="shared" si="73"/>
        <v>0</v>
      </c>
      <c r="Y166" s="588">
        <f t="shared" si="73"/>
        <v>0</v>
      </c>
      <c r="Z166" s="3044"/>
      <c r="AA166" s="3106"/>
      <c r="AB166" s="3107"/>
      <c r="AC166" s="3107"/>
      <c r="AD166" s="3107"/>
      <c r="AE166" s="3107"/>
      <c r="AF166" s="3108"/>
      <c r="AG166" s="307"/>
    </row>
    <row r="167" spans="1:33" s="262" customFormat="1">
      <c r="A167" s="608">
        <v>13</v>
      </c>
      <c r="B167" s="1631" t="s">
        <v>952</v>
      </c>
      <c r="C167" s="1632">
        <v>0.02</v>
      </c>
      <c r="D167" s="1623" t="s">
        <v>1008</v>
      </c>
      <c r="E167" s="3044"/>
      <c r="F167" s="586">
        <f t="shared" si="68"/>
        <v>0</v>
      </c>
      <c r="G167" s="587">
        <f t="shared" si="71"/>
        <v>0</v>
      </c>
      <c r="H167" s="587">
        <f t="shared" si="71"/>
        <v>0</v>
      </c>
      <c r="I167" s="587">
        <f t="shared" si="71"/>
        <v>0</v>
      </c>
      <c r="J167" s="587">
        <f t="shared" si="71"/>
        <v>0</v>
      </c>
      <c r="K167" s="588">
        <f t="shared" si="71"/>
        <v>0</v>
      </c>
      <c r="L167" s="3044"/>
      <c r="M167" s="586">
        <f t="shared" si="69"/>
        <v>0</v>
      </c>
      <c r="N167" s="587">
        <f t="shared" si="72"/>
        <v>0</v>
      </c>
      <c r="O167" s="587">
        <f t="shared" si="72"/>
        <v>0</v>
      </c>
      <c r="P167" s="587">
        <f t="shared" si="72"/>
        <v>0</v>
      </c>
      <c r="Q167" s="587">
        <f t="shared" si="72"/>
        <v>0</v>
      </c>
      <c r="R167" s="588">
        <f t="shared" si="72"/>
        <v>0</v>
      </c>
      <c r="S167" s="3044"/>
      <c r="T167" s="586">
        <f t="shared" si="70"/>
        <v>0</v>
      </c>
      <c r="U167" s="587">
        <f t="shared" si="73"/>
        <v>0</v>
      </c>
      <c r="V167" s="587">
        <f t="shared" si="73"/>
        <v>0</v>
      </c>
      <c r="W167" s="587">
        <f t="shared" si="73"/>
        <v>0</v>
      </c>
      <c r="X167" s="587">
        <f t="shared" si="73"/>
        <v>0</v>
      </c>
      <c r="Y167" s="588">
        <f t="shared" si="73"/>
        <v>0</v>
      </c>
      <c r="Z167" s="3044"/>
      <c r="AA167" s="3106"/>
      <c r="AB167" s="3107"/>
      <c r="AC167" s="3107"/>
      <c r="AD167" s="3107"/>
      <c r="AE167" s="3107"/>
      <c r="AF167" s="3108"/>
      <c r="AG167" s="307"/>
    </row>
    <row r="168" spans="1:33" s="262" customFormat="1">
      <c r="A168" s="608">
        <v>14</v>
      </c>
      <c r="B168" s="1631" t="s">
        <v>953</v>
      </c>
      <c r="C168" s="1632">
        <v>0.02</v>
      </c>
      <c r="D168" s="1623" t="s">
        <v>590</v>
      </c>
      <c r="E168" s="3044"/>
      <c r="F168" s="586">
        <f t="shared" si="68"/>
        <v>0</v>
      </c>
      <c r="G168" s="587">
        <f t="shared" si="71"/>
        <v>0</v>
      </c>
      <c r="H168" s="587">
        <f t="shared" si="71"/>
        <v>0</v>
      </c>
      <c r="I168" s="587">
        <f t="shared" si="71"/>
        <v>0</v>
      </c>
      <c r="J168" s="587">
        <f t="shared" si="71"/>
        <v>0</v>
      </c>
      <c r="K168" s="588">
        <f t="shared" si="71"/>
        <v>0</v>
      </c>
      <c r="L168" s="3044"/>
      <c r="M168" s="586">
        <f t="shared" si="69"/>
        <v>0</v>
      </c>
      <c r="N168" s="587">
        <f t="shared" si="72"/>
        <v>0</v>
      </c>
      <c r="O168" s="587">
        <f t="shared" si="72"/>
        <v>0</v>
      </c>
      <c r="P168" s="587">
        <f t="shared" si="72"/>
        <v>0</v>
      </c>
      <c r="Q168" s="587">
        <f t="shared" si="72"/>
        <v>0</v>
      </c>
      <c r="R168" s="588">
        <f t="shared" si="72"/>
        <v>0</v>
      </c>
      <c r="S168" s="3044"/>
      <c r="T168" s="586">
        <f t="shared" si="70"/>
        <v>0</v>
      </c>
      <c r="U168" s="587">
        <f t="shared" si="73"/>
        <v>0</v>
      </c>
      <c r="V168" s="587">
        <f t="shared" si="73"/>
        <v>0</v>
      </c>
      <c r="W168" s="587">
        <f t="shared" si="73"/>
        <v>0</v>
      </c>
      <c r="X168" s="587">
        <f t="shared" si="73"/>
        <v>0</v>
      </c>
      <c r="Y168" s="588">
        <f t="shared" si="73"/>
        <v>0</v>
      </c>
      <c r="Z168" s="3044"/>
      <c r="AA168" s="3106"/>
      <c r="AB168" s="3107"/>
      <c r="AC168" s="3107"/>
      <c r="AD168" s="3107"/>
      <c r="AE168" s="3107"/>
      <c r="AF168" s="3108"/>
      <c r="AG168" s="307"/>
    </row>
    <row r="169" spans="1:33" s="262" customFormat="1">
      <c r="A169" s="608">
        <v>15</v>
      </c>
      <c r="B169" s="1631" t="s">
        <v>954</v>
      </c>
      <c r="C169" s="1632">
        <v>0.02</v>
      </c>
      <c r="D169" s="1637" t="s">
        <v>591</v>
      </c>
      <c r="E169" s="3044"/>
      <c r="F169" s="586">
        <f t="shared" si="68"/>
        <v>0</v>
      </c>
      <c r="G169" s="587">
        <f t="shared" si="71"/>
        <v>0</v>
      </c>
      <c r="H169" s="587">
        <f t="shared" si="71"/>
        <v>0</v>
      </c>
      <c r="I169" s="587">
        <f t="shared" si="71"/>
        <v>0</v>
      </c>
      <c r="J169" s="587">
        <f t="shared" si="71"/>
        <v>0</v>
      </c>
      <c r="K169" s="588">
        <f t="shared" si="71"/>
        <v>0</v>
      </c>
      <c r="L169" s="3044"/>
      <c r="M169" s="586">
        <f t="shared" si="69"/>
        <v>0</v>
      </c>
      <c r="N169" s="587">
        <f t="shared" si="72"/>
        <v>0</v>
      </c>
      <c r="O169" s="587">
        <f t="shared" si="72"/>
        <v>0</v>
      </c>
      <c r="P169" s="587">
        <f t="shared" si="72"/>
        <v>0</v>
      </c>
      <c r="Q169" s="587">
        <f t="shared" si="72"/>
        <v>0</v>
      </c>
      <c r="R169" s="588">
        <f t="shared" si="72"/>
        <v>0</v>
      </c>
      <c r="S169" s="3044"/>
      <c r="T169" s="586">
        <f t="shared" si="70"/>
        <v>0</v>
      </c>
      <c r="U169" s="587">
        <f t="shared" si="73"/>
        <v>0</v>
      </c>
      <c r="V169" s="587">
        <f t="shared" si="73"/>
        <v>0</v>
      </c>
      <c r="W169" s="587">
        <f t="shared" si="73"/>
        <v>0</v>
      </c>
      <c r="X169" s="587">
        <f t="shared" si="73"/>
        <v>0</v>
      </c>
      <c r="Y169" s="588">
        <f t="shared" si="73"/>
        <v>0</v>
      </c>
      <c r="Z169" s="3044"/>
      <c r="AA169" s="3106"/>
      <c r="AB169" s="3107"/>
      <c r="AC169" s="3107"/>
      <c r="AD169" s="3107"/>
      <c r="AE169" s="3107"/>
      <c r="AF169" s="3108"/>
      <c r="AG169" s="307"/>
    </row>
    <row r="170" spans="1:33" s="262" customFormat="1">
      <c r="A170" s="608">
        <v>16</v>
      </c>
      <c r="B170" s="1631" t="s">
        <v>955</v>
      </c>
      <c r="C170" s="1632">
        <v>0.02</v>
      </c>
      <c r="D170" s="1623" t="s">
        <v>592</v>
      </c>
      <c r="E170" s="3044"/>
      <c r="F170" s="586">
        <f t="shared" si="68"/>
        <v>0</v>
      </c>
      <c r="G170" s="587">
        <f t="shared" si="71"/>
        <v>0</v>
      </c>
      <c r="H170" s="587">
        <f t="shared" si="71"/>
        <v>0</v>
      </c>
      <c r="I170" s="587">
        <f t="shared" si="71"/>
        <v>0</v>
      </c>
      <c r="J170" s="587">
        <f t="shared" si="71"/>
        <v>0</v>
      </c>
      <c r="K170" s="588">
        <f t="shared" si="71"/>
        <v>0</v>
      </c>
      <c r="L170" s="3044"/>
      <c r="M170" s="586">
        <f t="shared" si="69"/>
        <v>0</v>
      </c>
      <c r="N170" s="587">
        <f t="shared" si="72"/>
        <v>0</v>
      </c>
      <c r="O170" s="587">
        <f t="shared" si="72"/>
        <v>0</v>
      </c>
      <c r="P170" s="587">
        <f t="shared" si="72"/>
        <v>0</v>
      </c>
      <c r="Q170" s="587">
        <f t="shared" si="72"/>
        <v>0</v>
      </c>
      <c r="R170" s="588">
        <f t="shared" si="72"/>
        <v>0</v>
      </c>
      <c r="S170" s="3044"/>
      <c r="T170" s="586">
        <f t="shared" si="70"/>
        <v>0</v>
      </c>
      <c r="U170" s="587">
        <f t="shared" si="73"/>
        <v>0</v>
      </c>
      <c r="V170" s="587">
        <f t="shared" si="73"/>
        <v>0</v>
      </c>
      <c r="W170" s="587">
        <f t="shared" si="73"/>
        <v>0</v>
      </c>
      <c r="X170" s="587">
        <f t="shared" si="73"/>
        <v>0</v>
      </c>
      <c r="Y170" s="588">
        <f t="shared" si="73"/>
        <v>0</v>
      </c>
      <c r="Z170" s="3044"/>
      <c r="AA170" s="3106"/>
      <c r="AB170" s="3107"/>
      <c r="AC170" s="3107"/>
      <c r="AD170" s="3107"/>
      <c r="AE170" s="3107"/>
      <c r="AF170" s="3108"/>
      <c r="AG170" s="307"/>
    </row>
    <row r="171" spans="1:33" s="262" customFormat="1">
      <c r="A171" s="608">
        <v>17</v>
      </c>
      <c r="B171" s="1631" t="s">
        <v>956</v>
      </c>
      <c r="C171" s="1632">
        <v>0.02</v>
      </c>
      <c r="D171" s="1625" t="s">
        <v>593</v>
      </c>
      <c r="E171" s="3044"/>
      <c r="F171" s="586">
        <f t="shared" si="68"/>
        <v>0</v>
      </c>
      <c r="G171" s="587">
        <f t="shared" si="71"/>
        <v>0</v>
      </c>
      <c r="H171" s="587">
        <f t="shared" si="71"/>
        <v>0</v>
      </c>
      <c r="I171" s="587">
        <f t="shared" si="71"/>
        <v>0</v>
      </c>
      <c r="J171" s="587">
        <f t="shared" si="71"/>
        <v>0</v>
      </c>
      <c r="K171" s="588">
        <f t="shared" si="71"/>
        <v>0</v>
      </c>
      <c r="L171" s="3044"/>
      <c r="M171" s="586">
        <f t="shared" si="69"/>
        <v>0</v>
      </c>
      <c r="N171" s="587">
        <f t="shared" si="72"/>
        <v>0</v>
      </c>
      <c r="O171" s="587">
        <f t="shared" si="72"/>
        <v>0</v>
      </c>
      <c r="P171" s="587">
        <f t="shared" si="72"/>
        <v>0</v>
      </c>
      <c r="Q171" s="587">
        <f t="shared" si="72"/>
        <v>0</v>
      </c>
      <c r="R171" s="588">
        <f t="shared" si="72"/>
        <v>0</v>
      </c>
      <c r="S171" s="3044"/>
      <c r="T171" s="586">
        <f t="shared" si="70"/>
        <v>0</v>
      </c>
      <c r="U171" s="587">
        <f t="shared" si="73"/>
        <v>0</v>
      </c>
      <c r="V171" s="587">
        <f t="shared" si="73"/>
        <v>0</v>
      </c>
      <c r="W171" s="587">
        <f t="shared" si="73"/>
        <v>0</v>
      </c>
      <c r="X171" s="587">
        <f t="shared" si="73"/>
        <v>0</v>
      </c>
      <c r="Y171" s="588">
        <f t="shared" si="73"/>
        <v>0</v>
      </c>
      <c r="Z171" s="3044"/>
      <c r="AA171" s="3106"/>
      <c r="AB171" s="3107"/>
      <c r="AC171" s="3107"/>
      <c r="AD171" s="3107"/>
      <c r="AE171" s="3107"/>
      <c r="AF171" s="3108"/>
      <c r="AG171" s="307"/>
    </row>
    <row r="172" spans="1:33" s="262" customFormat="1" ht="24">
      <c r="A172" s="608">
        <v>18</v>
      </c>
      <c r="B172" s="1631" t="s">
        <v>957</v>
      </c>
      <c r="C172" s="1632">
        <v>0.04</v>
      </c>
      <c r="D172" s="1625" t="s">
        <v>594</v>
      </c>
      <c r="E172" s="3044"/>
      <c r="F172" s="586">
        <f t="shared" si="68"/>
        <v>0</v>
      </c>
      <c r="G172" s="587">
        <f t="shared" si="71"/>
        <v>0</v>
      </c>
      <c r="H172" s="587">
        <f t="shared" si="71"/>
        <v>0</v>
      </c>
      <c r="I172" s="587">
        <f t="shared" si="71"/>
        <v>0</v>
      </c>
      <c r="J172" s="587">
        <f t="shared" si="71"/>
        <v>0</v>
      </c>
      <c r="K172" s="588">
        <f t="shared" si="71"/>
        <v>0</v>
      </c>
      <c r="L172" s="3044"/>
      <c r="M172" s="586">
        <f t="shared" si="69"/>
        <v>0</v>
      </c>
      <c r="N172" s="587">
        <f t="shared" si="72"/>
        <v>0</v>
      </c>
      <c r="O172" s="587">
        <f t="shared" si="72"/>
        <v>0</v>
      </c>
      <c r="P172" s="587">
        <f t="shared" si="72"/>
        <v>0</v>
      </c>
      <c r="Q172" s="587">
        <f t="shared" si="72"/>
        <v>0</v>
      </c>
      <c r="R172" s="588">
        <f t="shared" si="72"/>
        <v>0</v>
      </c>
      <c r="S172" s="3044"/>
      <c r="T172" s="586">
        <f t="shared" si="70"/>
        <v>0</v>
      </c>
      <c r="U172" s="587">
        <f t="shared" si="73"/>
        <v>0</v>
      </c>
      <c r="V172" s="587">
        <f t="shared" si="73"/>
        <v>0</v>
      </c>
      <c r="W172" s="587">
        <f t="shared" si="73"/>
        <v>0</v>
      </c>
      <c r="X172" s="587">
        <f t="shared" si="73"/>
        <v>0</v>
      </c>
      <c r="Y172" s="588">
        <f t="shared" si="73"/>
        <v>0</v>
      </c>
      <c r="Z172" s="3044"/>
      <c r="AA172" s="3106"/>
      <c r="AB172" s="3107"/>
      <c r="AC172" s="3107"/>
      <c r="AD172" s="3107"/>
      <c r="AE172" s="3107"/>
      <c r="AF172" s="3108"/>
      <c r="AG172" s="307"/>
    </row>
    <row r="173" spans="1:33" s="262" customFormat="1">
      <c r="A173" s="608">
        <v>19</v>
      </c>
      <c r="B173" s="1631" t="s">
        <v>958</v>
      </c>
      <c r="C173" s="1632">
        <v>0.04</v>
      </c>
      <c r="D173" s="1625" t="s">
        <v>595</v>
      </c>
      <c r="E173" s="3044"/>
      <c r="F173" s="586">
        <f t="shared" si="68"/>
        <v>0</v>
      </c>
      <c r="G173" s="587">
        <f t="shared" si="71"/>
        <v>0</v>
      </c>
      <c r="H173" s="587">
        <f t="shared" si="71"/>
        <v>0</v>
      </c>
      <c r="I173" s="587">
        <f t="shared" si="71"/>
        <v>0</v>
      </c>
      <c r="J173" s="587">
        <f t="shared" si="71"/>
        <v>0</v>
      </c>
      <c r="K173" s="588">
        <f t="shared" si="71"/>
        <v>0</v>
      </c>
      <c r="L173" s="3044"/>
      <c r="M173" s="586">
        <f t="shared" si="69"/>
        <v>0</v>
      </c>
      <c r="N173" s="587">
        <f t="shared" si="72"/>
        <v>0</v>
      </c>
      <c r="O173" s="587">
        <f t="shared" si="72"/>
        <v>0</v>
      </c>
      <c r="P173" s="587">
        <f t="shared" si="72"/>
        <v>0</v>
      </c>
      <c r="Q173" s="587">
        <f t="shared" si="72"/>
        <v>0</v>
      </c>
      <c r="R173" s="588">
        <f t="shared" si="72"/>
        <v>0</v>
      </c>
      <c r="S173" s="3044"/>
      <c r="T173" s="586">
        <f t="shared" si="70"/>
        <v>0</v>
      </c>
      <c r="U173" s="587">
        <f t="shared" si="73"/>
        <v>0</v>
      </c>
      <c r="V173" s="587">
        <f t="shared" si="73"/>
        <v>0</v>
      </c>
      <c r="W173" s="587">
        <f t="shared" si="73"/>
        <v>0</v>
      </c>
      <c r="X173" s="587">
        <f t="shared" si="73"/>
        <v>0</v>
      </c>
      <c r="Y173" s="588">
        <f t="shared" si="73"/>
        <v>0</v>
      </c>
      <c r="Z173" s="3044"/>
      <c r="AA173" s="3106"/>
      <c r="AB173" s="3107"/>
      <c r="AC173" s="3107"/>
      <c r="AD173" s="3107"/>
      <c r="AE173" s="3107"/>
      <c r="AF173" s="3108"/>
      <c r="AG173" s="307"/>
    </row>
    <row r="174" spans="1:33" s="262" customFormat="1">
      <c r="A174" s="608">
        <v>20</v>
      </c>
      <c r="B174" s="1631" t="s">
        <v>970</v>
      </c>
      <c r="C174" s="1632">
        <v>0.04</v>
      </c>
      <c r="D174" s="1635" t="s">
        <v>606</v>
      </c>
      <c r="E174" s="3044"/>
      <c r="F174" s="586">
        <f t="shared" si="68"/>
        <v>0</v>
      </c>
      <c r="G174" s="587">
        <f t="shared" si="71"/>
        <v>0</v>
      </c>
      <c r="H174" s="587">
        <f t="shared" si="71"/>
        <v>0</v>
      </c>
      <c r="I174" s="587">
        <f t="shared" si="71"/>
        <v>0</v>
      </c>
      <c r="J174" s="587">
        <f t="shared" si="71"/>
        <v>0</v>
      </c>
      <c r="K174" s="588">
        <f t="shared" si="71"/>
        <v>0</v>
      </c>
      <c r="L174" s="3044"/>
      <c r="M174" s="586">
        <f t="shared" si="69"/>
        <v>0</v>
      </c>
      <c r="N174" s="587">
        <f t="shared" si="72"/>
        <v>0</v>
      </c>
      <c r="O174" s="587">
        <f t="shared" si="72"/>
        <v>0</v>
      </c>
      <c r="P174" s="587">
        <f t="shared" si="72"/>
        <v>0</v>
      </c>
      <c r="Q174" s="587">
        <f t="shared" si="72"/>
        <v>0</v>
      </c>
      <c r="R174" s="588">
        <f t="shared" si="72"/>
        <v>0</v>
      </c>
      <c r="S174" s="3044"/>
      <c r="T174" s="586">
        <f t="shared" si="70"/>
        <v>0</v>
      </c>
      <c r="U174" s="587">
        <f t="shared" si="73"/>
        <v>0</v>
      </c>
      <c r="V174" s="587">
        <f t="shared" si="73"/>
        <v>0</v>
      </c>
      <c r="W174" s="587">
        <f t="shared" si="73"/>
        <v>0</v>
      </c>
      <c r="X174" s="587">
        <f t="shared" si="73"/>
        <v>0</v>
      </c>
      <c r="Y174" s="588">
        <f t="shared" si="73"/>
        <v>0</v>
      </c>
      <c r="Z174" s="3044"/>
      <c r="AA174" s="3106"/>
      <c r="AB174" s="3107"/>
      <c r="AC174" s="3107"/>
      <c r="AD174" s="3107"/>
      <c r="AE174" s="3107"/>
      <c r="AF174" s="3108"/>
      <c r="AG174" s="307"/>
    </row>
    <row r="175" spans="1:33" s="262" customFormat="1" ht="24.75" thickBot="1">
      <c r="A175" s="1513">
        <v>21</v>
      </c>
      <c r="B175" s="1846" t="s">
        <v>960</v>
      </c>
      <c r="C175" s="2422">
        <v>0.2</v>
      </c>
      <c r="D175" s="1847" t="s">
        <v>911</v>
      </c>
      <c r="E175" s="3047"/>
      <c r="F175" s="601">
        <f t="shared" si="68"/>
        <v>-8</v>
      </c>
      <c r="G175" s="602">
        <f t="shared" ref="G175:K175" si="74">F175+(G131*$C131)-(G153*$C131)</f>
        <v>-12</v>
      </c>
      <c r="H175" s="602">
        <f t="shared" si="74"/>
        <v>-12</v>
      </c>
      <c r="I175" s="602">
        <f t="shared" si="74"/>
        <v>-12</v>
      </c>
      <c r="J175" s="602">
        <f t="shared" si="74"/>
        <v>-12.4</v>
      </c>
      <c r="K175" s="603">
        <f t="shared" si="74"/>
        <v>-12.4</v>
      </c>
      <c r="L175" s="3047"/>
      <c r="M175" s="601">
        <f t="shared" si="69"/>
        <v>-6</v>
      </c>
      <c r="N175" s="602">
        <f t="shared" ref="N175:R175" si="75">M175+(N131*$C131)-(N153*$C131)</f>
        <v>-6</v>
      </c>
      <c r="O175" s="602">
        <f t="shared" si="75"/>
        <v>-6.4</v>
      </c>
      <c r="P175" s="602">
        <f t="shared" si="75"/>
        <v>-6.4</v>
      </c>
      <c r="Q175" s="602">
        <f t="shared" si="75"/>
        <v>-6.4</v>
      </c>
      <c r="R175" s="603">
        <f t="shared" si="75"/>
        <v>-6.4</v>
      </c>
      <c r="S175" s="3047"/>
      <c r="T175" s="601">
        <f t="shared" si="70"/>
        <v>0</v>
      </c>
      <c r="U175" s="602">
        <f t="shared" ref="U175:Y175" si="76">T175+(U131*$C131)-(U153*$C131)</f>
        <v>0</v>
      </c>
      <c r="V175" s="602">
        <f t="shared" si="76"/>
        <v>0</v>
      </c>
      <c r="W175" s="602">
        <f t="shared" si="76"/>
        <v>0</v>
      </c>
      <c r="X175" s="602">
        <f t="shared" si="76"/>
        <v>0</v>
      </c>
      <c r="Y175" s="603">
        <f t="shared" si="76"/>
        <v>0</v>
      </c>
      <c r="Z175" s="3047"/>
      <c r="AA175" s="3109"/>
      <c r="AB175" s="3110"/>
      <c r="AC175" s="3110"/>
      <c r="AD175" s="3110"/>
      <c r="AE175" s="3110"/>
      <c r="AF175" s="3111"/>
      <c r="AG175" s="307"/>
    </row>
    <row r="176" spans="1:33" ht="15.75">
      <c r="A176" s="1611"/>
      <c r="B176" s="531"/>
      <c r="C176" s="531"/>
      <c r="D176" s="531"/>
      <c r="E176" s="531"/>
      <c r="F176" s="531"/>
      <c r="G176" s="531"/>
      <c r="H176" s="531"/>
      <c r="I176" s="531"/>
      <c r="J176" s="531"/>
      <c r="K176" s="531"/>
      <c r="L176" s="531"/>
    </row>
    <row r="177" spans="1:29">
      <c r="A177" s="1825"/>
      <c r="B177" s="337"/>
      <c r="C177" s="337"/>
      <c r="D177" s="337"/>
      <c r="E177" s="338"/>
      <c r="F177" s="338"/>
      <c r="G177" s="338"/>
      <c r="H177" s="338"/>
      <c r="I177" s="338"/>
      <c r="J177" s="338"/>
      <c r="K177" s="338"/>
      <c r="L177" s="338"/>
    </row>
    <row r="178" spans="1:29">
      <c r="A178" s="1825"/>
      <c r="B178" s="337"/>
      <c r="C178" s="337"/>
      <c r="D178" s="337"/>
      <c r="E178" s="338"/>
      <c r="F178" s="338"/>
      <c r="G178" s="338"/>
      <c r="H178" s="338"/>
      <c r="I178" s="338"/>
      <c r="J178" s="338"/>
      <c r="K178" s="338"/>
      <c r="L178" s="338"/>
    </row>
    <row r="179" spans="1:29">
      <c r="C179" s="349" t="str">
        <f>'11. Амортиз. план'!C286</f>
        <v>Дата: 10.11.2017 г.</v>
      </c>
      <c r="J179" s="199"/>
      <c r="K179" s="217"/>
    </row>
    <row r="180" spans="1:29">
      <c r="J180" s="574"/>
      <c r="K180" s="217"/>
    </row>
    <row r="181" spans="1:29">
      <c r="J181" s="574"/>
      <c r="K181" s="217"/>
      <c r="L181" s="573"/>
      <c r="W181" s="350" t="str">
        <f>'11.1.Амортиз.нови активи'!U112</f>
        <v>Главен счетоводител:</v>
      </c>
      <c r="X181" s="339"/>
      <c r="Y181" s="289"/>
      <c r="Z181" s="219" t="str">
        <f>'11.1.Амортиз.нови активи'!X112</f>
        <v>.....................................................</v>
      </c>
      <c r="AA181" s="199"/>
      <c r="AB181" s="217"/>
      <c r="AC181" s="339"/>
    </row>
    <row r="182" spans="1:29">
      <c r="J182" s="574"/>
      <c r="K182" s="217"/>
      <c r="W182" s="259"/>
      <c r="X182" s="288"/>
      <c r="Y182" s="220"/>
      <c r="Z182" s="290"/>
      <c r="AA182" s="1848" t="str">
        <f>'11.1.Амортиз.нови активи'!Y113</f>
        <v>(подпис)</v>
      </c>
      <c r="AB182" s="217"/>
      <c r="AC182" s="339"/>
    </row>
    <row r="183" spans="1:29">
      <c r="J183" s="574"/>
      <c r="K183" s="217"/>
      <c r="W183" s="259"/>
      <c r="X183" s="288"/>
      <c r="Y183" s="220"/>
      <c r="Z183" s="290"/>
      <c r="AA183" s="291"/>
      <c r="AB183" s="217"/>
      <c r="AC183" s="339"/>
    </row>
    <row r="184" spans="1:29">
      <c r="J184" s="574"/>
      <c r="K184" s="217"/>
      <c r="W184" s="259"/>
      <c r="X184" s="288"/>
      <c r="Y184" s="220"/>
      <c r="Z184" s="290"/>
      <c r="AA184" s="291"/>
      <c r="AB184" s="217"/>
      <c r="AC184" s="339"/>
    </row>
    <row r="185" spans="1:29">
      <c r="J185" s="574"/>
      <c r="K185" s="217"/>
      <c r="W185" s="259"/>
      <c r="X185" s="288"/>
      <c r="Y185" s="220"/>
      <c r="Z185" s="290"/>
      <c r="AA185" s="291"/>
      <c r="AB185" s="217"/>
      <c r="AC185" s="339"/>
    </row>
    <row r="186" spans="1:29">
      <c r="A186" s="3584" t="s">
        <v>247</v>
      </c>
      <c r="B186" s="3584"/>
      <c r="C186" s="3584"/>
      <c r="D186" s="3584"/>
      <c r="E186" s="3584"/>
      <c r="K186" s="217"/>
      <c r="L186" s="3065"/>
      <c r="W186" s="261" t="str">
        <f>'11.1.Амортиз.нови активи'!V118</f>
        <v>Управител:</v>
      </c>
      <c r="X186" s="288"/>
      <c r="Y186" s="220"/>
      <c r="Z186" s="290" t="str">
        <f>'11.1.Амортиз.нови активи'!X118</f>
        <v>.....................................................</v>
      </c>
      <c r="AA186" s="291"/>
      <c r="AB186" s="217"/>
      <c r="AC186" s="339"/>
    </row>
    <row r="187" spans="1:29">
      <c r="A187" s="3585" t="s">
        <v>767</v>
      </c>
      <c r="B187" s="3585"/>
      <c r="C187" s="3585"/>
      <c r="D187" s="3585"/>
      <c r="E187" s="3585"/>
      <c r="F187" s="3091"/>
      <c r="G187" s="3091"/>
      <c r="H187" s="3091"/>
      <c r="I187" s="3091"/>
      <c r="J187" s="222"/>
      <c r="K187" s="222"/>
      <c r="L187" s="3091"/>
      <c r="M187" s="3092"/>
      <c r="N187" s="3093"/>
      <c r="W187" s="259"/>
      <c r="X187" s="292"/>
      <c r="Y187" s="259"/>
      <c r="Z187" s="219"/>
      <c r="AA187" s="1849" t="str">
        <f>'11.1.Амортиз.нови активи'!Y119</f>
        <v>(подпис и печат)</v>
      </c>
      <c r="AB187" s="217"/>
      <c r="AC187" s="339"/>
    </row>
    <row r="188" spans="1:29">
      <c r="A188" s="3588" t="s">
        <v>1557</v>
      </c>
      <c r="B188" s="3589"/>
      <c r="C188" s="3589"/>
      <c r="D188" s="3589"/>
      <c r="E188" s="3589"/>
      <c r="F188" s="3590"/>
      <c r="G188" s="3590"/>
      <c r="H188" s="3590"/>
      <c r="I188" s="3590"/>
      <c r="J188" s="3590"/>
      <c r="K188" s="3590"/>
      <c r="L188" s="3590"/>
      <c r="M188" s="3590"/>
      <c r="N188" s="3590"/>
      <c r="W188" s="259"/>
      <c r="X188" s="259"/>
      <c r="Y188" s="217"/>
      <c r="Z188" s="575"/>
      <c r="AA188" s="339"/>
    </row>
    <row r="189" spans="1:29">
      <c r="A189" s="660" t="s">
        <v>1555</v>
      </c>
      <c r="B189" s="3091"/>
      <c r="C189" s="3091"/>
      <c r="D189" s="3091"/>
      <c r="E189" s="3091"/>
      <c r="F189" s="3091"/>
      <c r="G189" s="3091"/>
      <c r="H189" s="3091"/>
      <c r="I189" s="3091"/>
      <c r="J189" s="3091"/>
      <c r="K189" s="3091"/>
      <c r="L189" s="3091"/>
      <c r="M189" s="3092"/>
      <c r="N189" s="3093"/>
    </row>
    <row r="190" spans="1:29" ht="54.75" customHeight="1">
      <c r="A190" s="3560" t="s">
        <v>1531</v>
      </c>
      <c r="B190" s="3560"/>
      <c r="C190" s="3560"/>
      <c r="D190" s="3560"/>
      <c r="E190" s="3560"/>
      <c r="F190" s="3560"/>
      <c r="G190" s="3560"/>
      <c r="H190" s="3560"/>
      <c r="I190" s="3560"/>
      <c r="J190" s="3560"/>
      <c r="K190" s="3560"/>
      <c r="L190" s="3560"/>
      <c r="M190" s="3560"/>
      <c r="N190" s="3560"/>
    </row>
    <row r="191" spans="1:29" ht="14.25" customHeight="1">
      <c r="A191" s="3094" t="s">
        <v>1556</v>
      </c>
      <c r="B191" s="3091"/>
      <c r="C191" s="3091"/>
      <c r="D191" s="3091"/>
      <c r="E191" s="3091"/>
      <c r="F191" s="3091"/>
      <c r="G191" s="3091"/>
      <c r="H191" s="3091"/>
      <c r="I191" s="3091"/>
      <c r="J191" s="3091"/>
      <c r="K191" s="3091"/>
      <c r="L191" s="3091"/>
      <c r="M191" s="3092"/>
      <c r="N191" s="3093"/>
    </row>
    <row r="192" spans="1:29" ht="60.75" customHeight="1"/>
    <row r="193" ht="20.25" customHeight="1"/>
  </sheetData>
  <sheetProtection password="C6DB" sheet="1" objects="1" scenarios="1" formatCells="0" formatColumns="0" formatRows="0"/>
  <mergeCells count="16">
    <mergeCell ref="A2:R2"/>
    <mergeCell ref="A3:R3"/>
    <mergeCell ref="A4:R4"/>
    <mergeCell ref="A5:R5"/>
    <mergeCell ref="A190:N190"/>
    <mergeCell ref="A188:N188"/>
    <mergeCell ref="Z8:AF8"/>
    <mergeCell ref="D8:D9"/>
    <mergeCell ref="A8:A9"/>
    <mergeCell ref="A186:E186"/>
    <mergeCell ref="A187:E187"/>
    <mergeCell ref="E8:K8"/>
    <mergeCell ref="L8:R8"/>
    <mergeCell ref="S8:Y8"/>
    <mergeCell ref="B8:B9"/>
    <mergeCell ref="C8:C9"/>
  </mergeCells>
  <printOptions horizontalCentered="1"/>
  <pageMargins left="0.31496062992125984" right="0.31496062992125984" top="0.74803149606299213" bottom="0.35433070866141736" header="0.31496062992125984" footer="0.31496062992125984"/>
  <pageSetup paperSize="9" scale="57" orientation="landscape" r:id="rId1"/>
  <headerFooter>
    <oddFooter>&amp;A&amp;RPage &amp;P</oddFooter>
  </headerFooter>
  <rowBreaks count="2" manualBreakCount="2">
    <brk id="59" max="16383" man="1"/>
    <brk id="115" max="16383" man="1"/>
  </rowBreaks>
  <colBreaks count="2" manualBreakCount="2">
    <brk id="18" max="1048575" man="1"/>
    <brk id="32" max="1048575" man="1"/>
  </colBreaks>
  <ignoredErrors>
    <ignoredError sqref="F64 F67 F71 F74 F94 G94:Z94 G74:Z74 G71:Z71 G67:Z67 G64:Z64 E83:Y83 F99:Y99" formula="1"/>
    <ignoredError sqref="B166:B175 B155:B163 B122:B131 B111:B118" numberStoredAsText="1"/>
    <ignoredError sqref="E34 G34:Z34" formulaRange="1"/>
  </ignoredErrors>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CF6C6"/>
  </sheetPr>
  <dimension ref="A1:AO493"/>
  <sheetViews>
    <sheetView view="pageBreakPreview" zoomScaleNormal="80" zoomScaleSheetLayoutView="100" workbookViewId="0">
      <pane xSplit="2" ySplit="10" topLeftCell="C59" activePane="bottomRight" state="frozen"/>
      <selection pane="topRight" activeCell="C1" sqref="C1"/>
      <selection pane="bottomLeft" activeCell="A11" sqref="A11"/>
      <selection pane="bottomRight" activeCell="E69" sqref="E69"/>
    </sheetView>
  </sheetViews>
  <sheetFormatPr defaultColWidth="9.140625" defaultRowHeight="15"/>
  <cols>
    <col min="1" max="1" width="5.85546875" style="352" customWidth="1"/>
    <col min="2" max="2" width="45.85546875" style="352" customWidth="1"/>
    <col min="3" max="3" width="11.5703125" style="353" customWidth="1"/>
    <col min="4" max="4" width="11.28515625" style="353" customWidth="1"/>
    <col min="5" max="5" width="11.85546875" style="353" customWidth="1"/>
    <col min="6" max="9" width="10.140625" style="353" customWidth="1"/>
    <col min="10" max="10" width="10.85546875" style="353" customWidth="1"/>
    <col min="11" max="16" width="10.140625" style="353" customWidth="1"/>
    <col min="17" max="23" width="11.42578125" style="353" customWidth="1"/>
    <col min="24" max="30" width="8" style="353" customWidth="1"/>
    <col min="31" max="39" width="9.140625" style="352"/>
    <col min="40" max="16384" width="9.140625" style="339"/>
  </cols>
  <sheetData>
    <row r="1" spans="1:41">
      <c r="O1" s="376" t="s">
        <v>249</v>
      </c>
      <c r="AC1" s="375"/>
      <c r="AD1" s="376" t="s">
        <v>249</v>
      </c>
      <c r="AF1" s="298"/>
      <c r="AG1" s="298"/>
      <c r="AH1" s="298"/>
    </row>
    <row r="2" spans="1:41" ht="43.5" hidden="1" customHeight="1">
      <c r="A2" s="3619" t="s">
        <v>1417</v>
      </c>
      <c r="B2" s="3619"/>
      <c r="C2" s="3619"/>
      <c r="D2" s="3619"/>
      <c r="E2" s="3619"/>
      <c r="F2" s="3619"/>
      <c r="G2" s="3619"/>
      <c r="H2" s="3619"/>
      <c r="I2" s="3619"/>
      <c r="J2" s="3619"/>
      <c r="K2" s="3619"/>
      <c r="L2" s="3619"/>
      <c r="M2" s="3619"/>
      <c r="N2" s="3619"/>
      <c r="O2" s="3619"/>
      <c r="P2" s="3619"/>
      <c r="Q2" s="2032"/>
      <c r="R2" s="2032"/>
      <c r="S2" s="2032"/>
      <c r="T2" s="2032"/>
      <c r="U2" s="2032"/>
      <c r="V2" s="2032"/>
      <c r="W2" s="2032"/>
      <c r="X2" s="2032"/>
      <c r="Y2" s="2032"/>
      <c r="Z2" s="2032"/>
      <c r="AA2" s="2032"/>
      <c r="AB2" s="2032"/>
      <c r="AC2" s="2032"/>
      <c r="AD2" s="2032"/>
      <c r="AE2" s="354"/>
      <c r="AF2" s="378"/>
      <c r="AG2" s="298"/>
      <c r="AH2" s="298"/>
      <c r="AI2" s="354"/>
      <c r="AJ2" s="354"/>
      <c r="AK2" s="354"/>
      <c r="AL2" s="354"/>
      <c r="AM2" s="354"/>
    </row>
    <row r="3" spans="1:41" ht="15.75" hidden="1">
      <c r="A3" s="3620" t="str">
        <f>'1. Анкетна карта'!A3:J3</f>
        <v>на "ВОДОСНАБДЯВАНЕ И КАНАЛИЗАЦИЯ ДОБРИЧ" АД, гр. Добрич</v>
      </c>
      <c r="B3" s="3620"/>
      <c r="C3" s="3620"/>
      <c r="D3" s="3620"/>
      <c r="E3" s="3620"/>
      <c r="F3" s="3620"/>
      <c r="G3" s="3620"/>
      <c r="H3" s="3620"/>
      <c r="I3" s="3620"/>
      <c r="J3" s="3620"/>
      <c r="K3" s="3620"/>
      <c r="L3" s="3620"/>
      <c r="M3" s="3620"/>
      <c r="N3" s="3620"/>
      <c r="O3" s="3620"/>
      <c r="P3" s="3620"/>
      <c r="Q3" s="2033"/>
      <c r="R3" s="2033"/>
      <c r="S3" s="2033"/>
      <c r="T3" s="2033"/>
      <c r="U3" s="2033"/>
      <c r="V3" s="2033"/>
      <c r="W3" s="2033"/>
      <c r="X3" s="2033"/>
      <c r="Y3" s="2033"/>
      <c r="Z3" s="2033"/>
      <c r="AA3" s="2033"/>
      <c r="AB3" s="2033"/>
      <c r="AC3" s="2033"/>
      <c r="AD3" s="2033"/>
      <c r="AF3" s="378"/>
      <c r="AG3" s="298"/>
      <c r="AH3" s="298"/>
    </row>
    <row r="4" spans="1:41" ht="15.75" hidden="1">
      <c r="A4" s="3620" t="str">
        <f>'1. Анкетна карта'!A4:J4</f>
        <v>ЕИК по БУЛСТАТ: 204219357</v>
      </c>
      <c r="B4" s="3620"/>
      <c r="C4" s="3620"/>
      <c r="D4" s="3620"/>
      <c r="E4" s="3620"/>
      <c r="F4" s="3620"/>
      <c r="G4" s="3620"/>
      <c r="H4" s="3620"/>
      <c r="I4" s="3620"/>
      <c r="J4" s="3620"/>
      <c r="K4" s="3620"/>
      <c r="L4" s="3620"/>
      <c r="M4" s="3620"/>
      <c r="N4" s="3620"/>
      <c r="O4" s="3620"/>
      <c r="P4" s="3620"/>
      <c r="Q4" s="2033"/>
      <c r="R4" s="2033"/>
      <c r="S4" s="2033"/>
      <c r="T4" s="2033"/>
      <c r="U4" s="2033"/>
      <c r="V4" s="2033"/>
      <c r="W4" s="2033"/>
      <c r="X4" s="2033"/>
      <c r="Y4" s="2033"/>
      <c r="Z4" s="2033"/>
      <c r="AA4" s="2033"/>
      <c r="AB4" s="2033"/>
      <c r="AC4" s="2033"/>
      <c r="AD4" s="2033"/>
      <c r="AF4" s="378"/>
      <c r="AG4" s="298"/>
      <c r="AH4" s="298"/>
    </row>
    <row r="5" spans="1:41" ht="15.75" hidden="1">
      <c r="A5" s="615"/>
      <c r="B5" s="615"/>
      <c r="C5" s="615"/>
      <c r="D5" s="615"/>
      <c r="E5" s="615"/>
      <c r="F5" s="615"/>
      <c r="G5" s="615"/>
      <c r="H5" s="615"/>
      <c r="I5" s="615"/>
      <c r="J5" s="615"/>
      <c r="L5" s="611"/>
      <c r="M5" s="611"/>
      <c r="N5" s="611"/>
      <c r="O5" s="611"/>
      <c r="P5" s="611"/>
      <c r="Q5" s="611"/>
      <c r="R5" s="611"/>
      <c r="S5" s="611"/>
      <c r="T5" s="611"/>
      <c r="U5" s="611"/>
      <c r="V5" s="611"/>
      <c r="W5" s="611"/>
      <c r="X5" s="611"/>
      <c r="Y5" s="611"/>
      <c r="Z5" s="611"/>
      <c r="AA5" s="611"/>
      <c r="AB5" s="611"/>
      <c r="AC5" s="611"/>
      <c r="AD5" s="611"/>
      <c r="AE5" s="611"/>
      <c r="AF5" s="611"/>
      <c r="AH5" s="378"/>
      <c r="AI5" s="298"/>
      <c r="AJ5" s="298"/>
      <c r="AN5" s="352"/>
      <c r="AO5" s="352"/>
    </row>
    <row r="6" spans="1:41" ht="30.75" hidden="1" customHeight="1">
      <c r="A6" s="615"/>
      <c r="B6" s="615"/>
      <c r="C6" s="615"/>
      <c r="D6" s="615"/>
      <c r="E6" s="615"/>
      <c r="F6" s="615"/>
      <c r="G6" s="615"/>
      <c r="H6" s="615"/>
      <c r="I6" s="615"/>
      <c r="J6" s="615"/>
      <c r="K6" s="355"/>
      <c r="L6" s="355"/>
      <c r="M6" s="355"/>
      <c r="N6" s="355"/>
      <c r="O6" s="355"/>
      <c r="P6" s="355"/>
      <c r="Q6" s="355"/>
      <c r="R6" s="355"/>
      <c r="S6" s="355"/>
      <c r="T6" s="355"/>
      <c r="U6" s="355"/>
      <c r="V6" s="355"/>
      <c r="W6" s="355"/>
      <c r="X6" s="355"/>
      <c r="Y6" s="355"/>
      <c r="Z6" s="355"/>
      <c r="AA6" s="355"/>
      <c r="AB6" s="355"/>
      <c r="AC6" s="355"/>
      <c r="AD6" s="355"/>
      <c r="AF6" s="378"/>
      <c r="AG6" s="298"/>
      <c r="AH6" s="298"/>
    </row>
    <row r="7" spans="1:41" ht="15.75" customHeight="1" thickBot="1">
      <c r="A7" s="356"/>
      <c r="B7" s="356"/>
      <c r="C7" s="357"/>
      <c r="D7" s="613"/>
      <c r="E7" s="357"/>
      <c r="F7" s="357"/>
      <c r="G7" s="614"/>
      <c r="H7" s="615"/>
      <c r="I7" s="615"/>
      <c r="J7" s="615"/>
      <c r="K7" s="615"/>
      <c r="L7" s="357"/>
      <c r="M7" s="357"/>
      <c r="N7" s="357"/>
      <c r="O7" s="357"/>
      <c r="W7" s="357"/>
      <c r="X7" s="357"/>
      <c r="Y7" s="357"/>
      <c r="Z7" s="357"/>
      <c r="AA7" s="357"/>
      <c r="AB7" s="357"/>
      <c r="AC7" s="377"/>
      <c r="AD7" s="617" t="s">
        <v>250</v>
      </c>
      <c r="AF7" s="378"/>
      <c r="AG7" s="298"/>
      <c r="AH7" s="298"/>
    </row>
    <row r="8" spans="1:41" ht="15" customHeight="1" thickBot="1">
      <c r="A8" s="3600" t="s">
        <v>1</v>
      </c>
      <c r="B8" s="3599" t="s">
        <v>286</v>
      </c>
      <c r="C8" s="3607" t="s">
        <v>287</v>
      </c>
      <c r="D8" s="3608"/>
      <c r="E8" s="3608"/>
      <c r="F8" s="3608"/>
      <c r="G8" s="3608"/>
      <c r="H8" s="3608"/>
      <c r="I8" s="3608"/>
      <c r="J8" s="3608"/>
      <c r="K8" s="3608"/>
      <c r="L8" s="3608"/>
      <c r="M8" s="3608"/>
      <c r="N8" s="3608"/>
      <c r="O8" s="3608"/>
      <c r="P8" s="3608"/>
      <c r="Q8" s="3608"/>
      <c r="R8" s="3608"/>
      <c r="S8" s="3608"/>
      <c r="T8" s="3608"/>
      <c r="U8" s="3608"/>
      <c r="V8" s="3608"/>
      <c r="W8" s="3609"/>
      <c r="X8" s="3607" t="s">
        <v>288</v>
      </c>
      <c r="Y8" s="3608"/>
      <c r="Z8" s="3608"/>
      <c r="AA8" s="3608"/>
      <c r="AB8" s="3608"/>
      <c r="AC8" s="3608"/>
      <c r="AD8" s="3609"/>
      <c r="AF8" s="378"/>
      <c r="AG8" s="298"/>
      <c r="AH8" s="298"/>
    </row>
    <row r="9" spans="1:41" ht="15.75" customHeight="1" thickBot="1">
      <c r="A9" s="3603"/>
      <c r="B9" s="3605"/>
      <c r="C9" s="3613" t="s">
        <v>270</v>
      </c>
      <c r="D9" s="3614"/>
      <c r="E9" s="3614"/>
      <c r="F9" s="3614"/>
      <c r="G9" s="3614"/>
      <c r="H9" s="3614"/>
      <c r="I9" s="3615"/>
      <c r="J9" s="3616" t="s">
        <v>271</v>
      </c>
      <c r="K9" s="3617"/>
      <c r="L9" s="3617"/>
      <c r="M9" s="3617"/>
      <c r="N9" s="3617"/>
      <c r="O9" s="3617"/>
      <c r="P9" s="3618"/>
      <c r="Q9" s="3616" t="s">
        <v>272</v>
      </c>
      <c r="R9" s="3617"/>
      <c r="S9" s="3617"/>
      <c r="T9" s="3617"/>
      <c r="U9" s="3617"/>
      <c r="V9" s="3617"/>
      <c r="W9" s="3618"/>
      <c r="X9" s="3610"/>
      <c r="Y9" s="3611"/>
      <c r="Z9" s="3611"/>
      <c r="AA9" s="3611"/>
      <c r="AB9" s="3611"/>
      <c r="AC9" s="3611"/>
      <c r="AD9" s="3612"/>
      <c r="AF9" s="378"/>
      <c r="AG9" s="298"/>
      <c r="AH9" s="298"/>
    </row>
    <row r="10" spans="1:41" ht="15.75" thickBot="1">
      <c r="A10" s="3604"/>
      <c r="B10" s="3606"/>
      <c r="C10" s="2070" t="str">
        <f>'Приложение '!G12</f>
        <v>2015 г.</v>
      </c>
      <c r="D10" s="2079" t="str">
        <f>'Приложение '!G13</f>
        <v>2016 г.</v>
      </c>
      <c r="E10" s="1199" t="str">
        <f>'Приложение '!G14</f>
        <v>2017 г.</v>
      </c>
      <c r="F10" s="1197" t="str">
        <f>'Приложение '!G15</f>
        <v>2018 г.</v>
      </c>
      <c r="G10" s="1197" t="str">
        <f>'Приложение '!G16</f>
        <v>2019 г.</v>
      </c>
      <c r="H10" s="1197" t="str">
        <f>'Приложение '!G17</f>
        <v>2020 г.</v>
      </c>
      <c r="I10" s="1198" t="str">
        <f>'Приложение '!G18</f>
        <v>2021 г.</v>
      </c>
      <c r="J10" s="2070" t="str">
        <f>C10</f>
        <v>2015 г.</v>
      </c>
      <c r="K10" s="2079" t="str">
        <f t="shared" ref="K10:AD10" si="0">D10</f>
        <v>2016 г.</v>
      </c>
      <c r="L10" s="1199" t="str">
        <f t="shared" ref="L10:R10" si="1">E10</f>
        <v>2017 г.</v>
      </c>
      <c r="M10" s="1199" t="str">
        <f t="shared" si="1"/>
        <v>2018 г.</v>
      </c>
      <c r="N10" s="1199" t="str">
        <f t="shared" si="1"/>
        <v>2019 г.</v>
      </c>
      <c r="O10" s="1199" t="str">
        <f t="shared" si="1"/>
        <v>2020 г.</v>
      </c>
      <c r="P10" s="1200" t="str">
        <f t="shared" si="1"/>
        <v>2021 г.</v>
      </c>
      <c r="Q10" s="2081" t="str">
        <f t="shared" si="1"/>
        <v>2015 г.</v>
      </c>
      <c r="R10" s="2079" t="str">
        <f t="shared" si="1"/>
        <v>2016 г.</v>
      </c>
      <c r="S10" s="1364" t="str">
        <f t="shared" si="0"/>
        <v>2017 г.</v>
      </c>
      <c r="T10" s="1364" t="str">
        <f t="shared" si="0"/>
        <v>2018 г.</v>
      </c>
      <c r="U10" s="1364" t="str">
        <f t="shared" si="0"/>
        <v>2019 г.</v>
      </c>
      <c r="V10" s="1364" t="str">
        <f t="shared" si="0"/>
        <v>2020 г.</v>
      </c>
      <c r="W10" s="2047" t="str">
        <f t="shared" si="0"/>
        <v>2021 г.</v>
      </c>
      <c r="X10" s="2079" t="str">
        <f t="shared" si="0"/>
        <v>2015 г.</v>
      </c>
      <c r="Y10" s="2079" t="str">
        <f t="shared" si="0"/>
        <v>2016 г.</v>
      </c>
      <c r="Z10" s="1364" t="str">
        <f t="shared" si="0"/>
        <v>2017 г.</v>
      </c>
      <c r="AA10" s="1364" t="str">
        <f t="shared" si="0"/>
        <v>2018 г.</v>
      </c>
      <c r="AB10" s="1364" t="str">
        <f t="shared" si="0"/>
        <v>2019 г.</v>
      </c>
      <c r="AC10" s="1364" t="str">
        <f t="shared" si="0"/>
        <v>2020 г.</v>
      </c>
      <c r="AD10" s="2047" t="str">
        <f t="shared" si="0"/>
        <v>2021 г.</v>
      </c>
      <c r="AF10" s="378"/>
      <c r="AG10" s="298"/>
      <c r="AH10" s="298"/>
    </row>
    <row r="11" spans="1:41" ht="15.75" thickBot="1">
      <c r="A11" s="1049" t="s">
        <v>193</v>
      </c>
      <c r="B11" s="1059" t="s">
        <v>289</v>
      </c>
      <c r="C11" s="2071">
        <f>SUM(C12:C27)-C12-C18-C24</f>
        <v>10326</v>
      </c>
      <c r="D11" s="1051">
        <f t="shared" ref="D11:AD11" si="2">SUM(D12:D27)-D12-D18-D24</f>
        <v>9340</v>
      </c>
      <c r="E11" s="1075">
        <f t="shared" si="2"/>
        <v>8349.4</v>
      </c>
      <c r="F11" s="1076">
        <f t="shared" si="2"/>
        <v>8141.6</v>
      </c>
      <c r="G11" s="1076">
        <f t="shared" si="2"/>
        <v>7685.4</v>
      </c>
      <c r="H11" s="1076">
        <f t="shared" si="2"/>
        <v>7321</v>
      </c>
      <c r="I11" s="1077">
        <f t="shared" si="2"/>
        <v>6958.8</v>
      </c>
      <c r="J11" s="2071">
        <f t="shared" si="2"/>
        <v>229</v>
      </c>
      <c r="K11" s="1051">
        <f t="shared" si="2"/>
        <v>247</v>
      </c>
      <c r="L11" s="1075">
        <f t="shared" si="2"/>
        <v>216</v>
      </c>
      <c r="M11" s="1076">
        <f t="shared" si="2"/>
        <v>216</v>
      </c>
      <c r="N11" s="1076">
        <f t="shared" si="2"/>
        <v>216</v>
      </c>
      <c r="O11" s="1076">
        <f t="shared" si="2"/>
        <v>216</v>
      </c>
      <c r="P11" s="1077">
        <f t="shared" si="2"/>
        <v>216</v>
      </c>
      <c r="Q11" s="2071">
        <f t="shared" si="2"/>
        <v>638</v>
      </c>
      <c r="R11" s="1051">
        <f t="shared" si="2"/>
        <v>624</v>
      </c>
      <c r="S11" s="1075">
        <f t="shared" si="2"/>
        <v>534</v>
      </c>
      <c r="T11" s="1076">
        <f t="shared" si="2"/>
        <v>535</v>
      </c>
      <c r="U11" s="1076">
        <f t="shared" si="2"/>
        <v>529</v>
      </c>
      <c r="V11" s="1076">
        <f t="shared" si="2"/>
        <v>524</v>
      </c>
      <c r="W11" s="1077">
        <f t="shared" si="2"/>
        <v>518</v>
      </c>
      <c r="X11" s="1051">
        <f t="shared" si="2"/>
        <v>113</v>
      </c>
      <c r="Y11" s="1051">
        <f t="shared" si="2"/>
        <v>113</v>
      </c>
      <c r="Z11" s="1075">
        <f t="shared" si="2"/>
        <v>113</v>
      </c>
      <c r="AA11" s="1076">
        <f t="shared" si="2"/>
        <v>113</v>
      </c>
      <c r="AB11" s="1076">
        <f t="shared" si="2"/>
        <v>113</v>
      </c>
      <c r="AC11" s="1076">
        <f t="shared" si="2"/>
        <v>113</v>
      </c>
      <c r="AD11" s="1077">
        <f t="shared" si="2"/>
        <v>113</v>
      </c>
      <c r="AF11" s="378"/>
      <c r="AG11" s="298"/>
      <c r="AH11" s="298"/>
    </row>
    <row r="12" spans="1:41">
      <c r="A12" s="1035" t="s">
        <v>98</v>
      </c>
      <c r="B12" s="1036" t="s">
        <v>290</v>
      </c>
      <c r="C12" s="2072">
        <f>SUM(C13:C16)</f>
        <v>41</v>
      </c>
      <c r="D12" s="1080">
        <f>SUM(D13:D16)</f>
        <v>60</v>
      </c>
      <c r="E12" s="2076">
        <f t="shared" ref="E12:AD12" si="3">SUM(E13:E16)</f>
        <v>41</v>
      </c>
      <c r="F12" s="1081">
        <f t="shared" si="3"/>
        <v>41</v>
      </c>
      <c r="G12" s="1081">
        <f t="shared" si="3"/>
        <v>41</v>
      </c>
      <c r="H12" s="1082">
        <f t="shared" si="3"/>
        <v>41</v>
      </c>
      <c r="I12" s="1083">
        <f t="shared" si="3"/>
        <v>41</v>
      </c>
      <c r="J12" s="2072">
        <f t="shared" si="3"/>
        <v>4</v>
      </c>
      <c r="K12" s="1080">
        <f t="shared" si="3"/>
        <v>2</v>
      </c>
      <c r="L12" s="1084">
        <f t="shared" si="3"/>
        <v>4</v>
      </c>
      <c r="M12" s="1082">
        <f t="shared" si="3"/>
        <v>4</v>
      </c>
      <c r="N12" s="1082">
        <f t="shared" si="3"/>
        <v>4</v>
      </c>
      <c r="O12" s="1082">
        <f t="shared" si="3"/>
        <v>4</v>
      </c>
      <c r="P12" s="1083">
        <f t="shared" si="3"/>
        <v>4</v>
      </c>
      <c r="Q12" s="2072">
        <f t="shared" si="3"/>
        <v>4</v>
      </c>
      <c r="R12" s="1080">
        <f t="shared" si="3"/>
        <v>4</v>
      </c>
      <c r="S12" s="1084">
        <f t="shared" si="3"/>
        <v>4</v>
      </c>
      <c r="T12" s="1082">
        <f t="shared" si="3"/>
        <v>4</v>
      </c>
      <c r="U12" s="1082">
        <f t="shared" si="3"/>
        <v>4</v>
      </c>
      <c r="V12" s="1082">
        <f t="shared" si="3"/>
        <v>4</v>
      </c>
      <c r="W12" s="1083">
        <f t="shared" si="3"/>
        <v>4</v>
      </c>
      <c r="X12" s="1080">
        <f t="shared" si="3"/>
        <v>0</v>
      </c>
      <c r="Y12" s="1080">
        <f t="shared" si="3"/>
        <v>0</v>
      </c>
      <c r="Z12" s="1084">
        <f t="shared" si="3"/>
        <v>0</v>
      </c>
      <c r="AA12" s="1082">
        <f t="shared" si="3"/>
        <v>0</v>
      </c>
      <c r="AB12" s="1082">
        <f t="shared" si="3"/>
        <v>0</v>
      </c>
      <c r="AC12" s="1082">
        <f t="shared" si="3"/>
        <v>0</v>
      </c>
      <c r="AD12" s="1083">
        <f t="shared" si="3"/>
        <v>0</v>
      </c>
      <c r="AF12" s="378"/>
      <c r="AG12" s="298"/>
      <c r="AH12" s="298"/>
    </row>
    <row r="13" spans="1:41" s="360" customFormat="1">
      <c r="A13" s="1085" t="s">
        <v>484</v>
      </c>
      <c r="B13" s="1039" t="s">
        <v>291</v>
      </c>
      <c r="C13" s="2804">
        <f>'12.1.Разходи-увелич.и нам.'!C13</f>
        <v>41</v>
      </c>
      <c r="D13" s="2423">
        <f>'12.1.Разходи-увелич.и нам.'!D13</f>
        <v>60</v>
      </c>
      <c r="E13" s="2424">
        <f>$C13+('12.1.Разходи-увелич.и нам.'!E13+'12.1.Разходи-увелич.и нам.'!F13)</f>
        <v>41</v>
      </c>
      <c r="F13" s="2424">
        <f>$C13+('12.1.Разходи-увелич.и нам.'!G13+'12.1.Разходи-увелич.и нам.'!H13)</f>
        <v>41</v>
      </c>
      <c r="G13" s="2424">
        <f>$C13+('12.1.Разходи-увелич.и нам.'!I13+'12.1.Разходи-увелич.и нам.'!J13)</f>
        <v>41</v>
      </c>
      <c r="H13" s="2424">
        <f>$C13+('12.1.Разходи-увелич.и нам.'!K13+'12.1.Разходи-увелич.и нам.'!L13)</f>
        <v>41</v>
      </c>
      <c r="I13" s="2425">
        <f>$C13+('12.1.Разходи-увелич.и нам.'!M13+'12.1.Разходи-увелич.и нам.'!N13)</f>
        <v>41</v>
      </c>
      <c r="J13" s="2426">
        <f>'12.1.Разходи-увелич.и нам.'!O13</f>
        <v>4</v>
      </c>
      <c r="K13" s="2423">
        <f>'12.1.Разходи-увелич.и нам.'!P13</f>
        <v>2</v>
      </c>
      <c r="L13" s="2424">
        <f>$J13+('12.1.Разходи-увелич.и нам.'!Q13+'12.1.Разходи-увелич.и нам.'!R13)</f>
        <v>4</v>
      </c>
      <c r="M13" s="2424">
        <f>$J13+('12.1.Разходи-увелич.и нам.'!S13+'12.1.Разходи-увелич.и нам.'!T13)</f>
        <v>4</v>
      </c>
      <c r="N13" s="2424">
        <f>$J13+('12.1.Разходи-увелич.и нам.'!U13+'12.1.Разходи-увелич.и нам.'!V13)</f>
        <v>4</v>
      </c>
      <c r="O13" s="2424">
        <f>$J13+('12.1.Разходи-увелич.и нам.'!W13+'12.1.Разходи-увелич.и нам.'!X13)</f>
        <v>4</v>
      </c>
      <c r="P13" s="2425">
        <f>$J13+('12.1.Разходи-увелич.и нам.'!Y13+'12.1.Разходи-увелич.и нам.'!Z13)</f>
        <v>4</v>
      </c>
      <c r="Q13" s="2426">
        <f>'12.1.Разходи-увелич.и нам.'!AA13</f>
        <v>4</v>
      </c>
      <c r="R13" s="2427">
        <f>'12.1.Разходи-увелич.и нам.'!AB13</f>
        <v>4</v>
      </c>
      <c r="S13" s="2424">
        <f>$Q13+('12.1.Разходи-увелич.и нам.'!AC13+'12.1.Разходи-увелич.и нам.'!AD13)</f>
        <v>4</v>
      </c>
      <c r="T13" s="2424">
        <f>$Q13+('12.1.Разходи-увелич.и нам.'!AE13+'12.1.Разходи-увелич.и нам.'!AF13)</f>
        <v>4</v>
      </c>
      <c r="U13" s="2424">
        <f>$Q13+('12.1.Разходи-увелич.и нам.'!AG13+'12.1.Разходи-увелич.и нам.'!AH13)</f>
        <v>4</v>
      </c>
      <c r="V13" s="2424">
        <f>$Q13+('12.1.Разходи-увелич.и нам.'!AI13+'12.1.Разходи-увелич.и нам.'!AJ13)</f>
        <v>4</v>
      </c>
      <c r="W13" s="2425">
        <f>$Q13+('12.1.Разходи-увелич.и нам.'!AK13+'12.1.Разходи-увелич.и нам.'!AL13)</f>
        <v>4</v>
      </c>
      <c r="X13" s="2250"/>
      <c r="Y13" s="2250"/>
      <c r="Z13" s="799"/>
      <c r="AA13" s="786"/>
      <c r="AB13" s="786"/>
      <c r="AC13" s="786"/>
      <c r="AD13" s="795"/>
      <c r="AE13" s="358"/>
      <c r="AF13" s="379"/>
      <c r="AG13" s="359"/>
      <c r="AH13" s="359"/>
      <c r="AI13" s="358"/>
      <c r="AJ13" s="358"/>
      <c r="AK13" s="358"/>
      <c r="AL13" s="358"/>
      <c r="AM13" s="358"/>
    </row>
    <row r="14" spans="1:41" s="360" customFormat="1">
      <c r="A14" s="1085" t="s">
        <v>485</v>
      </c>
      <c r="B14" s="1039" t="s">
        <v>292</v>
      </c>
      <c r="C14" s="2804">
        <f>'12.1.Разходи-увелич.и нам.'!C14</f>
        <v>0</v>
      </c>
      <c r="D14" s="2423">
        <f>'12.1.Разходи-увелич.и нам.'!D14</f>
        <v>0</v>
      </c>
      <c r="E14" s="2424">
        <f>$C14+('12.1.Разходи-увелич.и нам.'!E14+'12.1.Разходи-увелич.и нам.'!F14)</f>
        <v>0</v>
      </c>
      <c r="F14" s="2424">
        <f>$C14+('12.1.Разходи-увелич.и нам.'!G14+'12.1.Разходи-увелич.и нам.'!H14)</f>
        <v>0</v>
      </c>
      <c r="G14" s="2424">
        <f>$C14+('12.1.Разходи-увелич.и нам.'!I14+'12.1.Разходи-увелич.и нам.'!J14)</f>
        <v>0</v>
      </c>
      <c r="H14" s="2424">
        <f>$C14+('12.1.Разходи-увелич.и нам.'!K14+'12.1.Разходи-увелич.и нам.'!L14)</f>
        <v>0</v>
      </c>
      <c r="I14" s="2425">
        <f>$C14+('12.1.Разходи-увелич.и нам.'!M14+'12.1.Разходи-увелич.и нам.'!N14)</f>
        <v>0</v>
      </c>
      <c r="J14" s="2426">
        <f>'12.1.Разходи-увелич.и нам.'!O14</f>
        <v>0</v>
      </c>
      <c r="K14" s="2423">
        <f>'12.1.Разходи-увелич.и нам.'!P14</f>
        <v>0</v>
      </c>
      <c r="L14" s="2424">
        <f>$J14+('12.1.Разходи-увелич.и нам.'!Q14+'12.1.Разходи-увелич.и нам.'!R14)</f>
        <v>0</v>
      </c>
      <c r="M14" s="2424">
        <f>$J14+('12.1.Разходи-увелич.и нам.'!S14+'12.1.Разходи-увелич.и нам.'!T14)</f>
        <v>0</v>
      </c>
      <c r="N14" s="2424">
        <f>$J14+('12.1.Разходи-увелич.и нам.'!U14+'12.1.Разходи-увелич.и нам.'!V14)</f>
        <v>0</v>
      </c>
      <c r="O14" s="2424">
        <f>$J14+('12.1.Разходи-увелич.и нам.'!W14+'12.1.Разходи-увелич.и нам.'!X14)</f>
        <v>0</v>
      </c>
      <c r="P14" s="2425">
        <f>$J14+('12.1.Разходи-увелич.и нам.'!Y14+'12.1.Разходи-увелич.и нам.'!Z14)</f>
        <v>0</v>
      </c>
      <c r="Q14" s="2426">
        <f>'12.1.Разходи-увелич.и нам.'!AA14</f>
        <v>0</v>
      </c>
      <c r="R14" s="2427">
        <f>'12.1.Разходи-увелич.и нам.'!AB14</f>
        <v>0</v>
      </c>
      <c r="S14" s="2424">
        <f>$Q14+('12.1.Разходи-увелич.и нам.'!AC14+'12.1.Разходи-увелич.и нам.'!AD14)</f>
        <v>0</v>
      </c>
      <c r="T14" s="2424">
        <f>$Q14+('12.1.Разходи-увелич.и нам.'!AE14+'12.1.Разходи-увелич.и нам.'!AF14)</f>
        <v>0</v>
      </c>
      <c r="U14" s="2424">
        <f>$Q14+('12.1.Разходи-увелич.и нам.'!AG14+'12.1.Разходи-увелич.и нам.'!AH14)</f>
        <v>0</v>
      </c>
      <c r="V14" s="2424">
        <f>$Q14+('12.1.Разходи-увелич.и нам.'!AI14+'12.1.Разходи-увелич.и нам.'!AJ14)</f>
        <v>0</v>
      </c>
      <c r="W14" s="2425">
        <f>$Q14+('12.1.Разходи-увелич.и нам.'!AK14+'12.1.Разходи-увелич.и нам.'!AL14)</f>
        <v>0</v>
      </c>
      <c r="X14" s="2250"/>
      <c r="Y14" s="2250"/>
      <c r="Z14" s="799"/>
      <c r="AA14" s="786"/>
      <c r="AB14" s="786"/>
      <c r="AC14" s="786"/>
      <c r="AD14" s="795"/>
      <c r="AE14" s="358"/>
      <c r="AF14" s="379"/>
      <c r="AG14" s="359"/>
      <c r="AH14" s="359"/>
      <c r="AI14" s="358"/>
      <c r="AJ14" s="358"/>
      <c r="AK14" s="358"/>
      <c r="AL14" s="358"/>
      <c r="AM14" s="358"/>
    </row>
    <row r="15" spans="1:41" s="360" customFormat="1">
      <c r="A15" s="1085" t="s">
        <v>486</v>
      </c>
      <c r="B15" s="1039" t="s">
        <v>293</v>
      </c>
      <c r="C15" s="2804">
        <f>'12.1.Разходи-увелич.и нам.'!C15</f>
        <v>0</v>
      </c>
      <c r="D15" s="2423">
        <f>'12.1.Разходи-увелич.и нам.'!D15</f>
        <v>0</v>
      </c>
      <c r="E15" s="2424">
        <f>$C15+('12.1.Разходи-увелич.и нам.'!E15+'12.1.Разходи-увелич.и нам.'!F15)</f>
        <v>0</v>
      </c>
      <c r="F15" s="2424">
        <f>$C15+('12.1.Разходи-увелич.и нам.'!G15+'12.1.Разходи-увелич.и нам.'!H15)</f>
        <v>0</v>
      </c>
      <c r="G15" s="2424">
        <f>$C15+('12.1.Разходи-увелич.и нам.'!I15+'12.1.Разходи-увелич.и нам.'!J15)</f>
        <v>0</v>
      </c>
      <c r="H15" s="2424">
        <f>$C15+('12.1.Разходи-увелич.и нам.'!K15+'12.1.Разходи-увелич.и нам.'!L15)</f>
        <v>0</v>
      </c>
      <c r="I15" s="2425">
        <f>$C15+('12.1.Разходи-увелич.и нам.'!M15+'12.1.Разходи-увелич.и нам.'!N15)</f>
        <v>0</v>
      </c>
      <c r="J15" s="2426">
        <f>'12.1.Разходи-увелич.и нам.'!O15</f>
        <v>0</v>
      </c>
      <c r="K15" s="2423">
        <f>'12.1.Разходи-увелич.и нам.'!P15</f>
        <v>0</v>
      </c>
      <c r="L15" s="2424">
        <f>$J15+('12.1.Разходи-увелич.и нам.'!Q15+'12.1.Разходи-увелич.и нам.'!R15)</f>
        <v>0</v>
      </c>
      <c r="M15" s="2424">
        <f>$J15+('12.1.Разходи-увелич.и нам.'!S15+'12.1.Разходи-увелич.и нам.'!T15)</f>
        <v>0</v>
      </c>
      <c r="N15" s="2424">
        <f>$J15+('12.1.Разходи-увелич.и нам.'!U15+'12.1.Разходи-увелич.и нам.'!V15)</f>
        <v>0</v>
      </c>
      <c r="O15" s="2424">
        <f>$J15+('12.1.Разходи-увелич.и нам.'!W15+'12.1.Разходи-увелич.и нам.'!X15)</f>
        <v>0</v>
      </c>
      <c r="P15" s="2425">
        <f>$J15+('12.1.Разходи-увелич.и нам.'!Y15+'12.1.Разходи-увелич.и нам.'!Z15)</f>
        <v>0</v>
      </c>
      <c r="Q15" s="2426">
        <f>'12.1.Разходи-увелич.и нам.'!AA15</f>
        <v>0</v>
      </c>
      <c r="R15" s="2427">
        <f>'12.1.Разходи-увелич.и нам.'!AB15</f>
        <v>0</v>
      </c>
      <c r="S15" s="2424">
        <f>$Q15+('12.1.Разходи-увелич.и нам.'!AC15+'12.1.Разходи-увелич.и нам.'!AD15)</f>
        <v>0</v>
      </c>
      <c r="T15" s="2424">
        <f>$Q15+('12.1.Разходи-увелич.и нам.'!AE15+'12.1.Разходи-увелич.и нам.'!AF15)</f>
        <v>0</v>
      </c>
      <c r="U15" s="2424">
        <f>$Q15+('12.1.Разходи-увелич.и нам.'!AG15+'12.1.Разходи-увелич.и нам.'!AH15)</f>
        <v>0</v>
      </c>
      <c r="V15" s="2424">
        <f>$Q15+('12.1.Разходи-увелич.и нам.'!AI15+'12.1.Разходи-увелич.и нам.'!AJ15)</f>
        <v>0</v>
      </c>
      <c r="W15" s="2425">
        <f>$Q15+('12.1.Разходи-увелич.и нам.'!AK15+'12.1.Разходи-увелич.и нам.'!AL15)</f>
        <v>0</v>
      </c>
      <c r="X15" s="2250"/>
      <c r="Y15" s="2250"/>
      <c r="Z15" s="799"/>
      <c r="AA15" s="786"/>
      <c r="AB15" s="786"/>
      <c r="AC15" s="786"/>
      <c r="AD15" s="795"/>
      <c r="AE15" s="358"/>
      <c r="AF15" s="379"/>
      <c r="AG15" s="359"/>
      <c r="AH15" s="359"/>
      <c r="AI15" s="358"/>
      <c r="AJ15" s="358"/>
      <c r="AK15" s="358"/>
      <c r="AL15" s="358"/>
      <c r="AM15" s="358"/>
    </row>
    <row r="16" spans="1:41" s="360" customFormat="1">
      <c r="A16" s="1085" t="s">
        <v>487</v>
      </c>
      <c r="B16" s="1039" t="s">
        <v>294</v>
      </c>
      <c r="C16" s="2804">
        <f>'12.1.Разходи-увелич.и нам.'!C16</f>
        <v>0</v>
      </c>
      <c r="D16" s="2423">
        <f>'12.1.Разходи-увелич.и нам.'!D16</f>
        <v>0</v>
      </c>
      <c r="E16" s="2424">
        <f>$C16+('12.1.Разходи-увелич.и нам.'!E16+'12.1.Разходи-увелич.и нам.'!F16)</f>
        <v>0</v>
      </c>
      <c r="F16" s="2424">
        <f>$C16+('12.1.Разходи-увелич.и нам.'!G16+'12.1.Разходи-увелич.и нам.'!H16)</f>
        <v>0</v>
      </c>
      <c r="G16" s="2424">
        <f>$C16+('12.1.Разходи-увелич.и нам.'!I16+'12.1.Разходи-увелич.и нам.'!J16)</f>
        <v>0</v>
      </c>
      <c r="H16" s="2424">
        <f>$C16+('12.1.Разходи-увелич.и нам.'!K16+'12.1.Разходи-увелич.и нам.'!L16)</f>
        <v>0</v>
      </c>
      <c r="I16" s="2425">
        <f>$C16+('12.1.Разходи-увелич.и нам.'!M16+'12.1.Разходи-увелич.и нам.'!N16)</f>
        <v>0</v>
      </c>
      <c r="J16" s="2426">
        <f>'12.1.Разходи-увелич.и нам.'!O16</f>
        <v>0</v>
      </c>
      <c r="K16" s="2423">
        <f>'12.1.Разходи-увелич.и нам.'!P16</f>
        <v>0</v>
      </c>
      <c r="L16" s="2424">
        <f>$J16+('12.1.Разходи-увелич.и нам.'!Q16+'12.1.Разходи-увелич.и нам.'!R16)</f>
        <v>0</v>
      </c>
      <c r="M16" s="2424">
        <f>$J16+('12.1.Разходи-увелич.и нам.'!S16+'12.1.Разходи-увелич.и нам.'!T16)</f>
        <v>0</v>
      </c>
      <c r="N16" s="2424">
        <f>$J16+('12.1.Разходи-увелич.и нам.'!U16+'12.1.Разходи-увелич.и нам.'!V16)</f>
        <v>0</v>
      </c>
      <c r="O16" s="2424">
        <f>$J16+('12.1.Разходи-увелич.и нам.'!W16+'12.1.Разходи-увелич.и нам.'!X16)</f>
        <v>0</v>
      </c>
      <c r="P16" s="2425">
        <f>$J16+('12.1.Разходи-увелич.и нам.'!Y16+'12.1.Разходи-увелич.и нам.'!Z16)</f>
        <v>0</v>
      </c>
      <c r="Q16" s="2426">
        <f>'12.1.Разходи-увелич.и нам.'!AA16</f>
        <v>0</v>
      </c>
      <c r="R16" s="2427">
        <f>'12.1.Разходи-увелич.и нам.'!AB16</f>
        <v>0</v>
      </c>
      <c r="S16" s="2424">
        <f>$Q16+('12.1.Разходи-увелич.и нам.'!AC16+'12.1.Разходи-увелич.и нам.'!AD16)</f>
        <v>0</v>
      </c>
      <c r="T16" s="2424">
        <f>$Q16+('12.1.Разходи-увелич.и нам.'!AE16+'12.1.Разходи-увелич.и нам.'!AF16)</f>
        <v>0</v>
      </c>
      <c r="U16" s="2424">
        <f>$Q16+('12.1.Разходи-увелич.и нам.'!AG16+'12.1.Разходи-увелич.и нам.'!AH16)</f>
        <v>0</v>
      </c>
      <c r="V16" s="2424">
        <f>$Q16+('12.1.Разходи-увелич.и нам.'!AI16+'12.1.Разходи-увелич.и нам.'!AJ16)</f>
        <v>0</v>
      </c>
      <c r="W16" s="2425">
        <f>$Q16+('12.1.Разходи-увелич.и нам.'!AK16+'12.1.Разходи-увелич.и нам.'!AL16)</f>
        <v>0</v>
      </c>
      <c r="X16" s="2250"/>
      <c r="Y16" s="2250"/>
      <c r="Z16" s="799"/>
      <c r="AA16" s="786"/>
      <c r="AB16" s="786"/>
      <c r="AC16" s="786"/>
      <c r="AD16" s="795"/>
      <c r="AE16" s="358"/>
      <c r="AF16" s="379"/>
      <c r="AG16" s="359"/>
      <c r="AH16" s="359"/>
      <c r="AI16" s="358"/>
      <c r="AJ16" s="358"/>
      <c r="AK16" s="358"/>
      <c r="AL16" s="358"/>
      <c r="AM16" s="358"/>
    </row>
    <row r="17" spans="1:39" s="294" customFormat="1">
      <c r="A17" s="1035" t="s">
        <v>99</v>
      </c>
      <c r="B17" s="1040" t="s">
        <v>295</v>
      </c>
      <c r="C17" s="2804">
        <f>'12.1.Разходи-увелич.и нам.'!C17</f>
        <v>8731</v>
      </c>
      <c r="D17" s="2423">
        <f>'12.1.Разходи-увелич.и нам.'!D17</f>
        <v>8729</v>
      </c>
      <c r="E17" s="2424">
        <f>$C17+('12.1.Разходи-увелич.и нам.'!E17+'12.1.Разходи-увелич.и нам.'!F17)</f>
        <v>6892</v>
      </c>
      <c r="F17" s="2424">
        <f>$C17+('12.1.Разходи-увелич.и нам.'!G17+'12.1.Разходи-увелич.и нам.'!H17)</f>
        <v>6733</v>
      </c>
      <c r="G17" s="2424">
        <f>$C17+('12.1.Разходи-увелич.и нам.'!I17+'12.1.Разходи-увелич.и нам.'!J17)</f>
        <v>6408</v>
      </c>
      <c r="H17" s="2424">
        <f>$C17+('12.1.Разходи-увелич.и нам.'!K17+'12.1.Разходи-увелич.и нам.'!L17)</f>
        <v>6162</v>
      </c>
      <c r="I17" s="2425">
        <f>$C17+('12.1.Разходи-увелич.и нам.'!M17+'12.1.Разходи-увелич.и нам.'!N17)</f>
        <v>5935</v>
      </c>
      <c r="J17" s="2426">
        <f>'12.1.Разходи-увелич.и нам.'!O17</f>
        <v>90</v>
      </c>
      <c r="K17" s="2423">
        <f>'12.1.Разходи-увелич.и нам.'!P17</f>
        <v>90</v>
      </c>
      <c r="L17" s="2424">
        <f>$J17+('12.1.Разходи-увелич.и нам.'!Q17+'12.1.Разходи-увелич.и нам.'!R17)</f>
        <v>77</v>
      </c>
      <c r="M17" s="2424">
        <f>$J17+('12.1.Разходи-увелич.и нам.'!S17+'12.1.Разходи-увелич.и нам.'!T17)</f>
        <v>77</v>
      </c>
      <c r="N17" s="2424">
        <f>$J17+('12.1.Разходи-увелич.и нам.'!U17+'12.1.Разходи-увелич.и нам.'!V17)</f>
        <v>77</v>
      </c>
      <c r="O17" s="2424">
        <f>$J17+('12.1.Разходи-увелич.и нам.'!W17+'12.1.Разходи-увелич.и нам.'!X17)</f>
        <v>77</v>
      </c>
      <c r="P17" s="2425">
        <f>$J17+('12.1.Разходи-увелич.и нам.'!Y17+'12.1.Разходи-увелич.и нам.'!Z17)</f>
        <v>77</v>
      </c>
      <c r="Q17" s="2426">
        <f>'12.1.Разходи-увелич.и нам.'!AA17</f>
        <v>548</v>
      </c>
      <c r="R17" s="2427">
        <f>'12.1.Разходи-увелич.и нам.'!AB17</f>
        <v>548</v>
      </c>
      <c r="S17" s="2424">
        <f>$Q17+('12.1.Разходи-увелич.и нам.'!AC17+'12.1.Разходи-увелич.и нам.'!AD17)</f>
        <v>444</v>
      </c>
      <c r="T17" s="2424">
        <f>$Q17+('12.1.Разходи-увелич.и нам.'!AE17+'12.1.Разходи-увелич.и нам.'!AF17)</f>
        <v>445</v>
      </c>
      <c r="U17" s="2424">
        <f>$Q17+('12.1.Разходи-увелич.и нам.'!AG17+'12.1.Разходи-увелич.и нам.'!AH17)</f>
        <v>439</v>
      </c>
      <c r="V17" s="2424">
        <f>$Q17+('12.1.Разходи-увелич.и нам.'!AI17+'12.1.Разходи-увелич.и нам.'!AJ17)</f>
        <v>434</v>
      </c>
      <c r="W17" s="2425">
        <f>$Q17+('12.1.Разходи-увелич.и нам.'!AK17+'12.1.Разходи-увелич.и нам.'!AL17)</f>
        <v>428</v>
      </c>
      <c r="X17" s="2428">
        <f>'6. Ел.Енергия'!J52</f>
        <v>3</v>
      </c>
      <c r="Y17" s="2428">
        <f>'6. Ел.Енергия'!K52</f>
        <v>3</v>
      </c>
      <c r="Z17" s="2888">
        <f>'6. Ел.Енергия'!L52</f>
        <v>3</v>
      </c>
      <c r="AA17" s="2889">
        <f>'6. Ел.Енергия'!M52</f>
        <v>3</v>
      </c>
      <c r="AB17" s="2889">
        <f>'6. Ел.Енергия'!N52</f>
        <v>3</v>
      </c>
      <c r="AC17" s="2889">
        <f>'6. Ел.Енергия'!O52</f>
        <v>3</v>
      </c>
      <c r="AD17" s="2890">
        <f>'6. Ел.Енергия'!P52</f>
        <v>3</v>
      </c>
      <c r="AE17" s="352"/>
      <c r="AF17" s="378"/>
      <c r="AG17" s="298"/>
      <c r="AH17" s="298"/>
      <c r="AI17" s="352"/>
      <c r="AJ17" s="352"/>
      <c r="AK17" s="352"/>
      <c r="AL17" s="352"/>
      <c r="AM17" s="352"/>
    </row>
    <row r="18" spans="1:39">
      <c r="A18" s="1041" t="s">
        <v>101</v>
      </c>
      <c r="B18" s="1042" t="s">
        <v>296</v>
      </c>
      <c r="C18" s="1092">
        <f>SUM(C19:C20)</f>
        <v>396</v>
      </c>
      <c r="D18" s="1086">
        <f>SUM(D19:D20)</f>
        <v>429</v>
      </c>
      <c r="E18" s="1087">
        <f t="shared" ref="E18:AD18" si="4">SUM(E19:E20)</f>
        <v>396</v>
      </c>
      <c r="F18" s="1088">
        <f t="shared" si="4"/>
        <v>396</v>
      </c>
      <c r="G18" s="1088">
        <f t="shared" si="4"/>
        <v>396</v>
      </c>
      <c r="H18" s="1088">
        <f t="shared" si="4"/>
        <v>396</v>
      </c>
      <c r="I18" s="1089">
        <f t="shared" si="4"/>
        <v>396</v>
      </c>
      <c r="J18" s="1092">
        <f t="shared" si="4"/>
        <v>93</v>
      </c>
      <c r="K18" s="1086">
        <f t="shared" si="4"/>
        <v>115</v>
      </c>
      <c r="L18" s="1090">
        <f t="shared" si="4"/>
        <v>93</v>
      </c>
      <c r="M18" s="1088">
        <f t="shared" si="4"/>
        <v>93</v>
      </c>
      <c r="N18" s="1088">
        <f t="shared" si="4"/>
        <v>93</v>
      </c>
      <c r="O18" s="1091">
        <f t="shared" si="4"/>
        <v>93</v>
      </c>
      <c r="P18" s="1089">
        <f t="shared" si="4"/>
        <v>93</v>
      </c>
      <c r="Q18" s="1092">
        <f t="shared" si="4"/>
        <v>36</v>
      </c>
      <c r="R18" s="1086">
        <f t="shared" si="4"/>
        <v>43</v>
      </c>
      <c r="S18" s="1087">
        <f t="shared" si="4"/>
        <v>36</v>
      </c>
      <c r="T18" s="1088">
        <f t="shared" si="4"/>
        <v>36</v>
      </c>
      <c r="U18" s="1088">
        <f t="shared" si="4"/>
        <v>36</v>
      </c>
      <c r="V18" s="1091">
        <f t="shared" si="4"/>
        <v>36</v>
      </c>
      <c r="W18" s="1089">
        <f t="shared" si="4"/>
        <v>36</v>
      </c>
      <c r="X18" s="1086">
        <f t="shared" si="4"/>
        <v>4</v>
      </c>
      <c r="Y18" s="1086">
        <f t="shared" si="4"/>
        <v>4</v>
      </c>
      <c r="Z18" s="1090">
        <f t="shared" si="4"/>
        <v>4</v>
      </c>
      <c r="AA18" s="1088">
        <f t="shared" si="4"/>
        <v>4</v>
      </c>
      <c r="AB18" s="1088">
        <f t="shared" si="4"/>
        <v>4</v>
      </c>
      <c r="AC18" s="1091">
        <f t="shared" si="4"/>
        <v>4</v>
      </c>
      <c r="AD18" s="1089">
        <f t="shared" si="4"/>
        <v>4</v>
      </c>
      <c r="AF18" s="378"/>
      <c r="AG18" s="298"/>
      <c r="AH18" s="298"/>
    </row>
    <row r="19" spans="1:39" s="360" customFormat="1">
      <c r="A19" s="1054" t="s">
        <v>297</v>
      </c>
      <c r="B19" s="1046" t="s">
        <v>298</v>
      </c>
      <c r="C19" s="2804">
        <f>'12.1.Разходи-увелич.и нам.'!C19</f>
        <v>0</v>
      </c>
      <c r="D19" s="2423">
        <f>'12.1.Разходи-увелич.и нам.'!D19</f>
        <v>0</v>
      </c>
      <c r="E19" s="2424">
        <f>$C19+('12.1.Разходи-увелич.и нам.'!E19+'12.1.Разходи-увелич.и нам.'!F19)</f>
        <v>0</v>
      </c>
      <c r="F19" s="2424">
        <f>$C19+('12.1.Разходи-увелич.и нам.'!G19+'12.1.Разходи-увелич.и нам.'!H19)</f>
        <v>0</v>
      </c>
      <c r="G19" s="2424">
        <f>$C19+('12.1.Разходи-увелич.и нам.'!I19+'12.1.Разходи-увелич.и нам.'!J19)</f>
        <v>0</v>
      </c>
      <c r="H19" s="2424">
        <f>$C19+('12.1.Разходи-увелич.и нам.'!K19+'12.1.Разходи-увелич.и нам.'!L19)</f>
        <v>0</v>
      </c>
      <c r="I19" s="2425">
        <f>$C19+('12.1.Разходи-увелич.и нам.'!M19+'12.1.Разходи-увелич.и нам.'!N19)</f>
        <v>0</v>
      </c>
      <c r="J19" s="2426">
        <f>'12.1.Разходи-увелич.и нам.'!O19</f>
        <v>0</v>
      </c>
      <c r="K19" s="2423">
        <f>'12.1.Разходи-увелич.и нам.'!P19</f>
        <v>0</v>
      </c>
      <c r="L19" s="2424">
        <f>$J19+('12.1.Разходи-увелич.и нам.'!Q19+'12.1.Разходи-увелич.и нам.'!R19)</f>
        <v>0</v>
      </c>
      <c r="M19" s="2424">
        <f>$J19+('12.1.Разходи-увелич.и нам.'!S19+'12.1.Разходи-увелич.и нам.'!T19)</f>
        <v>0</v>
      </c>
      <c r="N19" s="2424">
        <f>$J19+('12.1.Разходи-увелич.и нам.'!U19+'12.1.Разходи-увелич.и нам.'!V19)</f>
        <v>0</v>
      </c>
      <c r="O19" s="2424">
        <f>$J19+('12.1.Разходи-увелич.и нам.'!W19+'12.1.Разходи-увелич.и нам.'!X19)</f>
        <v>0</v>
      </c>
      <c r="P19" s="2425">
        <f>$J19+('12.1.Разходи-увелич.и нам.'!Y19+'12.1.Разходи-увелич.и нам.'!Z19)</f>
        <v>0</v>
      </c>
      <c r="Q19" s="2426">
        <f>'12.1.Разходи-увелич.и нам.'!AA19</f>
        <v>0</v>
      </c>
      <c r="R19" s="2427">
        <f>'12.1.Разходи-увелич.и нам.'!AB19</f>
        <v>0</v>
      </c>
      <c r="S19" s="2424">
        <f>$Q19+('12.1.Разходи-увелич.и нам.'!AC19+'12.1.Разходи-увелич.и нам.'!AD19)</f>
        <v>0</v>
      </c>
      <c r="T19" s="2424">
        <f>$Q19+('12.1.Разходи-увелич.и нам.'!AE19+'12.1.Разходи-увелич.и нам.'!AF19)</f>
        <v>0</v>
      </c>
      <c r="U19" s="2424">
        <f>$Q19+('12.1.Разходи-увелич.и нам.'!AG19+'12.1.Разходи-увелич.и нам.'!AH19)</f>
        <v>0</v>
      </c>
      <c r="V19" s="2424">
        <f>$Q19+('12.1.Разходи-увелич.и нам.'!AI19+'12.1.Разходи-увелич.и нам.'!AJ19)</f>
        <v>0</v>
      </c>
      <c r="W19" s="2425">
        <f>$Q19+('12.1.Разходи-увелич.и нам.'!AK19+'12.1.Разходи-увелич.и нам.'!AL19)</f>
        <v>0</v>
      </c>
      <c r="X19" s="2250"/>
      <c r="Y19" s="2250"/>
      <c r="Z19" s="799"/>
      <c r="AA19" s="786"/>
      <c r="AB19" s="786"/>
      <c r="AC19" s="786"/>
      <c r="AD19" s="795"/>
      <c r="AE19" s="358"/>
      <c r="AF19" s="379"/>
      <c r="AG19" s="359"/>
      <c r="AH19" s="359"/>
      <c r="AI19" s="358"/>
      <c r="AJ19" s="358"/>
      <c r="AK19" s="358"/>
      <c r="AL19" s="358"/>
      <c r="AM19" s="358"/>
    </row>
    <row r="20" spans="1:39" s="360" customFormat="1">
      <c r="A20" s="1054" t="s">
        <v>608</v>
      </c>
      <c r="B20" s="1046" t="s">
        <v>299</v>
      </c>
      <c r="C20" s="2804">
        <f>'12.1.Разходи-увелич.и нам.'!C20</f>
        <v>396</v>
      </c>
      <c r="D20" s="2423">
        <f>'12.1.Разходи-увелич.и нам.'!D20</f>
        <v>429</v>
      </c>
      <c r="E20" s="2424">
        <f>$C20+('12.1.Разходи-увелич.и нам.'!E20+'12.1.Разходи-увелич.и нам.'!F20)</f>
        <v>396</v>
      </c>
      <c r="F20" s="2424">
        <f>$C20+('12.1.Разходи-увелич.и нам.'!G20+'12.1.Разходи-увелич.и нам.'!H20)</f>
        <v>396</v>
      </c>
      <c r="G20" s="2424">
        <f>$C20+('12.1.Разходи-увелич.и нам.'!I20+'12.1.Разходи-увелич.и нам.'!J20)</f>
        <v>396</v>
      </c>
      <c r="H20" s="2424">
        <f>$C20+('12.1.Разходи-увелич.и нам.'!K20+'12.1.Разходи-увелич.и нам.'!L20)</f>
        <v>396</v>
      </c>
      <c r="I20" s="2425">
        <f>$C20+('12.1.Разходи-увелич.и нам.'!M20+'12.1.Разходи-увелич.и нам.'!N20)</f>
        <v>396</v>
      </c>
      <c r="J20" s="2426">
        <f>'12.1.Разходи-увелич.и нам.'!O20</f>
        <v>93</v>
      </c>
      <c r="K20" s="2423">
        <f>'12.1.Разходи-увелич.и нам.'!P20</f>
        <v>115</v>
      </c>
      <c r="L20" s="2424">
        <f>$J20+('12.1.Разходи-увелич.и нам.'!Q20+'12.1.Разходи-увелич.и нам.'!R20)</f>
        <v>93</v>
      </c>
      <c r="M20" s="2424">
        <f>$J20+('12.1.Разходи-увелич.и нам.'!S20+'12.1.Разходи-увелич.и нам.'!T20)</f>
        <v>93</v>
      </c>
      <c r="N20" s="2424">
        <f>$J20+('12.1.Разходи-увелич.и нам.'!U20+'12.1.Разходи-увелич.и нам.'!V20)</f>
        <v>93</v>
      </c>
      <c r="O20" s="2424">
        <f>$J20+('12.1.Разходи-увелич.и нам.'!W20+'12.1.Разходи-увелич.и нам.'!X20)</f>
        <v>93</v>
      </c>
      <c r="P20" s="2425">
        <f>$J20+('12.1.Разходи-увелич.и нам.'!Y20+'12.1.Разходи-увелич.и нам.'!Z20)</f>
        <v>93</v>
      </c>
      <c r="Q20" s="2426">
        <f>'12.1.Разходи-увелич.и нам.'!AA20</f>
        <v>36</v>
      </c>
      <c r="R20" s="2427">
        <f>'12.1.Разходи-увелич.и нам.'!AB20</f>
        <v>43</v>
      </c>
      <c r="S20" s="2424">
        <f>$Q20+('12.1.Разходи-увелич.и нам.'!AC20+'12.1.Разходи-увелич.и нам.'!AD20)</f>
        <v>36</v>
      </c>
      <c r="T20" s="2424">
        <f>$Q20+('12.1.Разходи-увелич.и нам.'!AE20+'12.1.Разходи-увелич.и нам.'!AF20)</f>
        <v>36</v>
      </c>
      <c r="U20" s="2424">
        <f>$Q20+('12.1.Разходи-увелич.и нам.'!AG20+'12.1.Разходи-увелич.и нам.'!AH20)</f>
        <v>36</v>
      </c>
      <c r="V20" s="2424">
        <f>$Q20+('12.1.Разходи-увелич.и нам.'!AI20+'12.1.Разходи-увелич.и нам.'!AJ20)</f>
        <v>36</v>
      </c>
      <c r="W20" s="2425">
        <f>$Q20+('12.1.Разходи-увелич.и нам.'!AK20+'12.1.Разходи-увелич.и нам.'!AL20)</f>
        <v>36</v>
      </c>
      <c r="X20" s="2250">
        <v>4</v>
      </c>
      <c r="Y20" s="2250">
        <v>4</v>
      </c>
      <c r="Z20" s="799">
        <v>4</v>
      </c>
      <c r="AA20" s="786">
        <v>4</v>
      </c>
      <c r="AB20" s="786">
        <v>4</v>
      </c>
      <c r="AC20" s="786">
        <v>4</v>
      </c>
      <c r="AD20" s="795">
        <v>4</v>
      </c>
      <c r="AE20" s="358"/>
      <c r="AF20" s="379"/>
      <c r="AG20" s="359"/>
      <c r="AH20" s="359"/>
      <c r="AI20" s="358"/>
      <c r="AJ20" s="358"/>
      <c r="AK20" s="358"/>
      <c r="AL20" s="358"/>
      <c r="AM20" s="358"/>
    </row>
    <row r="21" spans="1:39">
      <c r="A21" s="1041" t="s">
        <v>197</v>
      </c>
      <c r="B21" s="1042" t="s">
        <v>300</v>
      </c>
      <c r="C21" s="2426">
        <f>'12.1.Разходи-увелич.и нам.'!C21</f>
        <v>4</v>
      </c>
      <c r="D21" s="2428">
        <f>'12.1.Разходи-увелич.и нам.'!D21</f>
        <v>4</v>
      </c>
      <c r="E21" s="2429">
        <f>$C21+('12.1.Разходи-увелич.и нам.'!E21+'12.1.Разходи-увелич.и нам.'!F21)</f>
        <v>4</v>
      </c>
      <c r="F21" s="2429">
        <f>$C21+('12.1.Разходи-увелич.и нам.'!G21+'12.1.Разходи-увелич.и нам.'!H21)</f>
        <v>4</v>
      </c>
      <c r="G21" s="2429">
        <f>$C21+('12.1.Разходи-увелич.и нам.'!I21+'12.1.Разходи-увелич.и нам.'!J21)</f>
        <v>4</v>
      </c>
      <c r="H21" s="2429">
        <f>$C21+('12.1.Разходи-увелич.и нам.'!K21+'12.1.Разходи-увелич.и нам.'!L21)</f>
        <v>4</v>
      </c>
      <c r="I21" s="1496">
        <f>$C21+('12.1.Разходи-увелич.и нам.'!M21+'12.1.Разходи-увелич.и нам.'!N21)</f>
        <v>4</v>
      </c>
      <c r="J21" s="2426">
        <f>'12.1.Разходи-увелич.и нам.'!O21</f>
        <v>0</v>
      </c>
      <c r="K21" s="2423">
        <f>'12.1.Разходи-увелич.и нам.'!P21</f>
        <v>1</v>
      </c>
      <c r="L21" s="2424">
        <f>$J21+('12.1.Разходи-увелич.и нам.'!Q21+'12.1.Разходи-увелич.и нам.'!R21)</f>
        <v>0</v>
      </c>
      <c r="M21" s="2424">
        <f>$J21+('12.1.Разходи-увелич.и нам.'!S21+'12.1.Разходи-увелич.и нам.'!T21)</f>
        <v>0</v>
      </c>
      <c r="N21" s="2424">
        <f>$J21+('12.1.Разходи-увелич.и нам.'!U21+'12.1.Разходи-увелич.и нам.'!V21)</f>
        <v>0</v>
      </c>
      <c r="O21" s="2424">
        <f>$J21+('12.1.Разходи-увелич.и нам.'!W21+'12.1.Разходи-увелич.и нам.'!X21)</f>
        <v>0</v>
      </c>
      <c r="P21" s="2425">
        <f>$J21+('12.1.Разходи-увелич.и нам.'!Y21+'12.1.Разходи-увелич.и нам.'!Z21)</f>
        <v>0</v>
      </c>
      <c r="Q21" s="2426">
        <f>'12.1.Разходи-увелич.и нам.'!AA21</f>
        <v>0</v>
      </c>
      <c r="R21" s="2427">
        <f>'12.1.Разходи-увелич.и нам.'!AB21</f>
        <v>0</v>
      </c>
      <c r="S21" s="2424">
        <f>$Q21+('12.1.Разходи-увелич.и нам.'!AC21+'12.1.Разходи-увелич.и нам.'!AD21)</f>
        <v>0</v>
      </c>
      <c r="T21" s="2424">
        <f>$Q21+('12.1.Разходи-увелич.и нам.'!AE21+'12.1.Разходи-увелич.и нам.'!AF21)</f>
        <v>0</v>
      </c>
      <c r="U21" s="2424">
        <f>$Q21+('12.1.Разходи-увелич.и нам.'!AG21+'12.1.Разходи-увелич.и нам.'!AH21)</f>
        <v>0</v>
      </c>
      <c r="V21" s="2424">
        <f>$Q21+('12.1.Разходи-увелич.и нам.'!AI21+'12.1.Разходи-увелич.и нам.'!AJ21)</f>
        <v>0</v>
      </c>
      <c r="W21" s="2425">
        <f>$Q21+('12.1.Разходи-увелич.и нам.'!AK21+'12.1.Разходи-увелич.и нам.'!AL21)</f>
        <v>0</v>
      </c>
      <c r="X21" s="2250"/>
      <c r="Y21" s="2250"/>
      <c r="Z21" s="799"/>
      <c r="AA21" s="786"/>
      <c r="AB21" s="786"/>
      <c r="AC21" s="786"/>
      <c r="AD21" s="795"/>
      <c r="AE21" s="361"/>
      <c r="AF21" s="378"/>
      <c r="AG21" s="298"/>
      <c r="AH21" s="298"/>
      <c r="AI21" s="361"/>
      <c r="AJ21" s="361"/>
      <c r="AK21" s="361"/>
      <c r="AL21" s="361"/>
      <c r="AM21" s="361"/>
    </row>
    <row r="22" spans="1:39">
      <c r="A22" s="1041" t="s">
        <v>199</v>
      </c>
      <c r="B22" s="1042" t="s">
        <v>301</v>
      </c>
      <c r="C22" s="2426">
        <f>'12.1.Разходи-увелич.и нам.'!C22</f>
        <v>17</v>
      </c>
      <c r="D22" s="2428">
        <f>'12.1.Разходи-увелич.и нам.'!D22</f>
        <v>15</v>
      </c>
      <c r="E22" s="2429">
        <f>$C22+('12.1.Разходи-увелич.и нам.'!E22+'12.1.Разходи-увелич.и нам.'!F22)</f>
        <v>17</v>
      </c>
      <c r="F22" s="2429">
        <f>$C22+('12.1.Разходи-увелич.и нам.'!G22+'12.1.Разходи-увелич.и нам.'!H22)</f>
        <v>17</v>
      </c>
      <c r="G22" s="2429">
        <f>$C22+('12.1.Разходи-увелич.и нам.'!I22+'12.1.Разходи-увелич.и нам.'!J22)</f>
        <v>17</v>
      </c>
      <c r="H22" s="2429">
        <f>$C22+('12.1.Разходи-увелич.и нам.'!K22+'12.1.Разходи-увелич.и нам.'!L22)</f>
        <v>17</v>
      </c>
      <c r="I22" s="1496">
        <f>$C22+('12.1.Разходи-увелич.и нам.'!M22+'12.1.Разходи-увелич.и нам.'!N22)</f>
        <v>17</v>
      </c>
      <c r="J22" s="2426">
        <f>'12.1.Разходи-увелич.и нам.'!O22</f>
        <v>8</v>
      </c>
      <c r="K22" s="2423">
        <f>'12.1.Разходи-увелич.и нам.'!P22</f>
        <v>10</v>
      </c>
      <c r="L22" s="2424">
        <f>$J22+('12.1.Разходи-увелич.и нам.'!Q22+'12.1.Разходи-увелич.и нам.'!R22)</f>
        <v>8</v>
      </c>
      <c r="M22" s="2424">
        <f>$J22+('12.1.Разходи-увелич.и нам.'!S22+'12.1.Разходи-увелич.и нам.'!T22)</f>
        <v>8</v>
      </c>
      <c r="N22" s="2424">
        <f>$J22+('12.1.Разходи-увелич.и нам.'!U22+'12.1.Разходи-увелич.и нам.'!V22)</f>
        <v>8</v>
      </c>
      <c r="O22" s="2424">
        <f>$J22+('12.1.Разходи-увелич.и нам.'!W22+'12.1.Разходи-увелич.и нам.'!X22)</f>
        <v>8</v>
      </c>
      <c r="P22" s="2425">
        <f>$J22+('12.1.Разходи-увелич.и нам.'!Y22+'12.1.Разходи-увелич.и нам.'!Z22)</f>
        <v>8</v>
      </c>
      <c r="Q22" s="2426">
        <f>'12.1.Разходи-увелич.и нам.'!AA22</f>
        <v>7</v>
      </c>
      <c r="R22" s="2427">
        <f>'12.1.Разходи-увелич.и нам.'!AB22</f>
        <v>3</v>
      </c>
      <c r="S22" s="2424">
        <f>$Q22+('12.1.Разходи-увелич.и нам.'!AC22+'12.1.Разходи-увелич.и нам.'!AD22)</f>
        <v>7</v>
      </c>
      <c r="T22" s="2424">
        <f>$Q22+('12.1.Разходи-увелич.и нам.'!AE22+'12.1.Разходи-увелич.и нам.'!AF22)</f>
        <v>7</v>
      </c>
      <c r="U22" s="2424">
        <f>$Q22+('12.1.Разходи-увелич.и нам.'!AG22+'12.1.Разходи-увелич.и нам.'!AH22)</f>
        <v>7</v>
      </c>
      <c r="V22" s="2424">
        <f>$Q22+('12.1.Разходи-увелич.и нам.'!AI22+'12.1.Разходи-увелич.и нам.'!AJ22)</f>
        <v>7</v>
      </c>
      <c r="W22" s="2425">
        <f>$Q22+('12.1.Разходи-увелич.и нам.'!AK22+'12.1.Разходи-увелич.и нам.'!AL22)</f>
        <v>7</v>
      </c>
      <c r="X22" s="2250">
        <v>4</v>
      </c>
      <c r="Y22" s="2250">
        <v>4</v>
      </c>
      <c r="Z22" s="799">
        <v>4</v>
      </c>
      <c r="AA22" s="786">
        <v>4</v>
      </c>
      <c r="AB22" s="786">
        <v>4</v>
      </c>
      <c r="AC22" s="786">
        <v>4</v>
      </c>
      <c r="AD22" s="795">
        <v>4</v>
      </c>
      <c r="AE22" s="361"/>
      <c r="AF22" s="378"/>
      <c r="AG22" s="298"/>
      <c r="AH22" s="298"/>
      <c r="AI22" s="361"/>
      <c r="AJ22" s="361"/>
      <c r="AK22" s="361"/>
      <c r="AL22" s="361"/>
      <c r="AM22" s="361"/>
    </row>
    <row r="23" spans="1:39">
      <c r="A23" s="1041" t="s">
        <v>201</v>
      </c>
      <c r="B23" s="1042" t="s">
        <v>860</v>
      </c>
      <c r="C23" s="2426">
        <f>'12.1.Разходи-увелич.и нам.'!C23</f>
        <v>1034</v>
      </c>
      <c r="D23" s="2428">
        <f>'12.1.Разходи-увелич.и нам.'!D23</f>
        <v>0</v>
      </c>
      <c r="E23" s="2429">
        <f>$C23+('12.1.Разходи-увелич.и нам.'!E23+'12.1.Разходи-увелич.и нам.'!F23)</f>
        <v>896.4</v>
      </c>
      <c r="F23" s="2429">
        <f>$C23+('12.1.Разходи-увелич.и нам.'!G23+'12.1.Разходи-увелич.и нам.'!H23)</f>
        <v>847.6</v>
      </c>
      <c r="G23" s="2429">
        <f>$C23+('12.1.Разходи-увелич.и нам.'!I23+'12.1.Разходи-увелич.и нам.'!J23)</f>
        <v>716.4</v>
      </c>
      <c r="H23" s="2429">
        <f>$C23+('12.1.Разходи-увелич.и нам.'!K23+'12.1.Разходи-увелич.и нам.'!L23)</f>
        <v>598</v>
      </c>
      <c r="I23" s="1496">
        <f>$C23+('12.1.Разходи-увелич.и нам.'!M23+'12.1.Разходи-увелич.и нам.'!N23)</f>
        <v>462.79999999999995</v>
      </c>
      <c r="J23" s="2426">
        <f>'12.1.Разходи-увелич.и нам.'!O23</f>
        <v>23</v>
      </c>
      <c r="K23" s="2423">
        <f>'12.1.Разходи-увелич.и нам.'!P23</f>
        <v>14</v>
      </c>
      <c r="L23" s="2424">
        <f>$J23+('12.1.Разходи-увелич.и нам.'!Q23+'12.1.Разходи-увелич.и нам.'!R23)</f>
        <v>23</v>
      </c>
      <c r="M23" s="2424">
        <f>$J23+('12.1.Разходи-увелич.и нам.'!S23+'12.1.Разходи-увелич.и нам.'!T23)</f>
        <v>23</v>
      </c>
      <c r="N23" s="2424">
        <f>$J23+('12.1.Разходи-увелич.и нам.'!U23+'12.1.Разходи-увелич.и нам.'!V23)</f>
        <v>23</v>
      </c>
      <c r="O23" s="2424">
        <f>$J23+('12.1.Разходи-увелич.и нам.'!W23+'12.1.Разходи-увелич.и нам.'!X23)</f>
        <v>23</v>
      </c>
      <c r="P23" s="2425">
        <f>$J23+('12.1.Разходи-увелич.и нам.'!Y23+'12.1.Разходи-увелич.и нам.'!Z23)</f>
        <v>23</v>
      </c>
      <c r="Q23" s="2426">
        <f>'12.1.Разходи-увелич.и нам.'!AA23</f>
        <v>20</v>
      </c>
      <c r="R23" s="2427">
        <f>'12.1.Разходи-увелич.и нам.'!AB23</f>
        <v>3</v>
      </c>
      <c r="S23" s="2424">
        <f>$Q23+('12.1.Разходи-увелич.и нам.'!AC23+'12.1.Разходи-увелич.и нам.'!AD23)</f>
        <v>20</v>
      </c>
      <c r="T23" s="2424">
        <f>$Q23+('12.1.Разходи-увелич.и нам.'!AE23+'12.1.Разходи-увелич.и нам.'!AF23)</f>
        <v>20</v>
      </c>
      <c r="U23" s="2424">
        <f>$Q23+('12.1.Разходи-увелич.и нам.'!AG23+'12.1.Разходи-увелич.и нам.'!AH23)</f>
        <v>20</v>
      </c>
      <c r="V23" s="2424">
        <f>$Q23+('12.1.Разходи-увелич.и нам.'!AI23+'12.1.Разходи-увелич.и нам.'!AJ23)</f>
        <v>20</v>
      </c>
      <c r="W23" s="2425">
        <f>$Q23+('12.1.Разходи-увелич.и нам.'!AK23+'12.1.Разходи-увелич.и нам.'!AL23)</f>
        <v>20</v>
      </c>
      <c r="X23" s="2250"/>
      <c r="Y23" s="2250"/>
      <c r="Z23" s="799"/>
      <c r="AA23" s="786"/>
      <c r="AB23" s="786"/>
      <c r="AC23" s="786"/>
      <c r="AD23" s="795"/>
      <c r="AE23" s="361"/>
      <c r="AF23" s="378"/>
      <c r="AG23" s="298"/>
      <c r="AH23" s="298"/>
      <c r="AI23" s="361"/>
      <c r="AJ23" s="361"/>
      <c r="AK23" s="361"/>
      <c r="AL23" s="361"/>
      <c r="AM23" s="361"/>
    </row>
    <row r="24" spans="1:39">
      <c r="A24" s="1041" t="s">
        <v>203</v>
      </c>
      <c r="B24" s="1042" t="s">
        <v>609</v>
      </c>
      <c r="C24" s="1092">
        <f>SUM(C25:C27)</f>
        <v>103</v>
      </c>
      <c r="D24" s="1086">
        <f t="shared" ref="D24:AD24" si="5">SUM(D25:D27)</f>
        <v>103</v>
      </c>
      <c r="E24" s="1087">
        <f t="shared" si="5"/>
        <v>103</v>
      </c>
      <c r="F24" s="1088">
        <f t="shared" si="5"/>
        <v>103</v>
      </c>
      <c r="G24" s="1088">
        <f t="shared" si="5"/>
        <v>103</v>
      </c>
      <c r="H24" s="1088">
        <f t="shared" si="5"/>
        <v>103</v>
      </c>
      <c r="I24" s="1089">
        <f t="shared" si="5"/>
        <v>103</v>
      </c>
      <c r="J24" s="1092">
        <f t="shared" si="5"/>
        <v>11</v>
      </c>
      <c r="K24" s="1086">
        <f t="shared" si="5"/>
        <v>15</v>
      </c>
      <c r="L24" s="1087">
        <f t="shared" si="5"/>
        <v>11</v>
      </c>
      <c r="M24" s="1088">
        <f t="shared" si="5"/>
        <v>11</v>
      </c>
      <c r="N24" s="1088">
        <f t="shared" si="5"/>
        <v>11</v>
      </c>
      <c r="O24" s="1088">
        <f t="shared" si="5"/>
        <v>11</v>
      </c>
      <c r="P24" s="1089">
        <f t="shared" si="5"/>
        <v>11</v>
      </c>
      <c r="Q24" s="1092">
        <f t="shared" si="5"/>
        <v>23</v>
      </c>
      <c r="R24" s="1086">
        <f t="shared" si="5"/>
        <v>23</v>
      </c>
      <c r="S24" s="1087">
        <f t="shared" si="5"/>
        <v>23</v>
      </c>
      <c r="T24" s="1088">
        <f t="shared" si="5"/>
        <v>23</v>
      </c>
      <c r="U24" s="1088">
        <f t="shared" si="5"/>
        <v>23</v>
      </c>
      <c r="V24" s="1088">
        <f t="shared" si="5"/>
        <v>23</v>
      </c>
      <c r="W24" s="1089">
        <f t="shared" si="5"/>
        <v>23</v>
      </c>
      <c r="X24" s="1086">
        <f t="shared" si="5"/>
        <v>102</v>
      </c>
      <c r="Y24" s="1086">
        <f t="shared" si="5"/>
        <v>102</v>
      </c>
      <c r="Z24" s="1087">
        <f t="shared" si="5"/>
        <v>102</v>
      </c>
      <c r="AA24" s="1088">
        <f t="shared" si="5"/>
        <v>102</v>
      </c>
      <c r="AB24" s="1088">
        <f t="shared" si="5"/>
        <v>102</v>
      </c>
      <c r="AC24" s="1088">
        <f t="shared" si="5"/>
        <v>102</v>
      </c>
      <c r="AD24" s="1089">
        <f t="shared" si="5"/>
        <v>102</v>
      </c>
      <c r="AE24" s="361"/>
      <c r="AF24" s="378"/>
      <c r="AG24" s="298"/>
      <c r="AH24" s="298"/>
      <c r="AI24" s="361"/>
      <c r="AJ24" s="361"/>
      <c r="AK24" s="361"/>
      <c r="AL24" s="361"/>
      <c r="AM24" s="361"/>
    </row>
    <row r="25" spans="1:39">
      <c r="A25" s="1041" t="s">
        <v>610</v>
      </c>
      <c r="B25" s="786"/>
      <c r="C25" s="2804">
        <f>'12.1.Разходи-увелич.и нам.'!C25</f>
        <v>94</v>
      </c>
      <c r="D25" s="2423">
        <f>'12.1.Разходи-увелич.и нам.'!D25</f>
        <v>94</v>
      </c>
      <c r="E25" s="2424">
        <f>$C25+('12.1.Разходи-увелич.и нам.'!E25+'12.1.Разходи-увелич.и нам.'!F25)</f>
        <v>94</v>
      </c>
      <c r="F25" s="2424">
        <f>$C25+('12.1.Разходи-увелич.и нам.'!G25+'12.1.Разходи-увелич.и нам.'!H25)</f>
        <v>94</v>
      </c>
      <c r="G25" s="2424">
        <f>$C25+('12.1.Разходи-увелич.и нам.'!I25+'12.1.Разходи-увелич.и нам.'!J25)</f>
        <v>94</v>
      </c>
      <c r="H25" s="2424">
        <f>$C25+('12.1.Разходи-увелич.и нам.'!K25+'12.1.Разходи-увелич.и нам.'!L25)</f>
        <v>94</v>
      </c>
      <c r="I25" s="2425">
        <f>$C25+('12.1.Разходи-увелич.и нам.'!M25+'12.1.Разходи-увелич.и нам.'!N25)</f>
        <v>94</v>
      </c>
      <c r="J25" s="2426">
        <f>'12.1.Разходи-увелич.и нам.'!O25</f>
        <v>3</v>
      </c>
      <c r="K25" s="2423">
        <f>'12.1.Разходи-увелич.и нам.'!P25</f>
        <v>7</v>
      </c>
      <c r="L25" s="2424">
        <f>$J25+('12.1.Разходи-увелич.и нам.'!Q25+'12.1.Разходи-увелич.и нам.'!R25)</f>
        <v>3</v>
      </c>
      <c r="M25" s="2424">
        <f>$J25+('12.1.Разходи-увелич.и нам.'!S25+'12.1.Разходи-увелич.и нам.'!T25)</f>
        <v>3</v>
      </c>
      <c r="N25" s="2424">
        <f>$J25+('12.1.Разходи-увелич.и нам.'!U25+'12.1.Разходи-увелич.и нам.'!V25)</f>
        <v>3</v>
      </c>
      <c r="O25" s="2424">
        <f>$J25+('12.1.Разходи-увелич.и нам.'!W25+'12.1.Разходи-увелич.и нам.'!X25)</f>
        <v>3</v>
      </c>
      <c r="P25" s="2425">
        <f>$J25+('12.1.Разходи-увелич.и нам.'!Y25+'12.1.Разходи-увелич.и нам.'!Z25)</f>
        <v>3</v>
      </c>
      <c r="Q25" s="2426">
        <f>'12.1.Разходи-увелич.и нам.'!AA25</f>
        <v>17</v>
      </c>
      <c r="R25" s="2427">
        <f>'12.1.Разходи-увелич.и нам.'!AB25</f>
        <v>17</v>
      </c>
      <c r="S25" s="2424">
        <f>$Q25+('12.1.Разходи-увелич.и нам.'!AC25+'12.1.Разходи-увелич.и нам.'!AD25)</f>
        <v>17</v>
      </c>
      <c r="T25" s="2424">
        <f>$Q25+('12.1.Разходи-увелич.и нам.'!AE25+'12.1.Разходи-увелич.и нам.'!AF25)</f>
        <v>17</v>
      </c>
      <c r="U25" s="2424">
        <f>$Q25+('12.1.Разходи-увелич.и нам.'!AG25+'12.1.Разходи-увелич.и нам.'!AH25)</f>
        <v>17</v>
      </c>
      <c r="V25" s="2424">
        <f>$Q25+('12.1.Разходи-увелич.и нам.'!AI25+'12.1.Разходи-увелич.и нам.'!AJ25)</f>
        <v>17</v>
      </c>
      <c r="W25" s="2425">
        <f>$Q25+('12.1.Разходи-увелич.и нам.'!AK25+'12.1.Разходи-увелич.и нам.'!AL25)</f>
        <v>17</v>
      </c>
      <c r="X25" s="2250">
        <v>102</v>
      </c>
      <c r="Y25" s="2250">
        <v>102</v>
      </c>
      <c r="Z25" s="799">
        <v>102</v>
      </c>
      <c r="AA25" s="786">
        <v>102</v>
      </c>
      <c r="AB25" s="786">
        <v>102</v>
      </c>
      <c r="AC25" s="786">
        <v>102</v>
      </c>
      <c r="AD25" s="795">
        <v>102</v>
      </c>
      <c r="AE25" s="362"/>
      <c r="AF25" s="378"/>
      <c r="AG25" s="298"/>
      <c r="AH25" s="298"/>
      <c r="AI25" s="362"/>
      <c r="AJ25" s="362"/>
      <c r="AK25" s="362"/>
      <c r="AL25" s="362"/>
      <c r="AM25" s="362"/>
    </row>
    <row r="26" spans="1:39">
      <c r="A26" s="1048" t="s">
        <v>611</v>
      </c>
      <c r="B26" s="786"/>
      <c r="C26" s="2804">
        <f>'12.1.Разходи-увелич.и нам.'!C26</f>
        <v>9</v>
      </c>
      <c r="D26" s="2423">
        <f>'12.1.Разходи-увелич.и нам.'!D26</f>
        <v>9</v>
      </c>
      <c r="E26" s="2424">
        <f>$C26+('12.1.Разходи-увелич.и нам.'!E26+'12.1.Разходи-увелич.и нам.'!F26)</f>
        <v>9</v>
      </c>
      <c r="F26" s="2424">
        <f>$C26+('12.1.Разходи-увелич.и нам.'!G26+'12.1.Разходи-увелич.и нам.'!H26)</f>
        <v>9</v>
      </c>
      <c r="G26" s="2424">
        <f>$C26+('12.1.Разходи-увелич.и нам.'!I26+'12.1.Разходи-увелич.и нам.'!J26)</f>
        <v>9</v>
      </c>
      <c r="H26" s="2424">
        <f>$C26+('12.1.Разходи-увелич.и нам.'!K26+'12.1.Разходи-увелич.и нам.'!L26)</f>
        <v>9</v>
      </c>
      <c r="I26" s="2425">
        <f>$C26+('12.1.Разходи-увелич.и нам.'!M26+'12.1.Разходи-увелич.и нам.'!N26)</f>
        <v>9</v>
      </c>
      <c r="J26" s="2426">
        <f>'12.1.Разходи-увелич.и нам.'!O26</f>
        <v>8</v>
      </c>
      <c r="K26" s="2423">
        <f>'12.1.Разходи-увелич.и нам.'!P26</f>
        <v>8</v>
      </c>
      <c r="L26" s="2424">
        <f>$J26+('12.1.Разходи-увелич.и нам.'!Q26+'12.1.Разходи-увелич.и нам.'!R26)</f>
        <v>8</v>
      </c>
      <c r="M26" s="2424">
        <f>$J26+('12.1.Разходи-увелич.и нам.'!S26+'12.1.Разходи-увелич.и нам.'!T26)</f>
        <v>8</v>
      </c>
      <c r="N26" s="2424">
        <f>$J26+('12.1.Разходи-увелич.и нам.'!U26+'12.1.Разходи-увелич.и нам.'!V26)</f>
        <v>8</v>
      </c>
      <c r="O26" s="2424">
        <f>$J26+('12.1.Разходи-увелич.и нам.'!W26+'12.1.Разходи-увелич.и нам.'!X26)</f>
        <v>8</v>
      </c>
      <c r="P26" s="2425">
        <f>$J26+('12.1.Разходи-увелич.и нам.'!Y26+'12.1.Разходи-увелич.и нам.'!Z26)</f>
        <v>8</v>
      </c>
      <c r="Q26" s="2426">
        <f>'12.1.Разходи-увелич.и нам.'!AA26</f>
        <v>6</v>
      </c>
      <c r="R26" s="2427">
        <f>'12.1.Разходи-увелич.и нам.'!AB26</f>
        <v>6</v>
      </c>
      <c r="S26" s="2424">
        <f>$Q26+('12.1.Разходи-увелич.и нам.'!AC26+'12.1.Разходи-увелич.и нам.'!AD26)</f>
        <v>6</v>
      </c>
      <c r="T26" s="2424">
        <f>$Q26+('12.1.Разходи-увелич.и нам.'!AE26+'12.1.Разходи-увелич.и нам.'!AF26)</f>
        <v>6</v>
      </c>
      <c r="U26" s="2424">
        <f>$Q26+('12.1.Разходи-увелич.и нам.'!AG26+'12.1.Разходи-увелич.и нам.'!AH26)</f>
        <v>6</v>
      </c>
      <c r="V26" s="2424">
        <f>$Q26+('12.1.Разходи-увелич.и нам.'!AI26+'12.1.Разходи-увелич.и нам.'!AJ26)</f>
        <v>6</v>
      </c>
      <c r="W26" s="2425">
        <f>$Q26+('12.1.Разходи-увелич.и нам.'!AK26+'12.1.Разходи-увелич.и нам.'!AL26)</f>
        <v>6</v>
      </c>
      <c r="X26" s="2250"/>
      <c r="Y26" s="2250"/>
      <c r="Z26" s="799"/>
      <c r="AA26" s="786"/>
      <c r="AB26" s="786"/>
      <c r="AC26" s="786"/>
      <c r="AD26" s="795"/>
      <c r="AE26" s="362"/>
      <c r="AF26" s="378"/>
      <c r="AG26" s="298"/>
      <c r="AH26" s="298"/>
      <c r="AI26" s="362"/>
      <c r="AJ26" s="362"/>
      <c r="AK26" s="362"/>
      <c r="AL26" s="362"/>
      <c r="AM26" s="362"/>
    </row>
    <row r="27" spans="1:39" ht="15.75" thickBot="1">
      <c r="A27" s="1048" t="s">
        <v>612</v>
      </c>
      <c r="B27" s="786"/>
      <c r="C27" s="2804">
        <f>'12.1.Разходи-увелич.и нам.'!C27</f>
        <v>0</v>
      </c>
      <c r="D27" s="2423">
        <f>'12.1.Разходи-увелич.и нам.'!D27</f>
        <v>0</v>
      </c>
      <c r="E27" s="2424">
        <f>$C27+('12.1.Разходи-увелич.и нам.'!E27+'12.1.Разходи-увелич.и нам.'!F27)</f>
        <v>0</v>
      </c>
      <c r="F27" s="2424">
        <f>$C27+('12.1.Разходи-увелич.и нам.'!G27+'12.1.Разходи-увелич.и нам.'!H27)</f>
        <v>0</v>
      </c>
      <c r="G27" s="2424">
        <f>$C27+('12.1.Разходи-увелич.и нам.'!I27+'12.1.Разходи-увелич.и нам.'!J27)</f>
        <v>0</v>
      </c>
      <c r="H27" s="2424">
        <f>$C27+('12.1.Разходи-увелич.и нам.'!K27+'12.1.Разходи-увелич.и нам.'!L27)</f>
        <v>0</v>
      </c>
      <c r="I27" s="2425">
        <f>$C27+('12.1.Разходи-увелич.и нам.'!M27+'12.1.Разходи-увелич.и нам.'!N27)</f>
        <v>0</v>
      </c>
      <c r="J27" s="2426">
        <f>'12.1.Разходи-увелич.и нам.'!O27</f>
        <v>0</v>
      </c>
      <c r="K27" s="2423">
        <f>'12.1.Разходи-увелич.и нам.'!P27</f>
        <v>0</v>
      </c>
      <c r="L27" s="2424">
        <f>$J27+('12.1.Разходи-увелич.и нам.'!Q27+'12.1.Разходи-увелич.и нам.'!R27)</f>
        <v>0</v>
      </c>
      <c r="M27" s="2424">
        <f>$J27+('12.1.Разходи-увелич.и нам.'!S27+'12.1.Разходи-увелич.и нам.'!T27)</f>
        <v>0</v>
      </c>
      <c r="N27" s="2424">
        <f>$J27+('12.1.Разходи-увелич.и нам.'!U27+'12.1.Разходи-увелич.и нам.'!V27)</f>
        <v>0</v>
      </c>
      <c r="O27" s="2424">
        <f>$J27+('12.1.Разходи-увелич.и нам.'!W27+'12.1.Разходи-увелич.и нам.'!X27)</f>
        <v>0</v>
      </c>
      <c r="P27" s="2425">
        <f>$J27+('12.1.Разходи-увелич.и нам.'!Y27+'12.1.Разходи-увелич.и нам.'!Z27)</f>
        <v>0</v>
      </c>
      <c r="Q27" s="2426">
        <f>'12.1.Разходи-увелич.и нам.'!AA27</f>
        <v>0</v>
      </c>
      <c r="R27" s="2427">
        <f>'12.1.Разходи-увелич.и нам.'!AB27</f>
        <v>0</v>
      </c>
      <c r="S27" s="2424">
        <f>$Q27+('12.1.Разходи-увелич.и нам.'!AC27+'12.1.Разходи-увелич.и нам.'!AD27)</f>
        <v>0</v>
      </c>
      <c r="T27" s="2424">
        <f>$Q27+('12.1.Разходи-увелич.и нам.'!AE27+'12.1.Разходи-увелич.и нам.'!AF27)</f>
        <v>0</v>
      </c>
      <c r="U27" s="2424">
        <f>$Q27+('12.1.Разходи-увелич.и нам.'!AG27+'12.1.Разходи-увелич.и нам.'!AH27)</f>
        <v>0</v>
      </c>
      <c r="V27" s="2424">
        <f>$Q27+('12.1.Разходи-увелич.и нам.'!AI27+'12.1.Разходи-увелич.и нам.'!AJ27)</f>
        <v>0</v>
      </c>
      <c r="W27" s="2425">
        <f>$Q27+('12.1.Разходи-увелич.и нам.'!AK27+'12.1.Разходи-увелич.и нам.'!AL27)</f>
        <v>0</v>
      </c>
      <c r="X27" s="2250"/>
      <c r="Y27" s="2250"/>
      <c r="Z27" s="799"/>
      <c r="AA27" s="786"/>
      <c r="AB27" s="786"/>
      <c r="AC27" s="786"/>
      <c r="AD27" s="795"/>
      <c r="AE27" s="362"/>
      <c r="AF27" s="378"/>
      <c r="AG27" s="298"/>
      <c r="AH27" s="298"/>
      <c r="AI27" s="362"/>
      <c r="AJ27" s="362"/>
      <c r="AK27" s="362"/>
      <c r="AL27" s="362"/>
      <c r="AM27" s="362"/>
    </row>
    <row r="28" spans="1:39" thickBot="1">
      <c r="A28" s="1049" t="s">
        <v>103</v>
      </c>
      <c r="B28" s="1050" t="s">
        <v>303</v>
      </c>
      <c r="C28" s="2071">
        <f>SUM(C29:C52)-C36-C49</f>
        <v>684.52092341991192</v>
      </c>
      <c r="D28" s="1051">
        <f t="shared" ref="D28:W28" si="6">SUM(D29:D52)-D36-D49</f>
        <v>2060.03329908559</v>
      </c>
      <c r="E28" s="1075">
        <f t="shared" si="6"/>
        <v>644.63973407568074</v>
      </c>
      <c r="F28" s="1076">
        <f t="shared" si="6"/>
        <v>632.43973407568069</v>
      </c>
      <c r="G28" s="1076">
        <f t="shared" si="6"/>
        <v>599.63973407568074</v>
      </c>
      <c r="H28" s="1076">
        <f t="shared" si="6"/>
        <v>570.03973407568071</v>
      </c>
      <c r="I28" s="1077">
        <f t="shared" si="6"/>
        <v>536.23973407568064</v>
      </c>
      <c r="J28" s="2071">
        <f t="shared" si="6"/>
        <v>173.83727177787011</v>
      </c>
      <c r="K28" s="1051">
        <f t="shared" si="6"/>
        <v>286.17720942749503</v>
      </c>
      <c r="L28" s="1075">
        <f t="shared" si="6"/>
        <v>173.83003197113925</v>
      </c>
      <c r="M28" s="1076">
        <f t="shared" si="6"/>
        <v>173.83003197113925</v>
      </c>
      <c r="N28" s="1076">
        <f t="shared" si="6"/>
        <v>173.83003197113925</v>
      </c>
      <c r="O28" s="1076">
        <f t="shared" si="6"/>
        <v>173.83003197113925</v>
      </c>
      <c r="P28" s="1077">
        <f t="shared" si="6"/>
        <v>173.83003197113925</v>
      </c>
      <c r="Q28" s="2071">
        <f t="shared" si="6"/>
        <v>196.51550892529445</v>
      </c>
      <c r="R28" s="1051">
        <f t="shared" si="6"/>
        <v>286.97338412683001</v>
      </c>
      <c r="S28" s="1075">
        <f t="shared" si="6"/>
        <v>196.15881857337121</v>
      </c>
      <c r="T28" s="1076">
        <f t="shared" si="6"/>
        <v>200.15881857337121</v>
      </c>
      <c r="U28" s="1076">
        <f t="shared" si="6"/>
        <v>201.15881857337121</v>
      </c>
      <c r="V28" s="1076">
        <f t="shared" si="6"/>
        <v>203.15881857337121</v>
      </c>
      <c r="W28" s="1077">
        <f t="shared" si="6"/>
        <v>203.15881857337121</v>
      </c>
      <c r="X28" s="1051">
        <f t="shared" ref="X28:AD28" si="7">SUM(X29:X52)-X36-X49</f>
        <v>38</v>
      </c>
      <c r="Y28" s="1051">
        <f t="shared" si="7"/>
        <v>38</v>
      </c>
      <c r="Z28" s="1075">
        <f t="shared" si="7"/>
        <v>38</v>
      </c>
      <c r="AA28" s="1076">
        <f t="shared" si="7"/>
        <v>38</v>
      </c>
      <c r="AB28" s="1076">
        <f t="shared" si="7"/>
        <v>38</v>
      </c>
      <c r="AC28" s="1076">
        <f t="shared" si="7"/>
        <v>38</v>
      </c>
      <c r="AD28" s="1077">
        <f t="shared" si="7"/>
        <v>38</v>
      </c>
      <c r="AE28" s="363"/>
      <c r="AF28" s="378"/>
      <c r="AG28" s="298"/>
      <c r="AH28" s="298"/>
      <c r="AI28" s="363"/>
      <c r="AJ28" s="363"/>
      <c r="AK28" s="363"/>
      <c r="AL28" s="363"/>
      <c r="AM28" s="363"/>
    </row>
    <row r="29" spans="1:39" ht="14.25">
      <c r="A29" s="1035" t="s">
        <v>105</v>
      </c>
      <c r="B29" s="1036" t="s">
        <v>304</v>
      </c>
      <c r="C29" s="2804">
        <f>'12.1.Разходи-увелич.и нам.'!C29</f>
        <v>45</v>
      </c>
      <c r="D29" s="2423">
        <f>'12.1.Разходи-увелич.и нам.'!D29</f>
        <v>50</v>
      </c>
      <c r="E29" s="2424">
        <f>$C29+('12.1.Разходи-увелич.и нам.'!E29+'12.1.Разходи-увелич.и нам.'!F29)</f>
        <v>45</v>
      </c>
      <c r="F29" s="2424">
        <f>$C29+('12.1.Разходи-увелич.и нам.'!G29+'12.1.Разходи-увелич.и нам.'!H29)</f>
        <v>45</v>
      </c>
      <c r="G29" s="2424">
        <f>$C29+('12.1.Разходи-увелич.и нам.'!I29+'12.1.Разходи-увелич.и нам.'!J29)</f>
        <v>45</v>
      </c>
      <c r="H29" s="2424">
        <f>$C29+('12.1.Разходи-увелич.и нам.'!K29+'12.1.Разходи-увелич.и нам.'!L29)</f>
        <v>45</v>
      </c>
      <c r="I29" s="2425">
        <f>$C29+('12.1.Разходи-увелич.и нам.'!M29+'12.1.Разходи-увелич.и нам.'!N29)</f>
        <v>45</v>
      </c>
      <c r="J29" s="2426">
        <f>'12.1.Разходи-увелич.и нам.'!O29</f>
        <v>7</v>
      </c>
      <c r="K29" s="2423">
        <f>'12.1.Разходи-увелич.и нам.'!P29</f>
        <v>5</v>
      </c>
      <c r="L29" s="2424">
        <f>$J29+('12.1.Разходи-увелич.и нам.'!Q29+'12.1.Разходи-увелич.и нам.'!R29)</f>
        <v>7</v>
      </c>
      <c r="M29" s="2424">
        <f>$J29+('12.1.Разходи-увелич.и нам.'!S29+'12.1.Разходи-увелич.и нам.'!T29)</f>
        <v>7</v>
      </c>
      <c r="N29" s="2424">
        <f>$J29+('12.1.Разходи-увелич.и нам.'!U29+'12.1.Разходи-увелич.и нам.'!V29)</f>
        <v>7</v>
      </c>
      <c r="O29" s="2424">
        <f>$J29+('12.1.Разходи-увелич.и нам.'!W29+'12.1.Разходи-увелич.и нам.'!X29)</f>
        <v>7</v>
      </c>
      <c r="P29" s="2425">
        <f>$J29+('12.1.Разходи-увелич.и нам.'!Y29+'12.1.Разходи-увелич.и нам.'!Z29)</f>
        <v>7</v>
      </c>
      <c r="Q29" s="2426">
        <f>'12.1.Разходи-увелич.и нам.'!AA29</f>
        <v>13</v>
      </c>
      <c r="R29" s="2427">
        <f>'12.1.Разходи-увелич.и нам.'!AB29</f>
        <v>13</v>
      </c>
      <c r="S29" s="2424">
        <f>$Q29+('12.1.Разходи-увелич.и нам.'!AC29+'12.1.Разходи-увелич.и нам.'!AD29)</f>
        <v>13</v>
      </c>
      <c r="T29" s="2424">
        <f>$Q29+('12.1.Разходи-увелич.и нам.'!AE29+'12.1.Разходи-увелич.и нам.'!AF29)</f>
        <v>13</v>
      </c>
      <c r="U29" s="2424">
        <f>$Q29+('12.1.Разходи-увелич.и нам.'!AG29+'12.1.Разходи-увелич.и нам.'!AH29)</f>
        <v>13</v>
      </c>
      <c r="V29" s="2424">
        <f>$Q29+('12.1.Разходи-увелич.и нам.'!AI29+'12.1.Разходи-увелич.и нам.'!AJ29)</f>
        <v>13</v>
      </c>
      <c r="W29" s="2425">
        <f>$Q29+('12.1.Разходи-увелич.и нам.'!AK29+'12.1.Разходи-увелич.и нам.'!AL29)</f>
        <v>13</v>
      </c>
      <c r="X29" s="2250"/>
      <c r="Y29" s="2250"/>
      <c r="Z29" s="799"/>
      <c r="AA29" s="786"/>
      <c r="AB29" s="786"/>
      <c r="AC29" s="786"/>
      <c r="AD29" s="795"/>
      <c r="AE29" s="363"/>
      <c r="AF29" s="380"/>
      <c r="AG29" s="298"/>
      <c r="AH29" s="298"/>
      <c r="AI29" s="363"/>
      <c r="AJ29" s="363"/>
      <c r="AK29" s="363"/>
      <c r="AL29" s="363"/>
      <c r="AM29" s="363"/>
    </row>
    <row r="30" spans="1:39" ht="16.5" customHeight="1">
      <c r="A30" s="1041" t="s">
        <v>107</v>
      </c>
      <c r="B30" s="3116" t="s">
        <v>305</v>
      </c>
      <c r="C30" s="2426">
        <f>'12.1.Разходи-увелич.и нам.'!C30</f>
        <v>18</v>
      </c>
      <c r="D30" s="2428">
        <f>'12.1.Разходи-увелич.и нам.'!D30</f>
        <v>74</v>
      </c>
      <c r="E30" s="2429">
        <f>$C30+('12.1.Разходи-увелич.и нам.'!E30+'12.1.Разходи-увелич.и нам.'!F30)</f>
        <v>14</v>
      </c>
      <c r="F30" s="2429">
        <f>$C30+('12.1.Разходи-увелич.и нам.'!G30+'12.1.Разходи-увелич.и нам.'!H30)</f>
        <v>14</v>
      </c>
      <c r="G30" s="2429">
        <f>$C30+('12.1.Разходи-увелич.и нам.'!I30+'12.1.Разходи-увелич.и нам.'!J30)</f>
        <v>14</v>
      </c>
      <c r="H30" s="2429">
        <f>$C30+('12.1.Разходи-увелич.и нам.'!K30+'12.1.Разходи-увелич.и нам.'!L30)</f>
        <v>14</v>
      </c>
      <c r="I30" s="1496">
        <f>$C30+('12.1.Разходи-увелич.и нам.'!M30+'12.1.Разходи-увелич.и нам.'!N30)</f>
        <v>14</v>
      </c>
      <c r="J30" s="2426">
        <f>'12.1.Разходи-увелич.и нам.'!O30</f>
        <v>0</v>
      </c>
      <c r="K30" s="2423">
        <f>'12.1.Разходи-увелич.и нам.'!P30</f>
        <v>0</v>
      </c>
      <c r="L30" s="2424">
        <f>$J30+('12.1.Разходи-увелич.и нам.'!Q30+'12.1.Разходи-увелич.и нам.'!R30)</f>
        <v>0</v>
      </c>
      <c r="M30" s="2424">
        <f>$J30+('12.1.Разходи-увелич.и нам.'!S30+'12.1.Разходи-увелич.и нам.'!T30)</f>
        <v>0</v>
      </c>
      <c r="N30" s="2424">
        <f>$J30+('12.1.Разходи-увелич.и нам.'!U30+'12.1.Разходи-увелич.и нам.'!V30)</f>
        <v>0</v>
      </c>
      <c r="O30" s="2424">
        <f>$J30+('12.1.Разходи-увелич.и нам.'!W30+'12.1.Разходи-увелич.и нам.'!X30)</f>
        <v>0</v>
      </c>
      <c r="P30" s="2425">
        <f>$J30+('12.1.Разходи-увелич.и нам.'!Y30+'12.1.Разходи-увелич.и нам.'!Z30)</f>
        <v>0</v>
      </c>
      <c r="Q30" s="2426">
        <f>'12.1.Разходи-увелич.и нам.'!AA30</f>
        <v>0</v>
      </c>
      <c r="R30" s="2427">
        <f>'12.1.Разходи-увелич.и нам.'!AB30</f>
        <v>0</v>
      </c>
      <c r="S30" s="2424">
        <f>$Q30+('12.1.Разходи-увелич.и нам.'!AC30+'12.1.Разходи-увелич.и нам.'!AD30)</f>
        <v>0</v>
      </c>
      <c r="T30" s="2424">
        <f>$Q30+('12.1.Разходи-увелич.и нам.'!AE30+'12.1.Разходи-увелич.и нам.'!AF30)</f>
        <v>0</v>
      </c>
      <c r="U30" s="2424">
        <f>$Q30+('12.1.Разходи-увелич.и нам.'!AG30+'12.1.Разходи-увелич.и нам.'!AH30)</f>
        <v>0</v>
      </c>
      <c r="V30" s="2424">
        <f>$Q30+('12.1.Разходи-увелич.и нам.'!AI30+'12.1.Разходи-увелич.и нам.'!AJ30)</f>
        <v>0</v>
      </c>
      <c r="W30" s="2425">
        <f>$Q30+('12.1.Разходи-увелич.и нам.'!AK30+'12.1.Разходи-увелич.и нам.'!AL30)</f>
        <v>0</v>
      </c>
      <c r="X30" s="2250"/>
      <c r="Y30" s="2250"/>
      <c r="Z30" s="799"/>
      <c r="AA30" s="786"/>
      <c r="AB30" s="786"/>
      <c r="AC30" s="786"/>
      <c r="AD30" s="795"/>
      <c r="AE30" s="361"/>
      <c r="AF30" s="380"/>
      <c r="AG30" s="298"/>
      <c r="AH30" s="298"/>
      <c r="AI30" s="361"/>
      <c r="AJ30" s="361"/>
      <c r="AK30" s="361"/>
      <c r="AL30" s="361"/>
      <c r="AM30" s="361"/>
    </row>
    <row r="31" spans="1:39">
      <c r="A31" s="1041" t="s">
        <v>225</v>
      </c>
      <c r="B31" s="1042" t="s">
        <v>307</v>
      </c>
      <c r="C31" s="2426">
        <f>'12.1.Разходи-увелич.и нам.'!C31</f>
        <v>18</v>
      </c>
      <c r="D31" s="2428">
        <f>'12.1.Разходи-увелич.и нам.'!D31</f>
        <v>36</v>
      </c>
      <c r="E31" s="2429">
        <f>$C31+('12.1.Разходи-увелич.и нам.'!E31+'12.1.Разходи-увелич.и нам.'!F31)</f>
        <v>18</v>
      </c>
      <c r="F31" s="2429">
        <f>$C31+('12.1.Разходи-увелич.и нам.'!G31+'12.1.Разходи-увелич.и нам.'!H31)</f>
        <v>18</v>
      </c>
      <c r="G31" s="2429">
        <f>$C31+('12.1.Разходи-увелич.и нам.'!I31+'12.1.Разходи-увелич.и нам.'!J31)</f>
        <v>18</v>
      </c>
      <c r="H31" s="2429">
        <f>$C31+('12.1.Разходи-увелич.и нам.'!K31+'12.1.Разходи-увелич.и нам.'!L31)</f>
        <v>18</v>
      </c>
      <c r="I31" s="1496">
        <f>$C31+('12.1.Разходи-увелич.и нам.'!M31+'12.1.Разходи-увелич.и нам.'!N31)</f>
        <v>18</v>
      </c>
      <c r="J31" s="2426">
        <f>'12.1.Разходи-увелич.и нам.'!O31</f>
        <v>7</v>
      </c>
      <c r="K31" s="2423">
        <f>'12.1.Разходи-увелич.и нам.'!P31</f>
        <v>16</v>
      </c>
      <c r="L31" s="2424">
        <f>$J31+('12.1.Разходи-увелич.и нам.'!Q31+'12.1.Разходи-увелич.и нам.'!R31)</f>
        <v>7</v>
      </c>
      <c r="M31" s="2424">
        <f>$J31+('12.1.Разходи-увелич.и нам.'!S31+'12.1.Разходи-увелич.и нам.'!T31)</f>
        <v>7</v>
      </c>
      <c r="N31" s="2424">
        <f>$J31+('12.1.Разходи-увелич.и нам.'!U31+'12.1.Разходи-увелич.и нам.'!V31)</f>
        <v>7</v>
      </c>
      <c r="O31" s="2424">
        <f>$J31+('12.1.Разходи-увелич.и нам.'!W31+'12.1.Разходи-увелич.и нам.'!X31)</f>
        <v>7</v>
      </c>
      <c r="P31" s="2425">
        <f>$J31+('12.1.Разходи-увелич.и нам.'!Y31+'12.1.Разходи-увелич.и нам.'!Z31)</f>
        <v>7</v>
      </c>
      <c r="Q31" s="2426">
        <f>'12.1.Разходи-увелич.и нам.'!AA31</f>
        <v>7</v>
      </c>
      <c r="R31" s="2427">
        <f>'12.1.Разходи-увелич.и нам.'!AB31</f>
        <v>6</v>
      </c>
      <c r="S31" s="2424">
        <f>$Q31+('12.1.Разходи-увелич.и нам.'!AC31+'12.1.Разходи-увелич.и нам.'!AD31)</f>
        <v>7</v>
      </c>
      <c r="T31" s="2424">
        <f>$Q31+('12.1.Разходи-увелич.и нам.'!AE31+'12.1.Разходи-увелич.и нам.'!AF31)</f>
        <v>7</v>
      </c>
      <c r="U31" s="2424">
        <f>$Q31+('12.1.Разходи-увелич.и нам.'!AG31+'12.1.Разходи-увелич.и нам.'!AH31)</f>
        <v>7</v>
      </c>
      <c r="V31" s="2424">
        <f>$Q31+('12.1.Разходи-увелич.и нам.'!AI31+'12.1.Разходи-увелич.и нам.'!AJ31)</f>
        <v>7</v>
      </c>
      <c r="W31" s="2425">
        <f>$Q31+('12.1.Разходи-увелич.и нам.'!AK31+'12.1.Разходи-увелич.и нам.'!AL31)</f>
        <v>7</v>
      </c>
      <c r="X31" s="2250"/>
      <c r="Y31" s="2250"/>
      <c r="Z31" s="799"/>
      <c r="AA31" s="786"/>
      <c r="AB31" s="786"/>
      <c r="AC31" s="786"/>
      <c r="AD31" s="795"/>
      <c r="AE31" s="358"/>
      <c r="AF31" s="358"/>
      <c r="AG31" s="358"/>
      <c r="AH31" s="358"/>
      <c r="AI31" s="358"/>
      <c r="AJ31" s="358"/>
      <c r="AK31" s="358"/>
      <c r="AL31" s="358"/>
      <c r="AM31" s="358"/>
    </row>
    <row r="32" spans="1:39">
      <c r="A32" s="1041" t="s">
        <v>306</v>
      </c>
      <c r="B32" s="1042" t="s">
        <v>309</v>
      </c>
      <c r="C32" s="2426">
        <f>'12.1.Разходи-увелич.и нам.'!C32</f>
        <v>36</v>
      </c>
      <c r="D32" s="2428">
        <f>'12.1.Разходи-увелич.и нам.'!D32</f>
        <v>107</v>
      </c>
      <c r="E32" s="2429">
        <f>$C32+('12.1.Разходи-увелич.и нам.'!E32+'12.1.Разходи-увелич.и нам.'!F32)</f>
        <v>36</v>
      </c>
      <c r="F32" s="2429">
        <f>$C32+('12.1.Разходи-увелич.и нам.'!G32+'12.1.Разходи-увелич.и нам.'!H32)</f>
        <v>36</v>
      </c>
      <c r="G32" s="2429">
        <f>$C32+('12.1.Разходи-увелич.и нам.'!I32+'12.1.Разходи-увелич.и нам.'!J32)</f>
        <v>36</v>
      </c>
      <c r="H32" s="2429">
        <f>$C32+('12.1.Разходи-увелич.и нам.'!K32+'12.1.Разходи-увелич.и нам.'!L32)</f>
        <v>36</v>
      </c>
      <c r="I32" s="1496">
        <f>$C32+('12.1.Разходи-увелич.и нам.'!M32+'12.1.Разходи-увелич.и нам.'!N32)</f>
        <v>36</v>
      </c>
      <c r="J32" s="2426">
        <f>'12.1.Разходи-увелич.и нам.'!O32</f>
        <v>22</v>
      </c>
      <c r="K32" s="2423">
        <f>'12.1.Разходи-увелич.и нам.'!P32</f>
        <v>48</v>
      </c>
      <c r="L32" s="2424">
        <f>$J32+('12.1.Разходи-увелич.и нам.'!Q32+'12.1.Разходи-увелич.и нам.'!R32)</f>
        <v>22</v>
      </c>
      <c r="M32" s="2424">
        <f>$J32+('12.1.Разходи-увелич.и нам.'!S32+'12.1.Разходи-увелич.и нам.'!T32)</f>
        <v>22</v>
      </c>
      <c r="N32" s="2424">
        <f>$J32+('12.1.Разходи-увелич.и нам.'!U32+'12.1.Разходи-увелич.и нам.'!V32)</f>
        <v>22</v>
      </c>
      <c r="O32" s="2424">
        <f>$J32+('12.1.Разходи-увелич.и нам.'!W32+'12.1.Разходи-увелич.и нам.'!X32)</f>
        <v>22</v>
      </c>
      <c r="P32" s="2425">
        <f>$J32+('12.1.Разходи-увелич.и нам.'!Y32+'12.1.Разходи-увелич.и нам.'!Z32)</f>
        <v>22</v>
      </c>
      <c r="Q32" s="2426">
        <f>'12.1.Разходи-увелич.и нам.'!AA32</f>
        <v>21</v>
      </c>
      <c r="R32" s="2427">
        <f>'12.1.Разходи-увелич.и нам.'!AB32</f>
        <v>43</v>
      </c>
      <c r="S32" s="2424">
        <f>$Q32+('12.1.Разходи-увелич.и нам.'!AC32+'12.1.Разходи-увелич.и нам.'!AD32)</f>
        <v>21</v>
      </c>
      <c r="T32" s="2424">
        <f>$Q32+('12.1.Разходи-увелич.и нам.'!AE32+'12.1.Разходи-увелич.и нам.'!AF32)</f>
        <v>21</v>
      </c>
      <c r="U32" s="2424">
        <f>$Q32+('12.1.Разходи-увелич.и нам.'!AG32+'12.1.Разходи-увелич.и нам.'!AH32)</f>
        <v>21</v>
      </c>
      <c r="V32" s="2424">
        <f>$Q32+('12.1.Разходи-увелич.и нам.'!AI32+'12.1.Разходи-увелич.и нам.'!AJ32)</f>
        <v>21</v>
      </c>
      <c r="W32" s="2425">
        <f>$Q32+('12.1.Разходи-увелич.и нам.'!AK32+'12.1.Разходи-увелич.и нам.'!AL32)</f>
        <v>21</v>
      </c>
      <c r="X32" s="2250">
        <v>2</v>
      </c>
      <c r="Y32" s="2250">
        <v>2</v>
      </c>
      <c r="Z32" s="799">
        <v>2</v>
      </c>
      <c r="AA32" s="786">
        <v>2</v>
      </c>
      <c r="AB32" s="786">
        <v>2</v>
      </c>
      <c r="AC32" s="786">
        <v>2</v>
      </c>
      <c r="AD32" s="795">
        <v>2</v>
      </c>
    </row>
    <row r="33" spans="1:39">
      <c r="A33" s="1041" t="s">
        <v>308</v>
      </c>
      <c r="B33" s="1042" t="s">
        <v>311</v>
      </c>
      <c r="C33" s="2426">
        <f>'12.1.Разходи-увелич.и нам.'!C33</f>
        <v>7</v>
      </c>
      <c r="D33" s="2428">
        <f>'12.1.Разходи-увелич.и нам.'!D33</f>
        <v>3</v>
      </c>
      <c r="E33" s="2429">
        <f>$C33+('12.1.Разходи-увелич.и нам.'!E33+'12.1.Разходи-увелич.и нам.'!F33)</f>
        <v>7</v>
      </c>
      <c r="F33" s="2429">
        <f>$C33+('12.1.Разходи-увелич.и нам.'!G33+'12.1.Разходи-увелич.и нам.'!H33)</f>
        <v>7</v>
      </c>
      <c r="G33" s="2429">
        <f>$C33+('12.1.Разходи-увелич.и нам.'!I33+'12.1.Разходи-увелич.и нам.'!J33)</f>
        <v>7</v>
      </c>
      <c r="H33" s="2429">
        <f>$C33+('12.1.Разходи-увелич.и нам.'!K33+'12.1.Разходи-увелич.и нам.'!L33)</f>
        <v>7</v>
      </c>
      <c r="I33" s="1496">
        <f>$C33+('12.1.Разходи-увелич.и нам.'!M33+'12.1.Разходи-увелич.и нам.'!N33)</f>
        <v>7</v>
      </c>
      <c r="J33" s="2426">
        <f>'12.1.Разходи-увелич.и нам.'!O33</f>
        <v>0</v>
      </c>
      <c r="K33" s="2423">
        <f>'12.1.Разходи-увелич.и нам.'!P33</f>
        <v>0</v>
      </c>
      <c r="L33" s="2424">
        <f>$J33+('12.1.Разходи-увелич.и нам.'!Q33+'12.1.Разходи-увелич.и нам.'!R33)</f>
        <v>0</v>
      </c>
      <c r="M33" s="2424">
        <f>$J33+('12.1.Разходи-увелич.и нам.'!S33+'12.1.Разходи-увелич.и нам.'!T33)</f>
        <v>0</v>
      </c>
      <c r="N33" s="2424">
        <f>$J33+('12.1.Разходи-увелич.и нам.'!U33+'12.1.Разходи-увелич.и нам.'!V33)</f>
        <v>0</v>
      </c>
      <c r="O33" s="2424">
        <f>$J33+('12.1.Разходи-увелич.и нам.'!W33+'12.1.Разходи-увелич.и нам.'!X33)</f>
        <v>0</v>
      </c>
      <c r="P33" s="2425">
        <f>$J33+('12.1.Разходи-увелич.и нам.'!Y33+'12.1.Разходи-увелич.и нам.'!Z33)</f>
        <v>0</v>
      </c>
      <c r="Q33" s="2426">
        <f>'12.1.Разходи-увелич.и нам.'!AA33</f>
        <v>17</v>
      </c>
      <c r="R33" s="2427">
        <f>'12.1.Разходи-увелич.и нам.'!AB33</f>
        <v>19</v>
      </c>
      <c r="S33" s="2424">
        <f>$Q33+('12.1.Разходи-увелич.и нам.'!AC33+'12.1.Разходи-увелич.и нам.'!AD33)</f>
        <v>17</v>
      </c>
      <c r="T33" s="2424">
        <f>$Q33+('12.1.Разходи-увелич.и нам.'!AE33+'12.1.Разходи-увелич.и нам.'!AF33)</f>
        <v>17</v>
      </c>
      <c r="U33" s="2424">
        <f>$Q33+('12.1.Разходи-увелич.и нам.'!AG33+'12.1.Разходи-увелич.и нам.'!AH33)</f>
        <v>17</v>
      </c>
      <c r="V33" s="2424">
        <f>$Q33+('12.1.Разходи-увелич.и нам.'!AI33+'12.1.Разходи-увелич.и нам.'!AJ33)</f>
        <v>17</v>
      </c>
      <c r="W33" s="2425">
        <f>$Q33+('12.1.Разходи-увелич.и нам.'!AK33+'12.1.Разходи-увелич.и нам.'!AL33)</f>
        <v>17</v>
      </c>
      <c r="X33" s="2250"/>
      <c r="Y33" s="2250"/>
      <c r="Z33" s="799"/>
      <c r="AA33" s="786"/>
      <c r="AB33" s="786"/>
      <c r="AC33" s="786"/>
      <c r="AD33" s="795"/>
    </row>
    <row r="34" spans="1:39">
      <c r="A34" s="1041" t="s">
        <v>310</v>
      </c>
      <c r="B34" s="1042" t="s">
        <v>313</v>
      </c>
      <c r="C34" s="2426">
        <f>'12.1.Разходи-увелич.и нам.'!C34</f>
        <v>21.520923419911963</v>
      </c>
      <c r="D34" s="2428">
        <f>'12.1.Разходи-увелич.и нам.'!D34</f>
        <v>23.03329908559008</v>
      </c>
      <c r="E34" s="2429">
        <f>$C34+('12.1.Разходи-увелич.и нам.'!E34+'12.1.Разходи-увелич.и нам.'!F34)</f>
        <v>17.039734075680691</v>
      </c>
      <c r="F34" s="2429">
        <f>$C34+('12.1.Разходи-увелич.и нам.'!G34+'12.1.Разходи-увелич.и нам.'!H34)</f>
        <v>17.039734075680691</v>
      </c>
      <c r="G34" s="2429">
        <f>$C34+('12.1.Разходи-увелич.и нам.'!I34+'12.1.Разходи-увелич.и нам.'!J34)</f>
        <v>17.039734075680691</v>
      </c>
      <c r="H34" s="2429">
        <f>$C34+('12.1.Разходи-увелич.и нам.'!K34+'12.1.Разходи-увелич.и нам.'!L34)</f>
        <v>17.039734075680691</v>
      </c>
      <c r="I34" s="1496">
        <f>$C34+('12.1.Разходи-увелич.и нам.'!M34+'12.1.Разходи-увелич.и нам.'!N34)</f>
        <v>17.039734075680691</v>
      </c>
      <c r="J34" s="2426">
        <f>'12.1.Разходи-увелич.и нам.'!O34</f>
        <v>5.8372717778701197</v>
      </c>
      <c r="K34" s="2423">
        <f>'12.1.Разходи-увелич.и нам.'!P34</f>
        <v>6.1772094274950202</v>
      </c>
      <c r="L34" s="2424">
        <f>$J34+('12.1.Разходи-увелич.и нам.'!Q34+'12.1.Разходи-увелич.и нам.'!R34)</f>
        <v>4.8300319711392374</v>
      </c>
      <c r="M34" s="2424">
        <f>$J34+('12.1.Разходи-увелич.и нам.'!S34+'12.1.Разходи-увелич.и нам.'!T34)</f>
        <v>4.8300319711392374</v>
      </c>
      <c r="N34" s="2424">
        <f>$J34+('12.1.Разходи-увелич.и нам.'!U34+'12.1.Разходи-увелич.и нам.'!V34)</f>
        <v>4.8300319711392374</v>
      </c>
      <c r="O34" s="2424">
        <f>$J34+('12.1.Разходи-увелич.и нам.'!W34+'12.1.Разходи-увелич.и нам.'!X34)</f>
        <v>4.8300319711392374</v>
      </c>
      <c r="P34" s="2425">
        <f>$J34+('12.1.Разходи-увелич.и нам.'!Y34+'12.1.Разходи-увелич.и нам.'!Z34)</f>
        <v>4.8300319711392374</v>
      </c>
      <c r="Q34" s="2426">
        <f>'12.1.Разходи-увелич.и нам.'!AA34</f>
        <v>6.5155089252944478</v>
      </c>
      <c r="R34" s="2427">
        <f>'12.1.Разходи-увелич.и нам.'!AB34</f>
        <v>6.9733841268300241</v>
      </c>
      <c r="S34" s="2424">
        <f>$Q34+('12.1.Разходи-увелич.и нам.'!AC34+'12.1.Разходи-увелич.и нам.'!AD34)</f>
        <v>5.1588185733712182</v>
      </c>
      <c r="T34" s="2424">
        <f>$Q34+('12.1.Разходи-увелич.и нам.'!AE34+'12.1.Разходи-увелич.и нам.'!AF34)</f>
        <v>5.1588185733712182</v>
      </c>
      <c r="U34" s="2424">
        <f>$Q34+('12.1.Разходи-увелич.и нам.'!AG34+'12.1.Разходи-увелич.и нам.'!AH34)</f>
        <v>5.1588185733712182</v>
      </c>
      <c r="V34" s="2424">
        <f>$Q34+('12.1.Разходи-увелич.и нам.'!AI34+'12.1.Разходи-увелич.и нам.'!AJ34)</f>
        <v>5.1588185733712182</v>
      </c>
      <c r="W34" s="2425">
        <f>$Q34+('12.1.Разходи-увелич.и нам.'!AK34+'12.1.Разходи-увелич.и нам.'!AL34)</f>
        <v>5.1588185733712182</v>
      </c>
      <c r="X34" s="2250">
        <v>1</v>
      </c>
      <c r="Y34" s="2250">
        <v>1</v>
      </c>
      <c r="Z34" s="799">
        <v>1</v>
      </c>
      <c r="AA34" s="786">
        <v>1</v>
      </c>
      <c r="AB34" s="786">
        <v>1</v>
      </c>
      <c r="AC34" s="786">
        <v>1</v>
      </c>
      <c r="AD34" s="795">
        <v>1</v>
      </c>
    </row>
    <row r="35" spans="1:39">
      <c r="A35" s="1041" t="s">
        <v>312</v>
      </c>
      <c r="B35" s="1042" t="s">
        <v>315</v>
      </c>
      <c r="C35" s="2426">
        <f>'12.1.Разходи-увелич.и нам.'!C35</f>
        <v>10</v>
      </c>
      <c r="D35" s="2428">
        <f>'12.1.Разходи-увелич.и нам.'!D35</f>
        <v>22</v>
      </c>
      <c r="E35" s="2429">
        <f>$C35+('12.1.Разходи-увелич.и нам.'!E35+'12.1.Разходи-увелич.и нам.'!F35)</f>
        <v>10</v>
      </c>
      <c r="F35" s="2429">
        <f>$C35+('12.1.Разходи-увелич.и нам.'!G35+'12.1.Разходи-увелич.и нам.'!H35)</f>
        <v>10</v>
      </c>
      <c r="G35" s="2429">
        <f>$C35+('12.1.Разходи-увелич.и нам.'!I35+'12.1.Разходи-увелич.и нам.'!J35)</f>
        <v>10</v>
      </c>
      <c r="H35" s="2429">
        <f>$C35+('12.1.Разходи-увелич.и нам.'!K35+'12.1.Разходи-увелич.и нам.'!L35)</f>
        <v>10</v>
      </c>
      <c r="I35" s="1496">
        <f>$C35+('12.1.Разходи-увелич.и нам.'!M35+'12.1.Разходи-увелич.и нам.'!N35)</f>
        <v>10</v>
      </c>
      <c r="J35" s="2426">
        <f>'12.1.Разходи-увелич.и нам.'!O35</f>
        <v>7</v>
      </c>
      <c r="K35" s="2423">
        <f>'12.1.Разходи-увелич.и нам.'!P35</f>
        <v>15</v>
      </c>
      <c r="L35" s="2424">
        <f>$J35+('12.1.Разходи-увелич.и нам.'!Q35+'12.1.Разходи-увелич.и нам.'!R35)</f>
        <v>7</v>
      </c>
      <c r="M35" s="2424">
        <f>$J35+('12.1.Разходи-увелич.и нам.'!S35+'12.1.Разходи-увелич.и нам.'!T35)</f>
        <v>7</v>
      </c>
      <c r="N35" s="2424">
        <f>$J35+('12.1.Разходи-увелич.и нам.'!U35+'12.1.Разходи-увелич.и нам.'!V35)</f>
        <v>7</v>
      </c>
      <c r="O35" s="2424">
        <f>$J35+('12.1.Разходи-увелич.и нам.'!W35+'12.1.Разходи-увелич.и нам.'!X35)</f>
        <v>7</v>
      </c>
      <c r="P35" s="2425">
        <f>$J35+('12.1.Разходи-увелич.и нам.'!Y35+'12.1.Разходи-увелич.и нам.'!Z35)</f>
        <v>7</v>
      </c>
      <c r="Q35" s="2426">
        <f>'12.1.Разходи-увелич.и нам.'!AA35</f>
        <v>6</v>
      </c>
      <c r="R35" s="2427">
        <f>'12.1.Разходи-увелич.и нам.'!AB35</f>
        <v>12</v>
      </c>
      <c r="S35" s="2424">
        <f>$Q35+('12.1.Разходи-увелич.и нам.'!AC35+'12.1.Разходи-увелич.и нам.'!AD35)</f>
        <v>6</v>
      </c>
      <c r="T35" s="2424">
        <f>$Q35+('12.1.Разходи-увелич.и нам.'!AE35+'12.1.Разходи-увелич.и нам.'!AF35)</f>
        <v>6</v>
      </c>
      <c r="U35" s="2424">
        <f>$Q35+('12.1.Разходи-увелич.и нам.'!AG35+'12.1.Разходи-увелич.и нам.'!AH35)</f>
        <v>6</v>
      </c>
      <c r="V35" s="2424">
        <f>$Q35+('12.1.Разходи-увелич.и нам.'!AI35+'12.1.Разходи-увелич.и нам.'!AJ35)</f>
        <v>6</v>
      </c>
      <c r="W35" s="2425">
        <f>$Q35+('12.1.Разходи-увелич.и нам.'!AK35+'12.1.Разходи-увелич.и нам.'!AL35)</f>
        <v>6</v>
      </c>
      <c r="X35" s="2250"/>
      <c r="Y35" s="2250"/>
      <c r="Z35" s="799"/>
      <c r="AA35" s="786"/>
      <c r="AB35" s="786"/>
      <c r="AC35" s="786"/>
      <c r="AD35" s="795"/>
    </row>
    <row r="36" spans="1:39">
      <c r="A36" s="1041" t="s">
        <v>314</v>
      </c>
      <c r="B36" s="1042" t="s">
        <v>613</v>
      </c>
      <c r="C36" s="1092">
        <f>SUM(C37:C40)</f>
        <v>35</v>
      </c>
      <c r="D36" s="1086">
        <f t="shared" ref="D36:AD36" si="8">SUM(D37:D40)</f>
        <v>80</v>
      </c>
      <c r="E36" s="1087">
        <f t="shared" si="8"/>
        <v>38</v>
      </c>
      <c r="F36" s="1088">
        <f t="shared" si="8"/>
        <v>38</v>
      </c>
      <c r="G36" s="1088">
        <f t="shared" si="8"/>
        <v>38</v>
      </c>
      <c r="H36" s="1088">
        <f t="shared" si="8"/>
        <v>38</v>
      </c>
      <c r="I36" s="1089">
        <f t="shared" si="8"/>
        <v>38</v>
      </c>
      <c r="J36" s="1092">
        <f t="shared" si="8"/>
        <v>27</v>
      </c>
      <c r="K36" s="1086">
        <f t="shared" si="8"/>
        <v>56</v>
      </c>
      <c r="L36" s="1087">
        <f t="shared" si="8"/>
        <v>28</v>
      </c>
      <c r="M36" s="1088">
        <f t="shared" si="8"/>
        <v>28</v>
      </c>
      <c r="N36" s="1088">
        <f t="shared" si="8"/>
        <v>28</v>
      </c>
      <c r="O36" s="1088">
        <f t="shared" si="8"/>
        <v>28</v>
      </c>
      <c r="P36" s="1089">
        <f t="shared" si="8"/>
        <v>28</v>
      </c>
      <c r="Q36" s="1092">
        <f t="shared" si="8"/>
        <v>22</v>
      </c>
      <c r="R36" s="1086">
        <f t="shared" si="8"/>
        <v>42</v>
      </c>
      <c r="S36" s="1087">
        <f t="shared" si="8"/>
        <v>23</v>
      </c>
      <c r="T36" s="1088">
        <f t="shared" si="8"/>
        <v>23</v>
      </c>
      <c r="U36" s="1088">
        <f t="shared" si="8"/>
        <v>23</v>
      </c>
      <c r="V36" s="1088">
        <f t="shared" si="8"/>
        <v>23</v>
      </c>
      <c r="W36" s="1089">
        <f t="shared" si="8"/>
        <v>23</v>
      </c>
      <c r="X36" s="1086">
        <f t="shared" si="8"/>
        <v>2</v>
      </c>
      <c r="Y36" s="1086">
        <f t="shared" si="8"/>
        <v>2</v>
      </c>
      <c r="Z36" s="1087">
        <f t="shared" si="8"/>
        <v>2</v>
      </c>
      <c r="AA36" s="1088">
        <f t="shared" si="8"/>
        <v>2</v>
      </c>
      <c r="AB36" s="1088">
        <f t="shared" si="8"/>
        <v>2</v>
      </c>
      <c r="AC36" s="1088">
        <f t="shared" si="8"/>
        <v>2</v>
      </c>
      <c r="AD36" s="1089">
        <f t="shared" si="8"/>
        <v>2</v>
      </c>
    </row>
    <row r="37" spans="1:39" s="360" customFormat="1">
      <c r="A37" s="1054" t="s">
        <v>614</v>
      </c>
      <c r="B37" s="1046" t="s">
        <v>317</v>
      </c>
      <c r="C37" s="2804">
        <f>'12.1.Разходи-увелич.и нам.'!C37</f>
        <v>23</v>
      </c>
      <c r="D37" s="2423">
        <f>'12.1.Разходи-увелич.и нам.'!D37</f>
        <v>42</v>
      </c>
      <c r="E37" s="2424">
        <f>$C37+('12.1.Разходи-увелич.и нам.'!E37+'12.1.Разходи-увелич.и нам.'!F37)</f>
        <v>23</v>
      </c>
      <c r="F37" s="2424">
        <f>$C37+('12.1.Разходи-увелич.и нам.'!G37+'12.1.Разходи-увелич.и нам.'!H37)</f>
        <v>23</v>
      </c>
      <c r="G37" s="2424">
        <f>$C37+('12.1.Разходи-увелич.и нам.'!I37+'12.1.Разходи-увелич.и нам.'!J37)</f>
        <v>23</v>
      </c>
      <c r="H37" s="2424">
        <f>$C37+('12.1.Разходи-увелич.и нам.'!K37+'12.1.Разходи-увелич.и нам.'!L37)</f>
        <v>23</v>
      </c>
      <c r="I37" s="2425">
        <f>$C37+('12.1.Разходи-увелич.и нам.'!M37+'12.1.Разходи-увелич.и нам.'!N37)</f>
        <v>23</v>
      </c>
      <c r="J37" s="2426">
        <f>'12.1.Разходи-увелич.и нам.'!O37</f>
        <v>16</v>
      </c>
      <c r="K37" s="2423">
        <f>'12.1.Разходи-увелич.и нам.'!P37</f>
        <v>28</v>
      </c>
      <c r="L37" s="2424">
        <f>$J37+('12.1.Разходи-увелич.и нам.'!Q37+'12.1.Разходи-увелич.и нам.'!R37)</f>
        <v>16</v>
      </c>
      <c r="M37" s="2424">
        <f>$J37+('12.1.Разходи-увелич.и нам.'!S37+'12.1.Разходи-увелич.и нам.'!T37)</f>
        <v>16</v>
      </c>
      <c r="N37" s="2424">
        <f>$J37+('12.1.Разходи-увелич.и нам.'!U37+'12.1.Разходи-увелич.и нам.'!V37)</f>
        <v>16</v>
      </c>
      <c r="O37" s="2424">
        <f>$J37+('12.1.Разходи-увелич.и нам.'!W37+'12.1.Разходи-увелич.и нам.'!X37)</f>
        <v>16</v>
      </c>
      <c r="P37" s="2425">
        <f>$J37+('12.1.Разходи-увелич.и нам.'!Y37+'12.1.Разходи-увелич.и нам.'!Z37)</f>
        <v>16</v>
      </c>
      <c r="Q37" s="2426">
        <f>'12.1.Разходи-увелич.и нам.'!AA37</f>
        <v>14</v>
      </c>
      <c r="R37" s="2427">
        <f>'12.1.Разходи-увелич.и нам.'!AB37</f>
        <v>22</v>
      </c>
      <c r="S37" s="2424">
        <f>$Q37+('12.1.Разходи-увелич.и нам.'!AC37+'12.1.Разходи-увелич.и нам.'!AD37)</f>
        <v>14</v>
      </c>
      <c r="T37" s="2424">
        <f>$Q37+('12.1.Разходи-увелич.и нам.'!AE37+'12.1.Разходи-увелич.и нам.'!AF37)</f>
        <v>14</v>
      </c>
      <c r="U37" s="2424">
        <f>$Q37+('12.1.Разходи-увелич.и нам.'!AG37+'12.1.Разходи-увелич.и нам.'!AH37)</f>
        <v>14</v>
      </c>
      <c r="V37" s="2424">
        <f>$Q37+('12.1.Разходи-увелич.и нам.'!AI37+'12.1.Разходи-увелич.и нам.'!AJ37)</f>
        <v>14</v>
      </c>
      <c r="W37" s="2425">
        <f>$Q37+('12.1.Разходи-увелич.и нам.'!AK37+'12.1.Разходи-увелич.и нам.'!AL37)</f>
        <v>14</v>
      </c>
      <c r="X37" s="2250">
        <v>1</v>
      </c>
      <c r="Y37" s="2250">
        <v>1</v>
      </c>
      <c r="Z37" s="799">
        <v>1</v>
      </c>
      <c r="AA37" s="786">
        <v>1</v>
      </c>
      <c r="AB37" s="786">
        <v>1</v>
      </c>
      <c r="AC37" s="786">
        <v>1</v>
      </c>
      <c r="AD37" s="795">
        <v>1</v>
      </c>
      <c r="AE37" s="358"/>
      <c r="AF37" s="358"/>
      <c r="AG37" s="358"/>
      <c r="AH37" s="358"/>
      <c r="AI37" s="358"/>
      <c r="AJ37" s="358"/>
      <c r="AK37" s="358"/>
      <c r="AL37" s="358"/>
      <c r="AM37" s="358"/>
    </row>
    <row r="38" spans="1:39" s="360" customFormat="1">
      <c r="A38" s="1054" t="s">
        <v>615</v>
      </c>
      <c r="B38" s="1046" t="s">
        <v>318</v>
      </c>
      <c r="C38" s="2804">
        <f>'12.1.Разходи-увелич.и нам.'!C38</f>
        <v>4</v>
      </c>
      <c r="D38" s="2423">
        <f>'12.1.Разходи-увелич.и нам.'!D38</f>
        <v>5</v>
      </c>
      <c r="E38" s="2424">
        <f>$C38+('12.1.Разходи-увелич.и нам.'!E38+'12.1.Разходи-увелич.и нам.'!F38)</f>
        <v>7</v>
      </c>
      <c r="F38" s="2424">
        <f>$C38+('12.1.Разходи-увелич.и нам.'!G38+'12.1.Разходи-увелич.и нам.'!H38)</f>
        <v>7</v>
      </c>
      <c r="G38" s="2424">
        <f>$C38+('12.1.Разходи-увелич.и нам.'!I38+'12.1.Разходи-увелич.и нам.'!J38)</f>
        <v>7</v>
      </c>
      <c r="H38" s="2424">
        <f>$C38+('12.1.Разходи-увелич.и нам.'!K38+'12.1.Разходи-увелич.и нам.'!L38)</f>
        <v>7</v>
      </c>
      <c r="I38" s="2425">
        <f>$C38+('12.1.Разходи-увелич.и нам.'!M38+'12.1.Разходи-увелич.и нам.'!N38)</f>
        <v>7</v>
      </c>
      <c r="J38" s="2426">
        <f>'12.1.Разходи-увелич.и нам.'!O38</f>
        <v>3</v>
      </c>
      <c r="K38" s="2423">
        <f>'12.1.Разходи-увелич.и нам.'!P38</f>
        <v>4</v>
      </c>
      <c r="L38" s="2424">
        <f>$J38+('12.1.Разходи-увелич.и нам.'!Q38+'12.1.Разходи-увелич.и нам.'!R38)</f>
        <v>4</v>
      </c>
      <c r="M38" s="2424">
        <f>$J38+('12.1.Разходи-увелич.и нам.'!S38+'12.1.Разходи-увелич.и нам.'!T38)</f>
        <v>4</v>
      </c>
      <c r="N38" s="2424">
        <f>$J38+('12.1.Разходи-увелич.и нам.'!U38+'12.1.Разходи-увелич.и нам.'!V38)</f>
        <v>4</v>
      </c>
      <c r="O38" s="2424">
        <f>$J38+('12.1.Разходи-увелич.и нам.'!W38+'12.1.Разходи-увелич.и нам.'!X38)</f>
        <v>4</v>
      </c>
      <c r="P38" s="2425">
        <f>$J38+('12.1.Разходи-увелич.и нам.'!Y38+'12.1.Разходи-увелич.и нам.'!Z38)</f>
        <v>4</v>
      </c>
      <c r="Q38" s="2426">
        <f>'12.1.Разходи-увелич.и нам.'!AA38</f>
        <v>3</v>
      </c>
      <c r="R38" s="2427">
        <f>'12.1.Разходи-увелич.и нам.'!AB38</f>
        <v>2</v>
      </c>
      <c r="S38" s="2424">
        <f>$Q38+('12.1.Разходи-увелич.и нам.'!AC38+'12.1.Разходи-увелич.и нам.'!AD38)</f>
        <v>4</v>
      </c>
      <c r="T38" s="2424">
        <f>$Q38+('12.1.Разходи-увелич.и нам.'!AE38+'12.1.Разходи-увелич.и нам.'!AF38)</f>
        <v>4</v>
      </c>
      <c r="U38" s="2424">
        <f>$Q38+('12.1.Разходи-увелич.и нам.'!AG38+'12.1.Разходи-увелич.и нам.'!AH38)</f>
        <v>4</v>
      </c>
      <c r="V38" s="2424">
        <f>$Q38+('12.1.Разходи-увелич.и нам.'!AI38+'12.1.Разходи-увелич.и нам.'!AJ38)</f>
        <v>4</v>
      </c>
      <c r="W38" s="2425">
        <f>$Q38+('12.1.Разходи-увелич.и нам.'!AK38+'12.1.Разходи-увелич.и нам.'!AL38)</f>
        <v>4</v>
      </c>
      <c r="X38" s="2250">
        <v>1</v>
      </c>
      <c r="Y38" s="2250">
        <v>1</v>
      </c>
      <c r="Z38" s="799">
        <v>1</v>
      </c>
      <c r="AA38" s="786">
        <v>1</v>
      </c>
      <c r="AB38" s="786">
        <v>1</v>
      </c>
      <c r="AC38" s="786">
        <v>1</v>
      </c>
      <c r="AD38" s="795">
        <v>1</v>
      </c>
      <c r="AE38" s="358"/>
      <c r="AF38" s="358"/>
      <c r="AG38" s="358"/>
      <c r="AH38" s="358"/>
      <c r="AI38" s="358"/>
      <c r="AJ38" s="358"/>
      <c r="AK38" s="358"/>
      <c r="AL38" s="358"/>
      <c r="AM38" s="358"/>
    </row>
    <row r="39" spans="1:39" s="360" customFormat="1">
      <c r="A39" s="1054" t="s">
        <v>616</v>
      </c>
      <c r="B39" s="1046" t="s">
        <v>319</v>
      </c>
      <c r="C39" s="2804">
        <f>'12.1.Разходи-увелич.и нам.'!C39</f>
        <v>0</v>
      </c>
      <c r="D39" s="2423">
        <f>'12.1.Разходи-увелич.и нам.'!D39</f>
        <v>0</v>
      </c>
      <c r="E39" s="2424">
        <f>$C39+('12.1.Разходи-увелич.и нам.'!E39+'12.1.Разходи-увелич.и нам.'!F39)</f>
        <v>0</v>
      </c>
      <c r="F39" s="2424">
        <f>$C39+('12.1.Разходи-увелич.и нам.'!G39+'12.1.Разходи-увелич.и нам.'!H39)</f>
        <v>0</v>
      </c>
      <c r="G39" s="2424">
        <f>$C39+('12.1.Разходи-увелич.и нам.'!I39+'12.1.Разходи-увелич.и нам.'!J39)</f>
        <v>0</v>
      </c>
      <c r="H39" s="2424">
        <f>$C39+('12.1.Разходи-увелич.и нам.'!K39+'12.1.Разходи-увелич.и нам.'!L39)</f>
        <v>0</v>
      </c>
      <c r="I39" s="2425">
        <f>$C39+('12.1.Разходи-увелич.и нам.'!M39+'12.1.Разходи-увелич.и нам.'!N39)</f>
        <v>0</v>
      </c>
      <c r="J39" s="2426">
        <f>'12.1.Разходи-увелич.и нам.'!O39</f>
        <v>3</v>
      </c>
      <c r="K39" s="2423">
        <f>'12.1.Разходи-увелич.и нам.'!P39</f>
        <v>3</v>
      </c>
      <c r="L39" s="2424">
        <f>$J39+('12.1.Разходи-увелич.и нам.'!Q39+'12.1.Разходи-увелич.и нам.'!R39)</f>
        <v>3</v>
      </c>
      <c r="M39" s="2424">
        <f>$J39+('12.1.Разходи-увелич.и нам.'!S39+'12.1.Разходи-увелич.и нам.'!T39)</f>
        <v>3</v>
      </c>
      <c r="N39" s="2424">
        <f>$J39+('12.1.Разходи-увелич.и нам.'!U39+'12.1.Разходи-увелич.и нам.'!V39)</f>
        <v>3</v>
      </c>
      <c r="O39" s="2424">
        <f>$J39+('12.1.Разходи-увелич.и нам.'!W39+'12.1.Разходи-увелич.и нам.'!X39)</f>
        <v>3</v>
      </c>
      <c r="P39" s="2425">
        <f>$J39+('12.1.Разходи-увелич.и нам.'!Y39+'12.1.Разходи-увелич.и нам.'!Z39)</f>
        <v>3</v>
      </c>
      <c r="Q39" s="2426">
        <f>'12.1.Разходи-увелич.и нам.'!AA39</f>
        <v>0</v>
      </c>
      <c r="R39" s="2427">
        <f>'12.1.Разходи-увелич.и нам.'!AB39</f>
        <v>0</v>
      </c>
      <c r="S39" s="2424">
        <f>$Q39+('12.1.Разходи-увелич.и нам.'!AC39+'12.1.Разходи-увелич.и нам.'!AD39)</f>
        <v>0</v>
      </c>
      <c r="T39" s="2424">
        <f>$Q39+('12.1.Разходи-увелич.и нам.'!AE39+'12.1.Разходи-увелич.и нам.'!AF39)</f>
        <v>0</v>
      </c>
      <c r="U39" s="2424">
        <f>$Q39+('12.1.Разходи-увелич.и нам.'!AG39+'12.1.Разходи-увелич.и нам.'!AH39)</f>
        <v>0</v>
      </c>
      <c r="V39" s="2424">
        <f>$Q39+('12.1.Разходи-увелич.и нам.'!AI39+'12.1.Разходи-увелич.и нам.'!AJ39)</f>
        <v>0</v>
      </c>
      <c r="W39" s="2425">
        <f>$Q39+('12.1.Разходи-увелич.и нам.'!AK39+'12.1.Разходи-увелич.и нам.'!AL39)</f>
        <v>0</v>
      </c>
      <c r="X39" s="2250"/>
      <c r="Y39" s="2250"/>
      <c r="Z39" s="799"/>
      <c r="AA39" s="786"/>
      <c r="AB39" s="786"/>
      <c r="AC39" s="786"/>
      <c r="AD39" s="795"/>
      <c r="AE39" s="358"/>
      <c r="AF39" s="358"/>
      <c r="AG39" s="358"/>
      <c r="AH39" s="358"/>
      <c r="AI39" s="358"/>
      <c r="AJ39" s="358"/>
      <c r="AK39" s="358"/>
      <c r="AL39" s="358"/>
      <c r="AM39" s="358"/>
    </row>
    <row r="40" spans="1:39" s="360" customFormat="1">
      <c r="A40" s="1054" t="s">
        <v>617</v>
      </c>
      <c r="B40" s="1046" t="s">
        <v>618</v>
      </c>
      <c r="C40" s="2804">
        <f>'12.1.Разходи-увелич.и нам.'!C40</f>
        <v>8</v>
      </c>
      <c r="D40" s="2423">
        <f>'12.1.Разходи-увелич.и нам.'!D40</f>
        <v>33</v>
      </c>
      <c r="E40" s="2424">
        <f>$C40+('12.1.Разходи-увелич.и нам.'!E40+'12.1.Разходи-увелич.и нам.'!F40)</f>
        <v>8</v>
      </c>
      <c r="F40" s="2424">
        <f>$C40+('12.1.Разходи-увелич.и нам.'!G40+'12.1.Разходи-увелич.и нам.'!H40)</f>
        <v>8</v>
      </c>
      <c r="G40" s="2424">
        <f>$C40+('12.1.Разходи-увелич.и нам.'!I40+'12.1.Разходи-увелич.и нам.'!J40)</f>
        <v>8</v>
      </c>
      <c r="H40" s="2424">
        <f>$C40+('12.1.Разходи-увелич.и нам.'!K40+'12.1.Разходи-увелич.и нам.'!L40)</f>
        <v>8</v>
      </c>
      <c r="I40" s="2425">
        <f>$C40+('12.1.Разходи-увелич.и нам.'!M40+'12.1.Разходи-увелич.и нам.'!N40)</f>
        <v>8</v>
      </c>
      <c r="J40" s="2426">
        <f>'12.1.Разходи-увелич.и нам.'!O40</f>
        <v>5</v>
      </c>
      <c r="K40" s="2423">
        <f>'12.1.Разходи-увелич.и нам.'!P40</f>
        <v>21</v>
      </c>
      <c r="L40" s="2424">
        <f>$J40+('12.1.Разходи-увелич.и нам.'!Q40+'12.1.Разходи-увелич.и нам.'!R40)</f>
        <v>5</v>
      </c>
      <c r="M40" s="2424">
        <f>$J40+('12.1.Разходи-увелич.и нам.'!S40+'12.1.Разходи-увелич.и нам.'!T40)</f>
        <v>5</v>
      </c>
      <c r="N40" s="2424">
        <f>$J40+('12.1.Разходи-увелич.и нам.'!U40+'12.1.Разходи-увелич.и нам.'!V40)</f>
        <v>5</v>
      </c>
      <c r="O40" s="2424">
        <f>$J40+('12.1.Разходи-увелич.и нам.'!W40+'12.1.Разходи-увелич.и нам.'!X40)</f>
        <v>5</v>
      </c>
      <c r="P40" s="2425">
        <f>$J40+('12.1.Разходи-увелич.и нам.'!Y40+'12.1.Разходи-увелич.и нам.'!Z40)</f>
        <v>5</v>
      </c>
      <c r="Q40" s="2426">
        <f>'12.1.Разходи-увелич.и нам.'!AA40</f>
        <v>5</v>
      </c>
      <c r="R40" s="2427">
        <f>'12.1.Разходи-увелич.и нам.'!AB40</f>
        <v>18</v>
      </c>
      <c r="S40" s="2424">
        <f>$Q40+('12.1.Разходи-увелич.и нам.'!AC40+'12.1.Разходи-увелич.и нам.'!AD40)</f>
        <v>5</v>
      </c>
      <c r="T40" s="2424">
        <f>$Q40+('12.1.Разходи-увелич.и нам.'!AE40+'12.1.Разходи-увелич.и нам.'!AF40)</f>
        <v>5</v>
      </c>
      <c r="U40" s="2424">
        <f>$Q40+('12.1.Разходи-увелич.и нам.'!AG40+'12.1.Разходи-увелич.и нам.'!AH40)</f>
        <v>5</v>
      </c>
      <c r="V40" s="2424">
        <f>$Q40+('12.1.Разходи-увелич.и нам.'!AI40+'12.1.Разходи-увелич.и нам.'!AJ40)</f>
        <v>5</v>
      </c>
      <c r="W40" s="2425">
        <f>$Q40+('12.1.Разходи-увелич.и нам.'!AK40+'12.1.Разходи-увелич.и нам.'!AL40)</f>
        <v>5</v>
      </c>
      <c r="X40" s="2250"/>
      <c r="Y40" s="2250"/>
      <c r="Z40" s="799"/>
      <c r="AA40" s="786"/>
      <c r="AB40" s="786"/>
      <c r="AC40" s="786"/>
      <c r="AD40" s="795"/>
      <c r="AE40" s="358"/>
      <c r="AF40" s="358"/>
      <c r="AG40" s="358"/>
      <c r="AH40" s="358"/>
      <c r="AI40" s="358"/>
      <c r="AJ40" s="358"/>
      <c r="AK40" s="358"/>
      <c r="AL40" s="358"/>
      <c r="AM40" s="358"/>
    </row>
    <row r="41" spans="1:39">
      <c r="A41" s="1041" t="s">
        <v>316</v>
      </c>
      <c r="B41" s="1042" t="s">
        <v>321</v>
      </c>
      <c r="C41" s="2426">
        <f>'12.1.Разходи-увелич.и нам.'!C41</f>
        <v>125</v>
      </c>
      <c r="D41" s="2428">
        <f>'12.1.Разходи-увелич.и нам.'!D41</f>
        <v>165</v>
      </c>
      <c r="E41" s="2429">
        <f>$C41+('12.1.Разходи-увелич.и нам.'!E41+'12.1.Разходи-увелич.и нам.'!F41)</f>
        <v>125</v>
      </c>
      <c r="F41" s="2429">
        <f>$C41+('12.1.Разходи-увелич.и нам.'!G41+'12.1.Разходи-увелич.и нам.'!H41)</f>
        <v>125</v>
      </c>
      <c r="G41" s="2429">
        <f>$C41+('12.1.Разходи-увелич.и нам.'!I41+'12.1.Разходи-увелич.и нам.'!J41)</f>
        <v>125</v>
      </c>
      <c r="H41" s="2429">
        <f>$C41+('12.1.Разходи-увелич.и нам.'!K41+'12.1.Разходи-увелич.и нам.'!L41)</f>
        <v>125</v>
      </c>
      <c r="I41" s="1496">
        <f>$C41+('12.1.Разходи-увелич.и нам.'!M41+'12.1.Разходи-увелич.и нам.'!N41)</f>
        <v>125</v>
      </c>
      <c r="J41" s="2426">
        <f>'12.1.Разходи-увелич.и нам.'!O41</f>
        <v>18</v>
      </c>
      <c r="K41" s="2423">
        <f>'12.1.Разходи-увелич.и нам.'!P41</f>
        <v>25</v>
      </c>
      <c r="L41" s="2424">
        <f>$J41+('12.1.Разходи-увелич.и нам.'!Q41+'12.1.Разходи-увелич.и нам.'!R41)</f>
        <v>18</v>
      </c>
      <c r="M41" s="2424">
        <f>$J41+('12.1.Разходи-увелич.и нам.'!S41+'12.1.Разходи-увелич.и нам.'!T41)</f>
        <v>18</v>
      </c>
      <c r="N41" s="2424">
        <f>$J41+('12.1.Разходи-увелич.и нам.'!U41+'12.1.Разходи-увелич.и нам.'!V41)</f>
        <v>18</v>
      </c>
      <c r="O41" s="2424">
        <f>$J41+('12.1.Разходи-увелич.и нам.'!W41+'12.1.Разходи-увелич.и нам.'!X41)</f>
        <v>18</v>
      </c>
      <c r="P41" s="2425">
        <f>$J41+('12.1.Разходи-увелич.и нам.'!Y41+'12.1.Разходи-увелич.и нам.'!Z41)</f>
        <v>18</v>
      </c>
      <c r="Q41" s="2426">
        <f>'12.1.Разходи-увелич.и нам.'!AA41</f>
        <v>16</v>
      </c>
      <c r="R41" s="2427">
        <f>'12.1.Разходи-увелич.и нам.'!AB41</f>
        <v>20</v>
      </c>
      <c r="S41" s="2424">
        <f>$Q41+('12.1.Разходи-увелич.и нам.'!AC41+'12.1.Разходи-увелич.и нам.'!AD41)</f>
        <v>16</v>
      </c>
      <c r="T41" s="2424">
        <f>$Q41+('12.1.Разходи-увелич.и нам.'!AE41+'12.1.Разходи-увелич.и нам.'!AF41)</f>
        <v>16</v>
      </c>
      <c r="U41" s="2424">
        <f>$Q41+('12.1.Разходи-увелич.и нам.'!AG41+'12.1.Разходи-увелич.и нам.'!AH41)</f>
        <v>16</v>
      </c>
      <c r="V41" s="2424">
        <f>$Q41+('12.1.Разходи-увелич.и нам.'!AI41+'12.1.Разходи-увелич.и нам.'!AJ41)</f>
        <v>16</v>
      </c>
      <c r="W41" s="2425">
        <f>$Q41+('12.1.Разходи-увелич.и нам.'!AK41+'12.1.Разходи-увелич.и нам.'!AL41)</f>
        <v>16</v>
      </c>
      <c r="X41" s="2250">
        <v>1</v>
      </c>
      <c r="Y41" s="2250">
        <v>1</v>
      </c>
      <c r="Z41" s="799">
        <v>1</v>
      </c>
      <c r="AA41" s="786">
        <v>1</v>
      </c>
      <c r="AB41" s="786">
        <v>1</v>
      </c>
      <c r="AC41" s="786">
        <v>1</v>
      </c>
      <c r="AD41" s="795">
        <v>1</v>
      </c>
      <c r="AE41" s="358"/>
      <c r="AF41" s="358"/>
      <c r="AG41" s="358"/>
      <c r="AH41" s="358"/>
      <c r="AI41" s="358"/>
      <c r="AJ41" s="358"/>
      <c r="AK41" s="358"/>
      <c r="AL41" s="358"/>
      <c r="AM41" s="358"/>
    </row>
    <row r="42" spans="1:39">
      <c r="A42" s="1041" t="s">
        <v>320</v>
      </c>
      <c r="B42" s="1042" t="s">
        <v>323</v>
      </c>
      <c r="C42" s="2426">
        <f>'12.1.Разходи-увелич.и нам.'!C42</f>
        <v>55</v>
      </c>
      <c r="D42" s="2428">
        <f>'12.1.Разходи-увелич.и нам.'!D42</f>
        <v>59</v>
      </c>
      <c r="E42" s="2429">
        <f>$C42+('12.1.Разходи-увелич.и нам.'!E42+'12.1.Разходи-увелич.и нам.'!F42)</f>
        <v>55</v>
      </c>
      <c r="F42" s="2429">
        <f>$C42+('12.1.Разходи-увелич.и нам.'!G42+'12.1.Разходи-увелич.и нам.'!H42)</f>
        <v>55</v>
      </c>
      <c r="G42" s="2429">
        <f>$C42+('12.1.Разходи-увелич.и нам.'!I42+'12.1.Разходи-увелич.и нам.'!J42)</f>
        <v>55</v>
      </c>
      <c r="H42" s="2429">
        <f>$C42+('12.1.Разходи-увелич.и нам.'!K42+'12.1.Разходи-увелич.и нам.'!L42)</f>
        <v>55</v>
      </c>
      <c r="I42" s="1496">
        <f>$C42+('12.1.Разходи-увелич.и нам.'!M42+'12.1.Разходи-увелич.и нам.'!N42)</f>
        <v>55</v>
      </c>
      <c r="J42" s="2426">
        <f>'12.1.Разходи-увелич.и нам.'!O42</f>
        <v>39</v>
      </c>
      <c r="K42" s="2423">
        <f>'12.1.Разходи-увелич.и нам.'!P42</f>
        <v>39</v>
      </c>
      <c r="L42" s="2424">
        <f>$J42+('12.1.Разходи-увелич.и нам.'!Q42+'12.1.Разходи-увелич.и нам.'!R42)</f>
        <v>39</v>
      </c>
      <c r="M42" s="2424">
        <f>$J42+('12.1.Разходи-увелич.и нам.'!S42+'12.1.Разходи-увелич.и нам.'!T42)</f>
        <v>39</v>
      </c>
      <c r="N42" s="2424">
        <f>$J42+('12.1.Разходи-увелич.и нам.'!U42+'12.1.Разходи-увелич.и нам.'!V42)</f>
        <v>39</v>
      </c>
      <c r="O42" s="2424">
        <f>$J42+('12.1.Разходи-увелич.и нам.'!W42+'12.1.Разходи-увелич.и нам.'!X42)</f>
        <v>39</v>
      </c>
      <c r="P42" s="2425">
        <f>$J42+('12.1.Разходи-увелич.и нам.'!Y42+'12.1.Разходи-увелич.и нам.'!Z42)</f>
        <v>39</v>
      </c>
      <c r="Q42" s="2426">
        <f>'12.1.Разходи-увелич.и нам.'!AA42</f>
        <v>35</v>
      </c>
      <c r="R42" s="2427">
        <f>'12.1.Разходи-увелич.и нам.'!AB42</f>
        <v>35</v>
      </c>
      <c r="S42" s="2424">
        <f>$Q42+('12.1.Разходи-увелич.и нам.'!AC42+'12.1.Разходи-увелич.и нам.'!AD42)</f>
        <v>35</v>
      </c>
      <c r="T42" s="2424">
        <f>$Q42+('12.1.Разходи-увелич.и нам.'!AE42+'12.1.Разходи-увелич.и нам.'!AF42)</f>
        <v>35</v>
      </c>
      <c r="U42" s="2424">
        <f>$Q42+('12.1.Разходи-увелич.и нам.'!AG42+'12.1.Разходи-увелич.и нам.'!AH42)</f>
        <v>35</v>
      </c>
      <c r="V42" s="2424">
        <f>$Q42+('12.1.Разходи-увелич.и нам.'!AI42+'12.1.Разходи-увелич.и нам.'!AJ42)</f>
        <v>35</v>
      </c>
      <c r="W42" s="2425">
        <f>$Q42+('12.1.Разходи-увелич.и нам.'!AK42+'12.1.Разходи-увелич.и нам.'!AL42)</f>
        <v>35</v>
      </c>
      <c r="X42" s="2250"/>
      <c r="Y42" s="2250"/>
      <c r="Z42" s="799"/>
      <c r="AA42" s="786"/>
      <c r="AB42" s="786"/>
      <c r="AC42" s="786"/>
      <c r="AD42" s="795"/>
      <c r="AE42" s="358"/>
      <c r="AF42" s="358"/>
      <c r="AG42" s="358"/>
      <c r="AH42" s="358"/>
      <c r="AI42" s="358"/>
      <c r="AJ42" s="358"/>
      <c r="AK42" s="358"/>
      <c r="AL42" s="358"/>
      <c r="AM42" s="358"/>
    </row>
    <row r="43" spans="1:39">
      <c r="A43" s="1041" t="s">
        <v>322</v>
      </c>
      <c r="B43" s="1040" t="s">
        <v>846</v>
      </c>
      <c r="C43" s="2426">
        <f>'12.1.Разходи-увелич.и нам.'!C43</f>
        <v>0</v>
      </c>
      <c r="D43" s="2428">
        <f>'12.1.Разходи-увелич.и нам.'!D43</f>
        <v>0</v>
      </c>
      <c r="E43" s="2429">
        <f>$C43+('12.1.Разходи-увелич.и нам.'!E43+'12.1.Разходи-увелич.и нам.'!F43)</f>
        <v>0</v>
      </c>
      <c r="F43" s="2429">
        <f>$C43+('12.1.Разходи-увелич.и нам.'!G43+'12.1.Разходи-увелич.и нам.'!H43)</f>
        <v>0</v>
      </c>
      <c r="G43" s="2429">
        <f>$C43+('12.1.Разходи-увелич.и нам.'!I43+'12.1.Разходи-увелич.и нам.'!J43)</f>
        <v>0</v>
      </c>
      <c r="H43" s="2429">
        <f>$C43+('12.1.Разходи-увелич.и нам.'!K43+'12.1.Разходи-увелич.и нам.'!L43)</f>
        <v>0</v>
      </c>
      <c r="I43" s="1496">
        <f>$C43+('12.1.Разходи-увелич.и нам.'!M43+'12.1.Разходи-увелич.и нам.'!N43)</f>
        <v>0</v>
      </c>
      <c r="J43" s="2426">
        <f>'12.1.Разходи-увелич.и нам.'!O43</f>
        <v>1</v>
      </c>
      <c r="K43" s="2423">
        <f>'12.1.Разходи-увелич.и нам.'!P43</f>
        <v>1</v>
      </c>
      <c r="L43" s="2424">
        <f>$J43+('12.1.Разходи-увелич.и нам.'!Q43+'12.1.Разходи-увелич.и нам.'!R43)</f>
        <v>1</v>
      </c>
      <c r="M43" s="2424">
        <f>$J43+('12.1.Разходи-увелич.и нам.'!S43+'12.1.Разходи-увелич.и нам.'!T43)</f>
        <v>1</v>
      </c>
      <c r="N43" s="2424">
        <f>$J43+('12.1.Разходи-увелич.и нам.'!U43+'12.1.Разходи-увелич.и нам.'!V43)</f>
        <v>1</v>
      </c>
      <c r="O43" s="2424">
        <f>$J43+('12.1.Разходи-увелич.и нам.'!W43+'12.1.Разходи-увелич.и нам.'!X43)</f>
        <v>1</v>
      </c>
      <c r="P43" s="2425">
        <f>$J43+('12.1.Разходи-увелич.и нам.'!Y43+'12.1.Разходи-увелич.и нам.'!Z43)</f>
        <v>1</v>
      </c>
      <c r="Q43" s="2426">
        <f>'12.1.Разходи-увелич.и нам.'!AA43</f>
        <v>0</v>
      </c>
      <c r="R43" s="2427">
        <f>'12.1.Разходи-увелич.и нам.'!AB43</f>
        <v>0</v>
      </c>
      <c r="S43" s="2424">
        <f>$Q43+('12.1.Разходи-увелич.и нам.'!AC43+'12.1.Разходи-увелич.и нам.'!AD43)</f>
        <v>0</v>
      </c>
      <c r="T43" s="2424">
        <f>$Q43+('12.1.Разходи-увелич.и нам.'!AE43+'12.1.Разходи-увелич.и нам.'!AF43)</f>
        <v>0</v>
      </c>
      <c r="U43" s="2424">
        <f>$Q43+('12.1.Разходи-увелич.и нам.'!AG43+'12.1.Разходи-увелич.и нам.'!AH43)</f>
        <v>0</v>
      </c>
      <c r="V43" s="2424">
        <f>$Q43+('12.1.Разходи-увелич.и нам.'!AI43+'12.1.Разходи-увелич.и нам.'!AJ43)</f>
        <v>0</v>
      </c>
      <c r="W43" s="2425">
        <f>$Q43+('12.1.Разходи-увелич.и нам.'!AK43+'12.1.Разходи-увелич.и нам.'!AL43)</f>
        <v>0</v>
      </c>
      <c r="X43" s="2250"/>
      <c r="Y43" s="2250"/>
      <c r="Z43" s="799"/>
      <c r="AA43" s="786"/>
      <c r="AB43" s="786"/>
      <c r="AC43" s="786"/>
      <c r="AD43" s="795"/>
      <c r="AE43" s="358"/>
      <c r="AF43" s="358"/>
      <c r="AG43" s="358"/>
      <c r="AH43" s="358"/>
      <c r="AI43" s="358"/>
      <c r="AJ43" s="358"/>
      <c r="AK43" s="358"/>
      <c r="AL43" s="358"/>
      <c r="AM43" s="358"/>
    </row>
    <row r="44" spans="1:39">
      <c r="A44" s="1041" t="s">
        <v>324</v>
      </c>
      <c r="B44" s="1040" t="s">
        <v>919</v>
      </c>
      <c r="C44" s="2426">
        <f>'12.1.Разходи-увелич.и нам.'!C44</f>
        <v>0</v>
      </c>
      <c r="D44" s="2428">
        <f>'12.1.Разходи-увелич.и нам.'!D44</f>
        <v>0</v>
      </c>
      <c r="E44" s="2429">
        <f>$C44+('12.1.Разходи-увелич.и нам.'!E44+'12.1.Разходи-увелич.и нам.'!F44)</f>
        <v>0</v>
      </c>
      <c r="F44" s="2429">
        <f>$C44+('12.1.Разходи-увелич.и нам.'!G44+'12.1.Разходи-увелич.и нам.'!H44)</f>
        <v>0</v>
      </c>
      <c r="G44" s="2429">
        <f>$C44+('12.1.Разходи-увелич.и нам.'!I44+'12.1.Разходи-увелич.и нам.'!J44)</f>
        <v>0</v>
      </c>
      <c r="H44" s="2429">
        <f>$C44+('12.1.Разходи-увелич.и нам.'!K44+'12.1.Разходи-увелич.и нам.'!L44)</f>
        <v>0</v>
      </c>
      <c r="I44" s="1496">
        <f>$C44+('12.1.Разходи-увелич.и нам.'!M44+'12.1.Разходи-увелич.и нам.'!N44)</f>
        <v>0</v>
      </c>
      <c r="J44" s="2426">
        <f>'12.1.Разходи-увелич.и нам.'!O44</f>
        <v>2</v>
      </c>
      <c r="K44" s="2423">
        <f>'12.1.Разходи-увелич.и нам.'!P44</f>
        <v>2</v>
      </c>
      <c r="L44" s="2424">
        <f>$J44+('12.1.Разходи-увелич.и нам.'!Q44+'12.1.Разходи-увелич.и нам.'!R44)</f>
        <v>2</v>
      </c>
      <c r="M44" s="2424">
        <f>$J44+('12.1.Разходи-увелич.и нам.'!S44+'12.1.Разходи-увелич.и нам.'!T44)</f>
        <v>2</v>
      </c>
      <c r="N44" s="2424">
        <f>$J44+('12.1.Разходи-увелич.и нам.'!U44+'12.1.Разходи-увелич.и нам.'!V44)</f>
        <v>2</v>
      </c>
      <c r="O44" s="2424">
        <f>$J44+('12.1.Разходи-увелич.и нам.'!W44+'12.1.Разходи-увелич.и нам.'!X44)</f>
        <v>2</v>
      </c>
      <c r="P44" s="2425">
        <f>$J44+('12.1.Разходи-увелич.и нам.'!Y44+'12.1.Разходи-увелич.и нам.'!Z44)</f>
        <v>2</v>
      </c>
      <c r="Q44" s="2426">
        <f>'12.1.Разходи-увелич.и нам.'!AA44</f>
        <v>0</v>
      </c>
      <c r="R44" s="2427">
        <f>'12.1.Разходи-увелич.и нам.'!AB44</f>
        <v>0</v>
      </c>
      <c r="S44" s="2424">
        <f>$Q44+('12.1.Разходи-увелич.и нам.'!AC44+'12.1.Разходи-увелич.и нам.'!AD44)</f>
        <v>0</v>
      </c>
      <c r="T44" s="2424">
        <f>$Q44+('12.1.Разходи-увелич.и нам.'!AE44+'12.1.Разходи-увелич.и нам.'!AF44)</f>
        <v>0</v>
      </c>
      <c r="U44" s="2424">
        <f>$Q44+('12.1.Разходи-увелич.и нам.'!AG44+'12.1.Разходи-увелич.и нам.'!AH44)</f>
        <v>0</v>
      </c>
      <c r="V44" s="2424">
        <f>$Q44+('12.1.Разходи-увелич.и нам.'!AI44+'12.1.Разходи-увелич.и нам.'!AJ44)</f>
        <v>0</v>
      </c>
      <c r="W44" s="2425">
        <f>$Q44+('12.1.Разходи-увелич.и нам.'!AK44+'12.1.Разходи-увелич.и нам.'!AL44)</f>
        <v>0</v>
      </c>
      <c r="X44" s="2250"/>
      <c r="Y44" s="2250"/>
      <c r="Z44" s="799"/>
      <c r="AA44" s="786"/>
      <c r="AB44" s="786"/>
      <c r="AC44" s="786"/>
      <c r="AD44" s="795"/>
      <c r="AE44" s="358"/>
      <c r="AF44" s="358"/>
      <c r="AG44" s="358"/>
      <c r="AH44" s="358"/>
      <c r="AI44" s="358"/>
      <c r="AJ44" s="358"/>
      <c r="AK44" s="358"/>
      <c r="AL44" s="358"/>
      <c r="AM44" s="358"/>
    </row>
    <row r="45" spans="1:39">
      <c r="A45" s="1041" t="s">
        <v>326</v>
      </c>
      <c r="B45" s="1042" t="s">
        <v>619</v>
      </c>
      <c r="C45" s="2426">
        <f>'12.1.Разходи-увелич.и нам.'!C45</f>
        <v>1</v>
      </c>
      <c r="D45" s="2428">
        <f>'12.1.Разходи-увелич.и нам.'!D45</f>
        <v>0</v>
      </c>
      <c r="E45" s="2429">
        <f>$C45+('12.1.Разходи-увелич.и нам.'!E45+'12.1.Разходи-увелич.и нам.'!F45)</f>
        <v>1</v>
      </c>
      <c r="F45" s="2429">
        <f>$C45+('12.1.Разходи-увелич.и нам.'!G45+'12.1.Разходи-увелич.и нам.'!H45)</f>
        <v>1</v>
      </c>
      <c r="G45" s="2429">
        <f>$C45+('12.1.Разходи-увелич.и нам.'!I45+'12.1.Разходи-увелич.и нам.'!J45)</f>
        <v>1</v>
      </c>
      <c r="H45" s="2429">
        <f>$C45+('12.1.Разходи-увелич.и нам.'!K45+'12.1.Разходи-увелич.и нам.'!L45)</f>
        <v>1</v>
      </c>
      <c r="I45" s="1496">
        <f>$C45+('12.1.Разходи-увелич.и нам.'!M45+'12.1.Разходи-увелич.и нам.'!N45)</f>
        <v>1</v>
      </c>
      <c r="J45" s="2426">
        <f>'12.1.Разходи-увелич.и нам.'!O45</f>
        <v>1</v>
      </c>
      <c r="K45" s="2423">
        <f>'12.1.Разходи-увелич.и нам.'!P45</f>
        <v>0</v>
      </c>
      <c r="L45" s="2424">
        <f>$J45+('12.1.Разходи-увелич.и нам.'!Q45+'12.1.Разходи-увелич.и нам.'!R45)</f>
        <v>1</v>
      </c>
      <c r="M45" s="2424">
        <f>$J45+('12.1.Разходи-увелич.и нам.'!S45+'12.1.Разходи-увелич.и нам.'!T45)</f>
        <v>1</v>
      </c>
      <c r="N45" s="2424">
        <f>$J45+('12.1.Разходи-увелич.и нам.'!U45+'12.1.Разходи-увелич.и нам.'!V45)</f>
        <v>1</v>
      </c>
      <c r="O45" s="2424">
        <f>$J45+('12.1.Разходи-увелич.и нам.'!W45+'12.1.Разходи-увелич.и нам.'!X45)</f>
        <v>1</v>
      </c>
      <c r="P45" s="2425">
        <f>$J45+('12.1.Разходи-увелич.и нам.'!Y45+'12.1.Разходи-увелич.и нам.'!Z45)</f>
        <v>1</v>
      </c>
      <c r="Q45" s="2426">
        <f>'12.1.Разходи-увелич.и нам.'!AA45</f>
        <v>1</v>
      </c>
      <c r="R45" s="2427">
        <f>'12.1.Разходи-увелич.и нам.'!AB45</f>
        <v>0</v>
      </c>
      <c r="S45" s="2424">
        <f>$Q45+('12.1.Разходи-увелич.и нам.'!AC45+'12.1.Разходи-увелич.и нам.'!AD45)</f>
        <v>1</v>
      </c>
      <c r="T45" s="2424">
        <f>$Q45+('12.1.Разходи-увелич.и нам.'!AE45+'12.1.Разходи-увелич.и нам.'!AF45)</f>
        <v>1</v>
      </c>
      <c r="U45" s="2424">
        <f>$Q45+('12.1.Разходи-увелич.и нам.'!AG45+'12.1.Разходи-увелич.и нам.'!AH45)</f>
        <v>1</v>
      </c>
      <c r="V45" s="2424">
        <f>$Q45+('12.1.Разходи-увелич.и нам.'!AI45+'12.1.Разходи-увелич.и нам.'!AJ45)</f>
        <v>1</v>
      </c>
      <c r="W45" s="2425">
        <f>$Q45+('12.1.Разходи-увелич.и нам.'!AK45+'12.1.Разходи-увелич.и нам.'!AL45)</f>
        <v>1</v>
      </c>
      <c r="X45" s="2250"/>
      <c r="Y45" s="2250"/>
      <c r="Z45" s="799"/>
      <c r="AA45" s="786"/>
      <c r="AB45" s="786"/>
      <c r="AC45" s="786"/>
      <c r="AD45" s="795"/>
    </row>
    <row r="46" spans="1:39">
      <c r="A46" s="1041" t="s">
        <v>620</v>
      </c>
      <c r="B46" s="1042" t="s">
        <v>859</v>
      </c>
      <c r="C46" s="2426">
        <f>'12.1.Разходи-увелич.и нам.'!C46</f>
        <v>279</v>
      </c>
      <c r="D46" s="2428">
        <f>'12.1.Разходи-увелич.и нам.'!D46</f>
        <v>1343</v>
      </c>
      <c r="E46" s="2429">
        <f>$C46+('12.1.Разходи-увелич.и нам.'!E46+'12.1.Разходи-увелич.и нам.'!F46)</f>
        <v>244.6</v>
      </c>
      <c r="F46" s="2429">
        <f>$C46+('12.1.Разходи-увелич.и нам.'!G46+'12.1.Разходи-увелич.и нам.'!H46)</f>
        <v>232.4</v>
      </c>
      <c r="G46" s="2429">
        <f>$C46+('12.1.Разходи-увелич.и нам.'!I46+'12.1.Разходи-увелич.и нам.'!J46)</f>
        <v>199.6</v>
      </c>
      <c r="H46" s="2429">
        <f>$C46+('12.1.Разходи-увелич.и нам.'!K46+'12.1.Разходи-увелич.и нам.'!L46)</f>
        <v>170</v>
      </c>
      <c r="I46" s="1496">
        <f>$C46+('12.1.Разходи-увелич.и нам.'!M46+'12.1.Разходи-увелич.и нам.'!N46)</f>
        <v>136.19999999999999</v>
      </c>
      <c r="J46" s="2426">
        <f>'12.1.Разходи-увелич.и нам.'!O46</f>
        <v>26</v>
      </c>
      <c r="K46" s="2423">
        <f>'12.1.Разходи-увелич.и нам.'!P46</f>
        <v>40</v>
      </c>
      <c r="L46" s="2424">
        <f>$J46+('12.1.Разходи-увелич.и нам.'!Q46+'12.1.Разходи-увелич.и нам.'!R46)</f>
        <v>26</v>
      </c>
      <c r="M46" s="2424">
        <f>$J46+('12.1.Разходи-увелич.и нам.'!S46+'12.1.Разходи-увелич.и нам.'!T46)</f>
        <v>26</v>
      </c>
      <c r="N46" s="2424">
        <f>$J46+('12.1.Разходи-увелич.и нам.'!U46+'12.1.Разходи-увелич.и нам.'!V46)</f>
        <v>26</v>
      </c>
      <c r="O46" s="2424">
        <f>$J46+('12.1.Разходи-увелич.и нам.'!W46+'12.1.Разходи-увелич.и нам.'!X46)</f>
        <v>26</v>
      </c>
      <c r="P46" s="2425">
        <f>$J46+('12.1.Разходи-увелич.и нам.'!Y46+'12.1.Разходи-увелич.и нам.'!Z46)</f>
        <v>26</v>
      </c>
      <c r="Q46" s="2426">
        <f>'12.1.Разходи-увелич.и нам.'!AA46</f>
        <v>31</v>
      </c>
      <c r="R46" s="2427">
        <f>'12.1.Разходи-увелич.и нам.'!AB46</f>
        <v>48</v>
      </c>
      <c r="S46" s="2424">
        <f>$Q46+('12.1.Разходи-увелич.и нам.'!AC46+'12.1.Разходи-увелич.и нам.'!AD46)</f>
        <v>31</v>
      </c>
      <c r="T46" s="2424">
        <f>$Q46+('12.1.Разходи-увелич.и нам.'!AE46+'12.1.Разходи-увелич.и нам.'!AF46)</f>
        <v>31</v>
      </c>
      <c r="U46" s="2424">
        <f>$Q46+('12.1.Разходи-увелич.и нам.'!AG46+'12.1.Разходи-увелич.и нам.'!AH46)</f>
        <v>31</v>
      </c>
      <c r="V46" s="2424">
        <f>$Q46+('12.1.Разходи-увелич.и нам.'!AI46+'12.1.Разходи-увелич.и нам.'!AJ46)</f>
        <v>31</v>
      </c>
      <c r="W46" s="2425">
        <f>$Q46+('12.1.Разходи-увелич.и нам.'!AK46+'12.1.Разходи-увелич.и нам.'!AL46)</f>
        <v>31</v>
      </c>
      <c r="X46" s="2250"/>
      <c r="Y46" s="2250"/>
      <c r="Z46" s="799"/>
      <c r="AA46" s="786"/>
      <c r="AB46" s="786"/>
      <c r="AC46" s="786"/>
      <c r="AD46" s="795"/>
    </row>
    <row r="47" spans="1:39">
      <c r="A47" s="1041" t="s">
        <v>811</v>
      </c>
      <c r="B47" s="1040" t="s">
        <v>847</v>
      </c>
      <c r="C47" s="2426">
        <f>'12.1.Разходи-увелич.и нам.'!C47</f>
        <v>0</v>
      </c>
      <c r="D47" s="2428">
        <f>'12.1.Разходи-увелич.и нам.'!D47</f>
        <v>0</v>
      </c>
      <c r="E47" s="2429">
        <f>$C47+('12.1.Разходи-увелич.и нам.'!E47+'12.1.Разходи-увелич.и нам.'!F47)</f>
        <v>0</v>
      </c>
      <c r="F47" s="2429">
        <f>$C47+('12.1.Разходи-увелич.и нам.'!G47+'12.1.Разходи-увелич.и нам.'!H47)</f>
        <v>0</v>
      </c>
      <c r="G47" s="2429">
        <f>$C47+('12.1.Разходи-увелич.и нам.'!I47+'12.1.Разходи-увелич.и нам.'!J47)</f>
        <v>0</v>
      </c>
      <c r="H47" s="2429">
        <f>$C47+('12.1.Разходи-увелич.и нам.'!K47+'12.1.Разходи-увелич.и нам.'!L47)</f>
        <v>0</v>
      </c>
      <c r="I47" s="1496">
        <f>$C47+('12.1.Разходи-увелич.и нам.'!M47+'12.1.Разходи-увелич.и нам.'!N47)</f>
        <v>0</v>
      </c>
      <c r="J47" s="2426">
        <f>'12.1.Разходи-увелич.и нам.'!O47</f>
        <v>0</v>
      </c>
      <c r="K47" s="2423">
        <f>'12.1.Разходи-увелич.и нам.'!P47</f>
        <v>0</v>
      </c>
      <c r="L47" s="2424">
        <f>$J47+('12.1.Разходи-увелич.и нам.'!Q47+'12.1.Разходи-увелич.и нам.'!R47)</f>
        <v>0</v>
      </c>
      <c r="M47" s="2424">
        <f>$J47+('12.1.Разходи-увелич.и нам.'!S47+'12.1.Разходи-увелич.и нам.'!T47)</f>
        <v>0</v>
      </c>
      <c r="N47" s="2424">
        <f>$J47+('12.1.Разходи-увелич.и нам.'!U47+'12.1.Разходи-увелич.и нам.'!V47)</f>
        <v>0</v>
      </c>
      <c r="O47" s="2424">
        <f>$J47+('12.1.Разходи-увелич.и нам.'!W47+'12.1.Разходи-увелич.и нам.'!X47)</f>
        <v>0</v>
      </c>
      <c r="P47" s="2425">
        <f>$J47+('12.1.Разходи-увелич.и нам.'!Y47+'12.1.Разходи-увелич.и нам.'!Z47)</f>
        <v>0</v>
      </c>
      <c r="Q47" s="2426">
        <f>'12.1.Разходи-увелич.и нам.'!AA47</f>
        <v>0</v>
      </c>
      <c r="R47" s="2427">
        <f>'12.1.Разходи-увелич.и нам.'!AB47</f>
        <v>0</v>
      </c>
      <c r="S47" s="2424">
        <f>$Q47+('12.1.Разходи-увелич.и нам.'!AC47+'12.1.Разходи-увелич.и нам.'!AD47)</f>
        <v>0</v>
      </c>
      <c r="T47" s="2424">
        <f>$Q47+('12.1.Разходи-увелич.и нам.'!AE47+'12.1.Разходи-увелич.и нам.'!AF47)</f>
        <v>7</v>
      </c>
      <c r="U47" s="2424">
        <f>$Q47+('12.1.Разходи-увелич.и нам.'!AG47+'12.1.Разходи-увелич.и нам.'!AH47)</f>
        <v>10</v>
      </c>
      <c r="V47" s="2424">
        <f>$Q47+('12.1.Разходи-увелич.и нам.'!AI47+'12.1.Разходи-увелич.и нам.'!AJ47)</f>
        <v>13</v>
      </c>
      <c r="W47" s="2425">
        <f>$Q47+('12.1.Разходи-увелич.и нам.'!AK47+'12.1.Разходи-увелич.и нам.'!AL47)</f>
        <v>13</v>
      </c>
      <c r="X47" s="2250"/>
      <c r="Y47" s="2250"/>
      <c r="Z47" s="799"/>
      <c r="AA47" s="786"/>
      <c r="AB47" s="786"/>
      <c r="AC47" s="786"/>
      <c r="AD47" s="795"/>
    </row>
    <row r="48" spans="1:39">
      <c r="A48" s="1093" t="s">
        <v>918</v>
      </c>
      <c r="B48" s="1042" t="s">
        <v>1000</v>
      </c>
      <c r="C48" s="2426">
        <f>'12.1.Разходи-увелич.и нам.'!C48</f>
        <v>0</v>
      </c>
      <c r="D48" s="2428">
        <f>'12.1.Разходи-увелич.и нам.'!D48</f>
        <v>0</v>
      </c>
      <c r="E48" s="2429">
        <f>$C48+('12.1.Разходи-увелич.и нам.'!E48+'12.1.Разходи-увелич.и нам.'!F48)</f>
        <v>0</v>
      </c>
      <c r="F48" s="2429">
        <f>$C48+('12.1.Разходи-увелич.и нам.'!G48+'12.1.Разходи-увелич.и нам.'!H48)</f>
        <v>0</v>
      </c>
      <c r="G48" s="2429">
        <f>$C48+('12.1.Разходи-увелич.и нам.'!I48+'12.1.Разходи-увелич.и нам.'!J48)</f>
        <v>0</v>
      </c>
      <c r="H48" s="2429">
        <f>$C48+('12.1.Разходи-увелич.и нам.'!K48+'12.1.Разходи-увелич.и нам.'!L48)</f>
        <v>0</v>
      </c>
      <c r="I48" s="1496">
        <f>$C48+('12.1.Разходи-увелич.и нам.'!M48+'12.1.Разходи-увелич.и нам.'!N48)</f>
        <v>0</v>
      </c>
      <c r="J48" s="2426">
        <f>'12.1.Разходи-увелич.и нам.'!O48</f>
        <v>0</v>
      </c>
      <c r="K48" s="2423">
        <f>'12.1.Разходи-увелич.и нам.'!P48</f>
        <v>0</v>
      </c>
      <c r="L48" s="2424">
        <f>$J48+('12.1.Разходи-увелич.и нам.'!Q48+'12.1.Разходи-увелич.и нам.'!R48)</f>
        <v>0</v>
      </c>
      <c r="M48" s="2424">
        <f>$J48+('12.1.Разходи-увелич.и нам.'!S48+'12.1.Разходи-увелич.и нам.'!T48)</f>
        <v>0</v>
      </c>
      <c r="N48" s="2424">
        <f>$J48+('12.1.Разходи-увелич.и нам.'!U48+'12.1.Разходи-увелич.и нам.'!V48)</f>
        <v>0</v>
      </c>
      <c r="O48" s="2424">
        <f>$J48+('12.1.Разходи-увелич.и нам.'!W48+'12.1.Разходи-увелич.и нам.'!X48)</f>
        <v>0</v>
      </c>
      <c r="P48" s="2425">
        <f>$J48+('12.1.Разходи-увелич.и нам.'!Y48+'12.1.Разходи-увелич.и нам.'!Z48)</f>
        <v>0</v>
      </c>
      <c r="Q48" s="2426">
        <f>'12.1.Разходи-увелич.и нам.'!AA48</f>
        <v>11</v>
      </c>
      <c r="R48" s="2427">
        <f>'12.1.Разходи-увелич.и нам.'!AB48</f>
        <v>11</v>
      </c>
      <c r="S48" s="2424">
        <f>$Q48+('12.1.Разходи-увелич.и нам.'!AC48+'12.1.Разходи-увелич.и нам.'!AD48)</f>
        <v>11</v>
      </c>
      <c r="T48" s="2424">
        <f>$Q48+('12.1.Разходи-увелич.и нам.'!AE48+'12.1.Разходи-увелич.и нам.'!AF48)</f>
        <v>8</v>
      </c>
      <c r="U48" s="2424">
        <f>$Q48+('12.1.Разходи-увелич.и нам.'!AG48+'12.1.Разходи-увелич.и нам.'!AH48)</f>
        <v>6</v>
      </c>
      <c r="V48" s="2424">
        <f>$Q48+('12.1.Разходи-увелич.и нам.'!AI48+'12.1.Разходи-увелич.и нам.'!AJ48)</f>
        <v>5</v>
      </c>
      <c r="W48" s="2425">
        <f>$Q48+('12.1.Разходи-увелич.и нам.'!AK48+'12.1.Разходи-увелич.и нам.'!AL48)</f>
        <v>5</v>
      </c>
      <c r="X48" s="2250"/>
      <c r="Y48" s="2250"/>
      <c r="Z48" s="799"/>
      <c r="AA48" s="786"/>
      <c r="AB48" s="786"/>
      <c r="AC48" s="786"/>
      <c r="AD48" s="795"/>
    </row>
    <row r="49" spans="1:39">
      <c r="A49" s="1093" t="s">
        <v>1001</v>
      </c>
      <c r="B49" s="1042" t="s">
        <v>621</v>
      </c>
      <c r="C49" s="1092">
        <f>SUM(C50:C52)</f>
        <v>34</v>
      </c>
      <c r="D49" s="1086">
        <f t="shared" ref="D49:AD49" si="9">SUM(D50:D52)</f>
        <v>98</v>
      </c>
      <c r="E49" s="1087">
        <f t="shared" si="9"/>
        <v>34</v>
      </c>
      <c r="F49" s="1088">
        <f t="shared" si="9"/>
        <v>34</v>
      </c>
      <c r="G49" s="1088">
        <f t="shared" si="9"/>
        <v>34</v>
      </c>
      <c r="H49" s="1088">
        <f t="shared" si="9"/>
        <v>34</v>
      </c>
      <c r="I49" s="1089">
        <f t="shared" si="9"/>
        <v>34</v>
      </c>
      <c r="J49" s="1092">
        <f t="shared" si="9"/>
        <v>11</v>
      </c>
      <c r="K49" s="1086">
        <f t="shared" si="9"/>
        <v>33</v>
      </c>
      <c r="L49" s="1087">
        <f t="shared" si="9"/>
        <v>11</v>
      </c>
      <c r="M49" s="1088">
        <f t="shared" si="9"/>
        <v>11</v>
      </c>
      <c r="N49" s="1088">
        <f t="shared" si="9"/>
        <v>11</v>
      </c>
      <c r="O49" s="1088">
        <f t="shared" si="9"/>
        <v>11</v>
      </c>
      <c r="P49" s="1089">
        <f t="shared" si="9"/>
        <v>11</v>
      </c>
      <c r="Q49" s="1092">
        <f t="shared" si="9"/>
        <v>10</v>
      </c>
      <c r="R49" s="1086">
        <f t="shared" si="9"/>
        <v>31</v>
      </c>
      <c r="S49" s="1087">
        <f t="shared" si="9"/>
        <v>10</v>
      </c>
      <c r="T49" s="1088">
        <f t="shared" si="9"/>
        <v>10</v>
      </c>
      <c r="U49" s="1088">
        <f t="shared" si="9"/>
        <v>10</v>
      </c>
      <c r="V49" s="1088">
        <f t="shared" si="9"/>
        <v>10</v>
      </c>
      <c r="W49" s="1089">
        <f t="shared" si="9"/>
        <v>10</v>
      </c>
      <c r="X49" s="1086">
        <f t="shared" si="9"/>
        <v>32</v>
      </c>
      <c r="Y49" s="1086">
        <f t="shared" si="9"/>
        <v>32</v>
      </c>
      <c r="Z49" s="1087">
        <f t="shared" si="9"/>
        <v>32</v>
      </c>
      <c r="AA49" s="1088">
        <f t="shared" si="9"/>
        <v>32</v>
      </c>
      <c r="AB49" s="1088">
        <f t="shared" si="9"/>
        <v>32</v>
      </c>
      <c r="AC49" s="1088">
        <f t="shared" si="9"/>
        <v>32</v>
      </c>
      <c r="AD49" s="1089">
        <f t="shared" si="9"/>
        <v>32</v>
      </c>
    </row>
    <row r="50" spans="1:39" s="360" customFormat="1">
      <c r="A50" s="488" t="s">
        <v>1002</v>
      </c>
      <c r="B50" s="786"/>
      <c r="C50" s="2804">
        <f>'12.1.Разходи-увелич.и нам.'!C50</f>
        <v>34</v>
      </c>
      <c r="D50" s="2423">
        <f>'12.1.Разходи-увелич.и нам.'!D50</f>
        <v>98</v>
      </c>
      <c r="E50" s="2424">
        <f>$C50+('12.1.Разходи-увелич.и нам.'!E50+'12.1.Разходи-увелич.и нам.'!F50)</f>
        <v>34</v>
      </c>
      <c r="F50" s="2424">
        <f>$C50+('12.1.Разходи-увелич.и нам.'!G50+'12.1.Разходи-увелич.и нам.'!H50)</f>
        <v>34</v>
      </c>
      <c r="G50" s="2424">
        <f>$C50+('12.1.Разходи-увелич.и нам.'!I50+'12.1.Разходи-увелич.и нам.'!J50)</f>
        <v>34</v>
      </c>
      <c r="H50" s="2424">
        <f>$C50+('12.1.Разходи-увелич.и нам.'!K50+'12.1.Разходи-увелич.и нам.'!L50)</f>
        <v>34</v>
      </c>
      <c r="I50" s="2425">
        <f>$C50+('12.1.Разходи-увелич.и нам.'!M50+'12.1.Разходи-увелич.и нам.'!N50)</f>
        <v>34</v>
      </c>
      <c r="J50" s="2426">
        <f>'12.1.Разходи-увелич.и нам.'!O50</f>
        <v>11</v>
      </c>
      <c r="K50" s="2423">
        <f>'12.1.Разходи-увелич.и нам.'!P50</f>
        <v>33</v>
      </c>
      <c r="L50" s="2424">
        <f>$J50+('12.1.Разходи-увелич.и нам.'!Q50+'12.1.Разходи-увелич.и нам.'!R50)</f>
        <v>11</v>
      </c>
      <c r="M50" s="2424">
        <f>$J50+('12.1.Разходи-увелич.и нам.'!S50+'12.1.Разходи-увелич.и нам.'!T50)</f>
        <v>11</v>
      </c>
      <c r="N50" s="2424">
        <f>$J50+('12.1.Разходи-увелич.и нам.'!U50+'12.1.Разходи-увелич.и нам.'!V50)</f>
        <v>11</v>
      </c>
      <c r="O50" s="2424">
        <f>$J50+('12.1.Разходи-увелич.и нам.'!W50+'12.1.Разходи-увелич.и нам.'!X50)</f>
        <v>11</v>
      </c>
      <c r="P50" s="2425">
        <f>$J50+('12.1.Разходи-увелич.и нам.'!Y50+'12.1.Разходи-увелич.и нам.'!Z50)</f>
        <v>11</v>
      </c>
      <c r="Q50" s="2426">
        <f>'12.1.Разходи-увелич.и нам.'!AA50</f>
        <v>10</v>
      </c>
      <c r="R50" s="2427">
        <f>'12.1.Разходи-увелич.и нам.'!AB50</f>
        <v>31</v>
      </c>
      <c r="S50" s="2424">
        <f>$Q50+('12.1.Разходи-увелич.и нам.'!AC50+'12.1.Разходи-увелич.и нам.'!AD50)</f>
        <v>10</v>
      </c>
      <c r="T50" s="2424">
        <f>$Q50+('12.1.Разходи-увелич.и нам.'!AE50+'12.1.Разходи-увелич.и нам.'!AF50)</f>
        <v>10</v>
      </c>
      <c r="U50" s="2424">
        <f>$Q50+('12.1.Разходи-увелич.и нам.'!AG50+'12.1.Разходи-увелич.и нам.'!AH50)</f>
        <v>10</v>
      </c>
      <c r="V50" s="2424">
        <f>$Q50+('12.1.Разходи-увелич.и нам.'!AI50+'12.1.Разходи-увелич.и нам.'!AJ50)</f>
        <v>10</v>
      </c>
      <c r="W50" s="2425">
        <f>$Q50+('12.1.Разходи-увелич.и нам.'!AK50+'12.1.Разходи-увелич.и нам.'!AL50)</f>
        <v>10</v>
      </c>
      <c r="X50" s="2250">
        <v>32</v>
      </c>
      <c r="Y50" s="2250">
        <v>32</v>
      </c>
      <c r="Z50" s="799">
        <v>32</v>
      </c>
      <c r="AA50" s="786">
        <v>32</v>
      </c>
      <c r="AB50" s="786">
        <v>32</v>
      </c>
      <c r="AC50" s="786">
        <v>32</v>
      </c>
      <c r="AD50" s="795">
        <v>32</v>
      </c>
      <c r="AE50" s="358"/>
      <c r="AF50" s="358"/>
      <c r="AG50" s="358"/>
      <c r="AH50" s="358"/>
      <c r="AI50" s="358"/>
      <c r="AJ50" s="358"/>
      <c r="AK50" s="358"/>
      <c r="AL50" s="358"/>
      <c r="AM50" s="358"/>
    </row>
    <row r="51" spans="1:39" s="360" customFormat="1">
      <c r="A51" s="489" t="s">
        <v>1003</v>
      </c>
      <c r="B51" s="786"/>
      <c r="C51" s="2804">
        <f>'12.1.Разходи-увелич.и нам.'!C51</f>
        <v>0</v>
      </c>
      <c r="D51" s="2423">
        <f>'12.1.Разходи-увелич.и нам.'!D51</f>
        <v>0</v>
      </c>
      <c r="E51" s="2424">
        <f>$C51+('12.1.Разходи-увелич.и нам.'!E51+'12.1.Разходи-увелич.и нам.'!F51)</f>
        <v>0</v>
      </c>
      <c r="F51" s="2424">
        <f>$C51+('12.1.Разходи-увелич.и нам.'!G51+'12.1.Разходи-увелич.и нам.'!H51)</f>
        <v>0</v>
      </c>
      <c r="G51" s="2424">
        <f>$C51+('12.1.Разходи-увелич.и нам.'!I51+'12.1.Разходи-увелич.и нам.'!J51)</f>
        <v>0</v>
      </c>
      <c r="H51" s="2424">
        <f>$C51+('12.1.Разходи-увелич.и нам.'!K51+'12.1.Разходи-увелич.и нам.'!L51)</f>
        <v>0</v>
      </c>
      <c r="I51" s="2425">
        <f>$C51+('12.1.Разходи-увелич.и нам.'!M51+'12.1.Разходи-увелич.и нам.'!N51)</f>
        <v>0</v>
      </c>
      <c r="J51" s="2426">
        <f>'12.1.Разходи-увелич.и нам.'!O51</f>
        <v>0</v>
      </c>
      <c r="K51" s="2423">
        <f>'12.1.Разходи-увелич.и нам.'!P51</f>
        <v>0</v>
      </c>
      <c r="L51" s="2424">
        <f>$J51+('12.1.Разходи-увелич.и нам.'!Q51+'12.1.Разходи-увелич.и нам.'!R51)</f>
        <v>0</v>
      </c>
      <c r="M51" s="2424">
        <f>$J51+('12.1.Разходи-увелич.и нам.'!S51+'12.1.Разходи-увелич.и нам.'!T51)</f>
        <v>0</v>
      </c>
      <c r="N51" s="2424">
        <f>$J51+('12.1.Разходи-увелич.и нам.'!U51+'12.1.Разходи-увелич.и нам.'!V51)</f>
        <v>0</v>
      </c>
      <c r="O51" s="2424">
        <f>$J51+('12.1.Разходи-увелич.и нам.'!W51+'12.1.Разходи-увелич.и нам.'!X51)</f>
        <v>0</v>
      </c>
      <c r="P51" s="2425">
        <f>$J51+('12.1.Разходи-увелич.и нам.'!Y51+'12.1.Разходи-увелич.и нам.'!Z51)</f>
        <v>0</v>
      </c>
      <c r="Q51" s="2426">
        <f>'12.1.Разходи-увелич.и нам.'!AA51</f>
        <v>0</v>
      </c>
      <c r="R51" s="2427">
        <f>'12.1.Разходи-увелич.и нам.'!AB51</f>
        <v>0</v>
      </c>
      <c r="S51" s="2424">
        <f>$Q51+('12.1.Разходи-увелич.и нам.'!AC51+'12.1.Разходи-увелич.и нам.'!AD51)</f>
        <v>0</v>
      </c>
      <c r="T51" s="2424">
        <f>$Q51+('12.1.Разходи-увелич.и нам.'!AE51+'12.1.Разходи-увелич.и нам.'!AF51)</f>
        <v>0</v>
      </c>
      <c r="U51" s="2424">
        <f>$Q51+('12.1.Разходи-увелич.и нам.'!AG51+'12.1.Разходи-увелич.и нам.'!AH51)</f>
        <v>0</v>
      </c>
      <c r="V51" s="2424">
        <f>$Q51+('12.1.Разходи-увелич.и нам.'!AI51+'12.1.Разходи-увелич.и нам.'!AJ51)</f>
        <v>0</v>
      </c>
      <c r="W51" s="2425">
        <f>$Q51+('12.1.Разходи-увелич.и нам.'!AK51+'12.1.Разходи-увелич.и нам.'!AL51)</f>
        <v>0</v>
      </c>
      <c r="X51" s="2250"/>
      <c r="Y51" s="2250"/>
      <c r="Z51" s="799"/>
      <c r="AA51" s="786"/>
      <c r="AB51" s="786"/>
      <c r="AC51" s="786"/>
      <c r="AD51" s="795"/>
      <c r="AE51" s="358"/>
      <c r="AF51" s="358"/>
      <c r="AG51" s="358"/>
      <c r="AH51" s="358"/>
      <c r="AI51" s="358"/>
      <c r="AJ51" s="358"/>
      <c r="AK51" s="358"/>
      <c r="AL51" s="358"/>
      <c r="AM51" s="358"/>
    </row>
    <row r="52" spans="1:39" s="360" customFormat="1" ht="15.75" thickBot="1">
      <c r="A52" s="1057" t="s">
        <v>1004</v>
      </c>
      <c r="B52" s="786"/>
      <c r="C52" s="2804">
        <f>'12.1.Разходи-увелич.и нам.'!C52</f>
        <v>0</v>
      </c>
      <c r="D52" s="2423">
        <f>'12.1.Разходи-увелич.и нам.'!D52</f>
        <v>0</v>
      </c>
      <c r="E52" s="2424">
        <f>$C52+('12.1.Разходи-увелич.и нам.'!E52+'12.1.Разходи-увелич.и нам.'!F52)</f>
        <v>0</v>
      </c>
      <c r="F52" s="2424">
        <f>$C52+('12.1.Разходи-увелич.и нам.'!G52+'12.1.Разходи-увелич.и нам.'!H52)</f>
        <v>0</v>
      </c>
      <c r="G52" s="2424">
        <f>$C52+('12.1.Разходи-увелич.и нам.'!I52+'12.1.Разходи-увелич.и нам.'!J52)</f>
        <v>0</v>
      </c>
      <c r="H52" s="2424">
        <f>$C52+('12.1.Разходи-увелич.и нам.'!K52+'12.1.Разходи-увелич.и нам.'!L52)</f>
        <v>0</v>
      </c>
      <c r="I52" s="2425">
        <f>$C52+('12.1.Разходи-увелич.и нам.'!M52+'12.1.Разходи-увелич.и нам.'!N52)</f>
        <v>0</v>
      </c>
      <c r="J52" s="2426">
        <f>'12.1.Разходи-увелич.и нам.'!O52</f>
        <v>0</v>
      </c>
      <c r="K52" s="2423">
        <f>'12.1.Разходи-увелич.и нам.'!P52</f>
        <v>0</v>
      </c>
      <c r="L52" s="2424">
        <f>$J52+('12.1.Разходи-увелич.и нам.'!Q52+'12.1.Разходи-увелич.и нам.'!R52)</f>
        <v>0</v>
      </c>
      <c r="M52" s="2424">
        <f>$J52+('12.1.Разходи-увелич.и нам.'!S52+'12.1.Разходи-увелич.и нам.'!T52)</f>
        <v>0</v>
      </c>
      <c r="N52" s="2424">
        <f>$J52+('12.1.Разходи-увелич.и нам.'!U52+'12.1.Разходи-увелич.и нам.'!V52)</f>
        <v>0</v>
      </c>
      <c r="O52" s="2424">
        <f>$J52+('12.1.Разходи-увелич.и нам.'!W52+'12.1.Разходи-увелич.и нам.'!X52)</f>
        <v>0</v>
      </c>
      <c r="P52" s="2425">
        <f>$J52+('12.1.Разходи-увелич.и нам.'!Y52+'12.1.Разходи-увелич.и нам.'!Z52)</f>
        <v>0</v>
      </c>
      <c r="Q52" s="2426">
        <f>'12.1.Разходи-увелич.и нам.'!AA52</f>
        <v>0</v>
      </c>
      <c r="R52" s="2427">
        <f>'12.1.Разходи-увелич.и нам.'!AB52</f>
        <v>0</v>
      </c>
      <c r="S52" s="2424">
        <f>$Q52+('12.1.Разходи-увелич.и нам.'!AC52+'12.1.Разходи-увелич.и нам.'!AD52)</f>
        <v>0</v>
      </c>
      <c r="T52" s="2424">
        <f>$Q52+('12.1.Разходи-увелич.и нам.'!AE52+'12.1.Разходи-увелич.и нам.'!AF52)</f>
        <v>0</v>
      </c>
      <c r="U52" s="2424">
        <f>$Q52+('12.1.Разходи-увелич.и нам.'!AG52+'12.1.Разходи-увелич.и нам.'!AH52)</f>
        <v>0</v>
      </c>
      <c r="V52" s="2424">
        <f>$Q52+('12.1.Разходи-увелич.и нам.'!AI52+'12.1.Разходи-увелич.и нам.'!AJ52)</f>
        <v>0</v>
      </c>
      <c r="W52" s="2425">
        <f>$Q52+('12.1.Разходи-увелич.и нам.'!AK52+'12.1.Разходи-увелич.и нам.'!AL52)</f>
        <v>0</v>
      </c>
      <c r="X52" s="2250"/>
      <c r="Y52" s="2250"/>
      <c r="Z52" s="799"/>
      <c r="AA52" s="786"/>
      <c r="AB52" s="786"/>
      <c r="AC52" s="786"/>
      <c r="AD52" s="795"/>
      <c r="AE52" s="358"/>
      <c r="AF52" s="358"/>
      <c r="AG52" s="358"/>
      <c r="AH52" s="358"/>
      <c r="AI52" s="358"/>
      <c r="AJ52" s="358"/>
      <c r="AK52" s="358"/>
      <c r="AL52" s="358"/>
      <c r="AM52" s="358"/>
    </row>
    <row r="53" spans="1:39" ht="15.75" thickBot="1">
      <c r="A53" s="1058">
        <v>3</v>
      </c>
      <c r="B53" s="1059" t="s">
        <v>622</v>
      </c>
      <c r="C53" s="2071">
        <f>SUM(C54:C56)</f>
        <v>1734.5297795614838</v>
      </c>
      <c r="D53" s="1051">
        <f>SUM(D54:D56)</f>
        <v>1668.5078213218806</v>
      </c>
      <c r="E53" s="1075">
        <f t="shared" ref="E53:AD53" si="10">SUM(E54:E56)</f>
        <v>1851.5069799508233</v>
      </c>
      <c r="F53" s="1076">
        <f t="shared" si="10"/>
        <v>1910.4702692105882</v>
      </c>
      <c r="G53" s="1076">
        <f t="shared" si="10"/>
        <v>2059.3479548041946</v>
      </c>
      <c r="H53" s="1076">
        <f t="shared" si="10"/>
        <v>2126.746228202353</v>
      </c>
      <c r="I53" s="1248">
        <f t="shared" si="10"/>
        <v>2344.8579569371718</v>
      </c>
      <c r="J53" s="2071">
        <f t="shared" si="10"/>
        <v>59.553076926119786</v>
      </c>
      <c r="K53" s="1051">
        <f t="shared" si="10"/>
        <v>95.414274265365904</v>
      </c>
      <c r="L53" s="1095">
        <f t="shared" si="10"/>
        <v>86.263374570454801</v>
      </c>
      <c r="M53" s="1076">
        <f t="shared" si="10"/>
        <v>214.07183893762689</v>
      </c>
      <c r="N53" s="1076">
        <f t="shared" si="10"/>
        <v>206.86010324073203</v>
      </c>
      <c r="O53" s="1095">
        <f t="shared" si="10"/>
        <v>185.35201736179798</v>
      </c>
      <c r="P53" s="1077">
        <f t="shared" si="10"/>
        <v>160.68148307694975</v>
      </c>
      <c r="Q53" s="2071">
        <f t="shared" si="10"/>
        <v>30.53301805822921</v>
      </c>
      <c r="R53" s="1051">
        <f t="shared" si="10"/>
        <v>144.21733861572051</v>
      </c>
      <c r="S53" s="1095">
        <f t="shared" si="10"/>
        <v>375.32382327693597</v>
      </c>
      <c r="T53" s="1076">
        <f t="shared" si="10"/>
        <v>364.60151631666531</v>
      </c>
      <c r="U53" s="1076">
        <f t="shared" si="10"/>
        <v>414.76889975328731</v>
      </c>
      <c r="V53" s="1078">
        <f t="shared" si="10"/>
        <v>405.97871223406321</v>
      </c>
      <c r="W53" s="1077">
        <f t="shared" si="10"/>
        <v>368.13751778409221</v>
      </c>
      <c r="X53" s="1051">
        <f t="shared" si="10"/>
        <v>1</v>
      </c>
      <c r="Y53" s="1051">
        <f t="shared" si="10"/>
        <v>1</v>
      </c>
      <c r="Z53" s="1075">
        <f t="shared" si="10"/>
        <v>1</v>
      </c>
      <c r="AA53" s="1076">
        <f t="shared" si="10"/>
        <v>1</v>
      </c>
      <c r="AB53" s="1076">
        <f t="shared" si="10"/>
        <v>1</v>
      </c>
      <c r="AC53" s="1076">
        <f t="shared" si="10"/>
        <v>1</v>
      </c>
      <c r="AD53" s="1077">
        <f t="shared" si="10"/>
        <v>1</v>
      </c>
      <c r="AE53" s="358"/>
      <c r="AF53" s="358"/>
      <c r="AG53" s="358"/>
      <c r="AH53" s="358"/>
      <c r="AI53" s="358"/>
      <c r="AJ53" s="358"/>
      <c r="AK53" s="358"/>
      <c r="AL53" s="358"/>
      <c r="AM53" s="358"/>
    </row>
    <row r="54" spans="1:39">
      <c r="A54" s="1062" t="s">
        <v>327</v>
      </c>
      <c r="B54" s="1061" t="s">
        <v>623</v>
      </c>
      <c r="C54" s="2430">
        <f>'11. Амортиз. план'!E34</f>
        <v>340.35848186148394</v>
      </c>
      <c r="D54" s="2431">
        <f>'11. Амортиз. план'!F34</f>
        <v>263.39514852815057</v>
      </c>
      <c r="E54" s="2432">
        <f>'11. Амортиз. план'!G34</f>
        <v>125.43905001871542</v>
      </c>
      <c r="F54" s="2433">
        <f>'11. Амортиз. план'!H34</f>
        <v>129.19333656460552</v>
      </c>
      <c r="G54" s="2433">
        <f>'11. Амортиз. план'!I34</f>
        <v>101.67449744246385</v>
      </c>
      <c r="H54" s="2433">
        <f>'11. Амортиз. план'!J34</f>
        <v>103.4894491018236</v>
      </c>
      <c r="I54" s="2434">
        <f>'11. Амортиз. план'!K34</f>
        <v>70.992053972212418</v>
      </c>
      <c r="J54" s="2430">
        <f>'11. Амортиз. план'!L34</f>
        <v>53.553076926119786</v>
      </c>
      <c r="K54" s="2431">
        <f>'11. Амортиз. план'!M34</f>
        <v>40.953076926119785</v>
      </c>
      <c r="L54" s="2432">
        <f>'11. Амортиз. план'!N34</f>
        <v>25.215001667458218</v>
      </c>
      <c r="M54" s="2433">
        <f>'11. Амортиз. план'!O34</f>
        <v>10.44088919222064</v>
      </c>
      <c r="N54" s="2433">
        <f>'11. Амортиз. план'!P34</f>
        <v>10.403414967308318</v>
      </c>
      <c r="O54" s="2433">
        <f>'11. Амортиз. план'!Q34</f>
        <v>10.489748843279452</v>
      </c>
      <c r="P54" s="2434">
        <f>'11. Амортиз. план'!R34</f>
        <v>10.578233601058727</v>
      </c>
      <c r="Q54" s="2430">
        <f>'11. Амортиз. план'!S34</f>
        <v>13.53301805822921</v>
      </c>
      <c r="R54" s="2431">
        <f>'11. Амортиз. план'!T34</f>
        <v>10.733018058229213</v>
      </c>
      <c r="S54" s="2432">
        <f>'11. Амортиз. план'!U34</f>
        <v>9.2371918263259598</v>
      </c>
      <c r="T54" s="2433">
        <f>'11. Амортиз. план'!V34</f>
        <v>13.557017755673447</v>
      </c>
      <c r="U54" s="2433">
        <f>'11. Амортиз. план'!W34</f>
        <v>21.613331102727436</v>
      </c>
      <c r="V54" s="2433">
        <f>'11. Амортиз. план'!X34</f>
        <v>30.812045567396567</v>
      </c>
      <c r="W54" s="2434">
        <f>'11. Амортиз. план'!Y34</f>
        <v>39.820955939228512</v>
      </c>
      <c r="X54" s="2250">
        <v>1</v>
      </c>
      <c r="Y54" s="2250">
        <v>1</v>
      </c>
      <c r="Z54" s="799">
        <v>1</v>
      </c>
      <c r="AA54" s="786">
        <v>1</v>
      </c>
      <c r="AB54" s="786">
        <v>1</v>
      </c>
      <c r="AC54" s="786">
        <v>1</v>
      </c>
      <c r="AD54" s="795">
        <v>1</v>
      </c>
      <c r="AE54" s="351"/>
      <c r="AF54" s="351"/>
      <c r="AG54" s="351"/>
      <c r="AH54" s="351"/>
      <c r="AI54" s="351"/>
      <c r="AJ54" s="351"/>
      <c r="AK54" s="351"/>
      <c r="AL54" s="351"/>
      <c r="AM54" s="351"/>
    </row>
    <row r="55" spans="1:39" ht="24">
      <c r="A55" s="1094" t="s">
        <v>328</v>
      </c>
      <c r="B55" s="1061" t="s">
        <v>1005</v>
      </c>
      <c r="C55" s="2435">
        <f>'11. Амортиз. план'!E130</f>
        <v>0</v>
      </c>
      <c r="D55" s="2436">
        <f>'11. Амортиз. план'!F130</f>
        <v>86.941375093730173</v>
      </c>
      <c r="E55" s="2437">
        <f>'11. Амортиз. план'!G130</f>
        <v>244.24377695033178</v>
      </c>
      <c r="F55" s="2438">
        <f>'11. Амортиз. план'!H130</f>
        <v>354.9060324392762</v>
      </c>
      <c r="G55" s="2438">
        <f>'11. Амортиз. план'!I130</f>
        <v>437.47895904397365</v>
      </c>
      <c r="H55" s="2438">
        <f>'11. Амортиз. план'!J130</f>
        <v>519.8133665729232</v>
      </c>
      <c r="I55" s="2439">
        <f>'11. Амортиз. план'!K130</f>
        <v>606.43803856662055</v>
      </c>
      <c r="J55" s="2435">
        <f>'11. Амортиз. план'!L130</f>
        <v>0</v>
      </c>
      <c r="K55" s="2436">
        <f>'11. Амортиз. план'!M130</f>
        <v>0.84237065236200037</v>
      </c>
      <c r="L55" s="2437">
        <f>'11. Амортиз. план'!N130</f>
        <v>3.2286486795002096</v>
      </c>
      <c r="M55" s="2438">
        <f>'11. Амортиз. план'!O130</f>
        <v>11.774259827636662</v>
      </c>
      <c r="N55" s="2438">
        <f>'11. Амортиз. план'!P130</f>
        <v>25.213998073195022</v>
      </c>
      <c r="O55" s="2438">
        <f>'11. Амортиз. план'!Q130</f>
        <v>38.020440069070887</v>
      </c>
      <c r="P55" s="2439">
        <f>'11. Амортиз. план'!R130</f>
        <v>49.711971034131281</v>
      </c>
      <c r="Q55" s="2435">
        <f>'11. Амортиз. план'!S130</f>
        <v>0</v>
      </c>
      <c r="R55" s="2436">
        <f>'11. Амортиз. план'!T130</f>
        <v>3.4829209205744944</v>
      </c>
      <c r="S55" s="2437">
        <f>'11. Амортиз. план'!U130</f>
        <v>15.507585436834718</v>
      </c>
      <c r="T55" s="2438">
        <f>'11. Амортиз. план'!V130</f>
        <v>36.819729866420481</v>
      </c>
      <c r="U55" s="2438">
        <f>'11. Амортиз. план'!W130</f>
        <v>61.793731682831407</v>
      </c>
      <c r="V55" s="2438">
        <f>'11. Амортиз. план'!X130</f>
        <v>88.272882158005913</v>
      </c>
      <c r="W55" s="2439">
        <f>'11. Амортиз. план'!Y130</f>
        <v>113.5666791992482</v>
      </c>
      <c r="X55" s="2250"/>
      <c r="Y55" s="2250"/>
      <c r="Z55" s="799"/>
      <c r="AA55" s="786"/>
      <c r="AB55" s="786"/>
      <c r="AC55" s="786"/>
      <c r="AD55" s="795"/>
      <c r="AE55" s="351"/>
      <c r="AF55" s="351"/>
      <c r="AG55" s="351"/>
      <c r="AH55" s="351"/>
      <c r="AI55" s="351"/>
      <c r="AJ55" s="351"/>
      <c r="AK55" s="351"/>
      <c r="AL55" s="351"/>
      <c r="AM55" s="351"/>
    </row>
    <row r="56" spans="1:39" ht="26.25" customHeight="1" thickBot="1">
      <c r="A56" s="1063" t="s">
        <v>675</v>
      </c>
      <c r="B56" s="1064" t="s">
        <v>1006</v>
      </c>
      <c r="C56" s="2440">
        <f>'10. Финансиране на ИП'!C30</f>
        <v>1394.1712977</v>
      </c>
      <c r="D56" s="2441">
        <f>'10. Финансиране на ИП'!D30</f>
        <v>1318.1712976999997</v>
      </c>
      <c r="E56" s="2442">
        <f>'10. Финансиране на ИП'!E30</f>
        <v>1481.824152981776</v>
      </c>
      <c r="F56" s="2443">
        <f>'10. Финансиране на ИП'!F30</f>
        <v>1426.3709002067064</v>
      </c>
      <c r="G56" s="2443">
        <f>'10. Финансиране на ИП'!G30</f>
        <v>1520.1944983177571</v>
      </c>
      <c r="H56" s="2443">
        <f>'10. Финансиране на ИП'!H30</f>
        <v>1503.4434125276061</v>
      </c>
      <c r="I56" s="2444">
        <f>'10. Финансиране на ИП'!I30</f>
        <v>1667.4278643983389</v>
      </c>
      <c r="J56" s="2440">
        <f>'10. Финансиране на ИП'!J30</f>
        <v>6</v>
      </c>
      <c r="K56" s="2441">
        <f>'10. Финансиране на ИП'!K30</f>
        <v>53.61882668688412</v>
      </c>
      <c r="L56" s="2442">
        <f>'10. Финансиране на ИП'!L30</f>
        <v>57.81972422349638</v>
      </c>
      <c r="M56" s="2443">
        <f>'10. Финансиране на ИП'!M30</f>
        <v>191.85668991776959</v>
      </c>
      <c r="N56" s="2443">
        <f>'10. Финансиране на ИП'!N30</f>
        <v>171.24269020022868</v>
      </c>
      <c r="O56" s="2443">
        <f>'10. Финансиране на ИП'!O30</f>
        <v>136.84182844944763</v>
      </c>
      <c r="P56" s="2444">
        <f>'10. Финансиране на ИП'!P30</f>
        <v>100.39127844175972</v>
      </c>
      <c r="Q56" s="2440">
        <f>'10. Финансиране на ИП'!Q30</f>
        <v>17</v>
      </c>
      <c r="R56" s="2441">
        <f>'10. Финансиране на ИП'!R30</f>
        <v>130.0013996369168</v>
      </c>
      <c r="S56" s="2442">
        <f>'10. Финансиране на ИП'!S30</f>
        <v>350.57904601377527</v>
      </c>
      <c r="T56" s="2443">
        <f>'10. Финансиране на ИП'!T30</f>
        <v>314.22476869457137</v>
      </c>
      <c r="U56" s="2443">
        <f>'10. Финансиране на ИП'!U30</f>
        <v>331.36183696772844</v>
      </c>
      <c r="V56" s="2443">
        <f>'10. Финансиране на ИП'!V30</f>
        <v>286.8937845086607</v>
      </c>
      <c r="W56" s="2444">
        <f>'10. Финансиране на ИП'!W30</f>
        <v>214.74988264561551</v>
      </c>
      <c r="X56" s="2250"/>
      <c r="Y56" s="2250"/>
      <c r="Z56" s="799"/>
      <c r="AA56" s="786"/>
      <c r="AB56" s="786"/>
      <c r="AC56" s="786"/>
      <c r="AD56" s="795"/>
      <c r="AE56" s="358"/>
      <c r="AF56" s="358"/>
      <c r="AG56" s="358"/>
      <c r="AH56" s="358"/>
      <c r="AI56" s="358"/>
      <c r="AJ56" s="358"/>
      <c r="AK56" s="358"/>
      <c r="AL56" s="358"/>
      <c r="AM56" s="358"/>
    </row>
    <row r="57" spans="1:39" ht="15.75" thickBot="1">
      <c r="A57" s="1058">
        <v>4</v>
      </c>
      <c r="B57" s="1059" t="s">
        <v>624</v>
      </c>
      <c r="C57" s="2071">
        <f t="shared" ref="C57:AD57" si="11">SUM(C58:C60)</f>
        <v>3413</v>
      </c>
      <c r="D57" s="1051">
        <f t="shared" si="11"/>
        <v>3507</v>
      </c>
      <c r="E57" s="1075">
        <f t="shared" si="11"/>
        <v>3418.4399470198668</v>
      </c>
      <c r="F57" s="1076">
        <f t="shared" si="11"/>
        <v>3516.3038896335529</v>
      </c>
      <c r="G57" s="1076">
        <f t="shared" si="11"/>
        <v>3644.4563092810945</v>
      </c>
      <c r="H57" s="1078">
        <f t="shared" si="11"/>
        <v>3748.1819722134669</v>
      </c>
      <c r="I57" s="1077">
        <f t="shared" si="11"/>
        <v>3863.7195066687254</v>
      </c>
      <c r="J57" s="2071">
        <f t="shared" si="11"/>
        <v>443</v>
      </c>
      <c r="K57" s="1051">
        <f t="shared" si="11"/>
        <v>479</v>
      </c>
      <c r="L57" s="1075">
        <f t="shared" si="11"/>
        <v>501.89468965517239</v>
      </c>
      <c r="M57" s="1076">
        <f t="shared" si="11"/>
        <v>519.26090910344828</v>
      </c>
      <c r="N57" s="1076">
        <f t="shared" si="11"/>
        <v>537.52778001296565</v>
      </c>
      <c r="O57" s="1095">
        <f t="shared" si="11"/>
        <v>556.41572453340643</v>
      </c>
      <c r="P57" s="1077">
        <f t="shared" si="11"/>
        <v>575.94585916754227</v>
      </c>
      <c r="Q57" s="2071">
        <f t="shared" si="11"/>
        <v>524</v>
      </c>
      <c r="R57" s="1051">
        <f t="shared" si="11"/>
        <v>663</v>
      </c>
      <c r="S57" s="1075">
        <f t="shared" si="11"/>
        <v>701.01610389610403</v>
      </c>
      <c r="T57" s="1076">
        <f t="shared" si="11"/>
        <v>724.74068571428597</v>
      </c>
      <c r="U57" s="1076">
        <f t="shared" si="11"/>
        <v>749.30766902857101</v>
      </c>
      <c r="V57" s="1076">
        <f t="shared" si="11"/>
        <v>774.74792977554296</v>
      </c>
      <c r="W57" s="1248">
        <f t="shared" si="11"/>
        <v>800.99795938791203</v>
      </c>
      <c r="X57" s="1051">
        <f t="shared" si="11"/>
        <v>119</v>
      </c>
      <c r="Y57" s="1051">
        <f t="shared" si="11"/>
        <v>121</v>
      </c>
      <c r="Z57" s="1095">
        <f t="shared" si="11"/>
        <v>131</v>
      </c>
      <c r="AA57" s="1076">
        <f t="shared" si="11"/>
        <v>136</v>
      </c>
      <c r="AB57" s="1076">
        <f t="shared" si="11"/>
        <v>141</v>
      </c>
      <c r="AC57" s="1095">
        <f t="shared" si="11"/>
        <v>146</v>
      </c>
      <c r="AD57" s="1077">
        <f t="shared" si="11"/>
        <v>150</v>
      </c>
      <c r="AE57" s="358"/>
      <c r="AF57" s="358"/>
      <c r="AG57" s="358"/>
      <c r="AH57" s="358"/>
      <c r="AI57" s="358"/>
      <c r="AJ57" s="358"/>
      <c r="AK57" s="358"/>
      <c r="AL57" s="358"/>
      <c r="AM57" s="358"/>
    </row>
    <row r="58" spans="1:39">
      <c r="A58" s="1035" t="s">
        <v>113</v>
      </c>
      <c r="B58" s="1061" t="s">
        <v>329</v>
      </c>
      <c r="C58" s="2426">
        <f>'12.1.Разходи-увелич.и нам.'!C58</f>
        <v>3409</v>
      </c>
      <c r="D58" s="2428">
        <f>'12.1.Разходи-увелич.и нам.'!D58</f>
        <v>2087</v>
      </c>
      <c r="E58" s="2429">
        <f>$C58+('12.1.Разходи-увелич.и нам.'!E58+'12.1.Разходи-увелич.и нам.'!F58)</f>
        <v>1980.5852185430456</v>
      </c>
      <c r="F58" s="2429">
        <f>$C58+('12.1.Разходи-увелич.и нам.'!G58+'12.1.Разходи-увелич.и нам.'!H58)</f>
        <v>2065.5098344282551</v>
      </c>
      <c r="G58" s="2429">
        <f>$C58+('12.1.Разходи-увелич.и нам.'!I58+'12.1.Разходи-увелич.и нам.'!J58)</f>
        <v>2144.4712561988163</v>
      </c>
      <c r="H58" s="2429">
        <f>$C58+('12.1.Разходи-увелич.и нам.'!K58+'12.1.Разходи-увелич.и нам.'!L58)</f>
        <v>2235.6217576453782</v>
      </c>
      <c r="I58" s="1496">
        <f>$C58+('12.1.Разходи-увелич.и нам.'!M58+'12.1.Разходи-увелич.и нам.'!N58)</f>
        <v>2299.8682448053219</v>
      </c>
      <c r="J58" s="2426">
        <f>'12.1.Разходи-увелич.и нам.'!O58</f>
        <v>443</v>
      </c>
      <c r="K58" s="2423">
        <f>'12.1.Разходи-увелич.и нам.'!P58</f>
        <v>351</v>
      </c>
      <c r="L58" s="2424">
        <f>$J58+('12.1.Разходи-увелич.и нам.'!Q58+'12.1.Разходи-увелич.и нам.'!R58)</f>
        <v>375.62544827586208</v>
      </c>
      <c r="M58" s="2424">
        <f>$J58+('12.1.Разходи-увелич.и нам.'!S58+'12.1.Разходи-увелич.и нам.'!T58)</f>
        <v>363.08651351724137</v>
      </c>
      <c r="N58" s="2424">
        <f>$J58+('12.1.Разходи-увелич.и нам.'!U58+'12.1.Разходи-увелич.и нам.'!V58)</f>
        <v>381.28145497682772</v>
      </c>
      <c r="O58" s="2424">
        <f>$J58+('12.1.Разходи-увелич.и нам.'!W58+'12.1.Разходи-увелич.и нам.'!X58)</f>
        <v>401.92502444603986</v>
      </c>
      <c r="P58" s="2425">
        <f>$J58+('12.1.Разходи-увелич.и нам.'!Y58+'12.1.Разходи-увелич.и нам.'!Z58)</f>
        <v>429.03247527720515</v>
      </c>
      <c r="Q58" s="2426">
        <f>'12.1.Разходи-увелич.и нам.'!AA58</f>
        <v>524</v>
      </c>
      <c r="R58" s="2427">
        <f>'12.1.Разходи-увелич.и нам.'!AB58</f>
        <v>663</v>
      </c>
      <c r="S58" s="2424">
        <f>$Q58+('12.1.Разходи-увелич.и нам.'!AC58+'12.1.Разходи-увелич.и нам.'!AD58)</f>
        <v>701.01610389610403</v>
      </c>
      <c r="T58" s="2424">
        <f>$Q58+('12.1.Разходи-увелич.и нам.'!AE58+'12.1.Разходи-увелич.и нам.'!AF58)</f>
        <v>724.74068571428597</v>
      </c>
      <c r="U58" s="2424">
        <f>$Q58+('12.1.Разходи-увелич.и нам.'!AG58+'12.1.Разходи-увелич.и нам.'!AH58)</f>
        <v>749.30766902857101</v>
      </c>
      <c r="V58" s="2424">
        <f>$Q58+('12.1.Разходи-увелич.и нам.'!AI58+'12.1.Разходи-увелич.и нам.'!AJ58)</f>
        <v>774.74792977554296</v>
      </c>
      <c r="W58" s="2425">
        <f>$Q58+('12.1.Разходи-увелич.и нам.'!AK58+'12.1.Разходи-увелич.и нам.'!AL58)</f>
        <v>800.99795938791203</v>
      </c>
      <c r="X58" s="2250">
        <f>119</f>
        <v>119</v>
      </c>
      <c r="Y58" s="2250">
        <v>121</v>
      </c>
      <c r="Z58" s="799">
        <v>131</v>
      </c>
      <c r="AA58" s="786">
        <v>136</v>
      </c>
      <c r="AB58" s="786">
        <v>141</v>
      </c>
      <c r="AC58" s="786">
        <v>146</v>
      </c>
      <c r="AD58" s="795">
        <v>150</v>
      </c>
    </row>
    <row r="59" spans="1:39" ht="28.5" customHeight="1">
      <c r="A59" s="1035" t="s">
        <v>115</v>
      </c>
      <c r="B59" s="1246" t="s">
        <v>858</v>
      </c>
      <c r="C59" s="2426">
        <f>'12.1.Разходи-увелич.и нам.'!C59</f>
        <v>0</v>
      </c>
      <c r="D59" s="2428">
        <f>'12.1.Разходи-увелич.и нам.'!D59</f>
        <v>1416</v>
      </c>
      <c r="E59" s="2429">
        <f>$C59+('12.1.Разходи-увелич.и нам.'!E59+'12.1.Разходи-увелич.и нам.'!F59)</f>
        <v>1433.854728476821</v>
      </c>
      <c r="F59" s="2429">
        <f>$C59+('12.1.Разходи-увелич.и нам.'!G59+'12.1.Разходи-увелич.и нам.'!H59)</f>
        <v>1446.794055205298</v>
      </c>
      <c r="G59" s="2429">
        <f>$C59+('12.1.Разходи-увелич.и нам.'!I59+'12.1.Разходи-увелич.и нам.'!J59)</f>
        <v>1495.9850530822782</v>
      </c>
      <c r="H59" s="2429">
        <f>$C59+('12.1.Разходи-увелич.и нам.'!K59+'12.1.Разходи-увелич.и нам.'!L59)</f>
        <v>1508.5602145680887</v>
      </c>
      <c r="I59" s="1496">
        <f>$C59+('12.1.Разходи-увелич.и нам.'!M59+'12.1.Разходи-увелич.и нам.'!N59)</f>
        <v>1559.8512618634038</v>
      </c>
      <c r="J59" s="2426">
        <f>'12.1.Разходи-увелич.и нам.'!O59</f>
        <v>0</v>
      </c>
      <c r="K59" s="2423">
        <f>'12.1.Разходи-увелич.и нам.'!P59</f>
        <v>128</v>
      </c>
      <c r="L59" s="2424">
        <f>$J59+('12.1.Разходи-увелич.и нам.'!Q59+'12.1.Разходи-увелич.и нам.'!R59)</f>
        <v>126.2692413793103</v>
      </c>
      <c r="M59" s="2424">
        <f>$J59+('12.1.Разходи-увелич.и нам.'!S59+'12.1.Разходи-увелич.и нам.'!T59)</f>
        <v>156.17439558620691</v>
      </c>
      <c r="N59" s="2424">
        <f>$J59+('12.1.Разходи-увелич.и нам.'!U59+'12.1.Разходи-увелич.и нам.'!V59)</f>
        <v>156.2463250361379</v>
      </c>
      <c r="O59" s="2424">
        <f>$J59+('12.1.Разходи-увелич.и нам.'!W59+'12.1.Разходи-увелич.и нам.'!X59)</f>
        <v>154.4907000873666</v>
      </c>
      <c r="P59" s="2425">
        <f>$J59+('12.1.Разходи-увелич.и нам.'!Y59+'12.1.Разходи-увелич.и нам.'!Z59)</f>
        <v>146.91338389033712</v>
      </c>
      <c r="Q59" s="2426">
        <f>'12.1.Разходи-увелич.и нам.'!AA59</f>
        <v>0</v>
      </c>
      <c r="R59" s="2427">
        <f>'12.1.Разходи-увелич.и нам.'!AB59</f>
        <v>0</v>
      </c>
      <c r="S59" s="2424">
        <f>$Q59+('12.1.Разходи-увелич.и нам.'!AC59+'12.1.Разходи-увелич.и нам.'!AD59)</f>
        <v>0</v>
      </c>
      <c r="T59" s="2424">
        <f>$Q59+('12.1.Разходи-увелич.и нам.'!AE59+'12.1.Разходи-увелич.и нам.'!AF59)</f>
        <v>0</v>
      </c>
      <c r="U59" s="2424">
        <f>$Q59+('12.1.Разходи-увелич.и нам.'!AG59+'12.1.Разходи-увелич.и нам.'!AH59)</f>
        <v>0</v>
      </c>
      <c r="V59" s="2424">
        <f>$Q59+('12.1.Разходи-увелич.и нам.'!AI59+'12.1.Разходи-увелич.и нам.'!AJ59)</f>
        <v>0</v>
      </c>
      <c r="W59" s="2425">
        <f>$Q59+('12.1.Разходи-увелич.и нам.'!AK59+'12.1.Разходи-увелич.и нам.'!AL59)</f>
        <v>0</v>
      </c>
      <c r="X59" s="2250"/>
      <c r="Y59" s="2250"/>
      <c r="Z59" s="799"/>
      <c r="AA59" s="786"/>
      <c r="AB59" s="786"/>
      <c r="AC59" s="786"/>
      <c r="AD59" s="795"/>
    </row>
    <row r="60" spans="1:39" ht="15.75" thickBot="1">
      <c r="A60" s="1035" t="s">
        <v>116</v>
      </c>
      <c r="B60" s="1066" t="s">
        <v>330</v>
      </c>
      <c r="C60" s="2426">
        <f>'12.1.Разходи-увелич.и нам.'!C60</f>
        <v>4</v>
      </c>
      <c r="D60" s="2428">
        <f>'12.1.Разходи-увелич.и нам.'!D60</f>
        <v>4</v>
      </c>
      <c r="E60" s="2429">
        <f>$C60+('12.1.Разходи-увелич.и нам.'!E60+'12.1.Разходи-увелич.и нам.'!F60)</f>
        <v>4</v>
      </c>
      <c r="F60" s="2429">
        <f>$C60+('12.1.Разходи-увелич.и нам.'!G60+'12.1.Разходи-увелич.и нам.'!H60)</f>
        <v>4</v>
      </c>
      <c r="G60" s="2429">
        <f>$C60+('12.1.Разходи-увелич.и нам.'!I60+'12.1.Разходи-увелич.и нам.'!J60)</f>
        <v>4</v>
      </c>
      <c r="H60" s="2429">
        <f>$C60+('12.1.Разходи-увелич.и нам.'!K60+'12.1.Разходи-увелич.и нам.'!L60)</f>
        <v>4</v>
      </c>
      <c r="I60" s="1496">
        <f>$C60+('12.1.Разходи-увелич.и нам.'!M60+'12.1.Разходи-увелич.и нам.'!N60)</f>
        <v>4</v>
      </c>
      <c r="J60" s="2426">
        <f>'12.1.Разходи-увелич.и нам.'!O60</f>
        <v>0</v>
      </c>
      <c r="K60" s="2423">
        <f>'12.1.Разходи-увелич.и нам.'!P60</f>
        <v>0</v>
      </c>
      <c r="L60" s="2424">
        <f>$J60+('12.1.Разходи-увелич.и нам.'!Q60+'12.1.Разходи-увелич.и нам.'!R60)</f>
        <v>0</v>
      </c>
      <c r="M60" s="2424">
        <f>$J60+('12.1.Разходи-увелич.и нам.'!S60+'12.1.Разходи-увелич.и нам.'!T60)</f>
        <v>0</v>
      </c>
      <c r="N60" s="2424">
        <f>$J60+('12.1.Разходи-увелич.и нам.'!U60+'12.1.Разходи-увелич.и нам.'!V60)</f>
        <v>0</v>
      </c>
      <c r="O60" s="2424">
        <f>$J60+('12.1.Разходи-увелич.и нам.'!W60+'12.1.Разходи-увелич.и нам.'!X60)</f>
        <v>0</v>
      </c>
      <c r="P60" s="2425">
        <f>$J60+('12.1.Разходи-увелич.и нам.'!Y60+'12.1.Разходи-увелич.и нам.'!Z60)</f>
        <v>0</v>
      </c>
      <c r="Q60" s="2426">
        <f>'12.1.Разходи-увелич.и нам.'!AA60</f>
        <v>0</v>
      </c>
      <c r="R60" s="2427">
        <f>'12.1.Разходи-увелич.и нам.'!AB60</f>
        <v>0</v>
      </c>
      <c r="S60" s="2424">
        <f>$Q60+('12.1.Разходи-увелич.и нам.'!AC60+'12.1.Разходи-увелич.и нам.'!AD60)</f>
        <v>0</v>
      </c>
      <c r="T60" s="2424">
        <f>$Q60+('12.1.Разходи-увелич.и нам.'!AE60+'12.1.Разходи-увелич.и нам.'!AF60)</f>
        <v>0</v>
      </c>
      <c r="U60" s="2424">
        <f>$Q60+('12.1.Разходи-увелич.и нам.'!AG60+'12.1.Разходи-увелич.и нам.'!AH60)</f>
        <v>0</v>
      </c>
      <c r="V60" s="2424">
        <f>$Q60+('12.1.Разходи-увелич.и нам.'!AI60+'12.1.Разходи-увелич.и нам.'!AJ60)</f>
        <v>0</v>
      </c>
      <c r="W60" s="2425">
        <f>$Q60+('12.1.Разходи-увелич.и нам.'!AK60+'12.1.Разходи-увелич.и нам.'!AL60)</f>
        <v>0</v>
      </c>
      <c r="X60" s="2250"/>
      <c r="Y60" s="2250"/>
      <c r="Z60" s="799"/>
      <c r="AA60" s="786"/>
      <c r="AB60" s="786"/>
      <c r="AC60" s="786"/>
      <c r="AD60" s="795"/>
    </row>
    <row r="61" spans="1:39" ht="15.75" thickBot="1">
      <c r="A61" s="1058">
        <v>5</v>
      </c>
      <c r="B61" s="1050" t="s">
        <v>625</v>
      </c>
      <c r="C61" s="2071">
        <f>SUM(C62:C65)</f>
        <v>617</v>
      </c>
      <c r="D61" s="1051">
        <f t="shared" ref="D61:AD61" si="12">SUM(D62:D65)</f>
        <v>644</v>
      </c>
      <c r="E61" s="1075">
        <f t="shared" si="12"/>
        <v>617.64711813509916</v>
      </c>
      <c r="F61" s="1076">
        <f t="shared" si="12"/>
        <v>636.23867800964217</v>
      </c>
      <c r="G61" s="1076">
        <f t="shared" si="12"/>
        <v>661.23460210197004</v>
      </c>
      <c r="H61" s="1078">
        <f t="shared" si="12"/>
        <v>679.62706986498551</v>
      </c>
      <c r="I61" s="1077">
        <f t="shared" si="12"/>
        <v>702.40137728039531</v>
      </c>
      <c r="J61" s="2071">
        <f t="shared" si="12"/>
        <v>85</v>
      </c>
      <c r="K61" s="1051">
        <f t="shared" si="12"/>
        <v>91</v>
      </c>
      <c r="L61" s="1075">
        <f t="shared" si="12"/>
        <v>97.067465649742545</v>
      </c>
      <c r="M61" s="1076">
        <f t="shared" si="12"/>
        <v>101.1780302275388</v>
      </c>
      <c r="N61" s="1076">
        <f t="shared" si="12"/>
        <v>105.05317403595893</v>
      </c>
      <c r="O61" s="1095">
        <f t="shared" si="12"/>
        <v>109.06007273386541</v>
      </c>
      <c r="P61" s="1077">
        <f t="shared" si="12"/>
        <v>113.20320598750065</v>
      </c>
      <c r="Q61" s="2071">
        <f t="shared" si="12"/>
        <v>94</v>
      </c>
      <c r="R61" s="1051">
        <f t="shared" si="12"/>
        <v>121</v>
      </c>
      <c r="S61" s="1075">
        <f t="shared" si="12"/>
        <v>135.4176178701299</v>
      </c>
      <c r="T61" s="1076">
        <f t="shared" si="12"/>
        <v>141.43971675428571</v>
      </c>
      <c r="U61" s="1076">
        <f t="shared" si="12"/>
        <v>147.2510847239314</v>
      </c>
      <c r="V61" s="1076">
        <f t="shared" si="12"/>
        <v>152.57023920454509</v>
      </c>
      <c r="W61" s="1248">
        <f t="shared" si="12"/>
        <v>158.2042449374996</v>
      </c>
      <c r="X61" s="1051">
        <f t="shared" si="12"/>
        <v>20</v>
      </c>
      <c r="Y61" s="1051">
        <f t="shared" si="12"/>
        <v>22.021999999999998</v>
      </c>
      <c r="Z61" s="1095">
        <f t="shared" si="12"/>
        <v>24.759</v>
      </c>
      <c r="AA61" s="1076">
        <f t="shared" si="12"/>
        <v>26.656000000000002</v>
      </c>
      <c r="AB61" s="1076">
        <f t="shared" si="12"/>
        <v>27.636000000000003</v>
      </c>
      <c r="AC61" s="1095">
        <f t="shared" si="12"/>
        <v>28.616</v>
      </c>
      <c r="AD61" s="1077">
        <f t="shared" si="12"/>
        <v>29.400000000000002</v>
      </c>
    </row>
    <row r="62" spans="1:39">
      <c r="A62" s="1035" t="s">
        <v>119</v>
      </c>
      <c r="B62" s="1061" t="s">
        <v>848</v>
      </c>
      <c r="C62" s="2426">
        <f>'12.1.Разходи-увелич.и нам.'!C62</f>
        <v>617</v>
      </c>
      <c r="D62" s="2428">
        <f>'12.1.Разходи-увелич.и нам.'!D62</f>
        <v>385</v>
      </c>
      <c r="E62" s="2429">
        <f>$C62+('12.1.Разходи-увелич.и нам.'!E62+'12.1.Разходи-увелич.и нам.'!F62)</f>
        <v>356.3225676927151</v>
      </c>
      <c r="F62" s="2429">
        <f>$C62+('12.1.Разходи-увелич.и нам.'!G62+'12.1.Разходи-увелич.и нам.'!H62)</f>
        <v>372.32621941022506</v>
      </c>
      <c r="G62" s="2429">
        <f>$C62+('12.1.Разходи-увелич.и нам.'!I62+'12.1.Разходи-увелич.и нам.'!J62)</f>
        <v>387.87747191017269</v>
      </c>
      <c r="H62" s="2429">
        <f>$C62+('12.1.Разходи-увелич.и нам.'!K62+'12.1.Разходи-увелич.и нам.'!L62)</f>
        <v>403.85550866791272</v>
      </c>
      <c r="I62" s="1496">
        <f>$C62+('12.1.Разходи-увелич.и нам.'!M62+'12.1.Разходи-увелич.и нам.'!N62)</f>
        <v>416.78193500262188</v>
      </c>
      <c r="J62" s="2426">
        <f>'12.1.Разходи-увелич.и нам.'!O62</f>
        <v>85</v>
      </c>
      <c r="K62" s="2423">
        <f>'12.1.Разходи-увелич.и нам.'!P62</f>
        <v>62</v>
      </c>
      <c r="L62" s="2424">
        <f>$J62+('12.1.Разходи-увелич.и нам.'!Q62+'12.1.Разходи-увелич.и нам.'!R62)</f>
        <v>64.716846120096022</v>
      </c>
      <c r="M62" s="2424">
        <f>$J62+('12.1.Разходи-увелич.и нам.'!S62+'12.1.Разходи-увелич.и нам.'!T62)</f>
        <v>96.686082572170108</v>
      </c>
      <c r="N62" s="2424">
        <f>$J62+('12.1.Разходи-увелич.и нам.'!U62+'12.1.Разходи-увелич.и нам.'!V62)</f>
        <v>99.485264542243641</v>
      </c>
      <c r="O62" s="2424">
        <f>$J62+('12.1.Разходи-увелич.и нам.'!W62+'12.1.Разходи-увелич.и нам.'!X62)</f>
        <v>102.37961869929974</v>
      </c>
      <c r="P62" s="2425">
        <f>$J62+('12.1.Разходи-увелич.и нам.'!Y62+'12.1.Разходи-увелич.и нам.'!Z62)</f>
        <v>105.37238089769569</v>
      </c>
      <c r="Q62" s="2426">
        <f>'12.1.Разходи-увелич.и нам.'!AA62</f>
        <v>94</v>
      </c>
      <c r="R62" s="2427">
        <f>'12.1.Разходи-увелич.и нам.'!AB62</f>
        <v>121</v>
      </c>
      <c r="S62" s="2424">
        <f>$Q62+('12.1.Разходи-увелич.и нам.'!AC62+'12.1.Разходи-увелич.и нам.'!AD62)</f>
        <v>135.4176178701299</v>
      </c>
      <c r="T62" s="2424">
        <f>$Q62+('12.1.Разходи-увелич.и нам.'!AE62+'12.1.Разходи-увелич.и нам.'!AF62)</f>
        <v>141.43971675428571</v>
      </c>
      <c r="U62" s="2424">
        <f>$Q62+('12.1.Разходи-увелич.и нам.'!AG62+'12.1.Разходи-увелич.и нам.'!AH62)</f>
        <v>147.2510847239314</v>
      </c>
      <c r="V62" s="2424">
        <f>$Q62+('12.1.Разходи-увелич.и нам.'!AI62+'12.1.Разходи-увелич.и нам.'!AJ62)</f>
        <v>152.57023920454509</v>
      </c>
      <c r="W62" s="2425">
        <f>$Q62+('12.1.Разходи-увелич.и нам.'!AK62+'12.1.Разходи-увелич.и нам.'!AL62)</f>
        <v>158.2042449374996</v>
      </c>
      <c r="X62" s="2250">
        <f>76-56</f>
        <v>20</v>
      </c>
      <c r="Y62" s="2250">
        <f>Y58*0.182</f>
        <v>22.021999999999998</v>
      </c>
      <c r="Z62" s="799">
        <f>Z58*0.189</f>
        <v>24.759</v>
      </c>
      <c r="AA62" s="786">
        <f>AA58*0.196</f>
        <v>26.656000000000002</v>
      </c>
      <c r="AB62" s="786">
        <f>AB58*0.196</f>
        <v>27.636000000000003</v>
      </c>
      <c r="AC62" s="786">
        <f>AC58*0.196</f>
        <v>28.616</v>
      </c>
      <c r="AD62" s="795">
        <f>AD58*0.196</f>
        <v>29.400000000000002</v>
      </c>
    </row>
    <row r="63" spans="1:39">
      <c r="A63" s="1035" t="s">
        <v>124</v>
      </c>
      <c r="B63" s="1247" t="s">
        <v>857</v>
      </c>
      <c r="C63" s="2426">
        <f>'12.1.Разходи-увелич.и нам.'!C63</f>
        <v>0</v>
      </c>
      <c r="D63" s="2428">
        <f>'12.1.Разходи-увелич.и нам.'!D63</f>
        <v>259</v>
      </c>
      <c r="E63" s="2429">
        <f>$C63+('12.1.Разходи-увелич.и нам.'!E63+'12.1.Разходи-увелич.и нам.'!F63)</f>
        <v>261.32455044238412</v>
      </c>
      <c r="F63" s="2429">
        <f>$C63+('12.1.Разходи-увелич.и нам.'!G63+'12.1.Разходи-увелич.и нам.'!H63)</f>
        <v>263.91245859941716</v>
      </c>
      <c r="G63" s="2429">
        <f>$C63+('12.1.Разходи-увелич.и нам.'!I63+'12.1.Разходи-увелич.и нам.'!J63)</f>
        <v>273.3571301917973</v>
      </c>
      <c r="H63" s="2429">
        <f>$C63+('12.1.Разходи-увелич.и нам.'!K63+'12.1.Разходи-увелич.и нам.'!L63)</f>
        <v>275.77156119707286</v>
      </c>
      <c r="I63" s="1496">
        <f>$C63+('12.1.Разходи-увелич.и нам.'!M63+'12.1.Разходи-увелич.и нам.'!N63)</f>
        <v>285.61944227777343</v>
      </c>
      <c r="J63" s="2426">
        <f>'12.1.Разходи-увелич.и нам.'!O63</f>
        <v>0</v>
      </c>
      <c r="K63" s="2423">
        <f>'12.1.Разходи-увелич.и нам.'!P63</f>
        <v>29</v>
      </c>
      <c r="L63" s="2424">
        <f>$J63+('12.1.Разходи-увелич.и нам.'!Q63+'12.1.Разходи-увелич.и нам.'!R63)</f>
        <v>32.350619529646522</v>
      </c>
      <c r="M63" s="2424">
        <f>$J63+('12.1.Разходи-увелич.и нам.'!S63+'12.1.Разходи-увелич.и нам.'!T63)</f>
        <v>4.4919476553686897</v>
      </c>
      <c r="N63" s="2424">
        <f>$J63+('12.1.Разходи-увелич.и нам.'!U63+'12.1.Разходи-увелич.и нам.'!V63)</f>
        <v>5.5679094937152884</v>
      </c>
      <c r="O63" s="2424">
        <f>$J63+('12.1.Разходи-увелич.и нам.'!W63+'12.1.Разходи-увелич.и нам.'!X63)</f>
        <v>6.6804540345656651</v>
      </c>
      <c r="P63" s="2425">
        <f>$J63+('12.1.Разходи-увелич.и нам.'!Y63+'12.1.Разходи-увелич.и нам.'!Z63)</f>
        <v>7.8308250898049572</v>
      </c>
      <c r="Q63" s="2426">
        <f>'12.1.Разходи-увелич.и нам.'!AA63</f>
        <v>0</v>
      </c>
      <c r="R63" s="2427">
        <f>'12.1.Разходи-увелич.и нам.'!AB63</f>
        <v>0</v>
      </c>
      <c r="S63" s="2424">
        <f>$Q63+('12.1.Разходи-увелич.и нам.'!AC63+'12.1.Разходи-увелич.и нам.'!AD63)</f>
        <v>0</v>
      </c>
      <c r="T63" s="2424">
        <f>$Q63+('12.1.Разходи-увелич.и нам.'!AE63+'12.1.Разходи-увелич.и нам.'!AF63)</f>
        <v>0</v>
      </c>
      <c r="U63" s="2424">
        <f>$Q63+('12.1.Разходи-увелич.и нам.'!AG63+'12.1.Разходи-увелич.и нам.'!AH63)</f>
        <v>0</v>
      </c>
      <c r="V63" s="2424">
        <f>$Q63+('12.1.Разходи-увелич.и нам.'!AI63+'12.1.Разходи-увелич.и нам.'!AJ63)</f>
        <v>0</v>
      </c>
      <c r="W63" s="2425">
        <f>$Q63+('12.1.Разходи-увелич.и нам.'!AK63+'12.1.Разходи-увелич.и нам.'!AL63)</f>
        <v>0</v>
      </c>
      <c r="X63" s="2250"/>
      <c r="Y63" s="2250"/>
      <c r="Z63" s="799"/>
      <c r="AA63" s="786"/>
      <c r="AB63" s="786"/>
      <c r="AC63" s="786"/>
      <c r="AD63" s="795"/>
    </row>
    <row r="64" spans="1:39" ht="23.25" customHeight="1">
      <c r="A64" s="1035" t="s">
        <v>91</v>
      </c>
      <c r="B64" s="1247" t="s">
        <v>849</v>
      </c>
      <c r="C64" s="2426">
        <f>'12.1.Разходи-увелич.и нам.'!C64</f>
        <v>0</v>
      </c>
      <c r="D64" s="2428">
        <f>'12.1.Разходи-увелич.и нам.'!D64</f>
        <v>0</v>
      </c>
      <c r="E64" s="2429">
        <f>$C64+('12.1.Разходи-увелич.и нам.'!E64+'12.1.Разходи-увелич.и нам.'!F64)</f>
        <v>0</v>
      </c>
      <c r="F64" s="2429">
        <f>$C64+('12.1.Разходи-увелич.и нам.'!G64+'12.1.Разходи-увелич.и нам.'!H64)</f>
        <v>0</v>
      </c>
      <c r="G64" s="2429">
        <f>$C64+('12.1.Разходи-увелич.и нам.'!I64+'12.1.Разходи-увелич.и нам.'!J64)</f>
        <v>0</v>
      </c>
      <c r="H64" s="2429">
        <f>$C64+('12.1.Разходи-увелич.и нам.'!K64+'12.1.Разходи-увелич.и нам.'!L64)</f>
        <v>0</v>
      </c>
      <c r="I64" s="1496">
        <f>$C64+('12.1.Разходи-увелич.и нам.'!M64+'12.1.Разходи-увелич.и нам.'!N64)</f>
        <v>0</v>
      </c>
      <c r="J64" s="2426">
        <f>'12.1.Разходи-увелич.и нам.'!O64</f>
        <v>0</v>
      </c>
      <c r="K64" s="2423">
        <f>'12.1.Разходи-увелич.и нам.'!P64</f>
        <v>0</v>
      </c>
      <c r="L64" s="2424">
        <f>$J64+('12.1.Разходи-увелич.и нам.'!Q64+'12.1.Разходи-увелич.и нам.'!R64)</f>
        <v>0</v>
      </c>
      <c r="M64" s="2424">
        <f>$J64+('12.1.Разходи-увелич.и нам.'!S64+'12.1.Разходи-увелич.и нам.'!T64)</f>
        <v>0</v>
      </c>
      <c r="N64" s="2424">
        <f>$J64+('12.1.Разходи-увелич.и нам.'!U64+'12.1.Разходи-увелич.и нам.'!V64)</f>
        <v>0</v>
      </c>
      <c r="O64" s="2424">
        <f>$J64+('12.1.Разходи-увелич.и нам.'!W64+'12.1.Разходи-увелич.и нам.'!X64)</f>
        <v>0</v>
      </c>
      <c r="P64" s="2425">
        <f>$J64+('12.1.Разходи-увелич.и нам.'!Y64+'12.1.Разходи-увелич.и нам.'!Z64)</f>
        <v>0</v>
      </c>
      <c r="Q64" s="2426">
        <f>'12.1.Разходи-увелич.и нам.'!AA64</f>
        <v>0</v>
      </c>
      <c r="R64" s="2427">
        <f>'12.1.Разходи-увелич.и нам.'!AB64</f>
        <v>0</v>
      </c>
      <c r="S64" s="2424">
        <f>$Q64+('12.1.Разходи-увелич.и нам.'!AC64+'12.1.Разходи-увелич.и нам.'!AD64)</f>
        <v>0</v>
      </c>
      <c r="T64" s="2424">
        <f>$Q64+('12.1.Разходи-увелич.и нам.'!AE64+'12.1.Разходи-увелич.и нам.'!AF64)</f>
        <v>0</v>
      </c>
      <c r="U64" s="2424">
        <f>$Q64+('12.1.Разходи-увелич.и нам.'!AG64+'12.1.Разходи-увелич.и нам.'!AH64)</f>
        <v>0</v>
      </c>
      <c r="V64" s="2424">
        <f>$Q64+('12.1.Разходи-увелич.и нам.'!AI64+'12.1.Разходи-увелич.и нам.'!AJ64)</f>
        <v>0</v>
      </c>
      <c r="W64" s="2425">
        <f>$Q64+('12.1.Разходи-увелич.и нам.'!AK64+'12.1.Разходи-увелич.и нам.'!AL64)</f>
        <v>0</v>
      </c>
      <c r="X64" s="2250"/>
      <c r="Y64" s="2250"/>
      <c r="Z64" s="799"/>
      <c r="AA64" s="786"/>
      <c r="AB64" s="786"/>
      <c r="AC64" s="786"/>
      <c r="AD64" s="795"/>
    </row>
    <row r="65" spans="1:39" ht="24.75" thickBot="1">
      <c r="A65" s="1035" t="s">
        <v>92</v>
      </c>
      <c r="B65" s="1246" t="s">
        <v>856</v>
      </c>
      <c r="C65" s="2426">
        <f>'12.1.Разходи-увелич.и нам.'!C65</f>
        <v>0</v>
      </c>
      <c r="D65" s="2428">
        <f>'12.1.Разходи-увелич.и нам.'!D65</f>
        <v>0</v>
      </c>
      <c r="E65" s="2429">
        <f>$C65+('12.1.Разходи-увелич.и нам.'!E65+'12.1.Разходи-увелич.и нам.'!F65)</f>
        <v>0</v>
      </c>
      <c r="F65" s="2429">
        <f>$C65+('12.1.Разходи-увелич.и нам.'!G65+'12.1.Разходи-увелич.и нам.'!H65)</f>
        <v>0</v>
      </c>
      <c r="G65" s="2429">
        <f>$C65+('12.1.Разходи-увелич.и нам.'!I65+'12.1.Разходи-увелич.и нам.'!J65)</f>
        <v>0</v>
      </c>
      <c r="H65" s="2429">
        <f>$C65+('12.1.Разходи-увелич.и нам.'!K65+'12.1.Разходи-увелич.и нам.'!L65)</f>
        <v>0</v>
      </c>
      <c r="I65" s="1496">
        <f>$C65+('12.1.Разходи-увелич.и нам.'!M65+'12.1.Разходи-увелич.и нам.'!N65)</f>
        <v>0</v>
      </c>
      <c r="J65" s="2426">
        <f>'12.1.Разходи-увелич.и нам.'!O65</f>
        <v>0</v>
      </c>
      <c r="K65" s="2423">
        <f>'12.1.Разходи-увелич.и нам.'!P65</f>
        <v>0</v>
      </c>
      <c r="L65" s="2424">
        <f>$J65+('12.1.Разходи-увелич.и нам.'!Q65+'12.1.Разходи-увелич.и нам.'!R65)</f>
        <v>0</v>
      </c>
      <c r="M65" s="2424">
        <f>$J65+('12.1.Разходи-увелич.и нам.'!S65+'12.1.Разходи-увелич.и нам.'!T65)</f>
        <v>0</v>
      </c>
      <c r="N65" s="2424">
        <f>$J65+('12.1.Разходи-увелич.и нам.'!U65+'12.1.Разходи-увелич.и нам.'!V65)</f>
        <v>0</v>
      </c>
      <c r="O65" s="2424">
        <f>$J65+('12.1.Разходи-увелич.и нам.'!W65+'12.1.Разходи-увелич.и нам.'!X65)</f>
        <v>0</v>
      </c>
      <c r="P65" s="2425">
        <f>$J65+('12.1.Разходи-увелич.и нам.'!Y65+'12.1.Разходи-увелич.и нам.'!Z65)</f>
        <v>0</v>
      </c>
      <c r="Q65" s="2426">
        <f>'12.1.Разходи-увелич.и нам.'!AA65</f>
        <v>0</v>
      </c>
      <c r="R65" s="2427">
        <f>'12.1.Разходи-увелич.и нам.'!AB65</f>
        <v>0</v>
      </c>
      <c r="S65" s="2424">
        <f>$Q65+('12.1.Разходи-увелич.и нам.'!AC65+'12.1.Разходи-увелич.и нам.'!AD65)</f>
        <v>0</v>
      </c>
      <c r="T65" s="2424">
        <f>$Q65+('12.1.Разходи-увелич.и нам.'!AE65+'12.1.Разходи-увелич.и нам.'!AF65)</f>
        <v>0</v>
      </c>
      <c r="U65" s="2424">
        <f>$Q65+('12.1.Разходи-увелич.и нам.'!AG65+'12.1.Разходи-увелич.и нам.'!AH65)</f>
        <v>0</v>
      </c>
      <c r="V65" s="2424">
        <f>$Q65+('12.1.Разходи-увелич.и нам.'!AI65+'12.1.Разходи-увелич.и нам.'!AJ65)</f>
        <v>0</v>
      </c>
      <c r="W65" s="2425">
        <f>$Q65+('12.1.Разходи-увелич.и нам.'!AK65+'12.1.Разходи-увелич.и нам.'!AL65)</f>
        <v>0</v>
      </c>
      <c r="X65" s="2250"/>
      <c r="Y65" s="2250"/>
      <c r="Z65" s="799"/>
      <c r="AA65" s="786"/>
      <c r="AB65" s="786"/>
      <c r="AC65" s="786"/>
      <c r="AD65" s="795"/>
    </row>
    <row r="66" spans="1:39" ht="15.75" thickBot="1">
      <c r="A66" s="1058">
        <v>6</v>
      </c>
      <c r="B66" s="1050" t="s">
        <v>626</v>
      </c>
      <c r="C66" s="2071">
        <f t="shared" ref="C66:AD66" si="13">SUM(C67:C71)</f>
        <v>747</v>
      </c>
      <c r="D66" s="1051">
        <f t="shared" si="13"/>
        <v>787</v>
      </c>
      <c r="E66" s="1075">
        <f t="shared" si="13"/>
        <v>935.89119800000003</v>
      </c>
      <c r="F66" s="1076">
        <f t="shared" si="13"/>
        <v>916.73563194171595</v>
      </c>
      <c r="G66" s="1076">
        <f t="shared" si="13"/>
        <v>890.91462982557994</v>
      </c>
      <c r="H66" s="1078">
        <f t="shared" si="13"/>
        <v>875.58688846915595</v>
      </c>
      <c r="I66" s="1077">
        <f t="shared" si="13"/>
        <v>863.38460757982</v>
      </c>
      <c r="J66" s="2071">
        <f t="shared" si="13"/>
        <v>48</v>
      </c>
      <c r="K66" s="1051">
        <f t="shared" si="13"/>
        <v>39</v>
      </c>
      <c r="L66" s="1095">
        <f t="shared" si="13"/>
        <v>48</v>
      </c>
      <c r="M66" s="1076">
        <f t="shared" si="13"/>
        <v>48</v>
      </c>
      <c r="N66" s="1076">
        <f t="shared" si="13"/>
        <v>48</v>
      </c>
      <c r="O66" s="1076">
        <f t="shared" si="13"/>
        <v>48</v>
      </c>
      <c r="P66" s="1248">
        <f t="shared" si="13"/>
        <v>48</v>
      </c>
      <c r="Q66" s="2071">
        <f t="shared" si="13"/>
        <v>16</v>
      </c>
      <c r="R66" s="1051">
        <f t="shared" si="13"/>
        <v>7</v>
      </c>
      <c r="S66" s="1075">
        <f t="shared" si="13"/>
        <v>16</v>
      </c>
      <c r="T66" s="1076">
        <f t="shared" si="13"/>
        <v>16</v>
      </c>
      <c r="U66" s="1076">
        <f t="shared" si="13"/>
        <v>16</v>
      </c>
      <c r="V66" s="1076">
        <f t="shared" si="13"/>
        <v>16</v>
      </c>
      <c r="W66" s="1248">
        <f t="shared" si="13"/>
        <v>16</v>
      </c>
      <c r="X66" s="1051">
        <f t="shared" si="13"/>
        <v>0</v>
      </c>
      <c r="Y66" s="1051">
        <f t="shared" si="13"/>
        <v>0</v>
      </c>
      <c r="Z66" s="1075">
        <f t="shared" si="13"/>
        <v>0</v>
      </c>
      <c r="AA66" s="1076">
        <f t="shared" si="13"/>
        <v>0</v>
      </c>
      <c r="AB66" s="1076">
        <f t="shared" si="13"/>
        <v>0</v>
      </c>
      <c r="AC66" s="1078">
        <f t="shared" si="13"/>
        <v>0</v>
      </c>
      <c r="AD66" s="1077">
        <f t="shared" si="13"/>
        <v>0</v>
      </c>
    </row>
    <row r="67" spans="1:39">
      <c r="A67" s="1035" t="s">
        <v>333</v>
      </c>
      <c r="B67" s="1036" t="s">
        <v>627</v>
      </c>
      <c r="C67" s="2426">
        <f>'12.1.Разходи-увелич.и нам.'!C67</f>
        <v>60</v>
      </c>
      <c r="D67" s="2428">
        <f>'12.1.Разходи-увелич.и нам.'!D67</f>
        <v>70</v>
      </c>
      <c r="E67" s="2429">
        <f>$C67+('12.1.Разходи-увелич.и нам.'!E67+'12.1.Разходи-увелич.и нам.'!F67)</f>
        <v>60</v>
      </c>
      <c r="F67" s="2429">
        <f>$C67+('12.1.Разходи-увелич.и нам.'!G67+'12.1.Разходи-увелич.и нам.'!H67)</f>
        <v>60</v>
      </c>
      <c r="G67" s="2429">
        <f>$C67+('12.1.Разходи-увелич.и нам.'!I67+'12.1.Разходи-увелич.и нам.'!J67)</f>
        <v>60</v>
      </c>
      <c r="H67" s="2429">
        <f>$C67+('12.1.Разходи-увелич.и нам.'!K67+'12.1.Разходи-увелич.и нам.'!L67)</f>
        <v>60</v>
      </c>
      <c r="I67" s="1496">
        <f>$C67+('12.1.Разходи-увелич.и нам.'!M67+'12.1.Разходи-увелич.и нам.'!N67)</f>
        <v>60</v>
      </c>
      <c r="J67" s="2426">
        <f>'12.1.Разходи-увелич.и нам.'!O67</f>
        <v>7</v>
      </c>
      <c r="K67" s="2423">
        <f>'12.1.Разходи-увелич.и нам.'!P67</f>
        <v>4</v>
      </c>
      <c r="L67" s="2424">
        <f>$J67+('12.1.Разходи-увелич.и нам.'!Q67+'12.1.Разходи-увелич.и нам.'!R67)</f>
        <v>7</v>
      </c>
      <c r="M67" s="2424">
        <f>$J67+('12.1.Разходи-увелич.и нам.'!S67+'12.1.Разходи-увелич.и нам.'!T67)</f>
        <v>7</v>
      </c>
      <c r="N67" s="2424">
        <f>$J67+('12.1.Разходи-увелич.и нам.'!U67+'12.1.Разходи-увелич.и нам.'!V67)</f>
        <v>7</v>
      </c>
      <c r="O67" s="2424">
        <f>$J67+('12.1.Разходи-увелич.и нам.'!W67+'12.1.Разходи-увелич.и нам.'!X67)</f>
        <v>7</v>
      </c>
      <c r="P67" s="2425">
        <f>$J67+('12.1.Разходи-увелич.и нам.'!Y67+'12.1.Разходи-увелич.и нам.'!Z67)</f>
        <v>7</v>
      </c>
      <c r="Q67" s="2426">
        <f>'12.1.Разходи-увелич.и нам.'!AA67</f>
        <v>5</v>
      </c>
      <c r="R67" s="2427">
        <f>'12.1.Разходи-увелич.и нам.'!AB67</f>
        <v>3</v>
      </c>
      <c r="S67" s="2424">
        <f>$Q67+('12.1.Разходи-увелич.и нам.'!AC67+'12.1.Разходи-увелич.и нам.'!AD67)</f>
        <v>5</v>
      </c>
      <c r="T67" s="2424">
        <f>$Q67+('12.1.Разходи-увелич.и нам.'!AE67+'12.1.Разходи-увелич.и нам.'!AF67)</f>
        <v>5</v>
      </c>
      <c r="U67" s="2424">
        <f>$Q67+('12.1.Разходи-увелич.и нам.'!AG67+'12.1.Разходи-увелич.и нам.'!AH67)</f>
        <v>5</v>
      </c>
      <c r="V67" s="2424">
        <f>$Q67+('12.1.Разходи-увелич.и нам.'!AI67+'12.1.Разходи-увелич.и нам.'!AJ67)</f>
        <v>5</v>
      </c>
      <c r="W67" s="2425">
        <f>$Q67+('12.1.Разходи-увелич.и нам.'!AK67+'12.1.Разходи-увелич.и нам.'!AL67)</f>
        <v>5</v>
      </c>
      <c r="X67" s="2250"/>
      <c r="Y67" s="2250"/>
      <c r="Z67" s="799"/>
      <c r="AA67" s="786"/>
      <c r="AB67" s="786"/>
      <c r="AC67" s="786"/>
      <c r="AD67" s="795"/>
    </row>
    <row r="68" spans="1:39">
      <c r="A68" s="1035" t="s">
        <v>335</v>
      </c>
      <c r="B68" s="1067" t="s">
        <v>628</v>
      </c>
      <c r="C68" s="2426">
        <f>'12.1.Разходи-увелич.и нам.'!C68</f>
        <v>18</v>
      </c>
      <c r="D68" s="2428">
        <f>'12.1.Разходи-увелич.и нам.'!D68</f>
        <v>35</v>
      </c>
      <c r="E68" s="2429">
        <f>$C68+('12.1.Разходи-увелич.и нам.'!E68+'12.1.Разходи-увелич.и нам.'!F68)</f>
        <v>18</v>
      </c>
      <c r="F68" s="2429">
        <f>$C68+('12.1.Разходи-увелич.и нам.'!G68+'12.1.Разходи-увелич.и нам.'!H68)</f>
        <v>18</v>
      </c>
      <c r="G68" s="2429">
        <f>$C68+('12.1.Разходи-увелич.и нам.'!I68+'12.1.Разходи-увелич.и нам.'!J68)</f>
        <v>18</v>
      </c>
      <c r="H68" s="2429">
        <f>$C68+('12.1.Разходи-увелич.и нам.'!K68+'12.1.Разходи-увелич.и нам.'!L68)</f>
        <v>18</v>
      </c>
      <c r="I68" s="1496">
        <f>$C68+('12.1.Разходи-увелич.и нам.'!M68+'12.1.Разходи-увелич.и нам.'!N68)</f>
        <v>18</v>
      </c>
      <c r="J68" s="2426">
        <f>'12.1.Разходи-увелич.и нам.'!O68</f>
        <v>13</v>
      </c>
      <c r="K68" s="2423">
        <f>'12.1.Разходи-увелич.и нам.'!P68</f>
        <v>3</v>
      </c>
      <c r="L68" s="2424">
        <f>$J68+('12.1.Разходи-увелич.и нам.'!Q68+'12.1.Разходи-увелич.и нам.'!R68)</f>
        <v>13</v>
      </c>
      <c r="M68" s="2424">
        <f>$J68+('12.1.Разходи-увелич.и нам.'!S68+'12.1.Разходи-увелич.и нам.'!T68)</f>
        <v>13</v>
      </c>
      <c r="N68" s="2424">
        <f>$J68+('12.1.Разходи-увелич.и нам.'!U68+'12.1.Разходи-увелич.и нам.'!V68)</f>
        <v>13</v>
      </c>
      <c r="O68" s="2424">
        <f>$J68+('12.1.Разходи-увелич.и нам.'!W68+'12.1.Разходи-увелич.и нам.'!X68)</f>
        <v>13</v>
      </c>
      <c r="P68" s="2425">
        <f>$J68+('12.1.Разходи-увелич.и нам.'!Y68+'12.1.Разходи-увелич.и нам.'!Z68)</f>
        <v>13</v>
      </c>
      <c r="Q68" s="2426">
        <f>'12.1.Разходи-увелич.и нам.'!AA68</f>
        <v>11</v>
      </c>
      <c r="R68" s="2427">
        <f>'12.1.Разходи-увелич.и нам.'!AB68</f>
        <v>4</v>
      </c>
      <c r="S68" s="2424">
        <f>$Q68+('12.1.Разходи-увелич.и нам.'!AC68+'12.1.Разходи-увелич.и нам.'!AD68)</f>
        <v>11</v>
      </c>
      <c r="T68" s="2424">
        <f>$Q68+('12.1.Разходи-увелич.и нам.'!AE68+'12.1.Разходи-увелич.и нам.'!AF68)</f>
        <v>11</v>
      </c>
      <c r="U68" s="2424">
        <f>$Q68+('12.1.Разходи-увелич.и нам.'!AG68+'12.1.Разходи-увелич.и нам.'!AH68)</f>
        <v>11</v>
      </c>
      <c r="V68" s="2424">
        <f>$Q68+('12.1.Разходи-увелич.и нам.'!AI68+'12.1.Разходи-увелич.и нам.'!AJ68)</f>
        <v>11</v>
      </c>
      <c r="W68" s="2425">
        <f>$Q68+('12.1.Разходи-увелич.и нам.'!AK68+'12.1.Разходи-увелич.и нам.'!AL68)</f>
        <v>11</v>
      </c>
      <c r="X68" s="2250"/>
      <c r="Y68" s="2250"/>
      <c r="Z68" s="799"/>
      <c r="AA68" s="786"/>
      <c r="AB68" s="786"/>
      <c r="AC68" s="786"/>
      <c r="AD68" s="795"/>
    </row>
    <row r="69" spans="1:39">
      <c r="A69" s="1035" t="s">
        <v>337</v>
      </c>
      <c r="B69" s="1042" t="s">
        <v>629</v>
      </c>
      <c r="C69" s="2426">
        <f>'12.1.Разходи-увелич.и нам.'!C69</f>
        <v>667</v>
      </c>
      <c r="D69" s="2428">
        <f>'12.1.Разходи-увелич.и нам.'!D69</f>
        <v>680</v>
      </c>
      <c r="E69" s="2429">
        <f>$C69+('12.1.Разходи-увелич.и нам.'!E69+'12.1.Разходи-увелич.и нам.'!F69)</f>
        <v>855.89119800000003</v>
      </c>
      <c r="F69" s="2429">
        <f>$C69+('12.1.Разходи-увелич.и нам.'!G69+'12.1.Разходи-увелич.и нам.'!H69)</f>
        <v>836.73563194171595</v>
      </c>
      <c r="G69" s="2429">
        <f>$C69+('12.1.Разходи-увелич.и нам.'!I69+'12.1.Разходи-увелич.и нам.'!J69)</f>
        <v>810.91462982557994</v>
      </c>
      <c r="H69" s="2429">
        <f>$C69+('12.1.Разходи-увелич.и нам.'!K69+'12.1.Разходи-увелич.и нам.'!L69)</f>
        <v>795.58688846915595</v>
      </c>
      <c r="I69" s="1496">
        <f>$C69+('12.1.Разходи-увелич.и нам.'!M69+'12.1.Разходи-увелич.и нам.'!N69)</f>
        <v>783.38460757982</v>
      </c>
      <c r="J69" s="2426">
        <f>'12.1.Разходи-увелич.и нам.'!O69</f>
        <v>0</v>
      </c>
      <c r="K69" s="2423">
        <f>'12.1.Разходи-увелич.и нам.'!P69</f>
        <v>0</v>
      </c>
      <c r="L69" s="2424">
        <f>$J69+('12.1.Разходи-увелич.и нам.'!Q69+'12.1.Разходи-увелич.и нам.'!R69)</f>
        <v>0</v>
      </c>
      <c r="M69" s="2424">
        <f>$J69+('12.1.Разходи-увелич.и нам.'!S69+'12.1.Разходи-увелич.и нам.'!T69)</f>
        <v>0</v>
      </c>
      <c r="N69" s="2424">
        <f>$J69+('12.1.Разходи-увелич.и нам.'!U69+'12.1.Разходи-увелич.и нам.'!V69)</f>
        <v>0</v>
      </c>
      <c r="O69" s="2424">
        <f>$J69+('12.1.Разходи-увелич.и нам.'!W69+'12.1.Разходи-увелич.и нам.'!X69)</f>
        <v>0</v>
      </c>
      <c r="P69" s="2425">
        <f>$J69+('12.1.Разходи-увелич.и нам.'!Y69+'12.1.Разходи-увелич.и нам.'!Z69)</f>
        <v>0</v>
      </c>
      <c r="Q69" s="2426">
        <f>'12.1.Разходи-увелич.и нам.'!AA69</f>
        <v>0</v>
      </c>
      <c r="R69" s="2427">
        <f>'12.1.Разходи-увелич.и нам.'!AB69</f>
        <v>0</v>
      </c>
      <c r="S69" s="2424">
        <f>$Q69+('12.1.Разходи-увелич.и нам.'!AC69+'12.1.Разходи-увелич.и нам.'!AD69)</f>
        <v>0</v>
      </c>
      <c r="T69" s="2424">
        <f>$Q69+('12.1.Разходи-увелич.и нам.'!AE69+'12.1.Разходи-увелич.и нам.'!AF69)</f>
        <v>0</v>
      </c>
      <c r="U69" s="2424">
        <f>$Q69+('12.1.Разходи-увелич.и нам.'!AG69+'12.1.Разходи-увелич.и нам.'!AH69)</f>
        <v>0</v>
      </c>
      <c r="V69" s="2424">
        <f>$Q69+('12.1.Разходи-увелич.и нам.'!AI69+'12.1.Разходи-увелич.и нам.'!AJ69)</f>
        <v>0</v>
      </c>
      <c r="W69" s="2425">
        <f>$Q69+('12.1.Разходи-увелич.и нам.'!AK69+'12.1.Разходи-увелич.и нам.'!AL69)</f>
        <v>0</v>
      </c>
      <c r="X69" s="2250"/>
      <c r="Y69" s="2250"/>
      <c r="Z69" s="799"/>
      <c r="AA69" s="786"/>
      <c r="AB69" s="786"/>
      <c r="AC69" s="786"/>
      <c r="AD69" s="795"/>
    </row>
    <row r="70" spans="1:39">
      <c r="A70" s="1035" t="s">
        <v>339</v>
      </c>
      <c r="B70" s="1042" t="s">
        <v>630</v>
      </c>
      <c r="C70" s="2426">
        <f>'12.1.Разходи-увелич.и нам.'!C70</f>
        <v>0</v>
      </c>
      <c r="D70" s="2428">
        <f>'12.1.Разходи-увелич.и нам.'!D70</f>
        <v>0</v>
      </c>
      <c r="E70" s="2429">
        <f>$C70+('12.1.Разходи-увелич.и нам.'!E70+'12.1.Разходи-увелич.и нам.'!F70)</f>
        <v>0</v>
      </c>
      <c r="F70" s="2429">
        <f>$C70+('12.1.Разходи-увелич.и нам.'!G70+'12.1.Разходи-увелич.и нам.'!H70)</f>
        <v>0</v>
      </c>
      <c r="G70" s="2429">
        <f>$C70+('12.1.Разходи-увелич.и нам.'!I70+'12.1.Разходи-увелич.и нам.'!J70)</f>
        <v>0</v>
      </c>
      <c r="H70" s="2429">
        <f>$C70+('12.1.Разходи-увелич.и нам.'!K70+'12.1.Разходи-увелич.и нам.'!L70)</f>
        <v>0</v>
      </c>
      <c r="I70" s="1496">
        <f>$C70+('12.1.Разходи-увелич.и нам.'!M70+'12.1.Разходи-увелич.и нам.'!N70)</f>
        <v>0</v>
      </c>
      <c r="J70" s="2426">
        <f>'12.1.Разходи-увелич.и нам.'!O70</f>
        <v>25</v>
      </c>
      <c r="K70" s="2423">
        <f>'12.1.Разходи-увелич.и нам.'!P70</f>
        <v>29</v>
      </c>
      <c r="L70" s="2424">
        <f>$J70+('12.1.Разходи-увелич.и нам.'!Q70+'12.1.Разходи-увелич.и нам.'!R70)</f>
        <v>25</v>
      </c>
      <c r="M70" s="2424">
        <f>$J70+('12.1.Разходи-увелич.и нам.'!S70+'12.1.Разходи-увелич.и нам.'!T70)</f>
        <v>25</v>
      </c>
      <c r="N70" s="2424">
        <f>$J70+('12.1.Разходи-увелич.и нам.'!U70+'12.1.Разходи-увелич.и нам.'!V70)</f>
        <v>25</v>
      </c>
      <c r="O70" s="2424">
        <f>$J70+('12.1.Разходи-увелич.и нам.'!W70+'12.1.Разходи-увелич.и нам.'!X70)</f>
        <v>25</v>
      </c>
      <c r="P70" s="2425">
        <f>$J70+('12.1.Разходи-увелич.и нам.'!Y70+'12.1.Разходи-увелич.и нам.'!Z70)</f>
        <v>25</v>
      </c>
      <c r="Q70" s="2426">
        <f>'12.1.Разходи-увелич.и нам.'!AA70</f>
        <v>0</v>
      </c>
      <c r="R70" s="2427">
        <f>'12.1.Разходи-увелич.и нам.'!AB70</f>
        <v>0</v>
      </c>
      <c r="S70" s="2424">
        <f>$Q70+('12.1.Разходи-увелич.и нам.'!AC70+'12.1.Разходи-увелич.и нам.'!AD70)</f>
        <v>0</v>
      </c>
      <c r="T70" s="2424">
        <f>$Q70+('12.1.Разходи-увелич.и нам.'!AE70+'12.1.Разходи-увелич.и нам.'!AF70)</f>
        <v>0</v>
      </c>
      <c r="U70" s="2424">
        <f>$Q70+('12.1.Разходи-увелич.и нам.'!AG70+'12.1.Разходи-увелич.и нам.'!AH70)</f>
        <v>0</v>
      </c>
      <c r="V70" s="2424">
        <f>$Q70+('12.1.Разходи-увелич.и нам.'!AI70+'12.1.Разходи-увелич.и нам.'!AJ70)</f>
        <v>0</v>
      </c>
      <c r="W70" s="2425">
        <f>$Q70+('12.1.Разходи-увелич.и нам.'!AK70+'12.1.Разходи-увелич.и нам.'!AL70)</f>
        <v>0</v>
      </c>
      <c r="X70" s="2250"/>
      <c r="Y70" s="2250"/>
      <c r="Z70" s="799"/>
      <c r="AA70" s="786"/>
      <c r="AB70" s="786"/>
      <c r="AC70" s="786"/>
      <c r="AD70" s="795"/>
    </row>
    <row r="71" spans="1:39" ht="15.75" thickBot="1">
      <c r="A71" s="1035" t="s">
        <v>341</v>
      </c>
      <c r="B71" s="1042" t="s">
        <v>631</v>
      </c>
      <c r="C71" s="2426">
        <f>'12.1.Разходи-увелич.и нам.'!C71</f>
        <v>2</v>
      </c>
      <c r="D71" s="2428">
        <f>'12.1.Разходи-увелич.и нам.'!D71</f>
        <v>2</v>
      </c>
      <c r="E71" s="2429">
        <f>$C71+('12.1.Разходи-увелич.и нам.'!E71+'12.1.Разходи-увелич.и нам.'!F71)</f>
        <v>2</v>
      </c>
      <c r="F71" s="2429">
        <f>$C71+('12.1.Разходи-увелич.и нам.'!G71+'12.1.Разходи-увелич.и нам.'!H71)</f>
        <v>2</v>
      </c>
      <c r="G71" s="2429">
        <f>$C71+('12.1.Разходи-увелич.и нам.'!I71+'12.1.Разходи-увелич.и нам.'!J71)</f>
        <v>2</v>
      </c>
      <c r="H71" s="2429">
        <f>$C71+('12.1.Разходи-увелич.и нам.'!K71+'12.1.Разходи-увелич.и нам.'!L71)</f>
        <v>2</v>
      </c>
      <c r="I71" s="1496">
        <f>$C71+('12.1.Разходи-увелич.и нам.'!M71+'12.1.Разходи-увелич.и нам.'!N71)</f>
        <v>2</v>
      </c>
      <c r="J71" s="2426">
        <f>'12.1.Разходи-увелич.и нам.'!O71</f>
        <v>3</v>
      </c>
      <c r="K71" s="2423">
        <f>'12.1.Разходи-увелич.и нам.'!P71</f>
        <v>3</v>
      </c>
      <c r="L71" s="2424">
        <f>$J71+('12.1.Разходи-увелич.и нам.'!Q71+'12.1.Разходи-увелич.и нам.'!R71)</f>
        <v>3</v>
      </c>
      <c r="M71" s="2424">
        <f>$J71+('12.1.Разходи-увелич.и нам.'!S71+'12.1.Разходи-увелич.и нам.'!T71)</f>
        <v>3</v>
      </c>
      <c r="N71" s="2424">
        <f>$J71+('12.1.Разходи-увелич.и нам.'!U71+'12.1.Разходи-увелич.и нам.'!V71)</f>
        <v>3</v>
      </c>
      <c r="O71" s="2424">
        <f>$J71+('12.1.Разходи-увелич.и нам.'!W71+'12.1.Разходи-увелич.и нам.'!X71)</f>
        <v>3</v>
      </c>
      <c r="P71" s="2425">
        <f>$J71+('12.1.Разходи-увелич.и нам.'!Y71+'12.1.Разходи-увелич.и нам.'!Z71)</f>
        <v>3</v>
      </c>
      <c r="Q71" s="2426">
        <f>'12.1.Разходи-увелич.и нам.'!AA71</f>
        <v>0</v>
      </c>
      <c r="R71" s="2427">
        <f>'12.1.Разходи-увелич.и нам.'!AB71</f>
        <v>0</v>
      </c>
      <c r="S71" s="2424">
        <f>$Q71+('12.1.Разходи-увелич.и нам.'!AC71+'12.1.Разходи-увелич.и нам.'!AD71)</f>
        <v>0</v>
      </c>
      <c r="T71" s="2424">
        <f>$Q71+('12.1.Разходи-увелич.и нам.'!AE71+'12.1.Разходи-увелич.и нам.'!AF71)</f>
        <v>0</v>
      </c>
      <c r="U71" s="2424">
        <f>$Q71+('12.1.Разходи-увелич.и нам.'!AG71+'12.1.Разходи-увелич.и нам.'!AH71)</f>
        <v>0</v>
      </c>
      <c r="V71" s="2424">
        <f>$Q71+('12.1.Разходи-увелич.и нам.'!AI71+'12.1.Разходи-увелич.и нам.'!AJ71)</f>
        <v>0</v>
      </c>
      <c r="W71" s="2425">
        <f>$Q71+('12.1.Разходи-увелич.и нам.'!AK71+'12.1.Разходи-увелич.и нам.'!AL71)</f>
        <v>0</v>
      </c>
      <c r="X71" s="2250"/>
      <c r="Y71" s="2250"/>
      <c r="Z71" s="799"/>
      <c r="AA71" s="786"/>
      <c r="AB71" s="786"/>
      <c r="AC71" s="786"/>
      <c r="AD71" s="795"/>
    </row>
    <row r="72" spans="1:39" ht="15.75" thickBot="1">
      <c r="A72" s="1058">
        <v>7</v>
      </c>
      <c r="B72" s="1050" t="s">
        <v>332</v>
      </c>
      <c r="C72" s="2071">
        <f t="shared" ref="C72:AD72" si="14">SUM(C73:C79)</f>
        <v>65</v>
      </c>
      <c r="D72" s="1051">
        <f t="shared" si="14"/>
        <v>118</v>
      </c>
      <c r="E72" s="1075">
        <f t="shared" si="14"/>
        <v>65</v>
      </c>
      <c r="F72" s="1076">
        <f t="shared" si="14"/>
        <v>65</v>
      </c>
      <c r="G72" s="1076">
        <f t="shared" si="14"/>
        <v>65</v>
      </c>
      <c r="H72" s="1078">
        <f t="shared" si="14"/>
        <v>65</v>
      </c>
      <c r="I72" s="1077">
        <f t="shared" si="14"/>
        <v>65</v>
      </c>
      <c r="J72" s="2071">
        <f t="shared" si="14"/>
        <v>36</v>
      </c>
      <c r="K72" s="1051">
        <f t="shared" si="14"/>
        <v>54</v>
      </c>
      <c r="L72" s="1095">
        <f t="shared" si="14"/>
        <v>36</v>
      </c>
      <c r="M72" s="1076">
        <f t="shared" si="14"/>
        <v>36</v>
      </c>
      <c r="N72" s="1076">
        <f t="shared" si="14"/>
        <v>36</v>
      </c>
      <c r="O72" s="1076">
        <f t="shared" si="14"/>
        <v>36</v>
      </c>
      <c r="P72" s="1248">
        <f t="shared" si="14"/>
        <v>36</v>
      </c>
      <c r="Q72" s="2071">
        <f t="shared" si="14"/>
        <v>29</v>
      </c>
      <c r="R72" s="1051">
        <f t="shared" si="14"/>
        <v>49</v>
      </c>
      <c r="S72" s="1075">
        <f t="shared" si="14"/>
        <v>29</v>
      </c>
      <c r="T72" s="1076">
        <f t="shared" si="14"/>
        <v>29</v>
      </c>
      <c r="U72" s="1076">
        <f t="shared" si="14"/>
        <v>29</v>
      </c>
      <c r="V72" s="1076">
        <f t="shared" si="14"/>
        <v>29</v>
      </c>
      <c r="W72" s="1248">
        <f t="shared" si="14"/>
        <v>29</v>
      </c>
      <c r="X72" s="1051">
        <f t="shared" si="14"/>
        <v>12</v>
      </c>
      <c r="Y72" s="1051">
        <f t="shared" si="14"/>
        <v>12</v>
      </c>
      <c r="Z72" s="1075">
        <f t="shared" si="14"/>
        <v>12</v>
      </c>
      <c r="AA72" s="1076">
        <f t="shared" si="14"/>
        <v>12</v>
      </c>
      <c r="AB72" s="1076">
        <f t="shared" si="14"/>
        <v>12</v>
      </c>
      <c r="AC72" s="1078">
        <f t="shared" si="14"/>
        <v>12</v>
      </c>
      <c r="AD72" s="1077">
        <f t="shared" si="14"/>
        <v>12</v>
      </c>
    </row>
    <row r="73" spans="1:39">
      <c r="A73" s="487" t="s">
        <v>232</v>
      </c>
      <c r="B73" s="1036" t="s">
        <v>334</v>
      </c>
      <c r="C73" s="2426">
        <f>'12.1.Разходи-увелич.и нам.'!C73</f>
        <v>0</v>
      </c>
      <c r="D73" s="2428">
        <f>'12.1.Разходи-увелич.и нам.'!D73</f>
        <v>0</v>
      </c>
      <c r="E73" s="2429">
        <f>$C73+('12.1.Разходи-увелич.и нам.'!E73+'12.1.Разходи-увелич.и нам.'!F73)</f>
        <v>0</v>
      </c>
      <c r="F73" s="2429">
        <f>$C73+('12.1.Разходи-увелич.и нам.'!G73+'12.1.Разходи-увелич.и нам.'!H73)</f>
        <v>0</v>
      </c>
      <c r="G73" s="2429">
        <f>$C73+('12.1.Разходи-увелич.и нам.'!I73+'12.1.Разходи-увелич.и нам.'!J73)</f>
        <v>0</v>
      </c>
      <c r="H73" s="2429">
        <f>$C73+('12.1.Разходи-увелич.и нам.'!K73+'12.1.Разходи-увелич.и нам.'!L73)</f>
        <v>0</v>
      </c>
      <c r="I73" s="1496">
        <f>$C73+('12.1.Разходи-увелич.и нам.'!M73+'12.1.Разходи-увелич.и нам.'!N73)</f>
        <v>0</v>
      </c>
      <c r="J73" s="2426">
        <f>'12.1.Разходи-увелич.и нам.'!O73</f>
        <v>0</v>
      </c>
      <c r="K73" s="2423">
        <f>'12.1.Разходи-увелич.и нам.'!P73</f>
        <v>0</v>
      </c>
      <c r="L73" s="2424">
        <f>$J73+('12.1.Разходи-увелич.и нам.'!Q73+'12.1.Разходи-увелич.и нам.'!R73)</f>
        <v>0</v>
      </c>
      <c r="M73" s="2424">
        <f>$J73+('12.1.Разходи-увелич.и нам.'!S73+'12.1.Разходи-увелич.и нам.'!T73)</f>
        <v>0</v>
      </c>
      <c r="N73" s="2424">
        <f>$J73+('12.1.Разходи-увелич.и нам.'!U73+'12.1.Разходи-увелич.и нам.'!V73)</f>
        <v>0</v>
      </c>
      <c r="O73" s="2424">
        <f>$J73+('12.1.Разходи-увелич.и нам.'!W73+'12.1.Разходи-увелич.и нам.'!X73)</f>
        <v>0</v>
      </c>
      <c r="P73" s="2425">
        <f>$J73+('12.1.Разходи-увелич.и нам.'!Y73+'12.1.Разходи-увелич.и нам.'!Z73)</f>
        <v>0</v>
      </c>
      <c r="Q73" s="2426">
        <f>'12.1.Разходи-увелич.и нам.'!AA73</f>
        <v>0</v>
      </c>
      <c r="R73" s="2427">
        <f>'12.1.Разходи-увелич.и нам.'!AB73</f>
        <v>0</v>
      </c>
      <c r="S73" s="2424">
        <f>$Q73+('12.1.Разходи-увелич.и нам.'!AC73+'12.1.Разходи-увелич.и нам.'!AD73)</f>
        <v>0</v>
      </c>
      <c r="T73" s="2424">
        <f>$Q73+('12.1.Разходи-увелич.и нам.'!AE73+'12.1.Разходи-увелич.и нам.'!AF73)</f>
        <v>0</v>
      </c>
      <c r="U73" s="2424">
        <f>$Q73+('12.1.Разходи-увелич.и нам.'!AG73+'12.1.Разходи-увелич.и нам.'!AH73)</f>
        <v>0</v>
      </c>
      <c r="V73" s="2424">
        <f>$Q73+('12.1.Разходи-увелич.и нам.'!AI73+'12.1.Разходи-увелич.и нам.'!AJ73)</f>
        <v>0</v>
      </c>
      <c r="W73" s="2425">
        <f>$Q73+('12.1.Разходи-увелич.и нам.'!AK73+'12.1.Разходи-увелич.и нам.'!AL73)</f>
        <v>0</v>
      </c>
      <c r="X73" s="2250"/>
      <c r="Y73" s="2250"/>
      <c r="Z73" s="799"/>
      <c r="AA73" s="786"/>
      <c r="AB73" s="786"/>
      <c r="AC73" s="786"/>
      <c r="AD73" s="795"/>
    </row>
    <row r="74" spans="1:39">
      <c r="A74" s="487" t="s">
        <v>235</v>
      </c>
      <c r="B74" s="1067" t="s">
        <v>336</v>
      </c>
      <c r="C74" s="2426">
        <f>'12.1.Разходи-увелич.и нам.'!C74</f>
        <v>8</v>
      </c>
      <c r="D74" s="2428">
        <f>'12.1.Разходи-увелич.и нам.'!D74</f>
        <v>16</v>
      </c>
      <c r="E74" s="2429">
        <f>$C74+('12.1.Разходи-увелич.и нам.'!E74+'12.1.Разходи-увелич.и нам.'!F74)</f>
        <v>8</v>
      </c>
      <c r="F74" s="2429">
        <f>$C74+('12.1.Разходи-увелич.и нам.'!G74+'12.1.Разходи-увелич.и нам.'!H74)</f>
        <v>8</v>
      </c>
      <c r="G74" s="2429">
        <f>$C74+('12.1.Разходи-увелич.и нам.'!I74+'12.1.Разходи-увелич.и нам.'!J74)</f>
        <v>8</v>
      </c>
      <c r="H74" s="2429">
        <f>$C74+('12.1.Разходи-увелич.и нам.'!K74+'12.1.Разходи-увелич.и нам.'!L74)</f>
        <v>8</v>
      </c>
      <c r="I74" s="1496">
        <f>$C74+('12.1.Разходи-увелич.и нам.'!M74+'12.1.Разходи-увелич.и нам.'!N74)</f>
        <v>8</v>
      </c>
      <c r="J74" s="2426">
        <f>'12.1.Разходи-увелич.и нам.'!O74</f>
        <v>7</v>
      </c>
      <c r="K74" s="2423">
        <f>'12.1.Разходи-увелич.и нам.'!P74</f>
        <v>8</v>
      </c>
      <c r="L74" s="2424">
        <f>$J74+('12.1.Разходи-увелич.и нам.'!Q74+'12.1.Разходи-увелич.и нам.'!R74)</f>
        <v>7</v>
      </c>
      <c r="M74" s="2424">
        <f>$J74+('12.1.Разходи-увелич.и нам.'!S74+'12.1.Разходи-увелич.и нам.'!T74)</f>
        <v>7</v>
      </c>
      <c r="N74" s="2424">
        <f>$J74+('12.1.Разходи-увелич.и нам.'!U74+'12.1.Разходи-увелич.и нам.'!V74)</f>
        <v>7</v>
      </c>
      <c r="O74" s="2424">
        <f>$J74+('12.1.Разходи-увелич.и нам.'!W74+'12.1.Разходи-увелич.и нам.'!X74)</f>
        <v>7</v>
      </c>
      <c r="P74" s="2425">
        <f>$J74+('12.1.Разходи-увелич.и нам.'!Y74+'12.1.Разходи-увелич.и нам.'!Z74)</f>
        <v>7</v>
      </c>
      <c r="Q74" s="2426">
        <f>'12.1.Разходи-увелич.и нам.'!AA74</f>
        <v>7</v>
      </c>
      <c r="R74" s="2427">
        <f>'12.1.Разходи-увелич.и нам.'!AB74</f>
        <v>10</v>
      </c>
      <c r="S74" s="2424">
        <f>$Q74+('12.1.Разходи-увелич.и нам.'!AC74+'12.1.Разходи-увелич.и нам.'!AD74)</f>
        <v>7</v>
      </c>
      <c r="T74" s="2424">
        <f>$Q74+('12.1.Разходи-увелич.и нам.'!AE74+'12.1.Разходи-увелич.и нам.'!AF74)</f>
        <v>7</v>
      </c>
      <c r="U74" s="2424">
        <f>$Q74+('12.1.Разходи-увелич.и нам.'!AG74+'12.1.Разходи-увелич.и нам.'!AH74)</f>
        <v>7</v>
      </c>
      <c r="V74" s="2424">
        <f>$Q74+('12.1.Разходи-увелич.и нам.'!AI74+'12.1.Разходи-увелич.и нам.'!AJ74)</f>
        <v>7</v>
      </c>
      <c r="W74" s="2425">
        <f>$Q74+('12.1.Разходи-увелич.и нам.'!AK74+'12.1.Разходи-увелич.и нам.'!AL74)</f>
        <v>7</v>
      </c>
      <c r="X74" s="2250"/>
      <c r="Y74" s="2250"/>
      <c r="Z74" s="799"/>
      <c r="AA74" s="786"/>
      <c r="AB74" s="786"/>
      <c r="AC74" s="786"/>
      <c r="AD74" s="795"/>
    </row>
    <row r="75" spans="1:39">
      <c r="A75" s="487" t="s">
        <v>632</v>
      </c>
      <c r="B75" s="1042" t="s">
        <v>331</v>
      </c>
      <c r="C75" s="2426">
        <f>'12.1.Разходи-увелич.и нам.'!C75</f>
        <v>0</v>
      </c>
      <c r="D75" s="2428">
        <f>'12.1.Разходи-увелич.и нам.'!D75</f>
        <v>0</v>
      </c>
      <c r="E75" s="2429">
        <f>$C75+('12.1.Разходи-увелич.и нам.'!E75+'12.1.Разходи-увелич.и нам.'!F75)</f>
        <v>0</v>
      </c>
      <c r="F75" s="2429">
        <f>$C75+('12.1.Разходи-увелич.и нам.'!G75+'12.1.Разходи-увелич.и нам.'!H75)</f>
        <v>0</v>
      </c>
      <c r="G75" s="2429">
        <f>$C75+('12.1.Разходи-увелич.и нам.'!I75+'12.1.Разходи-увелич.и нам.'!J75)</f>
        <v>0</v>
      </c>
      <c r="H75" s="2429">
        <f>$C75+('12.1.Разходи-увелич.и нам.'!K75+'12.1.Разходи-увелич.и нам.'!L75)</f>
        <v>0</v>
      </c>
      <c r="I75" s="1496">
        <f>$C75+('12.1.Разходи-увелич.и нам.'!M75+'12.1.Разходи-увелич.и нам.'!N75)</f>
        <v>0</v>
      </c>
      <c r="J75" s="2426">
        <f>'12.1.Разходи-увелич.и нам.'!O75</f>
        <v>0</v>
      </c>
      <c r="K75" s="2423">
        <f>'12.1.Разходи-увелич.и нам.'!P75</f>
        <v>0</v>
      </c>
      <c r="L75" s="2424">
        <f>$J75+('12.1.Разходи-увелич.и нам.'!Q75+'12.1.Разходи-увелич.и нам.'!R75)</f>
        <v>0</v>
      </c>
      <c r="M75" s="2424">
        <f>$J75+('12.1.Разходи-увелич.и нам.'!S75+'12.1.Разходи-увелич.и нам.'!T75)</f>
        <v>0</v>
      </c>
      <c r="N75" s="2424">
        <f>$J75+('12.1.Разходи-увелич.и нам.'!U75+'12.1.Разходи-увелич.и нам.'!V75)</f>
        <v>0</v>
      </c>
      <c r="O75" s="2424">
        <f>$J75+('12.1.Разходи-увелич.и нам.'!W75+'12.1.Разходи-увелич.и нам.'!X75)</f>
        <v>0</v>
      </c>
      <c r="P75" s="2425">
        <f>$J75+('12.1.Разходи-увелич.и нам.'!Y75+'12.1.Разходи-увелич.и нам.'!Z75)</f>
        <v>0</v>
      </c>
      <c r="Q75" s="2426">
        <f>'12.1.Разходи-увелич.и нам.'!AA75</f>
        <v>0</v>
      </c>
      <c r="R75" s="2427">
        <f>'12.1.Разходи-увелич.и нам.'!AB75</f>
        <v>0</v>
      </c>
      <c r="S75" s="2424">
        <f>$Q75+('12.1.Разходи-увелич.и нам.'!AC75+'12.1.Разходи-увелич.и нам.'!AD75)</f>
        <v>0</v>
      </c>
      <c r="T75" s="2424">
        <f>$Q75+('12.1.Разходи-увелич.и нам.'!AE75+'12.1.Разходи-увелич.и нам.'!AF75)</f>
        <v>0</v>
      </c>
      <c r="U75" s="2424">
        <f>$Q75+('12.1.Разходи-увелич.и нам.'!AG75+'12.1.Разходи-увелич.и нам.'!AH75)</f>
        <v>0</v>
      </c>
      <c r="V75" s="2424">
        <f>$Q75+('12.1.Разходи-увелич.и нам.'!AI75+'12.1.Разходи-увелич.и нам.'!AJ75)</f>
        <v>0</v>
      </c>
      <c r="W75" s="2425">
        <f>$Q75+('12.1.Разходи-увелич.и нам.'!AK75+'12.1.Разходи-увелич.и нам.'!AL75)</f>
        <v>0</v>
      </c>
      <c r="X75" s="2250"/>
      <c r="Y75" s="2250"/>
      <c r="Z75" s="799"/>
      <c r="AA75" s="786"/>
      <c r="AB75" s="786"/>
      <c r="AC75" s="786"/>
      <c r="AD75" s="795"/>
    </row>
    <row r="76" spans="1:39">
      <c r="A76" s="487" t="s">
        <v>633</v>
      </c>
      <c r="B76" s="1036" t="s">
        <v>338</v>
      </c>
      <c r="C76" s="2426">
        <f>'12.1.Разходи-увелич.и нам.'!C76</f>
        <v>16</v>
      </c>
      <c r="D76" s="2428">
        <f>'12.1.Разходи-увелич.и нам.'!D76</f>
        <v>26</v>
      </c>
      <c r="E76" s="2429">
        <f>$C76+('12.1.Разходи-увелич.и нам.'!E76+'12.1.Разходи-увелич.и нам.'!F76)</f>
        <v>16</v>
      </c>
      <c r="F76" s="2429">
        <f>$C76+('12.1.Разходи-увелич.и нам.'!G76+'12.1.Разходи-увелич.и нам.'!H76)</f>
        <v>16</v>
      </c>
      <c r="G76" s="2429">
        <f>$C76+('12.1.Разходи-увелич.и нам.'!I76+'12.1.Разходи-увелич.и нам.'!J76)</f>
        <v>16</v>
      </c>
      <c r="H76" s="2429">
        <f>$C76+('12.1.Разходи-увелич.и нам.'!K76+'12.1.Разходи-увелич.и нам.'!L76)</f>
        <v>16</v>
      </c>
      <c r="I76" s="1496">
        <f>$C76+('12.1.Разходи-увелич.и нам.'!M76+'12.1.Разходи-увелич.и нам.'!N76)</f>
        <v>16</v>
      </c>
      <c r="J76" s="2426">
        <f>'12.1.Разходи-увелич.и нам.'!O76</f>
        <v>11</v>
      </c>
      <c r="K76" s="2423">
        <f>'12.1.Разходи-увелич.и нам.'!P76</f>
        <v>12</v>
      </c>
      <c r="L76" s="2424">
        <f>$J76+('12.1.Разходи-увелич.и нам.'!Q76+'12.1.Разходи-увелич.и нам.'!R76)</f>
        <v>11</v>
      </c>
      <c r="M76" s="2424">
        <f>$J76+('12.1.Разходи-увелич.и нам.'!S76+'12.1.Разходи-увелич.и нам.'!T76)</f>
        <v>11</v>
      </c>
      <c r="N76" s="2424">
        <f>$J76+('12.1.Разходи-увелич.и нам.'!U76+'12.1.Разходи-увелич.и нам.'!V76)</f>
        <v>11</v>
      </c>
      <c r="O76" s="2424">
        <f>$J76+('12.1.Разходи-увелич.и нам.'!W76+'12.1.Разходи-увелич.и нам.'!X76)</f>
        <v>11</v>
      </c>
      <c r="P76" s="2425">
        <f>$J76+('12.1.Разходи-увелич.и нам.'!Y76+'12.1.Разходи-увелич.и нам.'!Z76)</f>
        <v>11</v>
      </c>
      <c r="Q76" s="2426">
        <f>'12.1.Разходи-увелич.и нам.'!AA76</f>
        <v>6</v>
      </c>
      <c r="R76" s="2427">
        <f>'12.1.Разходи-увелич.и нам.'!AB76</f>
        <v>6</v>
      </c>
      <c r="S76" s="2424">
        <f>$Q76+('12.1.Разходи-увелич.и нам.'!AC76+'12.1.Разходи-увелич.и нам.'!AD76)</f>
        <v>6</v>
      </c>
      <c r="T76" s="2424">
        <f>$Q76+('12.1.Разходи-увелич.и нам.'!AE76+'12.1.Разходи-увелич.и нам.'!AF76)</f>
        <v>6</v>
      </c>
      <c r="U76" s="2424">
        <f>$Q76+('12.1.Разходи-увелич.и нам.'!AG76+'12.1.Разходи-увелич.и нам.'!AH76)</f>
        <v>6</v>
      </c>
      <c r="V76" s="2424">
        <f>$Q76+('12.1.Разходи-увелич.и нам.'!AI76+'12.1.Разходи-увелич.и нам.'!AJ76)</f>
        <v>6</v>
      </c>
      <c r="W76" s="2425">
        <f>$Q76+('12.1.Разходи-увелич.и нам.'!AK76+'12.1.Разходи-увелич.и нам.'!AL76)</f>
        <v>6</v>
      </c>
      <c r="X76" s="2250">
        <v>1</v>
      </c>
      <c r="Y76" s="2250">
        <v>1</v>
      </c>
      <c r="Z76" s="799">
        <v>1</v>
      </c>
      <c r="AA76" s="786">
        <v>1</v>
      </c>
      <c r="AB76" s="786">
        <v>1</v>
      </c>
      <c r="AC76" s="786">
        <v>1</v>
      </c>
      <c r="AD76" s="795">
        <v>1</v>
      </c>
    </row>
    <row r="77" spans="1:39">
      <c r="A77" s="487" t="s">
        <v>634</v>
      </c>
      <c r="B77" s="1042" t="s">
        <v>340</v>
      </c>
      <c r="C77" s="2426">
        <f>'12.1.Разходи-увелич.и нам.'!C77</f>
        <v>7</v>
      </c>
      <c r="D77" s="2428">
        <f>'12.1.Разходи-увелич.и нам.'!D77</f>
        <v>11</v>
      </c>
      <c r="E77" s="2429">
        <f>$C77+('12.1.Разходи-увелич.и нам.'!E77+'12.1.Разходи-увелич.и нам.'!F77)</f>
        <v>7</v>
      </c>
      <c r="F77" s="2429">
        <f>$C77+('12.1.Разходи-увелич.и нам.'!G77+'12.1.Разходи-увелич.и нам.'!H77)</f>
        <v>7</v>
      </c>
      <c r="G77" s="2429">
        <f>$C77+('12.1.Разходи-увелич.и нам.'!I77+'12.1.Разходи-увелич.и нам.'!J77)</f>
        <v>7</v>
      </c>
      <c r="H77" s="2429">
        <f>$C77+('12.1.Разходи-увелич.и нам.'!K77+'12.1.Разходи-увелич.и нам.'!L77)</f>
        <v>7</v>
      </c>
      <c r="I77" s="1496">
        <f>$C77+('12.1.Разходи-увелич.и нам.'!M77+'12.1.Разходи-увелич.и нам.'!N77)</f>
        <v>7</v>
      </c>
      <c r="J77" s="2426">
        <f>'12.1.Разходи-увелич.и нам.'!O77</f>
        <v>4</v>
      </c>
      <c r="K77" s="2423">
        <f>'12.1.Разходи-увелич.и нам.'!P77</f>
        <v>5</v>
      </c>
      <c r="L77" s="2424">
        <f>$J77+('12.1.Разходи-увелич.и нам.'!Q77+'12.1.Разходи-увелич.и нам.'!R77)</f>
        <v>4</v>
      </c>
      <c r="M77" s="2424">
        <f>$J77+('12.1.Разходи-увелич.и нам.'!S77+'12.1.Разходи-увелич.и нам.'!T77)</f>
        <v>4</v>
      </c>
      <c r="N77" s="2424">
        <f>$J77+('12.1.Разходи-увелич.и нам.'!U77+'12.1.Разходи-увелич.и нам.'!V77)</f>
        <v>4</v>
      </c>
      <c r="O77" s="2424">
        <f>$J77+('12.1.Разходи-увелич.и нам.'!W77+'12.1.Разходи-увелич.и нам.'!X77)</f>
        <v>4</v>
      </c>
      <c r="P77" s="2425">
        <f>$J77+('12.1.Разходи-увелич.и нам.'!Y77+'12.1.Разходи-увелич.и нам.'!Z77)</f>
        <v>4</v>
      </c>
      <c r="Q77" s="2426">
        <f>'12.1.Разходи-увелич.и нам.'!AA77</f>
        <v>3</v>
      </c>
      <c r="R77" s="2427">
        <f>'12.1.Разходи-увелич.и нам.'!AB77</f>
        <v>7</v>
      </c>
      <c r="S77" s="2424">
        <f>$Q77+('12.1.Разходи-увелич.и нам.'!AC77+'12.1.Разходи-увелич.и нам.'!AD77)</f>
        <v>3</v>
      </c>
      <c r="T77" s="2424">
        <f>$Q77+('12.1.Разходи-увелич.и нам.'!AE77+'12.1.Разходи-увелич.и нам.'!AF77)</f>
        <v>3</v>
      </c>
      <c r="U77" s="2424">
        <f>$Q77+('12.1.Разходи-увелич.и нам.'!AG77+'12.1.Разходи-увелич.и нам.'!AH77)</f>
        <v>3</v>
      </c>
      <c r="V77" s="2424">
        <f>$Q77+('12.1.Разходи-увелич.и нам.'!AI77+'12.1.Разходи-увелич.и нам.'!AJ77)</f>
        <v>3</v>
      </c>
      <c r="W77" s="2425">
        <f>$Q77+('12.1.Разходи-увелич.и нам.'!AK77+'12.1.Разходи-увелич.и нам.'!AL77)</f>
        <v>3</v>
      </c>
      <c r="X77" s="2250">
        <v>1</v>
      </c>
      <c r="Y77" s="2250">
        <v>1</v>
      </c>
      <c r="Z77" s="799">
        <v>1</v>
      </c>
      <c r="AA77" s="786">
        <v>1</v>
      </c>
      <c r="AB77" s="786">
        <v>1</v>
      </c>
      <c r="AC77" s="786">
        <v>1</v>
      </c>
      <c r="AD77" s="795">
        <v>1</v>
      </c>
    </row>
    <row r="78" spans="1:39">
      <c r="A78" s="487" t="s">
        <v>635</v>
      </c>
      <c r="B78" s="2049" t="s">
        <v>325</v>
      </c>
      <c r="C78" s="2426">
        <f>'12.1.Разходи-увелич.и нам.'!C78</f>
        <v>31</v>
      </c>
      <c r="D78" s="2428">
        <f>'12.1.Разходи-увелич.и нам.'!D78</f>
        <v>35</v>
      </c>
      <c r="E78" s="2429">
        <f>$C78+('12.1.Разходи-увелич.и нам.'!E78+'12.1.Разходи-увелич.и нам.'!F78)</f>
        <v>31</v>
      </c>
      <c r="F78" s="2429">
        <f>$C78+('12.1.Разходи-увелич.и нам.'!G78+'12.1.Разходи-увелич.и нам.'!H78)</f>
        <v>31</v>
      </c>
      <c r="G78" s="2429">
        <f>$C78+('12.1.Разходи-увелич.и нам.'!I78+'12.1.Разходи-увелич.и нам.'!J78)</f>
        <v>31</v>
      </c>
      <c r="H78" s="2429">
        <f>$C78+('12.1.Разходи-увелич.и нам.'!K78+'12.1.Разходи-увелич.и нам.'!L78)</f>
        <v>31</v>
      </c>
      <c r="I78" s="1496">
        <f>$C78+('12.1.Разходи-увелич.и нам.'!M78+'12.1.Разходи-увелич.и нам.'!N78)</f>
        <v>31</v>
      </c>
      <c r="J78" s="2426">
        <f>'12.1.Разходи-увелич.и нам.'!O78</f>
        <v>13</v>
      </c>
      <c r="K78" s="2423">
        <f>'12.1.Разходи-увелич.и нам.'!P78</f>
        <v>18</v>
      </c>
      <c r="L78" s="2424">
        <f>$J78+('12.1.Разходи-увелич.и нам.'!Q78+'12.1.Разходи-увелич.и нам.'!R78)</f>
        <v>13</v>
      </c>
      <c r="M78" s="2424">
        <f>$J78+('12.1.Разходи-увелич.и нам.'!S78+'12.1.Разходи-увелич.и нам.'!T78)</f>
        <v>13</v>
      </c>
      <c r="N78" s="2424">
        <f>$J78+('12.1.Разходи-увелич.и нам.'!U78+'12.1.Разходи-увелич.и нам.'!V78)</f>
        <v>13</v>
      </c>
      <c r="O78" s="2424">
        <f>$J78+('12.1.Разходи-увелич.и нам.'!W78+'12.1.Разходи-увелич.и нам.'!X78)</f>
        <v>13</v>
      </c>
      <c r="P78" s="2425">
        <f>$J78+('12.1.Разходи-увелич.и нам.'!Y78+'12.1.Разходи-увелич.и нам.'!Z78)</f>
        <v>13</v>
      </c>
      <c r="Q78" s="2426">
        <f>'12.1.Разходи-увелич.и нам.'!AA78</f>
        <v>12</v>
      </c>
      <c r="R78" s="2427">
        <f>'12.1.Разходи-увелич.и нам.'!AB78</f>
        <v>17</v>
      </c>
      <c r="S78" s="2424">
        <f>$Q78+('12.1.Разходи-увелич.и нам.'!AC78+'12.1.Разходи-увелич.и нам.'!AD78)</f>
        <v>12</v>
      </c>
      <c r="T78" s="2424">
        <f>$Q78+('12.1.Разходи-увелич.и нам.'!AE78+'12.1.Разходи-увелич.и нам.'!AF78)</f>
        <v>12</v>
      </c>
      <c r="U78" s="2424">
        <f>$Q78+('12.1.Разходи-увелич.и нам.'!AG78+'12.1.Разходи-увелич.и нам.'!AH78)</f>
        <v>12</v>
      </c>
      <c r="V78" s="2424">
        <f>$Q78+('12.1.Разходи-увелич.и нам.'!AI78+'12.1.Разходи-увелич.и нам.'!AJ78)</f>
        <v>12</v>
      </c>
      <c r="W78" s="2425">
        <f>$Q78+('12.1.Разходи-увелич.и нам.'!AK78+'12.1.Разходи-увелич.и нам.'!AL78)</f>
        <v>12</v>
      </c>
      <c r="X78" s="2250">
        <v>10</v>
      </c>
      <c r="Y78" s="2250">
        <v>10</v>
      </c>
      <c r="Z78" s="799">
        <v>10</v>
      </c>
      <c r="AA78" s="786">
        <v>10</v>
      </c>
      <c r="AB78" s="786">
        <v>10</v>
      </c>
      <c r="AC78" s="786">
        <v>10</v>
      </c>
      <c r="AD78" s="795">
        <v>10</v>
      </c>
    </row>
    <row r="79" spans="1:39">
      <c r="A79" s="487" t="s">
        <v>636</v>
      </c>
      <c r="B79" s="1499" t="s">
        <v>302</v>
      </c>
      <c r="C79" s="1092">
        <f>SUM(C80:C83)</f>
        <v>3</v>
      </c>
      <c r="D79" s="1086">
        <f t="shared" ref="D79:AD79" si="15">SUM(D80:D83)</f>
        <v>30</v>
      </c>
      <c r="E79" s="1087">
        <f t="shared" si="15"/>
        <v>3</v>
      </c>
      <c r="F79" s="1088">
        <f t="shared" si="15"/>
        <v>3</v>
      </c>
      <c r="G79" s="1088">
        <f t="shared" si="15"/>
        <v>3</v>
      </c>
      <c r="H79" s="1088">
        <f t="shared" si="15"/>
        <v>3</v>
      </c>
      <c r="I79" s="1089">
        <f t="shared" si="15"/>
        <v>3</v>
      </c>
      <c r="J79" s="1092">
        <f t="shared" si="15"/>
        <v>1</v>
      </c>
      <c r="K79" s="1086">
        <f t="shared" si="15"/>
        <v>11</v>
      </c>
      <c r="L79" s="1087">
        <f t="shared" si="15"/>
        <v>1</v>
      </c>
      <c r="M79" s="1088">
        <f t="shared" si="15"/>
        <v>1</v>
      </c>
      <c r="N79" s="1088">
        <f t="shared" si="15"/>
        <v>1</v>
      </c>
      <c r="O79" s="1088">
        <f t="shared" si="15"/>
        <v>1</v>
      </c>
      <c r="P79" s="1089">
        <f t="shared" si="15"/>
        <v>1</v>
      </c>
      <c r="Q79" s="1092">
        <f t="shared" si="15"/>
        <v>1</v>
      </c>
      <c r="R79" s="1086">
        <f t="shared" si="15"/>
        <v>9</v>
      </c>
      <c r="S79" s="1087">
        <f t="shared" si="15"/>
        <v>1</v>
      </c>
      <c r="T79" s="1088">
        <f t="shared" si="15"/>
        <v>1</v>
      </c>
      <c r="U79" s="1088">
        <f t="shared" si="15"/>
        <v>1</v>
      </c>
      <c r="V79" s="1088">
        <f t="shared" si="15"/>
        <v>1</v>
      </c>
      <c r="W79" s="1089">
        <f t="shared" si="15"/>
        <v>1</v>
      </c>
      <c r="X79" s="1086">
        <f t="shared" si="15"/>
        <v>0</v>
      </c>
      <c r="Y79" s="1086">
        <f t="shared" si="15"/>
        <v>0</v>
      </c>
      <c r="Z79" s="1087">
        <f t="shared" si="15"/>
        <v>0</v>
      </c>
      <c r="AA79" s="1088">
        <f t="shared" si="15"/>
        <v>0</v>
      </c>
      <c r="AB79" s="1088">
        <f t="shared" si="15"/>
        <v>0</v>
      </c>
      <c r="AC79" s="1088">
        <f t="shared" si="15"/>
        <v>0</v>
      </c>
      <c r="AD79" s="1089">
        <f t="shared" si="15"/>
        <v>0</v>
      </c>
    </row>
    <row r="80" spans="1:39" s="360" customFormat="1">
      <c r="A80" s="488" t="s">
        <v>850</v>
      </c>
      <c r="B80" s="786"/>
      <c r="C80" s="2426">
        <f>'12.1.Разходи-увелич.и нам.'!C80</f>
        <v>3</v>
      </c>
      <c r="D80" s="2428">
        <f>'12.1.Разходи-увелич.и нам.'!D80</f>
        <v>30</v>
      </c>
      <c r="E80" s="2429">
        <f>$C80+('12.1.Разходи-увелич.и нам.'!E80+'12.1.Разходи-увелич.и нам.'!F80)</f>
        <v>3</v>
      </c>
      <c r="F80" s="2429">
        <f>$C80+('12.1.Разходи-увелич.и нам.'!G80+'12.1.Разходи-увелич.и нам.'!H80)</f>
        <v>3</v>
      </c>
      <c r="G80" s="2429">
        <f>$C80+('12.1.Разходи-увелич.и нам.'!I80+'12.1.Разходи-увелич.и нам.'!J80)</f>
        <v>3</v>
      </c>
      <c r="H80" s="2429">
        <f>$C80+('12.1.Разходи-увелич.и нам.'!K80+'12.1.Разходи-увелич.и нам.'!L80)</f>
        <v>3</v>
      </c>
      <c r="I80" s="1496">
        <f>$C80+('12.1.Разходи-увелич.и нам.'!M80+'12.1.Разходи-увелич.и нам.'!N80)</f>
        <v>3</v>
      </c>
      <c r="J80" s="2426">
        <f>'12.1.Разходи-увелич.и нам.'!O80</f>
        <v>1</v>
      </c>
      <c r="K80" s="2423">
        <f>'12.1.Разходи-увелич.и нам.'!P80</f>
        <v>11</v>
      </c>
      <c r="L80" s="2424">
        <f>$J80+('12.1.Разходи-увелич.и нам.'!Q80+'12.1.Разходи-увелич.и нам.'!R80)</f>
        <v>1</v>
      </c>
      <c r="M80" s="2424">
        <f>$J80+('12.1.Разходи-увелич.и нам.'!S80+'12.1.Разходи-увелич.и нам.'!T80)</f>
        <v>1</v>
      </c>
      <c r="N80" s="2424">
        <f>$J80+('12.1.Разходи-увелич.и нам.'!U80+'12.1.Разходи-увелич.и нам.'!V80)</f>
        <v>1</v>
      </c>
      <c r="O80" s="2424">
        <f>$J80+('12.1.Разходи-увелич.и нам.'!W80+'12.1.Разходи-увелич.и нам.'!X80)</f>
        <v>1</v>
      </c>
      <c r="P80" s="2425">
        <f>$J80+('12.1.Разходи-увелич.и нам.'!Y80+'12.1.Разходи-увелич.и нам.'!Z80)</f>
        <v>1</v>
      </c>
      <c r="Q80" s="2426">
        <f>'12.1.Разходи-увелич.и нам.'!AA80</f>
        <v>1</v>
      </c>
      <c r="R80" s="2427">
        <f>'12.1.Разходи-увелич.и нам.'!AB80</f>
        <v>9</v>
      </c>
      <c r="S80" s="2424">
        <f>$Q80+('12.1.Разходи-увелич.и нам.'!AC80+'12.1.Разходи-увелич.и нам.'!AD80)</f>
        <v>1</v>
      </c>
      <c r="T80" s="2424">
        <f>$Q80+('12.1.Разходи-увелич.и нам.'!AE80+'12.1.Разходи-увелич.и нам.'!AF80)</f>
        <v>1</v>
      </c>
      <c r="U80" s="2424">
        <f>$Q80+('12.1.Разходи-увелич.и нам.'!AG80+'12.1.Разходи-увелич.и нам.'!AH80)</f>
        <v>1</v>
      </c>
      <c r="V80" s="2424">
        <f>$Q80+('12.1.Разходи-увелич.и нам.'!AI80+'12.1.Разходи-увелич.и нам.'!AJ80)</f>
        <v>1</v>
      </c>
      <c r="W80" s="2425">
        <f>$Q80+('12.1.Разходи-увелич.и нам.'!AK80+'12.1.Разходи-увелич.и нам.'!AL80)</f>
        <v>1</v>
      </c>
      <c r="X80" s="2250"/>
      <c r="Y80" s="2250"/>
      <c r="Z80" s="799"/>
      <c r="AA80" s="786"/>
      <c r="AB80" s="786"/>
      <c r="AC80" s="786"/>
      <c r="AD80" s="795"/>
      <c r="AE80" s="358"/>
      <c r="AF80" s="358"/>
      <c r="AG80" s="358"/>
      <c r="AH80" s="358"/>
      <c r="AI80" s="358"/>
      <c r="AJ80" s="358"/>
      <c r="AK80" s="358"/>
      <c r="AL80" s="358"/>
      <c r="AM80" s="358"/>
    </row>
    <row r="81" spans="1:39" s="360" customFormat="1">
      <c r="A81" s="488" t="s">
        <v>851</v>
      </c>
      <c r="B81" s="786"/>
      <c r="C81" s="2426">
        <f>'12.1.Разходи-увелич.и нам.'!C81</f>
        <v>0</v>
      </c>
      <c r="D81" s="2428">
        <f>'12.1.Разходи-увелич.и нам.'!D81</f>
        <v>0</v>
      </c>
      <c r="E81" s="2429">
        <f>$C81+('12.1.Разходи-увелич.и нам.'!E81+'12.1.Разходи-увелич.и нам.'!F81)</f>
        <v>0</v>
      </c>
      <c r="F81" s="2429">
        <f>$C81+('12.1.Разходи-увелич.и нам.'!G81+'12.1.Разходи-увелич.и нам.'!H81)</f>
        <v>0</v>
      </c>
      <c r="G81" s="2429">
        <f>$C81+('12.1.Разходи-увелич.и нам.'!I81+'12.1.Разходи-увелич.и нам.'!J81)</f>
        <v>0</v>
      </c>
      <c r="H81" s="2429">
        <f>$C81+('12.1.Разходи-увелич.и нам.'!K81+'12.1.Разходи-увелич.и нам.'!L81)</f>
        <v>0</v>
      </c>
      <c r="I81" s="1496">
        <f>$C81+('12.1.Разходи-увелич.и нам.'!M81+'12.1.Разходи-увелич.и нам.'!N81)</f>
        <v>0</v>
      </c>
      <c r="J81" s="2426">
        <f>'12.1.Разходи-увелич.и нам.'!O81</f>
        <v>0</v>
      </c>
      <c r="K81" s="2423">
        <f>'12.1.Разходи-увелич.и нам.'!P81</f>
        <v>0</v>
      </c>
      <c r="L81" s="2424">
        <f>$J81+('12.1.Разходи-увелич.и нам.'!Q81+'12.1.Разходи-увелич.и нам.'!R81)</f>
        <v>0</v>
      </c>
      <c r="M81" s="2424">
        <f>$J81+('12.1.Разходи-увелич.и нам.'!S81+'12.1.Разходи-увелич.и нам.'!T81)</f>
        <v>0</v>
      </c>
      <c r="N81" s="2424">
        <f>$J81+('12.1.Разходи-увелич.и нам.'!U81+'12.1.Разходи-увелич.и нам.'!V81)</f>
        <v>0</v>
      </c>
      <c r="O81" s="2424">
        <f>$J81+('12.1.Разходи-увелич.и нам.'!W81+'12.1.Разходи-увелич.и нам.'!X81)</f>
        <v>0</v>
      </c>
      <c r="P81" s="2425">
        <f>$J81+('12.1.Разходи-увелич.и нам.'!Y81+'12.1.Разходи-увелич.и нам.'!Z81)</f>
        <v>0</v>
      </c>
      <c r="Q81" s="2426">
        <f>'12.1.Разходи-увелич.и нам.'!AA81</f>
        <v>0</v>
      </c>
      <c r="R81" s="2427">
        <f>'12.1.Разходи-увелич.и нам.'!AB81</f>
        <v>0</v>
      </c>
      <c r="S81" s="2424">
        <f>$Q81+('12.1.Разходи-увелич.и нам.'!AC81+'12.1.Разходи-увелич.и нам.'!AD81)</f>
        <v>0</v>
      </c>
      <c r="T81" s="2424">
        <f>$Q81+('12.1.Разходи-увелич.и нам.'!AE81+'12.1.Разходи-увелич.и нам.'!AF81)</f>
        <v>0</v>
      </c>
      <c r="U81" s="2424">
        <f>$Q81+('12.1.Разходи-увелич.и нам.'!AG81+'12.1.Разходи-увелич.и нам.'!AH81)</f>
        <v>0</v>
      </c>
      <c r="V81" s="2424">
        <f>$Q81+('12.1.Разходи-увелич.и нам.'!AI81+'12.1.Разходи-увелич.и нам.'!AJ81)</f>
        <v>0</v>
      </c>
      <c r="W81" s="2425">
        <f>$Q81+('12.1.Разходи-увелич.и нам.'!AK81+'12.1.Разходи-увелич.и нам.'!AL81)</f>
        <v>0</v>
      </c>
      <c r="X81" s="2250"/>
      <c r="Y81" s="2250"/>
      <c r="Z81" s="799"/>
      <c r="AA81" s="786"/>
      <c r="AB81" s="786"/>
      <c r="AC81" s="786"/>
      <c r="AD81" s="795"/>
      <c r="AE81" s="358"/>
      <c r="AF81" s="358"/>
      <c r="AG81" s="358"/>
      <c r="AH81" s="358"/>
      <c r="AI81" s="358"/>
      <c r="AJ81" s="358"/>
      <c r="AK81" s="358"/>
      <c r="AL81" s="358"/>
      <c r="AM81" s="358"/>
    </row>
    <row r="82" spans="1:39" s="360" customFormat="1">
      <c r="A82" s="488" t="s">
        <v>852</v>
      </c>
      <c r="B82" s="786"/>
      <c r="C82" s="2426">
        <f>'12.1.Разходи-увелич.и нам.'!C82</f>
        <v>0</v>
      </c>
      <c r="D82" s="2428">
        <f>'12.1.Разходи-увелич.и нам.'!D82</f>
        <v>0</v>
      </c>
      <c r="E82" s="2429">
        <f>$C82+('12.1.Разходи-увелич.и нам.'!E82+'12.1.Разходи-увелич.и нам.'!F82)</f>
        <v>0</v>
      </c>
      <c r="F82" s="2429">
        <f>$C82+('12.1.Разходи-увелич.и нам.'!G82+'12.1.Разходи-увелич.и нам.'!H82)</f>
        <v>0</v>
      </c>
      <c r="G82" s="2429">
        <f>$C82+('12.1.Разходи-увелич.и нам.'!I82+'12.1.Разходи-увелич.и нам.'!J82)</f>
        <v>0</v>
      </c>
      <c r="H82" s="2429">
        <f>$C82+('12.1.Разходи-увелич.и нам.'!K82+'12.1.Разходи-увелич.и нам.'!L82)</f>
        <v>0</v>
      </c>
      <c r="I82" s="1496">
        <f>$C82+('12.1.Разходи-увелич.и нам.'!M82+'12.1.Разходи-увелич.и нам.'!N82)</f>
        <v>0</v>
      </c>
      <c r="J82" s="2426">
        <f>'12.1.Разходи-увелич.и нам.'!O82</f>
        <v>0</v>
      </c>
      <c r="K82" s="2423">
        <f>'12.1.Разходи-увелич.и нам.'!P82</f>
        <v>0</v>
      </c>
      <c r="L82" s="2424">
        <f>$J82+('12.1.Разходи-увелич.и нам.'!Q82+'12.1.Разходи-увелич.и нам.'!R82)</f>
        <v>0</v>
      </c>
      <c r="M82" s="2424">
        <f>$J82+('12.1.Разходи-увелич.и нам.'!S82+'12.1.Разходи-увелич.и нам.'!T82)</f>
        <v>0</v>
      </c>
      <c r="N82" s="2424">
        <f>$J82+('12.1.Разходи-увелич.и нам.'!U82+'12.1.Разходи-увелич.и нам.'!V82)</f>
        <v>0</v>
      </c>
      <c r="O82" s="2424">
        <f>$J82+('12.1.Разходи-увелич.и нам.'!W82+'12.1.Разходи-увелич.и нам.'!X82)</f>
        <v>0</v>
      </c>
      <c r="P82" s="2425">
        <f>$J82+('12.1.Разходи-увелич.и нам.'!Y82+'12.1.Разходи-увелич.и нам.'!Z82)</f>
        <v>0</v>
      </c>
      <c r="Q82" s="2426">
        <f>'12.1.Разходи-увелич.и нам.'!AA82</f>
        <v>0</v>
      </c>
      <c r="R82" s="2427">
        <f>'12.1.Разходи-увелич.и нам.'!AB82</f>
        <v>0</v>
      </c>
      <c r="S82" s="2424">
        <f>$Q82+('12.1.Разходи-увелич.и нам.'!AC82+'12.1.Разходи-увелич.и нам.'!AD82)</f>
        <v>0</v>
      </c>
      <c r="T82" s="2424">
        <f>$Q82+('12.1.Разходи-увелич.и нам.'!AE82+'12.1.Разходи-увелич.и нам.'!AF82)</f>
        <v>0</v>
      </c>
      <c r="U82" s="2424">
        <f>$Q82+('12.1.Разходи-увелич.и нам.'!AG82+'12.1.Разходи-увелич.и нам.'!AH82)</f>
        <v>0</v>
      </c>
      <c r="V82" s="2424">
        <f>$Q82+('12.1.Разходи-увелич.и нам.'!AI82+'12.1.Разходи-увелич.и нам.'!AJ82)</f>
        <v>0</v>
      </c>
      <c r="W82" s="2425">
        <f>$Q82+('12.1.Разходи-увелич.и нам.'!AK82+'12.1.Разходи-увелич.и нам.'!AL82)</f>
        <v>0</v>
      </c>
      <c r="X82" s="2250"/>
      <c r="Y82" s="2250"/>
      <c r="Z82" s="799"/>
      <c r="AA82" s="786"/>
      <c r="AB82" s="786"/>
      <c r="AC82" s="786"/>
      <c r="AD82" s="795"/>
      <c r="AE82" s="358"/>
      <c r="AF82" s="358"/>
      <c r="AG82" s="358"/>
      <c r="AH82" s="358"/>
      <c r="AI82" s="358"/>
      <c r="AJ82" s="358"/>
      <c r="AK82" s="358"/>
      <c r="AL82" s="358"/>
      <c r="AM82" s="358"/>
    </row>
    <row r="83" spans="1:39" s="360" customFormat="1" ht="15.75" thickBot="1">
      <c r="A83" s="489" t="s">
        <v>853</v>
      </c>
      <c r="B83" s="786"/>
      <c r="C83" s="2426">
        <f>'12.1.Разходи-увелич.и нам.'!C83</f>
        <v>0</v>
      </c>
      <c r="D83" s="2428">
        <f>'12.1.Разходи-увелич.и нам.'!D83</f>
        <v>0</v>
      </c>
      <c r="E83" s="2429">
        <f>$C83+('12.1.Разходи-увелич.и нам.'!E83+'12.1.Разходи-увелич.и нам.'!F83)</f>
        <v>0</v>
      </c>
      <c r="F83" s="2429">
        <f>$C83+('12.1.Разходи-увелич.и нам.'!G83+'12.1.Разходи-увелич.и нам.'!H83)</f>
        <v>0</v>
      </c>
      <c r="G83" s="2429">
        <f>$C83+('12.1.Разходи-увелич.и нам.'!I83+'12.1.Разходи-увелич.и нам.'!J83)</f>
        <v>0</v>
      </c>
      <c r="H83" s="2429">
        <f>$C83+('12.1.Разходи-увелич.и нам.'!K83+'12.1.Разходи-увелич.и нам.'!L83)</f>
        <v>0</v>
      </c>
      <c r="I83" s="1496">
        <f>$C83+('12.1.Разходи-увелич.и нам.'!M83+'12.1.Разходи-увелич.и нам.'!N83)</f>
        <v>0</v>
      </c>
      <c r="J83" s="2426">
        <f>'12.1.Разходи-увелич.и нам.'!O83</f>
        <v>0</v>
      </c>
      <c r="K83" s="2423">
        <f>'12.1.Разходи-увелич.и нам.'!P83</f>
        <v>0</v>
      </c>
      <c r="L83" s="2424">
        <f>$J83+('12.1.Разходи-увелич.и нам.'!Q83+'12.1.Разходи-увелич.и нам.'!R83)</f>
        <v>0</v>
      </c>
      <c r="M83" s="2424">
        <f>$J83+('12.1.Разходи-увелич.и нам.'!S83+'12.1.Разходи-увелич.и нам.'!T83)</f>
        <v>0</v>
      </c>
      <c r="N83" s="2424">
        <f>$J83+('12.1.Разходи-увелич.и нам.'!U83+'12.1.Разходи-увелич.и нам.'!V83)</f>
        <v>0</v>
      </c>
      <c r="O83" s="2424">
        <f>$J83+('12.1.Разходи-увелич.и нам.'!W83+'12.1.Разходи-увелич.и нам.'!X83)</f>
        <v>0</v>
      </c>
      <c r="P83" s="2425">
        <f>$J83+('12.1.Разходи-увелич.и нам.'!Y83+'12.1.Разходи-увелич.и нам.'!Z83)</f>
        <v>0</v>
      </c>
      <c r="Q83" s="2426">
        <f>'12.1.Разходи-увелич.и нам.'!AA83</f>
        <v>0</v>
      </c>
      <c r="R83" s="2427">
        <f>'12.1.Разходи-увелич.и нам.'!AB83</f>
        <v>0</v>
      </c>
      <c r="S83" s="2424">
        <f>$Q83+('12.1.Разходи-увелич.и нам.'!AC83+'12.1.Разходи-увелич.и нам.'!AD83)</f>
        <v>0</v>
      </c>
      <c r="T83" s="2424">
        <f>$Q83+('12.1.Разходи-увелич.и нам.'!AE83+'12.1.Разходи-увелич.и нам.'!AF83)</f>
        <v>0</v>
      </c>
      <c r="U83" s="2424">
        <f>$Q83+('12.1.Разходи-увелич.и нам.'!AG83+'12.1.Разходи-увелич.и нам.'!AH83)</f>
        <v>0</v>
      </c>
      <c r="V83" s="2424">
        <f>$Q83+('12.1.Разходи-увелич.и нам.'!AI83+'12.1.Разходи-увелич.и нам.'!AJ83)</f>
        <v>0</v>
      </c>
      <c r="W83" s="2425">
        <f>$Q83+('12.1.Разходи-увелич.и нам.'!AK83+'12.1.Разходи-увелич.и нам.'!AL83)</f>
        <v>0</v>
      </c>
      <c r="X83" s="2251"/>
      <c r="Y83" s="2251"/>
      <c r="Z83" s="2252"/>
      <c r="AA83" s="2253"/>
      <c r="AB83" s="2253"/>
      <c r="AC83" s="2253"/>
      <c r="AD83" s="2247"/>
      <c r="AE83" s="358"/>
      <c r="AF83" s="358"/>
      <c r="AG83" s="358"/>
      <c r="AH83" s="358"/>
      <c r="AI83" s="358"/>
      <c r="AJ83" s="358"/>
      <c r="AK83" s="358"/>
      <c r="AL83" s="358"/>
      <c r="AM83" s="358"/>
    </row>
    <row r="84" spans="1:39" ht="15.75" thickBot="1">
      <c r="A84" s="3592" t="s">
        <v>342</v>
      </c>
      <c r="B84" s="3593"/>
      <c r="C84" s="2071">
        <f t="shared" ref="C84:AD84" si="16">C11+C28+C53+C57+C61+C66+C72</f>
        <v>17587.050702981396</v>
      </c>
      <c r="D84" s="1051">
        <f t="shared" si="16"/>
        <v>18124.54112040747</v>
      </c>
      <c r="E84" s="1075">
        <f t="shared" si="16"/>
        <v>15882.524977181471</v>
      </c>
      <c r="F84" s="1076">
        <f t="shared" si="16"/>
        <v>15818.788202871179</v>
      </c>
      <c r="G84" s="1076">
        <f t="shared" si="16"/>
        <v>15605.993230088519</v>
      </c>
      <c r="H84" s="1078">
        <f t="shared" si="16"/>
        <v>15386.181892825643</v>
      </c>
      <c r="I84" s="1077">
        <f t="shared" si="16"/>
        <v>15334.403182541793</v>
      </c>
      <c r="J84" s="2071">
        <f t="shared" si="16"/>
        <v>1074.39034870399</v>
      </c>
      <c r="K84" s="1051">
        <f t="shared" si="16"/>
        <v>1291.5914836928609</v>
      </c>
      <c r="L84" s="1095">
        <f t="shared" si="16"/>
        <v>1159.0555618465091</v>
      </c>
      <c r="M84" s="1076">
        <f t="shared" si="16"/>
        <v>1308.3408102397532</v>
      </c>
      <c r="N84" s="1076">
        <f t="shared" si="16"/>
        <v>1323.2710892607956</v>
      </c>
      <c r="O84" s="1076">
        <f t="shared" si="16"/>
        <v>1324.657846600209</v>
      </c>
      <c r="P84" s="1248">
        <f t="shared" si="16"/>
        <v>1323.660580203132</v>
      </c>
      <c r="Q84" s="2071">
        <f t="shared" si="16"/>
        <v>1528.0485269835235</v>
      </c>
      <c r="R84" s="1051">
        <f t="shared" si="16"/>
        <v>1895.1907227425506</v>
      </c>
      <c r="S84" s="1075">
        <f t="shared" si="16"/>
        <v>1986.9163636165413</v>
      </c>
      <c r="T84" s="1076">
        <f t="shared" si="16"/>
        <v>2010.9407373586082</v>
      </c>
      <c r="U84" s="1076">
        <f t="shared" si="16"/>
        <v>2086.4864720791611</v>
      </c>
      <c r="V84" s="1076">
        <f t="shared" si="16"/>
        <v>2105.4556997875225</v>
      </c>
      <c r="W84" s="1248">
        <f t="shared" si="16"/>
        <v>2093.498540682875</v>
      </c>
      <c r="X84" s="1051">
        <f t="shared" si="16"/>
        <v>303</v>
      </c>
      <c r="Y84" s="1051">
        <f t="shared" si="16"/>
        <v>307.02199999999999</v>
      </c>
      <c r="Z84" s="1075">
        <f t="shared" si="16"/>
        <v>319.75900000000001</v>
      </c>
      <c r="AA84" s="1076">
        <f t="shared" si="16"/>
        <v>326.65600000000001</v>
      </c>
      <c r="AB84" s="1076">
        <f t="shared" si="16"/>
        <v>332.63600000000002</v>
      </c>
      <c r="AC84" s="1078">
        <f t="shared" si="16"/>
        <v>338.61599999999999</v>
      </c>
      <c r="AD84" s="1077">
        <f t="shared" si="16"/>
        <v>343.4</v>
      </c>
    </row>
    <row r="85" spans="1:39" ht="15.75" thickBot="1">
      <c r="A85" s="3592" t="s">
        <v>637</v>
      </c>
      <c r="B85" s="3593"/>
      <c r="C85" s="2073"/>
      <c r="D85" s="1096"/>
      <c r="E85" s="2077">
        <f>'12.1.Разходи-увелич.и нам.'!E84+'12.1.Разходи-увелич.и нам.'!F84</f>
        <v>-1821.5029261892651</v>
      </c>
      <c r="F85" s="1097">
        <f>'12.1.Разходи-увелич.и нам.'!G84+'12.1.Разходи-увелич.и нам.'!H84</f>
        <v>-1944.2029897593202</v>
      </c>
      <c r="G85" s="1097">
        <f>'12.1.Разходи-увелич.и нам.'!I84+'12.1.Разходи-увелич.и нам.'!J84</f>
        <v>-2305.8756481355867</v>
      </c>
      <c r="H85" s="1098">
        <f>'12.1.Разходи-увелич.и нам.'!K84+'12.1.Разходи-увелич.и нам.'!L84</f>
        <v>-2593.0852587966224</v>
      </c>
      <c r="I85" s="1099">
        <f>'12.1.Разходи-увелич.и нам.'!M84+'12.1.Разходи-увелич.и нам.'!N84</f>
        <v>-2862.9756978152905</v>
      </c>
      <c r="J85" s="2073"/>
      <c r="K85" s="1096"/>
      <c r="L85" s="2080">
        <f>'12.1.Разходи-увелич.и нам.'!Q84+'12.1.Разходи-увелич.и нам.'!R84</f>
        <v>57.954915498184079</v>
      </c>
      <c r="M85" s="1097">
        <f>'12.1.Разходи-увелич.и нам.'!S84+'12.1.Разходи-увелич.и нам.'!T84</f>
        <v>79.431699524256175</v>
      </c>
      <c r="N85" s="1097">
        <f>'12.1.Разходи-увелич.и нам.'!U84+'12.1.Разходи-увелич.и нам.'!V84</f>
        <v>101.57371424219363</v>
      </c>
      <c r="O85" s="1097">
        <f>'12.1.Разходи-увелич.и нам.'!W84+'12.1.Разходи-увелич.и нам.'!X84</f>
        <v>124.46855746054095</v>
      </c>
      <c r="P85" s="2048">
        <f>'12.1.Разходи-увелич.и нам.'!Y84+'12.1.Разходи-увелич.и нам.'!Z84</f>
        <v>148.14182534831207</v>
      </c>
      <c r="Q85" s="2073"/>
      <c r="R85" s="1096"/>
      <c r="S85" s="2077">
        <f>'12.1.Разходи-увелич.и нам.'!AC84+'12.1.Разходи-увелич.и нам.'!AD84</f>
        <v>114.07703141431067</v>
      </c>
      <c r="T85" s="1097">
        <f>'12.1.Разходи-увелич.и нам.'!AE84+'12.1.Разходи-увелич.и нам.'!AF84</f>
        <v>148.82371211664852</v>
      </c>
      <c r="U85" s="1097">
        <f>'12.1.Разходи-увелич.и нам.'!AG84+'12.1.Разходи-увелич.и нам.'!AH84</f>
        <v>174.20206340057919</v>
      </c>
      <c r="V85" s="1097">
        <f>'12.1.Разходи-увелич.и нам.'!AI84+'12.1.Разходи-увелич.и нам.'!AJ84</f>
        <v>201.96147862816483</v>
      </c>
      <c r="W85" s="2048">
        <f>'12.1.Разходи-увелич.и нам.'!AK84+'12.1.Разходи-увелич.и нам.'!AL84</f>
        <v>227.84551397348841</v>
      </c>
      <c r="X85" s="2083"/>
      <c r="Y85" s="2083"/>
      <c r="Z85" s="2082"/>
      <c r="AA85" s="1100"/>
      <c r="AB85" s="1100"/>
      <c r="AC85" s="1100"/>
      <c r="AD85" s="1101"/>
    </row>
    <row r="86" spans="1:39" s="506" customFormat="1" ht="15.75" thickBot="1">
      <c r="A86" s="2050"/>
      <c r="B86" s="2051" t="s">
        <v>854</v>
      </c>
      <c r="C86" s="2074">
        <f t="shared" ref="C86:AD86" si="17">C23+C46+C59+C63+C65</f>
        <v>1313</v>
      </c>
      <c r="D86" s="1102">
        <f t="shared" si="17"/>
        <v>3018</v>
      </c>
      <c r="E86" s="1103">
        <f t="shared" si="17"/>
        <v>2836.179278919205</v>
      </c>
      <c r="F86" s="1104">
        <f t="shared" si="17"/>
        <v>2790.7065138047151</v>
      </c>
      <c r="G86" s="1104">
        <f t="shared" si="17"/>
        <v>2685.3421832740755</v>
      </c>
      <c r="H86" s="1104">
        <f t="shared" si="17"/>
        <v>2552.3317757651616</v>
      </c>
      <c r="I86" s="1105">
        <f t="shared" si="17"/>
        <v>2444.4707041411775</v>
      </c>
      <c r="J86" s="2074">
        <f t="shared" si="17"/>
        <v>49</v>
      </c>
      <c r="K86" s="1102">
        <f t="shared" si="17"/>
        <v>211</v>
      </c>
      <c r="L86" s="1103">
        <f t="shared" si="17"/>
        <v>207.61986090895681</v>
      </c>
      <c r="M86" s="1104">
        <f t="shared" si="17"/>
        <v>209.66634324157559</v>
      </c>
      <c r="N86" s="1104">
        <f t="shared" si="17"/>
        <v>210.81423452985319</v>
      </c>
      <c r="O86" s="1104">
        <f t="shared" si="17"/>
        <v>210.17115412193226</v>
      </c>
      <c r="P86" s="1105">
        <f t="shared" si="17"/>
        <v>203.74420898014208</v>
      </c>
      <c r="Q86" s="2074">
        <f t="shared" si="17"/>
        <v>51</v>
      </c>
      <c r="R86" s="1102">
        <f t="shared" si="17"/>
        <v>51</v>
      </c>
      <c r="S86" s="1103">
        <f t="shared" si="17"/>
        <v>51</v>
      </c>
      <c r="T86" s="1104">
        <f t="shared" si="17"/>
        <v>51</v>
      </c>
      <c r="U86" s="1104">
        <f t="shared" si="17"/>
        <v>51</v>
      </c>
      <c r="V86" s="1104">
        <f t="shared" si="17"/>
        <v>51</v>
      </c>
      <c r="W86" s="1105">
        <f t="shared" si="17"/>
        <v>51</v>
      </c>
      <c r="X86" s="1102">
        <f t="shared" si="17"/>
        <v>0</v>
      </c>
      <c r="Y86" s="1102">
        <f t="shared" si="17"/>
        <v>0</v>
      </c>
      <c r="Z86" s="1103">
        <f t="shared" si="17"/>
        <v>0</v>
      </c>
      <c r="AA86" s="1104">
        <f t="shared" si="17"/>
        <v>0</v>
      </c>
      <c r="AB86" s="1104">
        <f t="shared" si="17"/>
        <v>0</v>
      </c>
      <c r="AC86" s="1104">
        <f t="shared" si="17"/>
        <v>0</v>
      </c>
      <c r="AD86" s="1105">
        <f t="shared" si="17"/>
        <v>0</v>
      </c>
      <c r="AE86" s="352"/>
      <c r="AF86" s="352"/>
      <c r="AG86" s="352"/>
      <c r="AH86" s="352"/>
      <c r="AI86" s="352"/>
      <c r="AJ86" s="352"/>
      <c r="AK86" s="352"/>
      <c r="AL86" s="352"/>
      <c r="AM86" s="352"/>
    </row>
    <row r="87" spans="1:39" s="506" customFormat="1" ht="15.75" customHeight="1" thickBot="1">
      <c r="A87" s="2050"/>
      <c r="B87" s="2051" t="s">
        <v>855</v>
      </c>
      <c r="C87" s="2075">
        <f t="shared" ref="C87:AD87" si="18">C12+C17+C19+C30+(C47+C48)+(C68+C69+C70)</f>
        <v>9475</v>
      </c>
      <c r="D87" s="1106">
        <f t="shared" si="18"/>
        <v>9578</v>
      </c>
      <c r="E87" s="2078">
        <f t="shared" si="18"/>
        <v>7820.8911980000003</v>
      </c>
      <c r="F87" s="1107">
        <f t="shared" si="18"/>
        <v>7642.7356319417158</v>
      </c>
      <c r="G87" s="1107">
        <f t="shared" si="18"/>
        <v>7291.9146298255801</v>
      </c>
      <c r="H87" s="1107">
        <f t="shared" si="18"/>
        <v>7030.5868884691563</v>
      </c>
      <c r="I87" s="1108">
        <f t="shared" si="18"/>
        <v>6791.3846075798201</v>
      </c>
      <c r="J87" s="2075">
        <f t="shared" si="18"/>
        <v>132</v>
      </c>
      <c r="K87" s="1106">
        <f t="shared" si="18"/>
        <v>124</v>
      </c>
      <c r="L87" s="2078">
        <f t="shared" si="18"/>
        <v>119</v>
      </c>
      <c r="M87" s="1107">
        <f t="shared" si="18"/>
        <v>119</v>
      </c>
      <c r="N87" s="1107">
        <f t="shared" si="18"/>
        <v>119</v>
      </c>
      <c r="O87" s="1107">
        <f t="shared" si="18"/>
        <v>119</v>
      </c>
      <c r="P87" s="1108">
        <f t="shared" si="18"/>
        <v>119</v>
      </c>
      <c r="Q87" s="2075">
        <f t="shared" si="18"/>
        <v>574</v>
      </c>
      <c r="R87" s="1106">
        <f t="shared" si="18"/>
        <v>567</v>
      </c>
      <c r="S87" s="2078">
        <f t="shared" si="18"/>
        <v>470</v>
      </c>
      <c r="T87" s="1107">
        <f t="shared" si="18"/>
        <v>475</v>
      </c>
      <c r="U87" s="1107">
        <f t="shared" si="18"/>
        <v>470</v>
      </c>
      <c r="V87" s="1107">
        <f t="shared" si="18"/>
        <v>467</v>
      </c>
      <c r="W87" s="1108">
        <f t="shared" si="18"/>
        <v>461</v>
      </c>
      <c r="X87" s="1106">
        <f t="shared" si="18"/>
        <v>3</v>
      </c>
      <c r="Y87" s="1106">
        <f t="shared" si="18"/>
        <v>3</v>
      </c>
      <c r="Z87" s="2078">
        <f t="shared" si="18"/>
        <v>3</v>
      </c>
      <c r="AA87" s="1107">
        <f t="shared" si="18"/>
        <v>3</v>
      </c>
      <c r="AB87" s="1107">
        <f t="shared" si="18"/>
        <v>3</v>
      </c>
      <c r="AC87" s="1107">
        <f t="shared" si="18"/>
        <v>3</v>
      </c>
      <c r="AD87" s="1108">
        <f t="shared" si="18"/>
        <v>3</v>
      </c>
      <c r="AE87" s="352"/>
      <c r="AF87" s="352"/>
      <c r="AG87" s="352"/>
      <c r="AH87" s="352"/>
      <c r="AI87" s="352"/>
      <c r="AJ87" s="352"/>
      <c r="AK87" s="352"/>
      <c r="AL87" s="352"/>
      <c r="AM87" s="352"/>
    </row>
    <row r="88" spans="1:39" ht="15.75" thickBot="1">
      <c r="A88" s="2805"/>
      <c r="B88" s="2805"/>
      <c r="C88" s="2806"/>
      <c r="D88" s="2807"/>
      <c r="E88" s="2807"/>
      <c r="F88" s="2807"/>
      <c r="G88" s="2807"/>
      <c r="H88" s="2807"/>
      <c r="I88" s="2808"/>
      <c r="J88" s="2809"/>
      <c r="K88" s="2809"/>
      <c r="L88" s="2809"/>
      <c r="M88" s="2809"/>
      <c r="N88" s="2809"/>
      <c r="O88" s="2809"/>
      <c r="P88" s="2809"/>
      <c r="Q88" s="2809"/>
      <c r="R88" s="2809"/>
      <c r="S88" s="2809"/>
      <c r="T88" s="2809"/>
      <c r="U88" s="2809"/>
      <c r="V88" s="2809"/>
      <c r="W88" s="2810"/>
    </row>
    <row r="89" spans="1:39">
      <c r="A89" s="2805"/>
      <c r="B89" s="3601" t="s">
        <v>1245</v>
      </c>
      <c r="C89" s="3594" t="s">
        <v>270</v>
      </c>
      <c r="D89" s="3595"/>
      <c r="E89" s="3595"/>
      <c r="F89" s="3595"/>
      <c r="G89" s="3595"/>
      <c r="H89" s="3595"/>
      <c r="I89" s="3596"/>
      <c r="J89" s="3597" t="s">
        <v>271</v>
      </c>
      <c r="K89" s="3598"/>
      <c r="L89" s="3598"/>
      <c r="M89" s="3598"/>
      <c r="N89" s="3598"/>
      <c r="O89" s="3598"/>
      <c r="P89" s="3599"/>
      <c r="Q89" s="3600" t="s">
        <v>272</v>
      </c>
      <c r="R89" s="3598"/>
      <c r="S89" s="3598"/>
      <c r="T89" s="3598"/>
      <c r="U89" s="3598"/>
      <c r="V89" s="3598"/>
      <c r="W89" s="3599"/>
    </row>
    <row r="90" spans="1:39" ht="15.75" thickBot="1">
      <c r="A90" s="2805"/>
      <c r="B90" s="3602"/>
      <c r="C90" s="2811" t="str">
        <f t="shared" ref="C90:W90" si="19">C10</f>
        <v>2015 г.</v>
      </c>
      <c r="D90" s="2812" t="str">
        <f t="shared" si="19"/>
        <v>2016 г.</v>
      </c>
      <c r="E90" s="2812" t="str">
        <f t="shared" si="19"/>
        <v>2017 г.</v>
      </c>
      <c r="F90" s="2812" t="str">
        <f t="shared" si="19"/>
        <v>2018 г.</v>
      </c>
      <c r="G90" s="2812" t="str">
        <f t="shared" si="19"/>
        <v>2019 г.</v>
      </c>
      <c r="H90" s="2812" t="str">
        <f t="shared" si="19"/>
        <v>2020 г.</v>
      </c>
      <c r="I90" s="2813" t="str">
        <f t="shared" si="19"/>
        <v>2021 г.</v>
      </c>
      <c r="J90" s="2814" t="str">
        <f t="shared" si="19"/>
        <v>2015 г.</v>
      </c>
      <c r="K90" s="2812" t="str">
        <f t="shared" si="19"/>
        <v>2016 г.</v>
      </c>
      <c r="L90" s="2812" t="str">
        <f t="shared" si="19"/>
        <v>2017 г.</v>
      </c>
      <c r="M90" s="2812" t="str">
        <f t="shared" si="19"/>
        <v>2018 г.</v>
      </c>
      <c r="N90" s="2812" t="str">
        <f t="shared" si="19"/>
        <v>2019 г.</v>
      </c>
      <c r="O90" s="2812" t="str">
        <f t="shared" si="19"/>
        <v>2020 г.</v>
      </c>
      <c r="P90" s="2813" t="str">
        <f t="shared" si="19"/>
        <v>2021 г.</v>
      </c>
      <c r="Q90" s="2811" t="str">
        <f t="shared" si="19"/>
        <v>2015 г.</v>
      </c>
      <c r="R90" s="2812" t="str">
        <f t="shared" si="19"/>
        <v>2016 г.</v>
      </c>
      <c r="S90" s="2812" t="str">
        <f t="shared" si="19"/>
        <v>2017 г.</v>
      </c>
      <c r="T90" s="2812" t="str">
        <f t="shared" si="19"/>
        <v>2018 г.</v>
      </c>
      <c r="U90" s="2812" t="str">
        <f t="shared" si="19"/>
        <v>2019 г.</v>
      </c>
      <c r="V90" s="2812" t="str">
        <f t="shared" si="19"/>
        <v>2020 г.</v>
      </c>
      <c r="W90" s="2813" t="str">
        <f t="shared" si="19"/>
        <v>2021 г.</v>
      </c>
    </row>
    <row r="91" spans="1:39" ht="24.75">
      <c r="A91" s="2805"/>
      <c r="B91" s="2815" t="s">
        <v>1237</v>
      </c>
      <c r="C91" s="2816">
        <f t="shared" ref="C91:W91" si="20">C28-C30</f>
        <v>666.52092341991192</v>
      </c>
      <c r="D91" s="2817">
        <f t="shared" si="20"/>
        <v>1986.03329908559</v>
      </c>
      <c r="E91" s="2817">
        <f t="shared" si="20"/>
        <v>630.63973407568074</v>
      </c>
      <c r="F91" s="2817">
        <f t="shared" si="20"/>
        <v>618.43973407568069</v>
      </c>
      <c r="G91" s="2817">
        <f t="shared" si="20"/>
        <v>585.63973407568074</v>
      </c>
      <c r="H91" s="2817">
        <f t="shared" si="20"/>
        <v>556.03973407568071</v>
      </c>
      <c r="I91" s="2818">
        <f t="shared" si="20"/>
        <v>522.23973407568064</v>
      </c>
      <c r="J91" s="2819">
        <f t="shared" si="20"/>
        <v>173.83727177787011</v>
      </c>
      <c r="K91" s="2817">
        <f t="shared" si="20"/>
        <v>286.17720942749503</v>
      </c>
      <c r="L91" s="2817">
        <f t="shared" si="20"/>
        <v>173.83003197113925</v>
      </c>
      <c r="M91" s="2817">
        <f t="shared" si="20"/>
        <v>173.83003197113925</v>
      </c>
      <c r="N91" s="2817">
        <f t="shared" si="20"/>
        <v>173.83003197113925</v>
      </c>
      <c r="O91" s="2817">
        <f t="shared" si="20"/>
        <v>173.83003197113925</v>
      </c>
      <c r="P91" s="2818">
        <f t="shared" si="20"/>
        <v>173.83003197113925</v>
      </c>
      <c r="Q91" s="2820">
        <f t="shared" si="20"/>
        <v>196.51550892529445</v>
      </c>
      <c r="R91" s="2817">
        <f t="shared" si="20"/>
        <v>286.97338412683001</v>
      </c>
      <c r="S91" s="2817">
        <f t="shared" si="20"/>
        <v>196.15881857337121</v>
      </c>
      <c r="T91" s="2817">
        <f t="shared" si="20"/>
        <v>200.15881857337121</v>
      </c>
      <c r="U91" s="2817">
        <f t="shared" si="20"/>
        <v>201.15881857337121</v>
      </c>
      <c r="V91" s="2817">
        <f t="shared" si="20"/>
        <v>203.15881857337121</v>
      </c>
      <c r="W91" s="2818">
        <f t="shared" si="20"/>
        <v>203.15881857337121</v>
      </c>
    </row>
    <row r="92" spans="1:39">
      <c r="A92" s="2805"/>
      <c r="B92" s="2821" t="s">
        <v>1238</v>
      </c>
      <c r="C92" s="2822">
        <f>C57+C61</f>
        <v>4030</v>
      </c>
      <c r="D92" s="2823">
        <f t="shared" ref="D92:W92" si="21">D57+D61</f>
        <v>4151</v>
      </c>
      <c r="E92" s="2823">
        <f t="shared" si="21"/>
        <v>4036.0870651549658</v>
      </c>
      <c r="F92" s="2823">
        <f t="shared" si="21"/>
        <v>4152.5425676431951</v>
      </c>
      <c r="G92" s="2823">
        <f t="shared" si="21"/>
        <v>4305.6909113830643</v>
      </c>
      <c r="H92" s="2823">
        <f t="shared" si="21"/>
        <v>4427.809042078452</v>
      </c>
      <c r="I92" s="2824">
        <f t="shared" si="21"/>
        <v>4566.120883949121</v>
      </c>
      <c r="J92" s="2825">
        <f t="shared" si="21"/>
        <v>528</v>
      </c>
      <c r="K92" s="2823">
        <f t="shared" si="21"/>
        <v>570</v>
      </c>
      <c r="L92" s="2823">
        <f t="shared" si="21"/>
        <v>598.96215530491497</v>
      </c>
      <c r="M92" s="2823">
        <f t="shared" si="21"/>
        <v>620.43893933098707</v>
      </c>
      <c r="N92" s="2823">
        <f t="shared" si="21"/>
        <v>642.58095404892458</v>
      </c>
      <c r="O92" s="2823">
        <f t="shared" si="21"/>
        <v>665.4757972672719</v>
      </c>
      <c r="P92" s="2824">
        <f t="shared" si="21"/>
        <v>689.14906515504288</v>
      </c>
      <c r="Q92" s="2826">
        <f t="shared" si="21"/>
        <v>618</v>
      </c>
      <c r="R92" s="2823">
        <f t="shared" si="21"/>
        <v>784</v>
      </c>
      <c r="S92" s="2823">
        <f t="shared" si="21"/>
        <v>836.43372176623393</v>
      </c>
      <c r="T92" s="2823">
        <f t="shared" si="21"/>
        <v>866.18040246857163</v>
      </c>
      <c r="U92" s="2823">
        <f t="shared" si="21"/>
        <v>896.55875375250241</v>
      </c>
      <c r="V92" s="2823">
        <f t="shared" si="21"/>
        <v>927.3181689800881</v>
      </c>
      <c r="W92" s="2824">
        <f t="shared" si="21"/>
        <v>959.20220432541169</v>
      </c>
    </row>
    <row r="93" spans="1:39">
      <c r="A93" s="2805"/>
      <c r="B93" s="2821" t="s">
        <v>1239</v>
      </c>
      <c r="C93" s="2822">
        <f>C86</f>
        <v>1313</v>
      </c>
      <c r="D93" s="2823">
        <f t="shared" ref="D93:W93" si="22">D86</f>
        <v>3018</v>
      </c>
      <c r="E93" s="2823">
        <f t="shared" si="22"/>
        <v>2836.179278919205</v>
      </c>
      <c r="F93" s="2823">
        <f t="shared" si="22"/>
        <v>2790.7065138047151</v>
      </c>
      <c r="G93" s="2823">
        <f t="shared" si="22"/>
        <v>2685.3421832740755</v>
      </c>
      <c r="H93" s="2823">
        <f t="shared" si="22"/>
        <v>2552.3317757651616</v>
      </c>
      <c r="I93" s="2824">
        <f t="shared" si="22"/>
        <v>2444.4707041411775</v>
      </c>
      <c r="J93" s="2825">
        <f t="shared" si="22"/>
        <v>49</v>
      </c>
      <c r="K93" s="2823">
        <f t="shared" si="22"/>
        <v>211</v>
      </c>
      <c r="L93" s="2823">
        <f t="shared" si="22"/>
        <v>207.61986090895681</v>
      </c>
      <c r="M93" s="2823">
        <f t="shared" si="22"/>
        <v>209.66634324157559</v>
      </c>
      <c r="N93" s="2823">
        <f t="shared" si="22"/>
        <v>210.81423452985319</v>
      </c>
      <c r="O93" s="2823">
        <f t="shared" si="22"/>
        <v>210.17115412193226</v>
      </c>
      <c r="P93" s="2824">
        <f t="shared" si="22"/>
        <v>203.74420898014208</v>
      </c>
      <c r="Q93" s="2826">
        <f t="shared" si="22"/>
        <v>51</v>
      </c>
      <c r="R93" s="2823">
        <f t="shared" si="22"/>
        <v>51</v>
      </c>
      <c r="S93" s="2823">
        <f t="shared" si="22"/>
        <v>51</v>
      </c>
      <c r="T93" s="2823">
        <f t="shared" si="22"/>
        <v>51</v>
      </c>
      <c r="U93" s="2823">
        <f t="shared" si="22"/>
        <v>51</v>
      </c>
      <c r="V93" s="2823">
        <f t="shared" si="22"/>
        <v>51</v>
      </c>
      <c r="W93" s="2824">
        <f t="shared" si="22"/>
        <v>51</v>
      </c>
    </row>
    <row r="94" spans="1:39" ht="15.75" thickBot="1">
      <c r="A94" s="2805"/>
      <c r="B94" s="2827" t="s">
        <v>1240</v>
      </c>
      <c r="C94" s="2828">
        <f>C87</f>
        <v>9475</v>
      </c>
      <c r="D94" s="2829">
        <f t="shared" ref="D94:W94" si="23">D87</f>
        <v>9578</v>
      </c>
      <c r="E94" s="2829">
        <f t="shared" si="23"/>
        <v>7820.8911980000003</v>
      </c>
      <c r="F94" s="2829">
        <f t="shared" si="23"/>
        <v>7642.7356319417158</v>
      </c>
      <c r="G94" s="2829">
        <f t="shared" si="23"/>
        <v>7291.9146298255801</v>
      </c>
      <c r="H94" s="2829">
        <f t="shared" si="23"/>
        <v>7030.5868884691563</v>
      </c>
      <c r="I94" s="2830">
        <f t="shared" si="23"/>
        <v>6791.3846075798201</v>
      </c>
      <c r="J94" s="2831">
        <f t="shared" si="23"/>
        <v>132</v>
      </c>
      <c r="K94" s="2829">
        <f t="shared" si="23"/>
        <v>124</v>
      </c>
      <c r="L94" s="2829">
        <f t="shared" si="23"/>
        <v>119</v>
      </c>
      <c r="M94" s="2829">
        <f t="shared" si="23"/>
        <v>119</v>
      </c>
      <c r="N94" s="2829">
        <f t="shared" si="23"/>
        <v>119</v>
      </c>
      <c r="O94" s="2829">
        <f t="shared" si="23"/>
        <v>119</v>
      </c>
      <c r="P94" s="2830">
        <f t="shared" si="23"/>
        <v>119</v>
      </c>
      <c r="Q94" s="2828">
        <f t="shared" si="23"/>
        <v>574</v>
      </c>
      <c r="R94" s="2829">
        <f t="shared" si="23"/>
        <v>567</v>
      </c>
      <c r="S94" s="2829">
        <f t="shared" si="23"/>
        <v>470</v>
      </c>
      <c r="T94" s="2829">
        <f t="shared" si="23"/>
        <v>475</v>
      </c>
      <c r="U94" s="2829">
        <f t="shared" si="23"/>
        <v>470</v>
      </c>
      <c r="V94" s="2829">
        <f t="shared" si="23"/>
        <v>467</v>
      </c>
      <c r="W94" s="2830">
        <f t="shared" si="23"/>
        <v>461</v>
      </c>
    </row>
    <row r="95" spans="1:39" ht="6.75" customHeight="1" thickBot="1">
      <c r="A95" s="2805"/>
      <c r="B95" s="2832"/>
      <c r="C95" s="2833"/>
      <c r="D95" s="2834"/>
      <c r="E95" s="2834"/>
      <c r="F95" s="2834"/>
      <c r="G95" s="2834"/>
      <c r="H95" s="2834"/>
      <c r="I95" s="2835"/>
      <c r="J95" s="2836"/>
      <c r="K95" s="2837"/>
      <c r="L95" s="2837"/>
      <c r="M95" s="2837"/>
      <c r="N95" s="2837"/>
      <c r="O95" s="2837"/>
      <c r="P95" s="2838"/>
      <c r="Q95" s="2839"/>
      <c r="R95" s="2837"/>
      <c r="S95" s="2837"/>
      <c r="T95" s="2837"/>
      <c r="U95" s="2837"/>
      <c r="V95" s="2837"/>
      <c r="W95" s="2835"/>
    </row>
    <row r="96" spans="1:39">
      <c r="A96" s="2805"/>
      <c r="B96" s="2840" t="s">
        <v>1232</v>
      </c>
      <c r="C96" s="2841">
        <f>'2. Променливи'!E23</f>
        <v>3403</v>
      </c>
      <c r="D96" s="2842">
        <f>'2. Променливи'!F23</f>
        <v>3403</v>
      </c>
      <c r="E96" s="2842">
        <f>'2. Променливи'!G23</f>
        <v>3404</v>
      </c>
      <c r="F96" s="2842">
        <f>'2. Променливи'!H23</f>
        <v>3404</v>
      </c>
      <c r="G96" s="2842">
        <f>'2. Променливи'!I23</f>
        <v>3404</v>
      </c>
      <c r="H96" s="2842">
        <f>'2. Променливи'!J23</f>
        <v>3405</v>
      </c>
      <c r="I96" s="2843">
        <f>'2. Променливи'!K23</f>
        <v>3405</v>
      </c>
      <c r="J96" s="2844"/>
      <c r="K96" s="2845"/>
      <c r="L96" s="2845"/>
      <c r="M96" s="2845"/>
      <c r="N96" s="2845"/>
      <c r="O96" s="2845"/>
      <c r="P96" s="2846"/>
      <c r="Q96" s="2847"/>
      <c r="R96" s="2845"/>
      <c r="S96" s="2845"/>
      <c r="T96" s="2845"/>
      <c r="U96" s="2845"/>
      <c r="V96" s="2845"/>
      <c r="W96" s="2846"/>
    </row>
    <row r="97" spans="1:30">
      <c r="A97" s="2805"/>
      <c r="B97" s="2848" t="s">
        <v>1233</v>
      </c>
      <c r="C97" s="2849"/>
      <c r="D97" s="2850"/>
      <c r="E97" s="2851"/>
      <c r="F97" s="2851"/>
      <c r="G97" s="2851"/>
      <c r="H97" s="2851"/>
      <c r="I97" s="2852"/>
      <c r="J97" s="2853">
        <f>'2. Променливи'!E29</f>
        <v>254</v>
      </c>
      <c r="K97" s="2854">
        <f>'2. Променливи'!F29</f>
        <v>314</v>
      </c>
      <c r="L97" s="2854">
        <f>'2. Променливи'!G29</f>
        <v>314</v>
      </c>
      <c r="M97" s="2854">
        <f>'2. Променливи'!H29</f>
        <v>314</v>
      </c>
      <c r="N97" s="2854">
        <f>'2. Променливи'!I29</f>
        <v>315</v>
      </c>
      <c r="O97" s="2854">
        <f>'2. Променливи'!J29</f>
        <v>315</v>
      </c>
      <c r="P97" s="2855">
        <f>'2. Променливи'!K29</f>
        <v>316</v>
      </c>
      <c r="Q97" s="2856"/>
      <c r="R97" s="2851"/>
      <c r="S97" s="2851"/>
      <c r="T97" s="2851"/>
      <c r="U97" s="2851"/>
      <c r="V97" s="2851"/>
      <c r="W97" s="2852"/>
    </row>
    <row r="98" spans="1:30">
      <c r="A98" s="2805"/>
      <c r="B98" s="2848" t="s">
        <v>1234</v>
      </c>
      <c r="C98" s="2857">
        <f>'4. Отчет и прогн. потребление'!D10/1000</f>
        <v>47549.510999999999</v>
      </c>
      <c r="D98" s="2854">
        <f>'4. Отчет и прогн. потребление'!E10/1000</f>
        <v>46400</v>
      </c>
      <c r="E98" s="2854">
        <f>'4. Отчет и прогн. потребление'!F10/1000</f>
        <v>42794.5599</v>
      </c>
      <c r="F98" s="2854">
        <f>'4. Отчет и прогн. потребление'!G10/1000</f>
        <v>41836.781597085799</v>
      </c>
      <c r="G98" s="2854">
        <f>'4. Отчет и прогн. потребление'!H10/1000</f>
        <v>40545.731491278995</v>
      </c>
      <c r="H98" s="2854">
        <f>'4. Отчет и прогн. потребление'!I10/1000</f>
        <v>39779.344423457798</v>
      </c>
      <c r="I98" s="2855">
        <f>'4. Отчет и прогн. потребление'!J10/1000</f>
        <v>39169.230378991</v>
      </c>
      <c r="J98" s="2858"/>
      <c r="K98" s="2851"/>
      <c r="L98" s="2851"/>
      <c r="M98" s="2851"/>
      <c r="N98" s="2851"/>
      <c r="O98" s="2851"/>
      <c r="P98" s="2852"/>
      <c r="Q98" s="2856"/>
      <c r="R98" s="2851"/>
      <c r="S98" s="2851"/>
      <c r="T98" s="2851"/>
      <c r="U98" s="2851"/>
      <c r="V98" s="2851"/>
      <c r="W98" s="2852"/>
    </row>
    <row r="99" spans="1:30">
      <c r="A99" s="2805"/>
      <c r="B99" s="2848" t="s">
        <v>1235</v>
      </c>
      <c r="C99" s="2851"/>
      <c r="D99" s="2851"/>
      <c r="E99" s="2851"/>
      <c r="F99" s="2851"/>
      <c r="G99" s="2851"/>
      <c r="H99" s="2851"/>
      <c r="I99" s="2852"/>
      <c r="J99" s="2853">
        <f>'4. Отчет и прогн. потребление'!D53/1000</f>
        <v>4077.0810000000001</v>
      </c>
      <c r="K99" s="2854">
        <f>'4. Отчет и прогн. потребление'!E53/1000</f>
        <v>4071.3969999999999</v>
      </c>
      <c r="L99" s="2854">
        <f>'4. Отчет и прогн. потребление'!F53/1000</f>
        <v>5030.9359999999997</v>
      </c>
      <c r="M99" s="2854">
        <f>'4. Отчет и прогн. потребление'!G53/1000</f>
        <v>5391.6480000000001</v>
      </c>
      <c r="N99" s="2854">
        <f>'4. Отчет и прогн. потребление'!H53/1000</f>
        <v>5432.6480000000001</v>
      </c>
      <c r="O99" s="2854">
        <f>'4. Отчет и прогн. потребление'!I53/1000</f>
        <v>5431.6480000000001</v>
      </c>
      <c r="P99" s="2855">
        <f>'4. Отчет и прогн. потребление'!J53/1000</f>
        <v>5397.6480000000001</v>
      </c>
      <c r="Q99" s="2856"/>
      <c r="R99" s="2851"/>
      <c r="S99" s="2851"/>
      <c r="T99" s="2851"/>
      <c r="U99" s="2851"/>
      <c r="V99" s="2851"/>
      <c r="W99" s="2852"/>
    </row>
    <row r="100" spans="1:30" ht="15.75" thickBot="1">
      <c r="A100" s="2805"/>
      <c r="B100" s="2827" t="s">
        <v>1236</v>
      </c>
      <c r="C100" s="2521"/>
      <c r="D100" s="2521"/>
      <c r="E100" s="2521"/>
      <c r="F100" s="2521"/>
      <c r="G100" s="2521"/>
      <c r="H100" s="2521"/>
      <c r="I100" s="2859"/>
      <c r="J100" s="2860"/>
      <c r="K100" s="2521"/>
      <c r="L100" s="2521"/>
      <c r="M100" s="2521"/>
      <c r="N100" s="2521"/>
      <c r="O100" s="2521"/>
      <c r="P100" s="2859"/>
      <c r="Q100" s="2861">
        <f>'2. Променливи'!E64/1000</f>
        <v>5214.0609999999997</v>
      </c>
      <c r="R100" s="2862">
        <f>'2. Променливи'!F64/1000</f>
        <v>5655</v>
      </c>
      <c r="S100" s="2862">
        <f>'2. Променливи'!G64/1000</f>
        <v>5870</v>
      </c>
      <c r="T100" s="2862">
        <f>'2. Променливи'!H64/1000</f>
        <v>6100</v>
      </c>
      <c r="U100" s="2862">
        <f>'2. Променливи'!I64/1000</f>
        <v>6200</v>
      </c>
      <c r="V100" s="2862">
        <f>'2. Променливи'!J64/1000</f>
        <v>6300</v>
      </c>
      <c r="W100" s="2863">
        <f>'2. Променливи'!K64/1000</f>
        <v>6400</v>
      </c>
    </row>
    <row r="101" spans="1:30" ht="8.25" customHeight="1" thickBot="1">
      <c r="A101" s="2805"/>
      <c r="B101" s="2864"/>
      <c r="C101" s="2865"/>
      <c r="D101" s="2866"/>
      <c r="E101" s="2866"/>
      <c r="F101" s="2866"/>
      <c r="G101" s="2866"/>
      <c r="H101" s="2866"/>
      <c r="I101" s="2867"/>
      <c r="J101" s="2868"/>
      <c r="K101" s="2869"/>
      <c r="L101" s="2869"/>
      <c r="M101" s="2869"/>
      <c r="N101" s="2869"/>
      <c r="O101" s="2869"/>
      <c r="P101" s="2870"/>
      <c r="Q101" s="2871"/>
      <c r="R101" s="2869"/>
      <c r="S101" s="2869"/>
      <c r="T101" s="2869"/>
      <c r="U101" s="2869"/>
      <c r="V101" s="2869"/>
      <c r="W101" s="2872"/>
    </row>
    <row r="102" spans="1:30" ht="48.75">
      <c r="A102" s="2805"/>
      <c r="B102" s="2873" t="s">
        <v>1241</v>
      </c>
      <c r="C102" s="2874">
        <f t="shared" ref="C102:I102" si="24">C91/C96</f>
        <v>0.19586274564205464</v>
      </c>
      <c r="D102" s="2875">
        <f t="shared" si="24"/>
        <v>0.58361248871160443</v>
      </c>
      <c r="E102" s="2875">
        <f t="shared" si="24"/>
        <v>0.18526431670848434</v>
      </c>
      <c r="F102" s="2875">
        <f t="shared" si="24"/>
        <v>0.18168029790707424</v>
      </c>
      <c r="G102" s="2875">
        <f t="shared" si="24"/>
        <v>0.17204457522787331</v>
      </c>
      <c r="H102" s="2875">
        <f t="shared" si="24"/>
        <v>0.16330094980196203</v>
      </c>
      <c r="I102" s="2876">
        <f t="shared" si="24"/>
        <v>0.15337437124102221</v>
      </c>
      <c r="J102" s="2877">
        <f>J91/J97</f>
        <v>0.68439870778689016</v>
      </c>
      <c r="K102" s="2875">
        <f t="shared" ref="K102:P102" si="25">K91/K97</f>
        <v>0.91139238671176759</v>
      </c>
      <c r="L102" s="2875">
        <f t="shared" si="25"/>
        <v>0.55359882793356452</v>
      </c>
      <c r="M102" s="2875">
        <f t="shared" si="25"/>
        <v>0.55359882793356452</v>
      </c>
      <c r="N102" s="2875">
        <f t="shared" si="25"/>
        <v>0.55184137133694999</v>
      </c>
      <c r="O102" s="2875">
        <f t="shared" si="25"/>
        <v>0.55184137133694999</v>
      </c>
      <c r="P102" s="2876">
        <f t="shared" si="25"/>
        <v>0.55009503788335201</v>
      </c>
      <c r="Q102" s="2874">
        <f>Q91/Q100</f>
        <v>3.7689530085147541E-2</v>
      </c>
      <c r="R102" s="2875">
        <f t="shared" ref="R102:W102" si="26">R91/R100</f>
        <v>5.074684069439965E-2</v>
      </c>
      <c r="S102" s="2875">
        <f t="shared" si="26"/>
        <v>3.3417175225446544E-2</v>
      </c>
      <c r="T102" s="2875">
        <f t="shared" si="26"/>
        <v>3.2812921077601837E-2</v>
      </c>
      <c r="U102" s="2875">
        <f t="shared" si="26"/>
        <v>3.2444970737640515E-2</v>
      </c>
      <c r="V102" s="2875">
        <f t="shared" si="26"/>
        <v>3.2247431519582731E-2</v>
      </c>
      <c r="W102" s="2876">
        <f t="shared" si="26"/>
        <v>3.1743565402089252E-2</v>
      </c>
    </row>
    <row r="103" spans="1:30" ht="36.75">
      <c r="A103" s="2805"/>
      <c r="B103" s="2878" t="s">
        <v>1242</v>
      </c>
      <c r="C103" s="2879">
        <f>C92/C96</f>
        <v>1.1842491918895093</v>
      </c>
      <c r="D103" s="2880">
        <f t="shared" ref="D103:I103" si="27">D92/D96</f>
        <v>1.2198060534822215</v>
      </c>
      <c r="E103" s="2880">
        <f t="shared" si="27"/>
        <v>1.1856895021019289</v>
      </c>
      <c r="F103" s="2880">
        <f t="shared" si="27"/>
        <v>1.2199008718105744</v>
      </c>
      <c r="G103" s="2880">
        <f t="shared" si="27"/>
        <v>1.2648915720866816</v>
      </c>
      <c r="H103" s="2880">
        <f t="shared" si="27"/>
        <v>1.3003844470127612</v>
      </c>
      <c r="I103" s="2881">
        <f t="shared" si="27"/>
        <v>1.3410046648896097</v>
      </c>
      <c r="J103" s="2882">
        <f>J92/J97</f>
        <v>2.0787401574803148</v>
      </c>
      <c r="K103" s="2880">
        <f t="shared" ref="K103:P103" si="28">K92/K97</f>
        <v>1.8152866242038217</v>
      </c>
      <c r="L103" s="2880">
        <f t="shared" si="28"/>
        <v>1.9075227875952707</v>
      </c>
      <c r="M103" s="2880">
        <f t="shared" si="28"/>
        <v>1.975920188952188</v>
      </c>
      <c r="N103" s="2880">
        <f t="shared" si="28"/>
        <v>2.0399395366632525</v>
      </c>
      <c r="O103" s="2880">
        <f t="shared" si="28"/>
        <v>2.1126215786262601</v>
      </c>
      <c r="P103" s="2881">
        <f t="shared" si="28"/>
        <v>2.1808514720096293</v>
      </c>
      <c r="Q103" s="2879">
        <f>Q92/Q100</f>
        <v>0.11852565591388364</v>
      </c>
      <c r="R103" s="2880">
        <f t="shared" ref="R103:W103" si="29">R92/R100</f>
        <v>0.13863837312113175</v>
      </c>
      <c r="S103" s="2880">
        <f t="shared" si="29"/>
        <v>0.14249296793291891</v>
      </c>
      <c r="T103" s="2880">
        <f t="shared" si="29"/>
        <v>0.14199678728992979</v>
      </c>
      <c r="U103" s="2880">
        <f t="shared" si="29"/>
        <v>0.14460625060524232</v>
      </c>
      <c r="V103" s="2880">
        <f t="shared" si="29"/>
        <v>0.14719336015556955</v>
      </c>
      <c r="W103" s="2881">
        <f t="shared" si="29"/>
        <v>0.14987534442584557</v>
      </c>
    </row>
    <row r="104" spans="1:30" ht="24.75">
      <c r="A104" s="2805"/>
      <c r="B104" s="2878" t="s">
        <v>1243</v>
      </c>
      <c r="C104" s="2879">
        <f>C93/C96</f>
        <v>0.38583602703496916</v>
      </c>
      <c r="D104" s="2880">
        <f t="shared" ref="D104:I104" si="30">D93/D96</f>
        <v>0.88686453129591536</v>
      </c>
      <c r="E104" s="2880">
        <f t="shared" si="30"/>
        <v>0.83319015244394978</v>
      </c>
      <c r="F104" s="2880">
        <f t="shared" si="30"/>
        <v>0.81983152579456964</v>
      </c>
      <c r="G104" s="2880">
        <f t="shared" si="30"/>
        <v>0.78887843221917608</v>
      </c>
      <c r="H104" s="2880">
        <f t="shared" si="30"/>
        <v>0.74958348774307249</v>
      </c>
      <c r="I104" s="2881">
        <f t="shared" si="30"/>
        <v>0.71790622735423715</v>
      </c>
      <c r="J104" s="2882">
        <f>J93/J97</f>
        <v>0.19291338582677164</v>
      </c>
      <c r="K104" s="2880">
        <f t="shared" ref="K104:P104" si="31">K93/K97</f>
        <v>0.67197452229299359</v>
      </c>
      <c r="L104" s="2880">
        <f t="shared" si="31"/>
        <v>0.66120974811769684</v>
      </c>
      <c r="M104" s="2880">
        <f t="shared" si="31"/>
        <v>0.66772720777571848</v>
      </c>
      <c r="N104" s="2880">
        <f t="shared" si="31"/>
        <v>0.66925153819001015</v>
      </c>
      <c r="O104" s="2880">
        <f t="shared" si="31"/>
        <v>0.66721001308549921</v>
      </c>
      <c r="P104" s="2881">
        <f t="shared" si="31"/>
        <v>0.64476015500044959</v>
      </c>
      <c r="Q104" s="2879">
        <f>Q93/Q100</f>
        <v>9.7812434492039902E-3</v>
      </c>
      <c r="R104" s="2880">
        <f t="shared" ref="R104:W104" si="32">R93/R100</f>
        <v>9.0185676392572946E-3</v>
      </c>
      <c r="S104" s="2880">
        <f t="shared" si="32"/>
        <v>8.68824531516184E-3</v>
      </c>
      <c r="T104" s="2880">
        <f t="shared" si="32"/>
        <v>8.3606557377049178E-3</v>
      </c>
      <c r="U104" s="2880">
        <f t="shared" si="32"/>
        <v>8.2258064516129038E-3</v>
      </c>
      <c r="V104" s="2880">
        <f t="shared" si="32"/>
        <v>8.0952380952380946E-3</v>
      </c>
      <c r="W104" s="2881">
        <f t="shared" si="32"/>
        <v>7.9687500000000001E-3</v>
      </c>
    </row>
    <row r="105" spans="1:30" ht="37.5" thickBot="1">
      <c r="A105" s="2805"/>
      <c r="B105" s="2883" t="s">
        <v>1244</v>
      </c>
      <c r="C105" s="2884">
        <f>C94/C98</f>
        <v>0.19926598193617595</v>
      </c>
      <c r="D105" s="2885">
        <f t="shared" ref="D105:I105" si="33">D94/D98</f>
        <v>0.20642241379310344</v>
      </c>
      <c r="E105" s="2885">
        <f t="shared" si="33"/>
        <v>0.18275433177196898</v>
      </c>
      <c r="F105" s="2885">
        <f t="shared" si="33"/>
        <v>0.18267981761948154</v>
      </c>
      <c r="G105" s="2885">
        <f t="shared" si="33"/>
        <v>0.17984419966363172</v>
      </c>
      <c r="H105" s="2885">
        <f t="shared" si="33"/>
        <v>0.17673963687353364</v>
      </c>
      <c r="I105" s="2886">
        <f t="shared" si="33"/>
        <v>0.17338570459179817</v>
      </c>
      <c r="J105" s="2887">
        <f>J94/J99</f>
        <v>3.237610437467394E-2</v>
      </c>
      <c r="K105" s="2885">
        <f t="shared" ref="K105:P105" si="34">K94/K99</f>
        <v>3.0456376521375832E-2</v>
      </c>
      <c r="L105" s="2885">
        <f t="shared" si="34"/>
        <v>2.3653650135879289E-2</v>
      </c>
      <c r="M105" s="2885">
        <f t="shared" si="34"/>
        <v>2.2071173785825779E-2</v>
      </c>
      <c r="N105" s="2885">
        <f t="shared" si="34"/>
        <v>2.1904603427278926E-2</v>
      </c>
      <c r="O105" s="2885">
        <f t="shared" si="34"/>
        <v>2.1908636200283965E-2</v>
      </c>
      <c r="P105" s="2886">
        <f t="shared" si="34"/>
        <v>2.2046639573384555E-2</v>
      </c>
      <c r="Q105" s="2884">
        <f>Q94/Q100</f>
        <v>0.1100869360753547</v>
      </c>
      <c r="R105" s="2885">
        <f t="shared" ref="R105:W105" si="35">R94/R100</f>
        <v>0.10026525198938992</v>
      </c>
      <c r="S105" s="2885">
        <f t="shared" si="35"/>
        <v>8.006814310051108E-2</v>
      </c>
      <c r="T105" s="2885">
        <f t="shared" si="35"/>
        <v>7.7868852459016397E-2</v>
      </c>
      <c r="U105" s="2885">
        <f t="shared" si="35"/>
        <v>7.5806451612903225E-2</v>
      </c>
      <c r="V105" s="2885">
        <f t="shared" si="35"/>
        <v>7.4126984126984125E-2</v>
      </c>
      <c r="W105" s="2886">
        <f t="shared" si="35"/>
        <v>7.2031250000000005E-2</v>
      </c>
    </row>
    <row r="106" spans="1:30" ht="18.75" customHeight="1">
      <c r="C106" s="1196"/>
      <c r="D106" s="1196"/>
      <c r="E106" s="1196"/>
      <c r="F106" s="1196"/>
      <c r="G106" s="1196"/>
      <c r="H106" s="1196"/>
      <c r="I106" s="1196"/>
      <c r="J106" s="366"/>
      <c r="K106" s="366"/>
      <c r="L106" s="366"/>
      <c r="M106" s="366"/>
      <c r="N106" s="366"/>
      <c r="O106" s="366"/>
      <c r="P106" s="366"/>
      <c r="Q106" s="366"/>
      <c r="R106" s="366"/>
      <c r="S106" s="366"/>
      <c r="T106" s="366"/>
      <c r="U106" s="366"/>
      <c r="V106" s="366"/>
    </row>
    <row r="107" spans="1:30">
      <c r="J107" s="366"/>
      <c r="K107" s="366"/>
      <c r="L107" s="366"/>
      <c r="M107" s="366"/>
      <c r="N107" s="366"/>
      <c r="O107" s="366"/>
      <c r="P107" s="366"/>
      <c r="Q107" s="366"/>
      <c r="R107" s="366"/>
      <c r="S107" s="366"/>
      <c r="T107" s="366"/>
      <c r="U107" s="366"/>
      <c r="V107" s="366"/>
    </row>
    <row r="108" spans="1:30">
      <c r="A108" s="367"/>
      <c r="B108" s="368" t="str">
        <f>'11.1.Амортиз.нови активи'!C115</f>
        <v>Дата: 10.11.2017 г.</v>
      </c>
      <c r="W108" s="338"/>
      <c r="X108" s="338"/>
      <c r="Y108" s="338"/>
      <c r="Z108" s="338"/>
      <c r="AA108" s="338"/>
      <c r="AB108" s="338"/>
      <c r="AC108" s="338"/>
      <c r="AD108" s="338"/>
    </row>
    <row r="109" spans="1:30">
      <c r="A109" s="367"/>
      <c r="B109" s="367"/>
      <c r="C109" s="369"/>
      <c r="D109" s="369"/>
      <c r="E109" s="369"/>
      <c r="F109" s="369"/>
      <c r="G109" s="369"/>
      <c r="H109" s="369"/>
      <c r="I109" s="369"/>
      <c r="J109" s="369"/>
      <c r="K109" s="369"/>
      <c r="L109" s="369"/>
      <c r="M109" s="369"/>
      <c r="N109" s="369"/>
      <c r="O109" s="369"/>
      <c r="P109" s="369"/>
      <c r="Q109" s="369"/>
      <c r="R109" s="369"/>
      <c r="S109" s="369"/>
      <c r="T109" s="369"/>
      <c r="U109" s="369"/>
      <c r="V109" s="369"/>
      <c r="W109" s="259"/>
      <c r="X109" s="350" t="str">
        <f>'11.1.Амортиз.нови активи'!U112</f>
        <v>Главен счетоводител:</v>
      </c>
      <c r="Y109" s="339"/>
      <c r="Z109" s="289"/>
      <c r="AA109" s="219" t="s">
        <v>262</v>
      </c>
      <c r="AB109" s="199"/>
      <c r="AC109" s="217"/>
      <c r="AD109" s="259"/>
    </row>
    <row r="110" spans="1:30">
      <c r="A110" s="367"/>
      <c r="B110" s="367"/>
      <c r="C110" s="369"/>
      <c r="D110" s="369"/>
      <c r="E110" s="369"/>
      <c r="F110" s="369"/>
      <c r="G110" s="369"/>
      <c r="H110" s="369"/>
      <c r="I110" s="369"/>
      <c r="J110" s="369"/>
      <c r="K110" s="369"/>
      <c r="L110" s="369"/>
      <c r="M110" s="369"/>
      <c r="N110" s="369"/>
      <c r="O110" s="369"/>
      <c r="P110" s="369"/>
      <c r="Q110" s="369"/>
      <c r="R110" s="369"/>
      <c r="S110" s="369"/>
      <c r="T110" s="369"/>
      <c r="U110" s="369"/>
      <c r="V110" s="369"/>
      <c r="W110" s="259"/>
      <c r="X110" s="259"/>
      <c r="Y110" s="288"/>
      <c r="Z110" s="220"/>
      <c r="AA110" s="290"/>
      <c r="AB110" s="291" t="s">
        <v>5</v>
      </c>
      <c r="AC110" s="217"/>
      <c r="AD110" s="259"/>
    </row>
    <row r="111" spans="1:30">
      <c r="A111" s="367"/>
      <c r="B111" s="367"/>
      <c r="C111" s="369"/>
      <c r="D111" s="369"/>
      <c r="E111" s="369"/>
      <c r="F111" s="369"/>
      <c r="G111" s="369"/>
      <c r="H111" s="369"/>
      <c r="I111" s="369"/>
      <c r="J111" s="369"/>
      <c r="K111" s="369"/>
      <c r="L111" s="369"/>
      <c r="M111" s="369"/>
      <c r="N111" s="369"/>
      <c r="O111" s="369"/>
      <c r="P111" s="369"/>
      <c r="Q111" s="369"/>
      <c r="R111" s="369"/>
      <c r="S111" s="369"/>
      <c r="T111" s="369"/>
      <c r="U111" s="369"/>
      <c r="V111" s="369"/>
      <c r="W111" s="259"/>
      <c r="X111" s="259"/>
      <c r="Y111" s="288"/>
      <c r="Z111" s="220"/>
      <c r="AA111" s="290"/>
      <c r="AB111" s="291"/>
      <c r="AC111" s="217"/>
      <c r="AD111" s="259"/>
    </row>
    <row r="112" spans="1:30">
      <c r="A112" s="367"/>
      <c r="B112" s="367"/>
      <c r="C112" s="369"/>
      <c r="D112" s="369"/>
      <c r="E112" s="369"/>
      <c r="F112" s="369"/>
      <c r="G112" s="369"/>
      <c r="H112" s="369"/>
      <c r="I112" s="369"/>
      <c r="J112" s="369"/>
      <c r="K112" s="369"/>
      <c r="L112" s="369"/>
      <c r="M112" s="369"/>
      <c r="N112" s="369"/>
      <c r="O112" s="369"/>
      <c r="P112" s="369"/>
      <c r="Q112" s="369"/>
      <c r="R112" s="369"/>
      <c r="S112" s="369"/>
      <c r="T112" s="369"/>
      <c r="U112" s="369"/>
      <c r="V112" s="369"/>
      <c r="W112" s="259"/>
      <c r="X112" s="259"/>
      <c r="Y112" s="288"/>
      <c r="Z112" s="220"/>
      <c r="AA112" s="290"/>
      <c r="AB112" s="291"/>
      <c r="AC112" s="217"/>
      <c r="AD112" s="259"/>
    </row>
    <row r="113" spans="1:30" s="352" customFormat="1">
      <c r="C113" s="369"/>
      <c r="D113" s="369"/>
      <c r="E113" s="369"/>
      <c r="F113" s="369"/>
      <c r="G113" s="369"/>
      <c r="H113" s="369"/>
      <c r="I113" s="369"/>
      <c r="J113" s="369"/>
      <c r="K113" s="369"/>
      <c r="L113" s="369"/>
      <c r="M113" s="369"/>
      <c r="N113" s="369"/>
      <c r="O113" s="369"/>
      <c r="P113" s="369"/>
      <c r="Q113" s="369"/>
      <c r="R113" s="369"/>
      <c r="S113" s="369"/>
      <c r="T113" s="369"/>
      <c r="U113" s="369"/>
      <c r="V113" s="369"/>
      <c r="W113" s="259"/>
      <c r="X113" s="259"/>
      <c r="Y113" s="288"/>
      <c r="Z113" s="220"/>
      <c r="AA113" s="290"/>
      <c r="AB113" s="291"/>
      <c r="AC113" s="217"/>
      <c r="AD113" s="259"/>
    </row>
    <row r="114" spans="1:30" s="352" customFormat="1">
      <c r="C114" s="370"/>
      <c r="D114" s="370"/>
      <c r="E114" s="370"/>
      <c r="F114" s="370"/>
      <c r="G114" s="370"/>
      <c r="H114" s="370"/>
      <c r="I114" s="370"/>
      <c r="J114" s="370"/>
      <c r="K114" s="370"/>
      <c r="L114" s="370"/>
      <c r="M114" s="370"/>
      <c r="N114" s="370"/>
      <c r="O114" s="370"/>
      <c r="P114" s="370"/>
      <c r="Q114" s="370"/>
      <c r="R114" s="370"/>
      <c r="S114" s="370"/>
      <c r="T114" s="370"/>
      <c r="U114" s="370"/>
      <c r="V114" s="369"/>
      <c r="W114" s="259"/>
      <c r="X114" s="261" t="str">
        <f>'11.1.Амортиз.нови активи'!V118</f>
        <v>Управител:</v>
      </c>
      <c r="Y114" s="292"/>
      <c r="Z114" s="259"/>
      <c r="AA114" s="219" t="s">
        <v>262</v>
      </c>
      <c r="AB114" s="199"/>
      <c r="AC114" s="217"/>
      <c r="AD114" s="259"/>
    </row>
    <row r="115" spans="1:30" s="352" customFormat="1">
      <c r="A115" s="188"/>
      <c r="B115" s="381" t="s">
        <v>247</v>
      </c>
      <c r="C115" s="353"/>
      <c r="D115" s="353"/>
      <c r="E115" s="353"/>
      <c r="F115" s="353"/>
      <c r="G115" s="353"/>
      <c r="H115" s="353"/>
      <c r="I115" s="353"/>
      <c r="J115" s="353"/>
      <c r="K115" s="353"/>
      <c r="L115" s="353"/>
      <c r="M115" s="353"/>
      <c r="N115" s="353"/>
      <c r="O115" s="353"/>
      <c r="P115" s="353"/>
      <c r="Q115" s="353"/>
      <c r="R115" s="353"/>
      <c r="S115" s="353"/>
      <c r="T115" s="353"/>
      <c r="U115" s="353"/>
      <c r="V115" s="353"/>
      <c r="W115" s="259"/>
      <c r="Y115" s="288"/>
      <c r="Z115" s="293"/>
      <c r="AA115" s="290"/>
      <c r="AB115" s="291" t="s">
        <v>6</v>
      </c>
      <c r="AC115" s="217"/>
      <c r="AD115" s="259"/>
    </row>
    <row r="116" spans="1:30" s="352" customFormat="1">
      <c r="B116" s="3066" t="s">
        <v>1536</v>
      </c>
      <c r="C116" s="353"/>
      <c r="D116" s="353"/>
      <c r="E116" s="353"/>
      <c r="F116" s="353"/>
      <c r="G116" s="353"/>
      <c r="H116" s="353"/>
      <c r="I116" s="353"/>
      <c r="J116" s="353"/>
      <c r="K116" s="353"/>
      <c r="L116" s="353"/>
      <c r="M116" s="353"/>
      <c r="N116" s="353"/>
      <c r="O116" s="353"/>
      <c r="P116" s="353"/>
      <c r="Q116" s="353"/>
      <c r="R116" s="353"/>
      <c r="S116" s="353"/>
      <c r="T116" s="353"/>
      <c r="U116" s="353"/>
      <c r="V116" s="353"/>
      <c r="W116" s="353"/>
      <c r="X116" s="353"/>
      <c r="Y116" s="353"/>
      <c r="Z116" s="365"/>
      <c r="AA116" s="365"/>
      <c r="AB116" s="365"/>
      <c r="AC116" s="365"/>
      <c r="AD116" s="365"/>
    </row>
    <row r="117" spans="1:30" s="352" customFormat="1">
      <c r="B117" s="3094" t="s">
        <v>1535</v>
      </c>
      <c r="C117" s="353"/>
      <c r="D117" s="353"/>
      <c r="E117" s="353"/>
      <c r="F117" s="353"/>
      <c r="G117" s="353"/>
      <c r="H117" s="353"/>
      <c r="I117" s="353"/>
      <c r="J117" s="353"/>
      <c r="K117" s="353"/>
      <c r="L117" s="353"/>
      <c r="M117" s="353"/>
      <c r="N117" s="353"/>
      <c r="O117" s="353"/>
      <c r="P117" s="353"/>
      <c r="Q117" s="353"/>
      <c r="R117" s="353"/>
      <c r="S117" s="353"/>
      <c r="T117" s="353"/>
      <c r="U117" s="353"/>
      <c r="V117" s="353"/>
      <c r="W117" s="353"/>
      <c r="X117" s="353"/>
      <c r="Y117" s="353"/>
      <c r="Z117" s="365"/>
      <c r="AA117" s="365"/>
      <c r="AB117" s="365"/>
      <c r="AC117" s="365"/>
      <c r="AD117" s="365"/>
    </row>
    <row r="118" spans="1:30" s="352" customFormat="1">
      <c r="A118" s="372"/>
      <c r="B118" s="649"/>
      <c r="C118" s="648"/>
      <c r="D118" s="648"/>
      <c r="E118" s="648"/>
      <c r="F118" s="648"/>
      <c r="G118" s="648"/>
      <c r="H118" s="373"/>
      <c r="I118" s="373"/>
      <c r="J118" s="373"/>
      <c r="K118" s="373"/>
      <c r="L118" s="373"/>
      <c r="M118" s="373"/>
      <c r="N118" s="373"/>
      <c r="O118" s="373"/>
      <c r="P118" s="373"/>
      <c r="Q118" s="365"/>
      <c r="R118" s="365"/>
      <c r="S118" s="365"/>
      <c r="T118" s="365"/>
      <c r="U118" s="365"/>
      <c r="V118" s="365"/>
      <c r="W118" s="365"/>
      <c r="X118" s="365"/>
      <c r="Y118" s="365"/>
      <c r="Z118" s="365"/>
      <c r="AA118" s="365"/>
      <c r="AB118" s="365"/>
    </row>
    <row r="119" spans="1:30" s="352" customFormat="1" ht="29.25" customHeight="1">
      <c r="A119" s="364"/>
      <c r="B119" s="3591"/>
      <c r="C119" s="614"/>
      <c r="D119" s="614"/>
      <c r="E119" s="614"/>
      <c r="F119" s="614"/>
      <c r="G119" s="614"/>
      <c r="H119" s="365"/>
      <c r="I119" s="365"/>
      <c r="J119" s="365"/>
      <c r="K119" s="365"/>
      <c r="L119" s="365"/>
      <c r="M119" s="365"/>
      <c r="N119" s="365"/>
      <c r="O119" s="365"/>
      <c r="P119" s="365"/>
      <c r="Q119" s="365"/>
      <c r="R119" s="365"/>
      <c r="S119" s="365"/>
      <c r="T119" s="365"/>
      <c r="U119" s="365"/>
      <c r="V119" s="365"/>
      <c r="W119" s="365"/>
      <c r="X119" s="365"/>
      <c r="Y119" s="365"/>
      <c r="Z119" s="365"/>
      <c r="AA119" s="365"/>
      <c r="AB119" s="353"/>
    </row>
    <row r="120" spans="1:30" s="352" customFormat="1">
      <c r="A120" s="364"/>
      <c r="B120" s="3591"/>
      <c r="C120" s="614"/>
      <c r="D120" s="614"/>
      <c r="E120" s="614"/>
      <c r="F120" s="614"/>
      <c r="G120" s="614"/>
      <c r="H120" s="365"/>
      <c r="I120" s="365"/>
      <c r="J120" s="365"/>
      <c r="K120" s="365"/>
      <c r="L120" s="365"/>
      <c r="M120" s="365"/>
      <c r="N120" s="365"/>
      <c r="O120" s="365"/>
      <c r="P120" s="365"/>
      <c r="Q120" s="365"/>
      <c r="R120" s="365"/>
      <c r="S120" s="365"/>
      <c r="T120" s="365"/>
      <c r="U120" s="365"/>
      <c r="V120" s="365"/>
      <c r="W120" s="365"/>
      <c r="X120" s="365"/>
      <c r="Y120" s="365"/>
      <c r="Z120" s="365"/>
      <c r="AA120" s="365"/>
      <c r="AB120" s="365"/>
    </row>
    <row r="121" spans="1:30" s="352" customFormat="1">
      <c r="A121" s="364"/>
      <c r="B121" s="364"/>
      <c r="C121" s="365"/>
      <c r="D121" s="365"/>
      <c r="E121" s="365"/>
      <c r="F121" s="365"/>
      <c r="G121" s="365"/>
      <c r="H121" s="365"/>
      <c r="I121" s="365"/>
      <c r="J121" s="365"/>
      <c r="K121" s="365"/>
      <c r="L121" s="365"/>
      <c r="M121" s="365"/>
      <c r="N121" s="365"/>
      <c r="O121" s="365"/>
      <c r="P121" s="365"/>
      <c r="Q121" s="365"/>
      <c r="R121" s="365"/>
      <c r="S121" s="365"/>
      <c r="T121" s="365"/>
      <c r="U121" s="365"/>
      <c r="V121" s="365"/>
      <c r="W121" s="365"/>
      <c r="X121" s="365"/>
      <c r="Y121" s="365"/>
      <c r="Z121" s="365"/>
      <c r="AA121" s="365"/>
      <c r="AB121" s="365"/>
      <c r="AC121" s="365"/>
      <c r="AD121" s="365"/>
    </row>
    <row r="122" spans="1:30" s="352" customFormat="1">
      <c r="A122" s="364"/>
      <c r="B122" s="364"/>
      <c r="C122" s="365"/>
      <c r="D122" s="365"/>
      <c r="E122" s="365"/>
      <c r="F122" s="365"/>
      <c r="G122" s="365"/>
      <c r="H122" s="365"/>
      <c r="I122" s="365"/>
      <c r="J122" s="365"/>
      <c r="K122" s="365"/>
      <c r="L122" s="365"/>
      <c r="M122" s="365"/>
      <c r="N122" s="365"/>
      <c r="O122" s="365"/>
      <c r="P122" s="365"/>
      <c r="Q122" s="365"/>
      <c r="R122" s="365"/>
      <c r="S122" s="365"/>
      <c r="T122" s="365"/>
      <c r="U122" s="365"/>
      <c r="V122" s="365"/>
      <c r="W122" s="365"/>
      <c r="X122" s="365"/>
      <c r="Y122" s="365"/>
      <c r="Z122" s="365"/>
      <c r="AA122" s="365"/>
      <c r="AB122" s="365"/>
      <c r="AC122" s="365"/>
      <c r="AD122" s="365"/>
    </row>
    <row r="123" spans="1:30" s="352" customFormat="1">
      <c r="A123" s="364"/>
      <c r="B123" s="364"/>
      <c r="C123" s="365"/>
      <c r="D123" s="365"/>
      <c r="E123" s="365"/>
      <c r="F123" s="365"/>
      <c r="G123" s="365"/>
      <c r="H123" s="365"/>
      <c r="I123" s="365"/>
      <c r="J123" s="365"/>
      <c r="K123" s="365"/>
      <c r="L123" s="365"/>
      <c r="M123" s="365"/>
      <c r="N123" s="365"/>
      <c r="O123" s="365"/>
      <c r="P123" s="365"/>
      <c r="Q123" s="365"/>
      <c r="R123" s="365"/>
      <c r="S123" s="365"/>
      <c r="T123" s="365"/>
      <c r="U123" s="365"/>
      <c r="V123" s="365"/>
      <c r="W123" s="365"/>
      <c r="X123" s="365"/>
      <c r="Y123" s="365"/>
      <c r="Z123" s="365"/>
      <c r="AA123" s="365"/>
      <c r="AB123" s="365"/>
      <c r="AC123" s="365"/>
      <c r="AD123" s="365"/>
    </row>
    <row r="124" spans="1:30" s="352" customFormat="1">
      <c r="A124" s="364"/>
      <c r="B124" s="364"/>
      <c r="C124" s="365"/>
      <c r="D124" s="365"/>
      <c r="E124" s="365"/>
      <c r="F124" s="365"/>
      <c r="G124" s="365"/>
      <c r="H124" s="365"/>
      <c r="I124" s="365"/>
      <c r="J124" s="365"/>
      <c r="K124" s="365"/>
      <c r="L124" s="365"/>
      <c r="M124" s="365"/>
      <c r="N124" s="365"/>
      <c r="O124" s="365"/>
      <c r="P124" s="365"/>
      <c r="Q124" s="365"/>
      <c r="R124" s="365"/>
      <c r="S124" s="365"/>
      <c r="T124" s="365"/>
      <c r="U124" s="365"/>
      <c r="V124" s="365"/>
      <c r="W124" s="365"/>
      <c r="X124" s="365"/>
      <c r="Y124" s="365"/>
      <c r="Z124" s="365"/>
      <c r="AA124" s="365"/>
      <c r="AB124" s="365"/>
      <c r="AC124" s="365"/>
      <c r="AD124" s="373"/>
    </row>
    <row r="125" spans="1:30" s="352" customFormat="1">
      <c r="A125" s="364"/>
      <c r="B125" s="364"/>
      <c r="C125" s="365"/>
      <c r="D125" s="365"/>
      <c r="E125" s="365"/>
      <c r="F125" s="365"/>
      <c r="G125" s="365"/>
      <c r="H125" s="365"/>
      <c r="I125" s="365"/>
      <c r="J125" s="365"/>
      <c r="K125" s="365"/>
      <c r="L125" s="365"/>
      <c r="M125" s="365"/>
      <c r="N125" s="365"/>
      <c r="O125" s="365"/>
      <c r="P125" s="365"/>
      <c r="Q125" s="365"/>
      <c r="R125" s="365"/>
      <c r="S125" s="365"/>
      <c r="T125" s="365"/>
      <c r="U125" s="365"/>
      <c r="V125" s="365"/>
      <c r="W125" s="365"/>
      <c r="X125" s="365"/>
      <c r="Y125" s="365"/>
      <c r="Z125" s="365"/>
      <c r="AA125" s="365"/>
      <c r="AB125" s="365"/>
      <c r="AC125" s="365"/>
      <c r="AD125" s="365"/>
    </row>
    <row r="126" spans="1:30" s="352" customFormat="1">
      <c r="A126" s="364"/>
      <c r="B126" s="364"/>
      <c r="C126" s="365"/>
      <c r="D126" s="365"/>
      <c r="E126" s="365"/>
      <c r="F126" s="365"/>
      <c r="G126" s="365"/>
      <c r="H126" s="365"/>
      <c r="I126" s="365"/>
      <c r="J126" s="365"/>
      <c r="K126" s="365"/>
      <c r="L126" s="365"/>
      <c r="M126" s="365"/>
      <c r="N126" s="365"/>
      <c r="O126" s="365"/>
      <c r="P126" s="365"/>
      <c r="Q126" s="365"/>
      <c r="R126" s="365"/>
      <c r="S126" s="365"/>
      <c r="T126" s="365"/>
      <c r="U126" s="365"/>
      <c r="V126" s="365"/>
      <c r="W126" s="365"/>
      <c r="X126" s="365"/>
      <c r="Y126" s="365"/>
      <c r="Z126" s="365"/>
      <c r="AA126" s="365"/>
      <c r="AB126" s="365"/>
      <c r="AC126" s="365"/>
      <c r="AD126" s="365"/>
    </row>
    <row r="127" spans="1:30" s="352" customFormat="1">
      <c r="A127" s="364"/>
      <c r="B127" s="364"/>
      <c r="C127" s="365"/>
      <c r="D127" s="365"/>
      <c r="E127" s="365"/>
      <c r="F127" s="365"/>
      <c r="G127" s="365"/>
      <c r="H127" s="365"/>
      <c r="I127" s="365"/>
      <c r="J127" s="365"/>
      <c r="K127" s="365"/>
      <c r="L127" s="365"/>
      <c r="M127" s="365"/>
      <c r="N127" s="365"/>
      <c r="O127" s="365"/>
      <c r="P127" s="365"/>
      <c r="Q127" s="365"/>
      <c r="R127" s="365"/>
      <c r="S127" s="365"/>
      <c r="T127" s="365"/>
      <c r="U127" s="365"/>
      <c r="V127" s="365"/>
      <c r="W127" s="365"/>
      <c r="X127" s="365"/>
      <c r="Y127" s="365"/>
      <c r="Z127" s="365"/>
      <c r="AA127" s="365"/>
      <c r="AB127" s="365"/>
      <c r="AC127" s="365"/>
      <c r="AD127" s="365"/>
    </row>
    <row r="128" spans="1:30" s="352" customFormat="1">
      <c r="A128" s="364"/>
      <c r="B128" s="364"/>
      <c r="C128" s="365"/>
      <c r="D128" s="365"/>
      <c r="E128" s="365"/>
      <c r="F128" s="365"/>
      <c r="G128" s="365"/>
      <c r="H128" s="365"/>
      <c r="I128" s="365"/>
      <c r="J128" s="365"/>
      <c r="K128" s="365"/>
      <c r="L128" s="365"/>
      <c r="M128" s="365"/>
      <c r="N128" s="365"/>
      <c r="O128" s="365"/>
      <c r="P128" s="365"/>
      <c r="Q128" s="365"/>
      <c r="R128" s="365"/>
      <c r="S128" s="365"/>
      <c r="T128" s="365"/>
      <c r="U128" s="365"/>
      <c r="V128" s="365"/>
      <c r="W128" s="365"/>
      <c r="X128" s="365"/>
      <c r="Y128" s="365"/>
      <c r="Z128" s="365"/>
      <c r="AA128" s="365"/>
      <c r="AB128" s="365"/>
      <c r="AC128" s="365"/>
      <c r="AD128" s="365"/>
    </row>
    <row r="129" spans="1:30" s="352" customFormat="1">
      <c r="A129" s="364"/>
      <c r="B129" s="364"/>
      <c r="C129" s="365"/>
      <c r="D129" s="365"/>
      <c r="E129" s="365"/>
      <c r="F129" s="365"/>
      <c r="G129" s="365"/>
      <c r="H129" s="365"/>
      <c r="I129" s="365"/>
      <c r="J129" s="365"/>
      <c r="K129" s="365"/>
      <c r="L129" s="365"/>
      <c r="M129" s="365"/>
      <c r="N129" s="365"/>
      <c r="O129" s="365"/>
      <c r="P129" s="365"/>
      <c r="Q129" s="365"/>
      <c r="R129" s="365"/>
      <c r="S129" s="365"/>
      <c r="T129" s="365"/>
      <c r="U129" s="365"/>
      <c r="V129" s="365"/>
      <c r="W129" s="365"/>
      <c r="X129" s="365"/>
      <c r="Y129" s="365"/>
      <c r="Z129" s="365"/>
      <c r="AA129" s="365"/>
      <c r="AB129" s="365"/>
      <c r="AC129" s="365"/>
      <c r="AD129" s="365"/>
    </row>
    <row r="130" spans="1:30" s="352" customFormat="1">
      <c r="A130" s="364"/>
      <c r="B130" s="364"/>
      <c r="C130" s="365"/>
      <c r="D130" s="365"/>
      <c r="E130" s="365"/>
      <c r="F130" s="365"/>
      <c r="G130" s="365"/>
      <c r="H130" s="365"/>
      <c r="I130" s="365"/>
      <c r="J130" s="365"/>
      <c r="K130" s="365"/>
      <c r="L130" s="365"/>
      <c r="M130" s="365"/>
      <c r="N130" s="365"/>
      <c r="O130" s="365"/>
      <c r="P130" s="365"/>
      <c r="Q130" s="365"/>
      <c r="R130" s="365"/>
      <c r="S130" s="365"/>
      <c r="T130" s="365"/>
      <c r="U130" s="365"/>
      <c r="V130" s="365"/>
      <c r="W130" s="365"/>
      <c r="X130" s="365"/>
      <c r="Y130" s="365"/>
      <c r="Z130" s="365"/>
      <c r="AA130" s="365"/>
      <c r="AB130" s="365"/>
      <c r="AC130" s="365"/>
      <c r="AD130" s="365"/>
    </row>
    <row r="131" spans="1:30" s="352" customFormat="1">
      <c r="A131" s="364"/>
      <c r="B131" s="364"/>
      <c r="C131" s="365"/>
      <c r="D131" s="365"/>
      <c r="E131" s="365"/>
      <c r="F131" s="365"/>
      <c r="G131" s="365"/>
      <c r="H131" s="365"/>
      <c r="I131" s="365"/>
      <c r="J131" s="365"/>
      <c r="K131" s="365"/>
      <c r="L131" s="365"/>
      <c r="M131" s="365"/>
      <c r="N131" s="365"/>
      <c r="O131" s="365"/>
      <c r="P131" s="365"/>
      <c r="Q131" s="365"/>
      <c r="R131" s="365"/>
      <c r="S131" s="365"/>
      <c r="T131" s="365"/>
      <c r="U131" s="365"/>
      <c r="V131" s="365"/>
      <c r="W131" s="365"/>
      <c r="X131" s="365"/>
      <c r="Y131" s="365"/>
      <c r="Z131" s="365"/>
      <c r="AA131" s="365"/>
      <c r="AB131" s="365"/>
      <c r="AC131" s="365"/>
      <c r="AD131" s="365"/>
    </row>
    <row r="132" spans="1:30" s="352" customFormat="1">
      <c r="A132" s="364"/>
      <c r="B132" s="364"/>
      <c r="C132" s="365"/>
      <c r="D132" s="365"/>
      <c r="E132" s="365"/>
      <c r="F132" s="365"/>
      <c r="G132" s="365"/>
      <c r="H132" s="365"/>
      <c r="I132" s="365"/>
      <c r="J132" s="365"/>
      <c r="K132" s="365"/>
      <c r="L132" s="365"/>
      <c r="M132" s="365"/>
      <c r="N132" s="365"/>
      <c r="O132" s="365"/>
      <c r="P132" s="365"/>
      <c r="Q132" s="365"/>
      <c r="R132" s="365"/>
      <c r="S132" s="365"/>
      <c r="T132" s="365"/>
      <c r="U132" s="365"/>
      <c r="V132" s="365"/>
      <c r="W132" s="365"/>
      <c r="X132" s="365"/>
      <c r="Y132" s="365"/>
      <c r="Z132" s="365"/>
      <c r="AA132" s="365"/>
      <c r="AB132" s="365"/>
      <c r="AC132" s="365"/>
      <c r="AD132" s="365"/>
    </row>
    <row r="133" spans="1:30" s="352" customFormat="1">
      <c r="A133" s="364"/>
      <c r="B133" s="364"/>
      <c r="C133" s="365"/>
      <c r="D133" s="365"/>
      <c r="E133" s="365"/>
      <c r="F133" s="365"/>
      <c r="G133" s="365"/>
      <c r="H133" s="365"/>
      <c r="I133" s="365"/>
      <c r="J133" s="365"/>
      <c r="K133" s="365"/>
      <c r="L133" s="365"/>
      <c r="M133" s="365"/>
      <c r="N133" s="365"/>
      <c r="O133" s="365"/>
      <c r="P133" s="365"/>
      <c r="Q133" s="365"/>
      <c r="R133" s="365"/>
      <c r="S133" s="365"/>
      <c r="T133" s="365"/>
      <c r="U133" s="365"/>
      <c r="V133" s="365"/>
      <c r="W133" s="365"/>
      <c r="X133" s="365"/>
      <c r="Y133" s="365"/>
      <c r="Z133" s="365"/>
      <c r="AA133" s="365"/>
      <c r="AB133" s="365"/>
      <c r="AC133" s="365"/>
      <c r="AD133" s="365"/>
    </row>
    <row r="134" spans="1:30" s="352" customFormat="1">
      <c r="A134" s="364"/>
      <c r="B134" s="364"/>
      <c r="C134" s="365"/>
      <c r="D134" s="365"/>
      <c r="E134" s="365"/>
      <c r="F134" s="365"/>
      <c r="G134" s="365"/>
      <c r="H134" s="365"/>
      <c r="I134" s="365"/>
      <c r="J134" s="365"/>
      <c r="K134" s="365"/>
      <c r="L134" s="365"/>
      <c r="M134" s="365"/>
      <c r="N134" s="365"/>
      <c r="O134" s="365"/>
      <c r="P134" s="365"/>
      <c r="Q134" s="365"/>
      <c r="R134" s="365"/>
      <c r="S134" s="365"/>
      <c r="T134" s="365"/>
      <c r="U134" s="365"/>
      <c r="V134" s="365"/>
      <c r="W134" s="365"/>
      <c r="X134" s="365"/>
      <c r="Y134" s="365"/>
      <c r="Z134" s="365"/>
      <c r="AA134" s="365"/>
      <c r="AB134" s="365"/>
      <c r="AC134" s="365"/>
      <c r="AD134" s="365"/>
    </row>
    <row r="135" spans="1:30" s="352" customFormat="1">
      <c r="A135" s="364"/>
      <c r="B135" s="364"/>
      <c r="C135" s="365"/>
      <c r="D135" s="365"/>
      <c r="E135" s="365"/>
      <c r="F135" s="365"/>
      <c r="G135" s="365"/>
      <c r="H135" s="365"/>
      <c r="I135" s="365"/>
      <c r="J135" s="365"/>
      <c r="K135" s="365"/>
      <c r="L135" s="365"/>
      <c r="M135" s="365"/>
      <c r="N135" s="365"/>
      <c r="O135" s="365"/>
      <c r="P135" s="365"/>
      <c r="Q135" s="365"/>
      <c r="R135" s="365"/>
      <c r="S135" s="365"/>
      <c r="T135" s="365"/>
      <c r="U135" s="365"/>
      <c r="V135" s="365"/>
      <c r="W135" s="365"/>
      <c r="X135" s="365"/>
      <c r="Y135" s="365"/>
      <c r="Z135" s="365"/>
      <c r="AA135" s="365"/>
      <c r="AB135" s="365"/>
      <c r="AC135" s="365"/>
      <c r="AD135" s="365"/>
    </row>
    <row r="136" spans="1:30" s="352" customFormat="1">
      <c r="A136" s="364"/>
      <c r="B136" s="364"/>
      <c r="C136" s="365"/>
      <c r="D136" s="365"/>
      <c r="E136" s="365"/>
      <c r="F136" s="365"/>
      <c r="G136" s="365"/>
      <c r="H136" s="365"/>
      <c r="I136" s="365"/>
      <c r="J136" s="365"/>
      <c r="K136" s="365"/>
      <c r="L136" s="365"/>
      <c r="M136" s="365"/>
      <c r="N136" s="365"/>
      <c r="O136" s="365"/>
      <c r="P136" s="365"/>
      <c r="Q136" s="365"/>
      <c r="R136" s="365"/>
      <c r="S136" s="365"/>
      <c r="T136" s="365"/>
      <c r="U136" s="365"/>
      <c r="V136" s="365"/>
      <c r="W136" s="365"/>
      <c r="X136" s="365"/>
      <c r="Y136" s="365"/>
      <c r="Z136" s="365"/>
      <c r="AA136" s="365"/>
      <c r="AB136" s="365"/>
      <c r="AC136" s="365"/>
      <c r="AD136" s="365"/>
    </row>
    <row r="137" spans="1:30" s="352" customFormat="1">
      <c r="A137" s="364"/>
      <c r="B137" s="364"/>
      <c r="C137" s="365"/>
      <c r="D137" s="365"/>
      <c r="E137" s="365"/>
      <c r="F137" s="365"/>
      <c r="G137" s="365"/>
      <c r="H137" s="365"/>
      <c r="I137" s="365"/>
      <c r="J137" s="365"/>
      <c r="K137" s="365"/>
      <c r="L137" s="365"/>
      <c r="M137" s="365"/>
      <c r="N137" s="365"/>
      <c r="O137" s="365"/>
      <c r="P137" s="365"/>
      <c r="Q137" s="365"/>
      <c r="R137" s="365"/>
      <c r="S137" s="365"/>
      <c r="T137" s="365"/>
      <c r="U137" s="365"/>
      <c r="V137" s="365"/>
      <c r="W137" s="365"/>
      <c r="X137" s="365"/>
      <c r="Y137" s="365"/>
      <c r="Z137" s="365"/>
      <c r="AA137" s="365"/>
      <c r="AB137" s="365"/>
      <c r="AC137" s="365"/>
      <c r="AD137" s="365"/>
    </row>
    <row r="138" spans="1:30" s="352" customFormat="1">
      <c r="A138" s="364"/>
      <c r="B138" s="364"/>
      <c r="C138" s="365"/>
      <c r="D138" s="365"/>
      <c r="E138" s="365"/>
      <c r="F138" s="365"/>
      <c r="G138" s="365"/>
      <c r="H138" s="365"/>
      <c r="I138" s="365"/>
      <c r="J138" s="365"/>
      <c r="K138" s="365"/>
      <c r="L138" s="365"/>
      <c r="M138" s="365"/>
      <c r="N138" s="365"/>
      <c r="O138" s="365"/>
      <c r="P138" s="365"/>
      <c r="Q138" s="365"/>
      <c r="R138" s="365"/>
      <c r="S138" s="365"/>
      <c r="T138" s="365"/>
      <c r="U138" s="365"/>
      <c r="V138" s="365"/>
      <c r="W138" s="365"/>
      <c r="X138" s="365"/>
      <c r="Y138" s="365"/>
      <c r="Z138" s="365"/>
      <c r="AA138" s="365"/>
      <c r="AB138" s="365"/>
      <c r="AC138" s="365"/>
      <c r="AD138" s="365"/>
    </row>
    <row r="139" spans="1:30" s="352" customFormat="1">
      <c r="A139" s="364"/>
      <c r="B139" s="364"/>
      <c r="C139" s="365"/>
      <c r="D139" s="365"/>
      <c r="E139" s="365"/>
      <c r="F139" s="365"/>
      <c r="G139" s="365"/>
      <c r="H139" s="365"/>
      <c r="I139" s="365"/>
      <c r="J139" s="365"/>
      <c r="K139" s="365"/>
      <c r="L139" s="365"/>
      <c r="M139" s="365"/>
      <c r="N139" s="365"/>
      <c r="O139" s="365"/>
      <c r="P139" s="365"/>
      <c r="Q139" s="365"/>
      <c r="R139" s="365"/>
      <c r="S139" s="365"/>
      <c r="T139" s="365"/>
      <c r="U139" s="365"/>
      <c r="V139" s="365"/>
      <c r="W139" s="365"/>
      <c r="X139" s="365"/>
      <c r="Y139" s="365"/>
      <c r="Z139" s="365"/>
      <c r="AA139" s="365"/>
      <c r="AB139" s="365"/>
      <c r="AC139" s="365"/>
      <c r="AD139" s="365"/>
    </row>
    <row r="140" spans="1:30" s="352" customFormat="1">
      <c r="A140" s="364"/>
      <c r="B140" s="364"/>
      <c r="C140" s="365"/>
      <c r="D140" s="365"/>
      <c r="E140" s="365"/>
      <c r="F140" s="365"/>
      <c r="G140" s="365"/>
      <c r="H140" s="365"/>
      <c r="I140" s="365"/>
      <c r="J140" s="365"/>
      <c r="K140" s="365"/>
      <c r="L140" s="365"/>
      <c r="M140" s="365"/>
      <c r="N140" s="365"/>
      <c r="O140" s="365"/>
      <c r="P140" s="365"/>
      <c r="Q140" s="365"/>
      <c r="R140" s="365"/>
      <c r="S140" s="365"/>
      <c r="T140" s="365"/>
      <c r="U140" s="365"/>
      <c r="V140" s="365"/>
      <c r="W140" s="365"/>
      <c r="X140" s="365"/>
      <c r="Y140" s="365"/>
      <c r="Z140" s="365"/>
      <c r="AA140" s="365"/>
      <c r="AB140" s="365"/>
      <c r="AC140" s="365"/>
      <c r="AD140" s="365"/>
    </row>
    <row r="141" spans="1:30" s="352" customFormat="1">
      <c r="A141" s="364"/>
      <c r="B141" s="364"/>
      <c r="C141" s="365"/>
      <c r="D141" s="365"/>
      <c r="E141" s="365"/>
      <c r="F141" s="365"/>
      <c r="G141" s="365"/>
      <c r="H141" s="365"/>
      <c r="I141" s="365"/>
      <c r="J141" s="365"/>
      <c r="K141" s="365"/>
      <c r="L141" s="365"/>
      <c r="M141" s="365"/>
      <c r="N141" s="365"/>
      <c r="O141" s="365"/>
      <c r="P141" s="365"/>
      <c r="Q141" s="365"/>
      <c r="R141" s="365"/>
      <c r="S141" s="365"/>
      <c r="T141" s="365"/>
      <c r="U141" s="365"/>
      <c r="V141" s="365"/>
      <c r="W141" s="365"/>
      <c r="X141" s="365"/>
      <c r="Y141" s="365"/>
      <c r="Z141" s="365"/>
      <c r="AA141" s="365"/>
      <c r="AB141" s="365"/>
      <c r="AC141" s="365"/>
      <c r="AD141" s="365"/>
    </row>
    <row r="142" spans="1:30" s="352" customFormat="1">
      <c r="A142" s="364"/>
      <c r="B142" s="364"/>
      <c r="C142" s="365"/>
      <c r="D142" s="365"/>
      <c r="E142" s="365"/>
      <c r="F142" s="365"/>
      <c r="G142" s="365"/>
      <c r="H142" s="365"/>
      <c r="I142" s="365"/>
      <c r="J142" s="365"/>
      <c r="K142" s="365"/>
      <c r="L142" s="365"/>
      <c r="M142" s="365"/>
      <c r="N142" s="365"/>
      <c r="O142" s="365"/>
      <c r="P142" s="365"/>
      <c r="Q142" s="365"/>
      <c r="R142" s="365"/>
      <c r="S142" s="365"/>
      <c r="T142" s="365"/>
      <c r="U142" s="365"/>
      <c r="V142" s="365"/>
      <c r="W142" s="365"/>
      <c r="X142" s="365"/>
      <c r="Y142" s="365"/>
      <c r="Z142" s="365"/>
      <c r="AA142" s="365"/>
      <c r="AB142" s="365"/>
      <c r="AC142" s="365"/>
      <c r="AD142" s="365"/>
    </row>
    <row r="143" spans="1:30" s="352" customFormat="1">
      <c r="A143" s="364"/>
      <c r="B143" s="364"/>
      <c r="C143" s="365"/>
      <c r="D143" s="365"/>
      <c r="E143" s="365"/>
      <c r="F143" s="365"/>
      <c r="G143" s="365"/>
      <c r="H143" s="365"/>
      <c r="I143" s="365"/>
      <c r="J143" s="365"/>
      <c r="K143" s="365"/>
      <c r="L143" s="365"/>
      <c r="M143" s="365"/>
      <c r="N143" s="365"/>
      <c r="O143" s="365"/>
      <c r="P143" s="365"/>
      <c r="Q143" s="365"/>
      <c r="R143" s="365"/>
      <c r="S143" s="365"/>
      <c r="T143" s="365"/>
      <c r="U143" s="365"/>
      <c r="V143" s="365"/>
      <c r="W143" s="365"/>
      <c r="X143" s="365"/>
      <c r="Y143" s="365"/>
      <c r="Z143" s="365"/>
      <c r="AA143" s="365"/>
      <c r="AB143" s="365"/>
      <c r="AC143" s="365"/>
      <c r="AD143" s="365"/>
    </row>
    <row r="144" spans="1:30" s="352" customFormat="1">
      <c r="A144" s="364"/>
      <c r="B144" s="364"/>
      <c r="C144" s="365"/>
      <c r="D144" s="365"/>
      <c r="E144" s="365"/>
      <c r="F144" s="365"/>
      <c r="G144" s="365"/>
      <c r="H144" s="365"/>
      <c r="I144" s="365"/>
      <c r="J144" s="365"/>
      <c r="K144" s="365"/>
      <c r="L144" s="365"/>
      <c r="M144" s="365"/>
      <c r="N144" s="365"/>
      <c r="O144" s="365"/>
      <c r="P144" s="365"/>
      <c r="Q144" s="365"/>
      <c r="R144" s="365"/>
      <c r="S144" s="365"/>
      <c r="T144" s="365"/>
      <c r="U144" s="365"/>
      <c r="V144" s="365"/>
      <c r="W144" s="365"/>
      <c r="X144" s="365"/>
      <c r="Y144" s="365"/>
      <c r="Z144" s="365"/>
      <c r="AA144" s="365"/>
      <c r="AB144" s="365"/>
      <c r="AC144" s="365"/>
      <c r="AD144" s="365"/>
    </row>
    <row r="145" spans="1:30" s="352" customFormat="1">
      <c r="A145" s="364"/>
      <c r="B145" s="364"/>
      <c r="C145" s="365"/>
      <c r="D145" s="365"/>
      <c r="E145" s="365"/>
      <c r="F145" s="365"/>
      <c r="G145" s="365"/>
      <c r="H145" s="365"/>
      <c r="I145" s="365"/>
      <c r="J145" s="365"/>
      <c r="K145" s="365"/>
      <c r="L145" s="365"/>
      <c r="M145" s="365"/>
      <c r="N145" s="365"/>
      <c r="O145" s="365"/>
      <c r="P145" s="365"/>
      <c r="Q145" s="365"/>
      <c r="R145" s="365"/>
      <c r="S145" s="365"/>
      <c r="T145" s="365"/>
      <c r="U145" s="365"/>
      <c r="V145" s="365"/>
      <c r="W145" s="365"/>
      <c r="X145" s="365"/>
      <c r="Y145" s="365"/>
      <c r="Z145" s="365"/>
      <c r="AA145" s="365"/>
      <c r="AB145" s="365"/>
      <c r="AC145" s="365"/>
      <c r="AD145" s="365"/>
    </row>
    <row r="146" spans="1:30" s="352" customFormat="1">
      <c r="A146" s="364"/>
      <c r="B146" s="364"/>
      <c r="C146" s="365"/>
      <c r="D146" s="365"/>
      <c r="E146" s="365"/>
      <c r="F146" s="365"/>
      <c r="G146" s="365"/>
      <c r="H146" s="365"/>
      <c r="I146" s="365"/>
      <c r="J146" s="365"/>
      <c r="K146" s="365"/>
      <c r="L146" s="365"/>
      <c r="M146" s="365"/>
      <c r="N146" s="365"/>
      <c r="O146" s="365"/>
      <c r="P146" s="365"/>
      <c r="Q146" s="365"/>
      <c r="R146" s="365"/>
      <c r="S146" s="365"/>
      <c r="T146" s="365"/>
      <c r="U146" s="365"/>
      <c r="V146" s="365"/>
      <c r="W146" s="365"/>
      <c r="X146" s="365"/>
      <c r="Y146" s="365"/>
      <c r="Z146" s="365"/>
      <c r="AA146" s="365"/>
      <c r="AB146" s="365"/>
      <c r="AC146" s="365"/>
      <c r="AD146" s="365"/>
    </row>
    <row r="147" spans="1:30" s="352" customFormat="1">
      <c r="A147" s="364"/>
      <c r="B147" s="364"/>
      <c r="C147" s="365"/>
      <c r="D147" s="365"/>
      <c r="E147" s="365"/>
      <c r="F147" s="365"/>
      <c r="G147" s="365"/>
      <c r="H147" s="365"/>
      <c r="I147" s="365"/>
      <c r="J147" s="365"/>
      <c r="K147" s="365"/>
      <c r="L147" s="365"/>
      <c r="M147" s="365"/>
      <c r="N147" s="365"/>
      <c r="O147" s="365"/>
      <c r="P147" s="365"/>
      <c r="Q147" s="365"/>
      <c r="R147" s="365"/>
      <c r="S147" s="365"/>
      <c r="T147" s="365"/>
      <c r="U147" s="365"/>
      <c r="V147" s="365"/>
      <c r="W147" s="365"/>
      <c r="X147" s="365"/>
      <c r="Y147" s="365"/>
      <c r="Z147" s="365"/>
      <c r="AA147" s="365"/>
      <c r="AB147" s="365"/>
      <c r="AC147" s="365"/>
      <c r="AD147" s="365"/>
    </row>
    <row r="148" spans="1:30" s="352" customFormat="1">
      <c r="A148" s="364"/>
      <c r="B148" s="364"/>
      <c r="C148" s="365"/>
      <c r="D148" s="365"/>
      <c r="E148" s="365"/>
      <c r="F148" s="365"/>
      <c r="G148" s="365"/>
      <c r="H148" s="365"/>
      <c r="I148" s="365"/>
      <c r="J148" s="365"/>
      <c r="K148" s="365"/>
      <c r="L148" s="365"/>
      <c r="M148" s="365"/>
      <c r="N148" s="365"/>
      <c r="O148" s="365"/>
      <c r="P148" s="365"/>
      <c r="Q148" s="365"/>
      <c r="R148" s="365"/>
      <c r="S148" s="365"/>
      <c r="T148" s="365"/>
      <c r="U148" s="365"/>
      <c r="V148" s="365"/>
      <c r="W148" s="365"/>
      <c r="X148" s="365"/>
      <c r="Y148" s="365"/>
      <c r="Z148" s="365"/>
      <c r="AA148" s="365"/>
      <c r="AB148" s="365"/>
      <c r="AC148" s="365"/>
      <c r="AD148" s="365"/>
    </row>
    <row r="149" spans="1:30" s="352" customFormat="1">
      <c r="A149" s="364"/>
      <c r="B149" s="364"/>
      <c r="C149" s="365"/>
      <c r="D149" s="365"/>
      <c r="E149" s="365"/>
      <c r="F149" s="365"/>
      <c r="G149" s="365"/>
      <c r="H149" s="365"/>
      <c r="I149" s="365"/>
      <c r="J149" s="365"/>
      <c r="K149" s="365"/>
      <c r="L149" s="365"/>
      <c r="M149" s="365"/>
      <c r="N149" s="365"/>
      <c r="O149" s="365"/>
      <c r="P149" s="365"/>
      <c r="Q149" s="365"/>
      <c r="R149" s="365"/>
      <c r="S149" s="365"/>
      <c r="T149" s="365"/>
      <c r="U149" s="365"/>
      <c r="V149" s="365"/>
      <c r="W149" s="365"/>
      <c r="X149" s="365"/>
      <c r="Y149" s="365"/>
      <c r="Z149" s="365"/>
      <c r="AA149" s="365"/>
      <c r="AB149" s="365"/>
      <c r="AC149" s="365"/>
      <c r="AD149" s="365"/>
    </row>
    <row r="150" spans="1:30" s="352" customFormat="1">
      <c r="A150" s="364"/>
      <c r="B150" s="364"/>
      <c r="C150" s="365"/>
      <c r="D150" s="365"/>
      <c r="E150" s="365"/>
      <c r="F150" s="365"/>
      <c r="G150" s="365"/>
      <c r="H150" s="365"/>
      <c r="I150" s="365"/>
      <c r="J150" s="365"/>
      <c r="K150" s="365"/>
      <c r="L150" s="365"/>
      <c r="M150" s="365"/>
      <c r="N150" s="365"/>
      <c r="O150" s="365"/>
      <c r="P150" s="365"/>
      <c r="Q150" s="365"/>
      <c r="R150" s="365"/>
      <c r="S150" s="365"/>
      <c r="T150" s="365"/>
      <c r="U150" s="365"/>
      <c r="V150" s="365"/>
      <c r="W150" s="365"/>
      <c r="X150" s="365"/>
      <c r="Y150" s="365"/>
      <c r="Z150" s="365"/>
      <c r="AA150" s="365"/>
      <c r="AB150" s="365"/>
      <c r="AC150" s="365"/>
      <c r="AD150" s="365"/>
    </row>
    <row r="151" spans="1:30" s="352" customFormat="1">
      <c r="A151" s="364"/>
      <c r="B151" s="364"/>
      <c r="C151" s="365"/>
      <c r="D151" s="365"/>
      <c r="E151" s="365"/>
      <c r="F151" s="365"/>
      <c r="G151" s="365"/>
      <c r="H151" s="365"/>
      <c r="I151" s="365"/>
      <c r="J151" s="365"/>
      <c r="K151" s="365"/>
      <c r="L151" s="365"/>
      <c r="M151" s="365"/>
      <c r="N151" s="365"/>
      <c r="O151" s="365"/>
      <c r="P151" s="365"/>
      <c r="Q151" s="365"/>
      <c r="R151" s="365"/>
      <c r="S151" s="365"/>
      <c r="T151" s="365"/>
      <c r="U151" s="365"/>
      <c r="V151" s="365"/>
      <c r="W151" s="365"/>
      <c r="X151" s="365"/>
      <c r="Y151" s="365"/>
      <c r="Z151" s="365"/>
      <c r="AA151" s="365"/>
      <c r="AB151" s="365"/>
      <c r="AC151" s="365"/>
      <c r="AD151" s="365"/>
    </row>
    <row r="152" spans="1:30" s="352" customFormat="1">
      <c r="A152" s="364"/>
      <c r="B152" s="364"/>
      <c r="C152" s="365"/>
      <c r="D152" s="365"/>
      <c r="E152" s="365"/>
      <c r="F152" s="365"/>
      <c r="G152" s="365"/>
      <c r="H152" s="365"/>
      <c r="I152" s="365"/>
      <c r="J152" s="365"/>
      <c r="K152" s="365"/>
      <c r="L152" s="365"/>
      <c r="M152" s="365"/>
      <c r="N152" s="365"/>
      <c r="O152" s="365"/>
      <c r="P152" s="365"/>
      <c r="Q152" s="365"/>
      <c r="R152" s="365"/>
      <c r="S152" s="365"/>
      <c r="T152" s="365"/>
      <c r="U152" s="365"/>
      <c r="V152" s="365"/>
      <c r="W152" s="365"/>
      <c r="X152" s="365"/>
      <c r="Y152" s="365"/>
      <c r="Z152" s="365"/>
      <c r="AA152" s="365"/>
      <c r="AB152" s="365"/>
      <c r="AC152" s="365"/>
      <c r="AD152" s="365"/>
    </row>
    <row r="153" spans="1:30" s="352" customFormat="1">
      <c r="A153" s="364"/>
      <c r="B153" s="364"/>
      <c r="C153" s="365"/>
      <c r="D153" s="365"/>
      <c r="E153" s="365"/>
      <c r="F153" s="365"/>
      <c r="G153" s="365"/>
      <c r="H153" s="365"/>
      <c r="I153" s="365"/>
      <c r="J153" s="365"/>
      <c r="K153" s="365"/>
      <c r="L153" s="365"/>
      <c r="M153" s="365"/>
      <c r="N153" s="365"/>
      <c r="O153" s="365"/>
      <c r="P153" s="365"/>
      <c r="Q153" s="365"/>
      <c r="R153" s="365"/>
      <c r="S153" s="365"/>
      <c r="T153" s="365"/>
      <c r="U153" s="365"/>
      <c r="V153" s="365"/>
      <c r="W153" s="365"/>
      <c r="X153" s="365"/>
      <c r="Y153" s="365"/>
      <c r="Z153" s="365"/>
      <c r="AA153" s="365"/>
      <c r="AB153" s="365"/>
      <c r="AC153" s="365"/>
      <c r="AD153" s="365"/>
    </row>
    <row r="154" spans="1:30" s="352" customFormat="1">
      <c r="A154" s="364"/>
      <c r="B154" s="364"/>
      <c r="C154" s="365"/>
      <c r="D154" s="365"/>
      <c r="E154" s="365"/>
      <c r="F154" s="365"/>
      <c r="G154" s="365"/>
      <c r="H154" s="365"/>
      <c r="I154" s="365"/>
      <c r="J154" s="365"/>
      <c r="K154" s="365"/>
      <c r="L154" s="365"/>
      <c r="M154" s="365"/>
      <c r="N154" s="365"/>
      <c r="O154" s="365"/>
      <c r="P154" s="365"/>
      <c r="Q154" s="365"/>
      <c r="R154" s="365"/>
      <c r="S154" s="365"/>
      <c r="T154" s="365"/>
      <c r="U154" s="365"/>
      <c r="V154" s="365"/>
      <c r="W154" s="365"/>
      <c r="X154" s="365"/>
      <c r="Y154" s="365"/>
      <c r="Z154" s="365"/>
      <c r="AA154" s="365"/>
      <c r="AB154" s="365"/>
      <c r="AC154" s="365"/>
      <c r="AD154" s="365"/>
    </row>
    <row r="155" spans="1:30" s="352" customFormat="1">
      <c r="A155" s="364"/>
      <c r="B155" s="364"/>
      <c r="C155" s="365"/>
      <c r="D155" s="365"/>
      <c r="E155" s="365"/>
      <c r="F155" s="365"/>
      <c r="G155" s="365"/>
      <c r="H155" s="365"/>
      <c r="I155" s="365"/>
      <c r="J155" s="365"/>
      <c r="K155" s="365"/>
      <c r="L155" s="365"/>
      <c r="M155" s="365"/>
      <c r="N155" s="365"/>
      <c r="O155" s="365"/>
      <c r="P155" s="365"/>
      <c r="Q155" s="365"/>
      <c r="R155" s="365"/>
      <c r="S155" s="365"/>
      <c r="T155" s="365"/>
      <c r="U155" s="365"/>
      <c r="V155" s="365"/>
      <c r="W155" s="365"/>
      <c r="X155" s="365"/>
      <c r="Y155" s="365"/>
      <c r="Z155" s="365"/>
      <c r="AA155" s="365"/>
      <c r="AB155" s="365"/>
      <c r="AC155" s="365"/>
      <c r="AD155" s="365"/>
    </row>
    <row r="156" spans="1:30" s="352" customFormat="1">
      <c r="A156" s="364"/>
      <c r="B156" s="364"/>
      <c r="C156" s="365"/>
      <c r="D156" s="365"/>
      <c r="E156" s="365"/>
      <c r="F156" s="365"/>
      <c r="G156" s="365"/>
      <c r="H156" s="365"/>
      <c r="I156" s="365"/>
      <c r="J156" s="365"/>
      <c r="K156" s="365"/>
      <c r="L156" s="365"/>
      <c r="M156" s="365"/>
      <c r="N156" s="365"/>
      <c r="O156" s="365"/>
      <c r="P156" s="365"/>
      <c r="Q156" s="365"/>
      <c r="R156" s="365"/>
      <c r="S156" s="365"/>
      <c r="T156" s="365"/>
      <c r="U156" s="365"/>
      <c r="V156" s="365"/>
      <c r="W156" s="365"/>
      <c r="X156" s="365"/>
      <c r="Y156" s="365"/>
      <c r="Z156" s="365"/>
      <c r="AA156" s="365"/>
      <c r="AB156" s="365"/>
      <c r="AC156" s="365"/>
      <c r="AD156" s="365"/>
    </row>
    <row r="157" spans="1:30" s="352" customFormat="1">
      <c r="A157" s="364"/>
      <c r="B157" s="364"/>
      <c r="C157" s="365"/>
      <c r="D157" s="365"/>
      <c r="E157" s="365"/>
      <c r="F157" s="365"/>
      <c r="G157" s="365"/>
      <c r="H157" s="365"/>
      <c r="I157" s="365"/>
      <c r="J157" s="365"/>
      <c r="K157" s="365"/>
      <c r="L157" s="365"/>
      <c r="M157" s="365"/>
      <c r="N157" s="365"/>
      <c r="O157" s="365"/>
      <c r="P157" s="365"/>
      <c r="Q157" s="365"/>
      <c r="R157" s="365"/>
      <c r="S157" s="365"/>
      <c r="T157" s="365"/>
      <c r="U157" s="365"/>
      <c r="V157" s="365"/>
      <c r="W157" s="365"/>
      <c r="X157" s="365"/>
      <c r="Y157" s="365"/>
      <c r="Z157" s="365"/>
      <c r="AA157" s="365"/>
      <c r="AB157" s="365"/>
      <c r="AC157" s="365"/>
      <c r="AD157" s="365"/>
    </row>
    <row r="158" spans="1:30" s="352" customFormat="1">
      <c r="A158" s="364"/>
      <c r="B158" s="364"/>
      <c r="C158" s="365"/>
      <c r="D158" s="365"/>
      <c r="E158" s="365"/>
      <c r="F158" s="365"/>
      <c r="G158" s="365"/>
      <c r="H158" s="365"/>
      <c r="I158" s="365"/>
      <c r="J158" s="365"/>
      <c r="K158" s="365"/>
      <c r="L158" s="365"/>
      <c r="M158" s="365"/>
      <c r="N158" s="365"/>
      <c r="O158" s="365"/>
      <c r="P158" s="365"/>
      <c r="Q158" s="365"/>
      <c r="R158" s="365"/>
      <c r="S158" s="365"/>
      <c r="T158" s="365"/>
      <c r="U158" s="365"/>
      <c r="V158" s="365"/>
      <c r="W158" s="365"/>
      <c r="X158" s="365"/>
      <c r="Y158" s="365"/>
      <c r="Z158" s="365"/>
      <c r="AA158" s="365"/>
      <c r="AB158" s="365"/>
      <c r="AC158" s="365"/>
      <c r="AD158" s="365"/>
    </row>
    <row r="159" spans="1:30" s="352" customFormat="1">
      <c r="A159" s="364"/>
      <c r="B159" s="364"/>
      <c r="C159" s="365"/>
      <c r="D159" s="365"/>
      <c r="E159" s="365"/>
      <c r="F159" s="365"/>
      <c r="G159" s="365"/>
      <c r="H159" s="365"/>
      <c r="I159" s="365"/>
      <c r="J159" s="365"/>
      <c r="K159" s="365"/>
      <c r="L159" s="365"/>
      <c r="M159" s="365"/>
      <c r="N159" s="365"/>
      <c r="O159" s="365"/>
      <c r="P159" s="365"/>
      <c r="Q159" s="365"/>
      <c r="R159" s="365"/>
      <c r="S159" s="365"/>
      <c r="T159" s="365"/>
      <c r="U159" s="365"/>
      <c r="V159" s="365"/>
      <c r="W159" s="365"/>
      <c r="X159" s="365"/>
      <c r="Y159" s="365"/>
      <c r="Z159" s="365"/>
      <c r="AA159" s="365"/>
      <c r="AB159" s="365"/>
      <c r="AC159" s="365"/>
      <c r="AD159" s="365"/>
    </row>
    <row r="160" spans="1:30" s="352" customFormat="1">
      <c r="A160" s="364"/>
      <c r="B160" s="364"/>
      <c r="C160" s="365"/>
      <c r="D160" s="365"/>
      <c r="E160" s="365"/>
      <c r="F160" s="365"/>
      <c r="G160" s="365"/>
      <c r="H160" s="365"/>
      <c r="I160" s="365"/>
      <c r="J160" s="365"/>
      <c r="K160" s="365"/>
      <c r="L160" s="365"/>
      <c r="M160" s="365"/>
      <c r="N160" s="365"/>
      <c r="O160" s="365"/>
      <c r="P160" s="365"/>
      <c r="Q160" s="365"/>
      <c r="R160" s="365"/>
      <c r="S160" s="365"/>
      <c r="T160" s="365"/>
      <c r="U160" s="365"/>
      <c r="V160" s="365"/>
      <c r="W160" s="365"/>
      <c r="X160" s="365"/>
      <c r="Y160" s="365"/>
      <c r="Z160" s="365"/>
      <c r="AA160" s="365"/>
      <c r="AB160" s="365"/>
      <c r="AC160" s="365"/>
      <c r="AD160" s="365"/>
    </row>
    <row r="161" spans="1:30" s="352" customFormat="1">
      <c r="A161" s="364"/>
      <c r="B161" s="364"/>
      <c r="C161" s="365"/>
      <c r="D161" s="365"/>
      <c r="E161" s="365"/>
      <c r="F161" s="365"/>
      <c r="G161" s="365"/>
      <c r="H161" s="365"/>
      <c r="I161" s="365"/>
      <c r="J161" s="365"/>
      <c r="K161" s="365"/>
      <c r="L161" s="365"/>
      <c r="M161" s="365"/>
      <c r="N161" s="365"/>
      <c r="O161" s="365"/>
      <c r="P161" s="365"/>
      <c r="Q161" s="365"/>
      <c r="R161" s="365"/>
      <c r="S161" s="365"/>
      <c r="T161" s="365"/>
      <c r="U161" s="365"/>
      <c r="V161" s="365"/>
      <c r="W161" s="365"/>
      <c r="X161" s="365"/>
      <c r="Y161" s="365"/>
      <c r="Z161" s="365"/>
      <c r="AA161" s="365"/>
      <c r="AB161" s="365"/>
      <c r="AC161" s="365"/>
      <c r="AD161" s="365"/>
    </row>
    <row r="162" spans="1:30" s="352" customFormat="1">
      <c r="A162" s="364"/>
      <c r="B162" s="364"/>
      <c r="C162" s="365"/>
      <c r="D162" s="365"/>
      <c r="E162" s="365"/>
      <c r="F162" s="365"/>
      <c r="G162" s="365"/>
      <c r="H162" s="365"/>
      <c r="I162" s="365"/>
      <c r="J162" s="365"/>
      <c r="K162" s="365"/>
      <c r="L162" s="365"/>
      <c r="M162" s="365"/>
      <c r="N162" s="365"/>
      <c r="O162" s="365"/>
      <c r="P162" s="365"/>
      <c r="Q162" s="365"/>
      <c r="R162" s="365"/>
      <c r="S162" s="365"/>
      <c r="T162" s="365"/>
      <c r="U162" s="365"/>
      <c r="V162" s="365"/>
      <c r="W162" s="365"/>
      <c r="X162" s="365"/>
      <c r="Y162" s="365"/>
      <c r="Z162" s="365"/>
      <c r="AA162" s="365"/>
      <c r="AB162" s="365"/>
      <c r="AC162" s="365"/>
      <c r="AD162" s="365"/>
    </row>
    <row r="163" spans="1:30" s="352" customFormat="1">
      <c r="A163" s="364"/>
      <c r="B163" s="364"/>
      <c r="C163" s="365"/>
      <c r="D163" s="365"/>
      <c r="E163" s="365"/>
      <c r="F163" s="365"/>
      <c r="G163" s="365"/>
      <c r="H163" s="365"/>
      <c r="I163" s="365"/>
      <c r="J163" s="365"/>
      <c r="K163" s="365"/>
      <c r="L163" s="365"/>
      <c r="M163" s="365"/>
      <c r="N163" s="365"/>
      <c r="O163" s="365"/>
      <c r="P163" s="365"/>
      <c r="Q163" s="365"/>
      <c r="R163" s="365"/>
      <c r="S163" s="365"/>
      <c r="T163" s="365"/>
      <c r="U163" s="365"/>
      <c r="V163" s="365"/>
      <c r="W163" s="365"/>
      <c r="X163" s="365"/>
      <c r="Y163" s="365"/>
      <c r="Z163" s="365"/>
      <c r="AA163" s="365"/>
      <c r="AB163" s="365"/>
      <c r="AC163" s="365"/>
      <c r="AD163" s="365"/>
    </row>
    <row r="164" spans="1:30" s="352" customFormat="1">
      <c r="A164" s="364"/>
      <c r="B164" s="364"/>
      <c r="C164" s="365"/>
      <c r="D164" s="365"/>
      <c r="E164" s="365"/>
      <c r="F164" s="365"/>
      <c r="G164" s="365"/>
      <c r="H164" s="365"/>
      <c r="I164" s="365"/>
      <c r="J164" s="365"/>
      <c r="K164" s="365"/>
      <c r="L164" s="365"/>
      <c r="M164" s="365"/>
      <c r="N164" s="365"/>
      <c r="O164" s="365"/>
      <c r="P164" s="365"/>
      <c r="Q164" s="365"/>
      <c r="R164" s="365"/>
      <c r="S164" s="365"/>
      <c r="T164" s="365"/>
      <c r="U164" s="365"/>
      <c r="V164" s="365"/>
      <c r="W164" s="365"/>
      <c r="X164" s="365"/>
      <c r="Y164" s="365"/>
      <c r="Z164" s="365"/>
      <c r="AA164" s="365"/>
      <c r="AB164" s="365"/>
      <c r="AC164" s="365"/>
      <c r="AD164" s="365"/>
    </row>
    <row r="165" spans="1:30" s="352" customFormat="1">
      <c r="A165" s="364"/>
      <c r="B165" s="364"/>
      <c r="C165" s="365"/>
      <c r="D165" s="365"/>
      <c r="E165" s="365"/>
      <c r="F165" s="365"/>
      <c r="G165" s="365"/>
      <c r="H165" s="365"/>
      <c r="I165" s="365"/>
      <c r="J165" s="365"/>
      <c r="K165" s="365"/>
      <c r="L165" s="365"/>
      <c r="M165" s="365"/>
      <c r="N165" s="365"/>
      <c r="O165" s="365"/>
      <c r="P165" s="365"/>
      <c r="Q165" s="365"/>
      <c r="R165" s="365"/>
      <c r="S165" s="365"/>
      <c r="T165" s="365"/>
      <c r="U165" s="365"/>
      <c r="V165" s="365"/>
      <c r="W165" s="365"/>
      <c r="X165" s="365"/>
      <c r="Y165" s="365"/>
      <c r="Z165" s="365"/>
      <c r="AA165" s="365"/>
      <c r="AB165" s="365"/>
      <c r="AC165" s="365"/>
      <c r="AD165" s="365"/>
    </row>
    <row r="166" spans="1:30" s="352" customFormat="1">
      <c r="A166" s="364"/>
      <c r="B166" s="364"/>
      <c r="C166" s="365"/>
      <c r="D166" s="365"/>
      <c r="E166" s="365"/>
      <c r="F166" s="365"/>
      <c r="G166" s="365"/>
      <c r="H166" s="365"/>
      <c r="I166" s="365"/>
      <c r="J166" s="365"/>
      <c r="K166" s="365"/>
      <c r="L166" s="365"/>
      <c r="M166" s="365"/>
      <c r="N166" s="365"/>
      <c r="O166" s="365"/>
      <c r="P166" s="365"/>
      <c r="Q166" s="365"/>
      <c r="R166" s="365"/>
      <c r="S166" s="365"/>
      <c r="T166" s="365"/>
      <c r="U166" s="365"/>
      <c r="V166" s="365"/>
      <c r="W166" s="365"/>
      <c r="X166" s="365"/>
      <c r="Y166" s="365"/>
      <c r="Z166" s="365"/>
      <c r="AA166" s="365"/>
      <c r="AB166" s="365"/>
      <c r="AC166" s="365"/>
      <c r="AD166" s="365"/>
    </row>
    <row r="167" spans="1:30" s="352" customFormat="1">
      <c r="A167" s="364"/>
      <c r="B167" s="364"/>
      <c r="C167" s="365"/>
      <c r="D167" s="365"/>
      <c r="E167" s="365"/>
      <c r="F167" s="365"/>
      <c r="G167" s="365"/>
      <c r="H167" s="365"/>
      <c r="I167" s="365"/>
      <c r="J167" s="365"/>
      <c r="K167" s="365"/>
      <c r="L167" s="365"/>
      <c r="M167" s="365"/>
      <c r="N167" s="365"/>
      <c r="O167" s="365"/>
      <c r="P167" s="365"/>
      <c r="Q167" s="365"/>
      <c r="R167" s="365"/>
      <c r="S167" s="365"/>
      <c r="T167" s="365"/>
      <c r="U167" s="365"/>
      <c r="V167" s="365"/>
      <c r="W167" s="365"/>
      <c r="X167" s="365"/>
      <c r="Y167" s="365"/>
      <c r="Z167" s="365"/>
      <c r="AA167" s="365"/>
      <c r="AB167" s="365"/>
      <c r="AC167" s="365"/>
      <c r="AD167" s="365"/>
    </row>
    <row r="168" spans="1:30" s="352" customFormat="1">
      <c r="A168" s="364"/>
      <c r="B168" s="364"/>
      <c r="C168" s="365"/>
      <c r="D168" s="365"/>
      <c r="E168" s="365"/>
      <c r="F168" s="365"/>
      <c r="G168" s="365"/>
      <c r="H168" s="365"/>
      <c r="I168" s="365"/>
      <c r="J168" s="365"/>
      <c r="K168" s="365"/>
      <c r="L168" s="365"/>
      <c r="M168" s="365"/>
      <c r="N168" s="365"/>
      <c r="O168" s="365"/>
      <c r="P168" s="365"/>
      <c r="Q168" s="365"/>
      <c r="R168" s="365"/>
      <c r="S168" s="365"/>
      <c r="T168" s="365"/>
      <c r="U168" s="365"/>
      <c r="V168" s="365"/>
      <c r="W168" s="365"/>
      <c r="X168" s="365"/>
      <c r="Y168" s="365"/>
      <c r="Z168" s="365"/>
      <c r="AA168" s="365"/>
      <c r="AB168" s="365"/>
      <c r="AC168" s="365"/>
      <c r="AD168" s="365"/>
    </row>
    <row r="169" spans="1:30" s="352" customFormat="1">
      <c r="A169" s="364"/>
      <c r="B169" s="364"/>
      <c r="C169" s="365"/>
      <c r="D169" s="365"/>
      <c r="E169" s="365"/>
      <c r="F169" s="365"/>
      <c r="G169" s="365"/>
      <c r="H169" s="365"/>
      <c r="I169" s="365"/>
      <c r="J169" s="365"/>
      <c r="K169" s="365"/>
      <c r="L169" s="365"/>
      <c r="M169" s="365"/>
      <c r="N169" s="365"/>
      <c r="O169" s="365"/>
      <c r="P169" s="365"/>
      <c r="Q169" s="365"/>
      <c r="R169" s="365"/>
      <c r="S169" s="365"/>
      <c r="T169" s="365"/>
      <c r="U169" s="365"/>
      <c r="V169" s="365"/>
      <c r="W169" s="365"/>
      <c r="X169" s="365"/>
      <c r="Y169" s="365"/>
      <c r="Z169" s="365"/>
      <c r="AA169" s="365"/>
      <c r="AB169" s="365"/>
      <c r="AC169" s="365"/>
      <c r="AD169" s="365"/>
    </row>
    <row r="170" spans="1:30" s="352" customFormat="1">
      <c r="A170" s="364"/>
      <c r="B170" s="364"/>
      <c r="C170" s="365"/>
      <c r="D170" s="365"/>
      <c r="E170" s="365"/>
      <c r="F170" s="365"/>
      <c r="G170" s="365"/>
      <c r="H170" s="365"/>
      <c r="I170" s="365"/>
      <c r="J170" s="365"/>
      <c r="K170" s="365"/>
      <c r="L170" s="365"/>
      <c r="M170" s="365"/>
      <c r="N170" s="365"/>
      <c r="O170" s="365"/>
      <c r="P170" s="365"/>
      <c r="Q170" s="365"/>
      <c r="R170" s="365"/>
      <c r="S170" s="365"/>
      <c r="T170" s="365"/>
      <c r="U170" s="365"/>
      <c r="V170" s="365"/>
      <c r="W170" s="365"/>
      <c r="X170" s="365"/>
      <c r="Y170" s="365"/>
      <c r="Z170" s="365"/>
      <c r="AA170" s="365"/>
      <c r="AB170" s="365"/>
      <c r="AC170" s="365"/>
      <c r="AD170" s="365"/>
    </row>
    <row r="171" spans="1:30" s="352" customFormat="1">
      <c r="A171" s="364"/>
      <c r="B171" s="364"/>
      <c r="C171" s="365"/>
      <c r="D171" s="365"/>
      <c r="E171" s="365"/>
      <c r="F171" s="365"/>
      <c r="G171" s="365"/>
      <c r="H171" s="365"/>
      <c r="I171" s="365"/>
      <c r="J171" s="365"/>
      <c r="K171" s="365"/>
      <c r="L171" s="365"/>
      <c r="M171" s="365"/>
      <c r="N171" s="365"/>
      <c r="O171" s="365"/>
      <c r="P171" s="365"/>
      <c r="Q171" s="365"/>
      <c r="R171" s="365"/>
      <c r="S171" s="365"/>
      <c r="T171" s="365"/>
      <c r="U171" s="365"/>
      <c r="V171" s="365"/>
      <c r="W171" s="365"/>
      <c r="X171" s="365"/>
      <c r="Y171" s="365"/>
      <c r="Z171" s="365"/>
      <c r="AA171" s="365"/>
      <c r="AB171" s="365"/>
      <c r="AC171" s="365"/>
      <c r="AD171" s="365"/>
    </row>
    <row r="172" spans="1:30" s="352" customFormat="1">
      <c r="A172" s="364"/>
      <c r="B172" s="364"/>
      <c r="C172" s="365"/>
      <c r="D172" s="365"/>
      <c r="E172" s="365"/>
      <c r="F172" s="365"/>
      <c r="G172" s="365"/>
      <c r="H172" s="365"/>
      <c r="I172" s="365"/>
      <c r="J172" s="365"/>
      <c r="K172" s="365"/>
      <c r="L172" s="365"/>
      <c r="M172" s="365"/>
      <c r="N172" s="365"/>
      <c r="O172" s="365"/>
      <c r="P172" s="365"/>
      <c r="Q172" s="365"/>
      <c r="R172" s="365"/>
      <c r="S172" s="365"/>
      <c r="T172" s="365"/>
      <c r="U172" s="365"/>
      <c r="V172" s="365"/>
      <c r="W172" s="365"/>
      <c r="X172" s="365"/>
      <c r="Y172" s="365"/>
      <c r="Z172" s="365"/>
      <c r="AA172" s="365"/>
      <c r="AB172" s="365"/>
      <c r="AC172" s="365"/>
      <c r="AD172" s="365"/>
    </row>
    <row r="173" spans="1:30" s="352" customFormat="1">
      <c r="A173" s="364"/>
      <c r="B173" s="364"/>
      <c r="C173" s="365"/>
      <c r="D173" s="365"/>
      <c r="E173" s="365"/>
      <c r="F173" s="365"/>
      <c r="G173" s="365"/>
      <c r="H173" s="365"/>
      <c r="I173" s="365"/>
      <c r="J173" s="365"/>
      <c r="K173" s="365"/>
      <c r="L173" s="365"/>
      <c r="M173" s="365"/>
      <c r="N173" s="365"/>
      <c r="O173" s="365"/>
      <c r="P173" s="365"/>
      <c r="Q173" s="365"/>
      <c r="R173" s="365"/>
      <c r="S173" s="365"/>
      <c r="T173" s="365"/>
      <c r="U173" s="365"/>
      <c r="V173" s="365"/>
      <c r="W173" s="365"/>
      <c r="X173" s="365"/>
      <c r="Y173" s="365"/>
      <c r="Z173" s="365"/>
      <c r="AA173" s="365"/>
      <c r="AB173" s="365"/>
      <c r="AC173" s="365"/>
      <c r="AD173" s="365"/>
    </row>
    <row r="174" spans="1:30" s="352" customFormat="1">
      <c r="A174" s="364"/>
      <c r="B174" s="364"/>
      <c r="C174" s="365"/>
      <c r="D174" s="365"/>
      <c r="E174" s="365"/>
      <c r="F174" s="365"/>
      <c r="G174" s="365"/>
      <c r="H174" s="365"/>
      <c r="I174" s="365"/>
      <c r="J174" s="365"/>
      <c r="K174" s="365"/>
      <c r="L174" s="365"/>
      <c r="M174" s="365"/>
      <c r="N174" s="365"/>
      <c r="O174" s="365"/>
      <c r="P174" s="365"/>
      <c r="Q174" s="365"/>
      <c r="R174" s="365"/>
      <c r="S174" s="365"/>
      <c r="T174" s="365"/>
      <c r="U174" s="365"/>
      <c r="V174" s="365"/>
      <c r="W174" s="365"/>
      <c r="X174" s="365"/>
      <c r="Y174" s="365"/>
      <c r="Z174" s="365"/>
      <c r="AA174" s="365"/>
      <c r="AB174" s="365"/>
      <c r="AC174" s="365"/>
      <c r="AD174" s="365"/>
    </row>
    <row r="175" spans="1:30" s="352" customFormat="1">
      <c r="A175" s="364"/>
      <c r="B175" s="364"/>
      <c r="C175" s="365"/>
      <c r="D175" s="365"/>
      <c r="E175" s="365"/>
      <c r="F175" s="365"/>
      <c r="G175" s="365"/>
      <c r="H175" s="365"/>
      <c r="I175" s="365"/>
      <c r="J175" s="365"/>
      <c r="K175" s="365"/>
      <c r="L175" s="365"/>
      <c r="M175" s="365"/>
      <c r="N175" s="365"/>
      <c r="O175" s="365"/>
      <c r="P175" s="365"/>
      <c r="Q175" s="365"/>
      <c r="R175" s="365"/>
      <c r="S175" s="365"/>
      <c r="T175" s="365"/>
      <c r="U175" s="365"/>
      <c r="V175" s="365"/>
      <c r="W175" s="365"/>
      <c r="X175" s="365"/>
      <c r="Y175" s="365"/>
      <c r="Z175" s="365"/>
      <c r="AA175" s="365"/>
      <c r="AB175" s="365"/>
      <c r="AC175" s="365"/>
      <c r="AD175" s="365"/>
    </row>
    <row r="176" spans="1:30" s="352" customFormat="1">
      <c r="A176" s="364"/>
      <c r="B176" s="364"/>
      <c r="C176" s="365"/>
      <c r="D176" s="365"/>
      <c r="E176" s="365"/>
      <c r="F176" s="365"/>
      <c r="G176" s="365"/>
      <c r="H176" s="365"/>
      <c r="I176" s="365"/>
      <c r="J176" s="365"/>
      <c r="K176" s="365"/>
      <c r="L176" s="365"/>
      <c r="M176" s="365"/>
      <c r="N176" s="365"/>
      <c r="O176" s="365"/>
      <c r="P176" s="365"/>
      <c r="Q176" s="365"/>
      <c r="R176" s="365"/>
      <c r="S176" s="365"/>
      <c r="T176" s="365"/>
      <c r="U176" s="365"/>
      <c r="V176" s="365"/>
      <c r="W176" s="365"/>
      <c r="X176" s="365"/>
      <c r="Y176" s="365"/>
      <c r="Z176" s="365"/>
      <c r="AA176" s="365"/>
      <c r="AB176" s="365"/>
      <c r="AC176" s="365"/>
      <c r="AD176" s="365"/>
    </row>
    <row r="177" spans="1:30" s="352" customFormat="1">
      <c r="A177" s="364"/>
      <c r="B177" s="364"/>
      <c r="C177" s="365"/>
      <c r="D177" s="365"/>
      <c r="E177" s="365"/>
      <c r="F177" s="365"/>
      <c r="G177" s="365"/>
      <c r="H177" s="365"/>
      <c r="I177" s="365"/>
      <c r="J177" s="365"/>
      <c r="K177" s="365"/>
      <c r="L177" s="365"/>
      <c r="M177" s="365"/>
      <c r="N177" s="365"/>
      <c r="O177" s="365"/>
      <c r="P177" s="365"/>
      <c r="Q177" s="365"/>
      <c r="R177" s="365"/>
      <c r="S177" s="365"/>
      <c r="T177" s="365"/>
      <c r="U177" s="365"/>
      <c r="V177" s="365"/>
      <c r="W177" s="365"/>
      <c r="X177" s="365"/>
      <c r="Y177" s="365"/>
      <c r="Z177" s="365"/>
      <c r="AA177" s="365"/>
      <c r="AB177" s="365"/>
      <c r="AC177" s="365"/>
      <c r="AD177" s="365"/>
    </row>
    <row r="178" spans="1:30" s="352" customFormat="1">
      <c r="A178" s="364"/>
      <c r="B178" s="364"/>
      <c r="C178" s="365"/>
      <c r="D178" s="365"/>
      <c r="E178" s="365"/>
      <c r="F178" s="365"/>
      <c r="G178" s="365"/>
      <c r="H178" s="365"/>
      <c r="I178" s="365"/>
      <c r="J178" s="365"/>
      <c r="K178" s="365"/>
      <c r="L178" s="365"/>
      <c r="M178" s="365"/>
      <c r="N178" s="365"/>
      <c r="O178" s="365"/>
      <c r="P178" s="365"/>
      <c r="Q178" s="365"/>
      <c r="R178" s="365"/>
      <c r="S178" s="365"/>
      <c r="T178" s="365"/>
      <c r="U178" s="365"/>
      <c r="V178" s="365"/>
      <c r="W178" s="365"/>
      <c r="X178" s="365"/>
      <c r="Y178" s="365"/>
      <c r="Z178" s="365"/>
      <c r="AA178" s="365"/>
      <c r="AB178" s="365"/>
      <c r="AC178" s="365"/>
      <c r="AD178" s="365"/>
    </row>
    <row r="179" spans="1:30" s="352" customFormat="1">
      <c r="A179" s="364"/>
      <c r="B179" s="364"/>
      <c r="C179" s="365"/>
      <c r="D179" s="365"/>
      <c r="E179" s="365"/>
      <c r="F179" s="365"/>
      <c r="G179" s="365"/>
      <c r="H179" s="365"/>
      <c r="I179" s="365"/>
      <c r="J179" s="365"/>
      <c r="K179" s="365"/>
      <c r="L179" s="365"/>
      <c r="M179" s="365"/>
      <c r="N179" s="365"/>
      <c r="O179" s="365"/>
      <c r="P179" s="365"/>
      <c r="Q179" s="365"/>
      <c r="R179" s="365"/>
      <c r="S179" s="365"/>
      <c r="T179" s="365"/>
      <c r="U179" s="365"/>
      <c r="V179" s="365"/>
      <c r="W179" s="365"/>
      <c r="X179" s="365"/>
      <c r="Y179" s="365"/>
      <c r="Z179" s="365"/>
      <c r="AA179" s="365"/>
      <c r="AB179" s="365"/>
      <c r="AC179" s="365"/>
      <c r="AD179" s="365"/>
    </row>
    <row r="180" spans="1:30" s="352" customFormat="1">
      <c r="A180" s="364"/>
      <c r="B180" s="364"/>
      <c r="C180" s="365"/>
      <c r="D180" s="365"/>
      <c r="E180" s="365"/>
      <c r="F180" s="365"/>
      <c r="G180" s="365"/>
      <c r="H180" s="365"/>
      <c r="I180" s="365"/>
      <c r="J180" s="365"/>
      <c r="K180" s="365"/>
      <c r="L180" s="365"/>
      <c r="M180" s="365"/>
      <c r="N180" s="365"/>
      <c r="O180" s="365"/>
      <c r="P180" s="365"/>
      <c r="Q180" s="365"/>
      <c r="R180" s="365"/>
      <c r="S180" s="365"/>
      <c r="T180" s="365"/>
      <c r="U180" s="365"/>
      <c r="V180" s="365"/>
      <c r="W180" s="365"/>
      <c r="X180" s="365"/>
      <c r="Y180" s="365"/>
      <c r="Z180" s="365"/>
      <c r="AA180" s="365"/>
      <c r="AB180" s="365"/>
      <c r="AC180" s="365"/>
      <c r="AD180" s="365"/>
    </row>
    <row r="181" spans="1:30" s="352" customFormat="1">
      <c r="A181" s="364"/>
      <c r="B181" s="364"/>
      <c r="C181" s="365"/>
      <c r="D181" s="365"/>
      <c r="E181" s="365"/>
      <c r="F181" s="365"/>
      <c r="G181" s="365"/>
      <c r="H181" s="365"/>
      <c r="I181" s="365"/>
      <c r="J181" s="365"/>
      <c r="K181" s="365"/>
      <c r="L181" s="365"/>
      <c r="M181" s="365"/>
      <c r="N181" s="365"/>
      <c r="O181" s="365"/>
      <c r="P181" s="365"/>
      <c r="Q181" s="365"/>
      <c r="R181" s="365"/>
      <c r="S181" s="365"/>
      <c r="T181" s="365"/>
      <c r="U181" s="365"/>
      <c r="V181" s="365"/>
      <c r="W181" s="365"/>
      <c r="X181" s="365"/>
      <c r="Y181" s="365"/>
      <c r="Z181" s="365"/>
      <c r="AA181" s="365"/>
      <c r="AB181" s="365"/>
      <c r="AC181" s="365"/>
      <c r="AD181" s="365"/>
    </row>
    <row r="182" spans="1:30" s="352" customFormat="1">
      <c r="A182" s="364"/>
      <c r="B182" s="364"/>
      <c r="C182" s="365"/>
      <c r="D182" s="365"/>
      <c r="E182" s="365"/>
      <c r="F182" s="365"/>
      <c r="G182" s="365"/>
      <c r="H182" s="365"/>
      <c r="I182" s="365"/>
      <c r="J182" s="365"/>
      <c r="K182" s="365"/>
      <c r="L182" s="365"/>
      <c r="M182" s="365"/>
      <c r="N182" s="365"/>
      <c r="O182" s="365"/>
      <c r="P182" s="365"/>
      <c r="Q182" s="365"/>
      <c r="R182" s="365"/>
      <c r="S182" s="365"/>
      <c r="T182" s="365"/>
      <c r="U182" s="365"/>
      <c r="V182" s="365"/>
      <c r="W182" s="365"/>
      <c r="X182" s="365"/>
      <c r="Y182" s="365"/>
      <c r="Z182" s="365"/>
      <c r="AA182" s="365"/>
      <c r="AB182" s="365"/>
      <c r="AC182" s="365"/>
      <c r="AD182" s="365"/>
    </row>
    <row r="183" spans="1:30" s="352" customFormat="1">
      <c r="A183" s="364"/>
      <c r="B183" s="364"/>
      <c r="C183" s="365"/>
      <c r="D183" s="365"/>
      <c r="E183" s="365"/>
      <c r="F183" s="365"/>
      <c r="G183" s="365"/>
      <c r="H183" s="365"/>
      <c r="I183" s="365"/>
      <c r="J183" s="365"/>
      <c r="K183" s="365"/>
      <c r="L183" s="365"/>
      <c r="M183" s="365"/>
      <c r="N183" s="365"/>
      <c r="O183" s="365"/>
      <c r="P183" s="365"/>
      <c r="Q183" s="365"/>
      <c r="R183" s="365"/>
      <c r="S183" s="365"/>
      <c r="T183" s="365"/>
      <c r="U183" s="365"/>
      <c r="V183" s="365"/>
      <c r="W183" s="365"/>
      <c r="X183" s="365"/>
      <c r="Y183" s="365"/>
      <c r="Z183" s="365"/>
      <c r="AA183" s="365"/>
      <c r="AB183" s="365"/>
      <c r="AC183" s="365"/>
      <c r="AD183" s="365"/>
    </row>
    <row r="184" spans="1:30" s="352" customFormat="1">
      <c r="A184" s="364"/>
      <c r="B184" s="364"/>
      <c r="C184" s="365"/>
      <c r="D184" s="365"/>
      <c r="E184" s="365"/>
      <c r="F184" s="365"/>
      <c r="G184" s="365"/>
      <c r="H184" s="365"/>
      <c r="I184" s="365"/>
      <c r="J184" s="365"/>
      <c r="K184" s="365"/>
      <c r="L184" s="365"/>
      <c r="M184" s="365"/>
      <c r="N184" s="365"/>
      <c r="O184" s="365"/>
      <c r="P184" s="365"/>
      <c r="Q184" s="365"/>
      <c r="R184" s="365"/>
      <c r="S184" s="365"/>
      <c r="T184" s="365"/>
      <c r="U184" s="365"/>
      <c r="V184" s="365"/>
      <c r="W184" s="365"/>
      <c r="X184" s="365"/>
      <c r="Y184" s="365"/>
      <c r="Z184" s="365"/>
      <c r="AA184" s="365"/>
      <c r="AB184" s="365"/>
      <c r="AC184" s="365"/>
      <c r="AD184" s="365"/>
    </row>
    <row r="185" spans="1:30" s="352" customFormat="1">
      <c r="A185" s="364"/>
      <c r="B185" s="364"/>
      <c r="C185" s="365"/>
      <c r="D185" s="365"/>
      <c r="E185" s="365"/>
      <c r="F185" s="365"/>
      <c r="G185" s="365"/>
      <c r="H185" s="365"/>
      <c r="I185" s="365"/>
      <c r="J185" s="365"/>
      <c r="K185" s="365"/>
      <c r="L185" s="365"/>
      <c r="M185" s="365"/>
      <c r="N185" s="365"/>
      <c r="O185" s="365"/>
      <c r="P185" s="365"/>
      <c r="Q185" s="365"/>
      <c r="R185" s="365"/>
      <c r="S185" s="365"/>
      <c r="T185" s="365"/>
      <c r="U185" s="365"/>
      <c r="V185" s="365"/>
      <c r="W185" s="365"/>
      <c r="X185" s="365"/>
      <c r="Y185" s="365"/>
      <c r="Z185" s="365"/>
      <c r="AA185" s="365"/>
      <c r="AB185" s="365"/>
      <c r="AC185" s="365"/>
      <c r="AD185" s="365"/>
    </row>
    <row r="186" spans="1:30" s="352" customFormat="1">
      <c r="A186" s="364"/>
      <c r="B186" s="364"/>
      <c r="C186" s="365"/>
      <c r="D186" s="365"/>
      <c r="E186" s="365"/>
      <c r="F186" s="365"/>
      <c r="G186" s="365"/>
      <c r="H186" s="365"/>
      <c r="I186" s="365"/>
      <c r="J186" s="365"/>
      <c r="K186" s="365"/>
      <c r="L186" s="365"/>
      <c r="M186" s="365"/>
      <c r="N186" s="365"/>
      <c r="O186" s="365"/>
      <c r="P186" s="365"/>
      <c r="Q186" s="365"/>
      <c r="R186" s="365"/>
      <c r="S186" s="365"/>
      <c r="T186" s="365"/>
      <c r="U186" s="365"/>
      <c r="V186" s="365"/>
      <c r="W186" s="365"/>
      <c r="X186" s="365"/>
      <c r="Y186" s="365"/>
      <c r="Z186" s="365"/>
      <c r="AA186" s="365"/>
      <c r="AB186" s="365"/>
      <c r="AC186" s="365"/>
      <c r="AD186" s="365"/>
    </row>
    <row r="187" spans="1:30" s="352" customFormat="1">
      <c r="A187" s="364"/>
      <c r="B187" s="364"/>
      <c r="C187" s="365"/>
      <c r="D187" s="365"/>
      <c r="E187" s="365"/>
      <c r="F187" s="365"/>
      <c r="G187" s="365"/>
      <c r="H187" s="365"/>
      <c r="I187" s="365"/>
      <c r="J187" s="365"/>
      <c r="K187" s="365"/>
      <c r="L187" s="365"/>
      <c r="M187" s="365"/>
      <c r="N187" s="365"/>
      <c r="O187" s="365"/>
      <c r="P187" s="365"/>
      <c r="Q187" s="365"/>
      <c r="R187" s="365"/>
      <c r="S187" s="365"/>
      <c r="T187" s="365"/>
      <c r="U187" s="365"/>
      <c r="V187" s="365"/>
      <c r="W187" s="365"/>
      <c r="X187" s="365"/>
      <c r="Y187" s="365"/>
      <c r="Z187" s="365"/>
      <c r="AA187" s="365"/>
      <c r="AB187" s="365"/>
      <c r="AC187" s="365"/>
      <c r="AD187" s="365"/>
    </row>
    <row r="188" spans="1:30" s="352" customFormat="1">
      <c r="A188" s="364"/>
      <c r="B188" s="364"/>
      <c r="C188" s="365"/>
      <c r="D188" s="365"/>
      <c r="E188" s="365"/>
      <c r="F188" s="365"/>
      <c r="G188" s="365"/>
      <c r="H188" s="365"/>
      <c r="I188" s="365"/>
      <c r="J188" s="365"/>
      <c r="K188" s="365"/>
      <c r="L188" s="365"/>
      <c r="M188" s="365"/>
      <c r="N188" s="365"/>
      <c r="O188" s="365"/>
      <c r="P188" s="365"/>
      <c r="Q188" s="365"/>
      <c r="R188" s="365"/>
      <c r="S188" s="365"/>
      <c r="T188" s="365"/>
      <c r="U188" s="365"/>
      <c r="V188" s="365"/>
      <c r="W188" s="365"/>
      <c r="X188" s="365"/>
      <c r="Y188" s="365"/>
      <c r="Z188" s="365"/>
      <c r="AA188" s="365"/>
      <c r="AB188" s="365"/>
      <c r="AC188" s="365"/>
      <c r="AD188" s="365"/>
    </row>
    <row r="189" spans="1:30" s="352" customFormat="1">
      <c r="A189" s="364"/>
      <c r="B189" s="364"/>
      <c r="C189" s="365"/>
      <c r="D189" s="365"/>
      <c r="E189" s="365"/>
      <c r="F189" s="365"/>
      <c r="G189" s="365"/>
      <c r="H189" s="365"/>
      <c r="I189" s="365"/>
      <c r="J189" s="365"/>
      <c r="K189" s="365"/>
      <c r="L189" s="365"/>
      <c r="M189" s="365"/>
      <c r="N189" s="365"/>
      <c r="O189" s="365"/>
      <c r="P189" s="365"/>
      <c r="Q189" s="365"/>
      <c r="R189" s="365"/>
      <c r="S189" s="365"/>
      <c r="T189" s="365"/>
      <c r="U189" s="365"/>
      <c r="V189" s="365"/>
      <c r="W189" s="365"/>
      <c r="X189" s="365"/>
      <c r="Y189" s="365"/>
      <c r="Z189" s="365"/>
      <c r="AA189" s="365"/>
      <c r="AB189" s="365"/>
      <c r="AC189" s="365"/>
      <c r="AD189" s="365"/>
    </row>
    <row r="190" spans="1:30" s="352" customFormat="1">
      <c r="A190" s="364"/>
      <c r="B190" s="364"/>
      <c r="C190" s="365"/>
      <c r="D190" s="365"/>
      <c r="E190" s="365"/>
      <c r="F190" s="365"/>
      <c r="G190" s="365"/>
      <c r="H190" s="365"/>
      <c r="I190" s="365"/>
      <c r="J190" s="365"/>
      <c r="K190" s="365"/>
      <c r="L190" s="365"/>
      <c r="M190" s="365"/>
      <c r="N190" s="365"/>
      <c r="O190" s="365"/>
      <c r="P190" s="365"/>
      <c r="Q190" s="365"/>
      <c r="R190" s="365"/>
      <c r="S190" s="365"/>
      <c r="T190" s="365"/>
      <c r="U190" s="365"/>
      <c r="V190" s="365"/>
      <c r="W190" s="365"/>
      <c r="X190" s="365"/>
      <c r="Y190" s="365"/>
      <c r="Z190" s="365"/>
      <c r="AA190" s="365"/>
      <c r="AB190" s="365"/>
      <c r="AC190" s="365"/>
      <c r="AD190" s="365"/>
    </row>
    <row r="191" spans="1:30" s="352" customFormat="1">
      <c r="A191" s="364"/>
      <c r="B191" s="364"/>
      <c r="C191" s="365"/>
      <c r="D191" s="365"/>
      <c r="E191" s="365"/>
      <c r="F191" s="365"/>
      <c r="G191" s="365"/>
      <c r="H191" s="365"/>
      <c r="I191" s="365"/>
      <c r="J191" s="365"/>
      <c r="K191" s="365"/>
      <c r="L191" s="365"/>
      <c r="M191" s="365"/>
      <c r="N191" s="365"/>
      <c r="O191" s="365"/>
      <c r="P191" s="365"/>
      <c r="Q191" s="365"/>
      <c r="R191" s="365"/>
      <c r="S191" s="365"/>
      <c r="T191" s="365"/>
      <c r="U191" s="365"/>
      <c r="V191" s="365"/>
      <c r="W191" s="365"/>
      <c r="X191" s="365"/>
      <c r="Y191" s="365"/>
      <c r="Z191" s="365"/>
      <c r="AA191" s="365"/>
      <c r="AB191" s="365"/>
      <c r="AC191" s="365"/>
      <c r="AD191" s="365"/>
    </row>
    <row r="192" spans="1:30" s="352" customFormat="1">
      <c r="A192" s="364"/>
      <c r="B192" s="364"/>
      <c r="C192" s="365"/>
      <c r="D192" s="365"/>
      <c r="E192" s="365"/>
      <c r="F192" s="365"/>
      <c r="G192" s="365"/>
      <c r="H192" s="365"/>
      <c r="I192" s="365"/>
      <c r="J192" s="365"/>
      <c r="K192" s="365"/>
      <c r="L192" s="365"/>
      <c r="M192" s="365"/>
      <c r="N192" s="365"/>
      <c r="O192" s="365"/>
      <c r="P192" s="365"/>
      <c r="Q192" s="365"/>
      <c r="R192" s="365"/>
      <c r="S192" s="365"/>
      <c r="T192" s="365"/>
      <c r="U192" s="365"/>
      <c r="V192" s="365"/>
      <c r="W192" s="365"/>
      <c r="X192" s="365"/>
      <c r="Y192" s="365"/>
      <c r="Z192" s="365"/>
      <c r="AA192" s="365"/>
      <c r="AB192" s="365"/>
      <c r="AC192" s="365"/>
      <c r="AD192" s="365"/>
    </row>
    <row r="193" spans="1:30" s="352" customFormat="1">
      <c r="A193" s="364"/>
      <c r="B193" s="364"/>
      <c r="C193" s="365"/>
      <c r="D193" s="365"/>
      <c r="E193" s="365"/>
      <c r="F193" s="365"/>
      <c r="G193" s="365"/>
      <c r="H193" s="365"/>
      <c r="I193" s="365"/>
      <c r="J193" s="365"/>
      <c r="K193" s="365"/>
      <c r="L193" s="365"/>
      <c r="M193" s="365"/>
      <c r="N193" s="365"/>
      <c r="O193" s="365"/>
      <c r="P193" s="365"/>
      <c r="Q193" s="365"/>
      <c r="R193" s="365"/>
      <c r="S193" s="365"/>
      <c r="T193" s="365"/>
      <c r="U193" s="365"/>
      <c r="V193" s="365"/>
      <c r="W193" s="365"/>
      <c r="X193" s="365"/>
      <c r="Y193" s="365"/>
      <c r="Z193" s="365"/>
      <c r="AA193" s="365"/>
      <c r="AB193" s="365"/>
      <c r="AC193" s="365"/>
      <c r="AD193" s="365"/>
    </row>
    <row r="194" spans="1:30" s="352" customFormat="1">
      <c r="A194" s="364"/>
      <c r="B194" s="364"/>
      <c r="C194" s="365"/>
      <c r="D194" s="365"/>
      <c r="E194" s="365"/>
      <c r="F194" s="365"/>
      <c r="G194" s="365"/>
      <c r="H194" s="365"/>
      <c r="I194" s="365"/>
      <c r="J194" s="365"/>
      <c r="K194" s="365"/>
      <c r="L194" s="365"/>
      <c r="M194" s="365"/>
      <c r="N194" s="365"/>
      <c r="O194" s="365"/>
      <c r="P194" s="365"/>
      <c r="Q194" s="365"/>
      <c r="R194" s="365"/>
      <c r="S194" s="365"/>
      <c r="T194" s="365"/>
      <c r="U194" s="365"/>
      <c r="V194" s="365"/>
      <c r="W194" s="365"/>
      <c r="X194" s="365"/>
      <c r="Y194" s="365"/>
      <c r="Z194" s="365"/>
      <c r="AA194" s="365"/>
      <c r="AB194" s="365"/>
      <c r="AC194" s="365"/>
      <c r="AD194" s="365"/>
    </row>
    <row r="195" spans="1:30" s="352" customFormat="1">
      <c r="A195" s="364"/>
      <c r="B195" s="364"/>
      <c r="C195" s="365"/>
      <c r="D195" s="365"/>
      <c r="E195" s="365"/>
      <c r="F195" s="365"/>
      <c r="G195" s="365"/>
      <c r="H195" s="365"/>
      <c r="I195" s="365"/>
      <c r="J195" s="365"/>
      <c r="K195" s="365"/>
      <c r="L195" s="365"/>
      <c r="M195" s="365"/>
      <c r="N195" s="365"/>
      <c r="O195" s="365"/>
      <c r="P195" s="365"/>
      <c r="Q195" s="365"/>
      <c r="R195" s="365"/>
      <c r="S195" s="365"/>
      <c r="T195" s="365"/>
      <c r="U195" s="365"/>
      <c r="V195" s="365"/>
      <c r="W195" s="365"/>
      <c r="X195" s="365"/>
      <c r="Y195" s="365"/>
      <c r="Z195" s="365"/>
      <c r="AA195" s="365"/>
      <c r="AB195" s="365"/>
      <c r="AC195" s="365"/>
      <c r="AD195" s="365"/>
    </row>
    <row r="196" spans="1:30" s="352" customFormat="1">
      <c r="A196" s="364"/>
      <c r="B196" s="364"/>
      <c r="C196" s="365"/>
      <c r="D196" s="365"/>
      <c r="E196" s="365"/>
      <c r="F196" s="365"/>
      <c r="G196" s="365"/>
      <c r="H196" s="365"/>
      <c r="I196" s="365"/>
      <c r="J196" s="365"/>
      <c r="K196" s="365"/>
      <c r="L196" s="365"/>
      <c r="M196" s="365"/>
      <c r="N196" s="365"/>
      <c r="O196" s="365"/>
      <c r="P196" s="365"/>
      <c r="Q196" s="365"/>
      <c r="R196" s="365"/>
      <c r="S196" s="365"/>
      <c r="T196" s="365"/>
      <c r="U196" s="365"/>
      <c r="V196" s="365"/>
      <c r="W196" s="365"/>
      <c r="X196" s="365"/>
      <c r="Y196" s="365"/>
      <c r="Z196" s="365"/>
      <c r="AA196" s="365"/>
      <c r="AB196" s="365"/>
      <c r="AC196" s="365"/>
      <c r="AD196" s="365"/>
    </row>
    <row r="197" spans="1:30" s="352" customFormat="1">
      <c r="A197" s="364"/>
      <c r="B197" s="364"/>
      <c r="C197" s="365"/>
      <c r="D197" s="365"/>
      <c r="E197" s="365"/>
      <c r="F197" s="365"/>
      <c r="G197" s="365"/>
      <c r="H197" s="365"/>
      <c r="I197" s="365"/>
      <c r="J197" s="365"/>
      <c r="K197" s="365"/>
      <c r="L197" s="365"/>
      <c r="M197" s="365"/>
      <c r="N197" s="365"/>
      <c r="O197" s="365"/>
      <c r="P197" s="365"/>
      <c r="Q197" s="365"/>
      <c r="R197" s="365"/>
      <c r="S197" s="365"/>
      <c r="T197" s="365"/>
      <c r="U197" s="365"/>
      <c r="V197" s="365"/>
      <c r="W197" s="365"/>
      <c r="X197" s="365"/>
      <c r="Y197" s="365"/>
      <c r="Z197" s="365"/>
      <c r="AA197" s="365"/>
      <c r="AB197" s="365"/>
      <c r="AC197" s="365"/>
      <c r="AD197" s="365"/>
    </row>
    <row r="198" spans="1:30" s="352" customFormat="1">
      <c r="A198" s="364"/>
      <c r="B198" s="364"/>
      <c r="C198" s="365"/>
      <c r="D198" s="365"/>
      <c r="E198" s="365"/>
      <c r="F198" s="365"/>
      <c r="G198" s="365"/>
      <c r="H198" s="365"/>
      <c r="I198" s="365"/>
      <c r="J198" s="365"/>
      <c r="K198" s="365"/>
      <c r="L198" s="365"/>
      <c r="M198" s="365"/>
      <c r="N198" s="365"/>
      <c r="O198" s="365"/>
      <c r="P198" s="365"/>
      <c r="Q198" s="365"/>
      <c r="R198" s="365"/>
      <c r="S198" s="365"/>
      <c r="T198" s="365"/>
      <c r="U198" s="365"/>
      <c r="V198" s="365"/>
      <c r="W198" s="365"/>
      <c r="X198" s="365"/>
      <c r="Y198" s="365"/>
      <c r="Z198" s="365"/>
      <c r="AA198" s="365"/>
      <c r="AB198" s="365"/>
      <c r="AC198" s="365"/>
      <c r="AD198" s="365"/>
    </row>
    <row r="199" spans="1:30" s="352" customFormat="1">
      <c r="A199" s="364"/>
      <c r="B199" s="364"/>
      <c r="C199" s="365"/>
      <c r="D199" s="365"/>
      <c r="E199" s="365"/>
      <c r="F199" s="365"/>
      <c r="G199" s="365"/>
      <c r="H199" s="365"/>
      <c r="I199" s="365"/>
      <c r="J199" s="365"/>
      <c r="K199" s="365"/>
      <c r="L199" s="365"/>
      <c r="M199" s="365"/>
      <c r="N199" s="365"/>
      <c r="O199" s="365"/>
      <c r="P199" s="365"/>
      <c r="Q199" s="365"/>
      <c r="R199" s="365"/>
      <c r="S199" s="365"/>
      <c r="T199" s="365"/>
      <c r="U199" s="365"/>
      <c r="V199" s="365"/>
      <c r="W199" s="365"/>
      <c r="X199" s="365"/>
      <c r="Y199" s="365"/>
      <c r="Z199" s="365"/>
      <c r="AA199" s="365"/>
      <c r="AB199" s="365"/>
      <c r="AC199" s="365"/>
      <c r="AD199" s="365"/>
    </row>
    <row r="200" spans="1:30" s="352" customFormat="1">
      <c r="A200" s="364"/>
      <c r="B200" s="364"/>
      <c r="C200" s="365"/>
      <c r="D200" s="365"/>
      <c r="E200" s="365"/>
      <c r="F200" s="365"/>
      <c r="G200" s="365"/>
      <c r="H200" s="365"/>
      <c r="I200" s="365"/>
      <c r="J200" s="365"/>
      <c r="K200" s="365"/>
      <c r="L200" s="365"/>
      <c r="M200" s="365"/>
      <c r="N200" s="365"/>
      <c r="O200" s="365"/>
      <c r="P200" s="365"/>
      <c r="Q200" s="365"/>
      <c r="R200" s="365"/>
      <c r="S200" s="365"/>
      <c r="T200" s="365"/>
      <c r="U200" s="365"/>
      <c r="V200" s="365"/>
      <c r="W200" s="365"/>
      <c r="X200" s="365"/>
      <c r="Y200" s="365"/>
      <c r="Z200" s="365"/>
      <c r="AA200" s="365"/>
      <c r="AB200" s="365"/>
      <c r="AC200" s="365"/>
      <c r="AD200" s="365"/>
    </row>
    <row r="201" spans="1:30" s="352" customFormat="1">
      <c r="A201" s="364"/>
      <c r="B201" s="364"/>
      <c r="C201" s="365"/>
      <c r="D201" s="365"/>
      <c r="E201" s="365"/>
      <c r="F201" s="365"/>
      <c r="G201" s="365"/>
      <c r="H201" s="365"/>
      <c r="I201" s="365"/>
      <c r="J201" s="365"/>
      <c r="K201" s="365"/>
      <c r="L201" s="365"/>
      <c r="M201" s="365"/>
      <c r="N201" s="365"/>
      <c r="O201" s="365"/>
      <c r="P201" s="365"/>
      <c r="Q201" s="365"/>
      <c r="R201" s="365"/>
      <c r="S201" s="365"/>
      <c r="T201" s="365"/>
      <c r="U201" s="365"/>
      <c r="V201" s="365"/>
      <c r="W201" s="365"/>
      <c r="X201" s="365"/>
      <c r="Y201" s="365"/>
      <c r="Z201" s="365"/>
      <c r="AA201" s="365"/>
      <c r="AB201" s="365"/>
      <c r="AC201" s="365"/>
      <c r="AD201" s="365"/>
    </row>
    <row r="202" spans="1:30" s="352" customFormat="1">
      <c r="A202" s="364"/>
      <c r="B202" s="364"/>
      <c r="C202" s="365"/>
      <c r="D202" s="365"/>
      <c r="E202" s="365"/>
      <c r="F202" s="365"/>
      <c r="G202" s="365"/>
      <c r="H202" s="365"/>
      <c r="I202" s="365"/>
      <c r="J202" s="365"/>
      <c r="K202" s="365"/>
      <c r="L202" s="365"/>
      <c r="M202" s="365"/>
      <c r="N202" s="365"/>
      <c r="O202" s="365"/>
      <c r="P202" s="365"/>
      <c r="Q202" s="365"/>
      <c r="R202" s="365"/>
      <c r="S202" s="365"/>
      <c r="T202" s="365"/>
      <c r="U202" s="365"/>
      <c r="V202" s="365"/>
      <c r="W202" s="365"/>
      <c r="X202" s="365"/>
      <c r="Y202" s="365"/>
      <c r="Z202" s="365"/>
      <c r="AA202" s="365"/>
      <c r="AB202" s="365"/>
      <c r="AC202" s="365"/>
      <c r="AD202" s="365"/>
    </row>
    <row r="203" spans="1:30" s="352" customFormat="1">
      <c r="A203" s="364"/>
      <c r="B203" s="364"/>
      <c r="C203" s="365"/>
      <c r="D203" s="365"/>
      <c r="E203" s="365"/>
      <c r="F203" s="365"/>
      <c r="G203" s="365"/>
      <c r="H203" s="365"/>
      <c r="I203" s="365"/>
      <c r="J203" s="365"/>
      <c r="K203" s="365"/>
      <c r="L203" s="365"/>
      <c r="M203" s="365"/>
      <c r="N203" s="365"/>
      <c r="O203" s="365"/>
      <c r="P203" s="365"/>
      <c r="Q203" s="365"/>
      <c r="R203" s="365"/>
      <c r="S203" s="365"/>
      <c r="T203" s="365"/>
      <c r="U203" s="365"/>
      <c r="V203" s="365"/>
      <c r="W203" s="365"/>
      <c r="X203" s="365"/>
      <c r="Y203" s="365"/>
      <c r="Z203" s="365"/>
      <c r="AA203" s="365"/>
      <c r="AB203" s="365"/>
      <c r="AC203" s="365"/>
      <c r="AD203" s="365"/>
    </row>
    <row r="204" spans="1:30" s="352" customFormat="1">
      <c r="A204" s="364"/>
      <c r="B204" s="364"/>
      <c r="C204" s="365"/>
      <c r="D204" s="365"/>
      <c r="E204" s="365"/>
      <c r="F204" s="365"/>
      <c r="G204" s="365"/>
      <c r="H204" s="365"/>
      <c r="I204" s="365"/>
      <c r="J204" s="365"/>
      <c r="K204" s="365"/>
      <c r="L204" s="365"/>
      <c r="M204" s="365"/>
      <c r="N204" s="365"/>
      <c r="O204" s="365"/>
      <c r="P204" s="365"/>
      <c r="Q204" s="365"/>
      <c r="R204" s="365"/>
      <c r="S204" s="365"/>
      <c r="T204" s="365"/>
      <c r="U204" s="365"/>
      <c r="V204" s="365"/>
      <c r="W204" s="365"/>
      <c r="X204" s="365"/>
      <c r="Y204" s="365"/>
      <c r="Z204" s="365"/>
      <c r="AA204" s="365"/>
      <c r="AB204" s="365"/>
      <c r="AC204" s="365"/>
      <c r="AD204" s="365"/>
    </row>
    <row r="205" spans="1:30" s="352" customFormat="1">
      <c r="A205" s="364"/>
      <c r="B205" s="364"/>
      <c r="C205" s="365"/>
      <c r="D205" s="365"/>
      <c r="E205" s="365"/>
      <c r="F205" s="365"/>
      <c r="G205" s="365"/>
      <c r="H205" s="365"/>
      <c r="I205" s="365"/>
      <c r="J205" s="365"/>
      <c r="K205" s="365"/>
      <c r="L205" s="365"/>
      <c r="M205" s="365"/>
      <c r="N205" s="365"/>
      <c r="O205" s="365"/>
      <c r="P205" s="365"/>
      <c r="Q205" s="365"/>
      <c r="R205" s="365"/>
      <c r="S205" s="365"/>
      <c r="T205" s="365"/>
      <c r="U205" s="365"/>
      <c r="V205" s="365"/>
      <c r="W205" s="365"/>
      <c r="X205" s="365"/>
      <c r="Y205" s="365"/>
      <c r="Z205" s="365"/>
      <c r="AA205" s="365"/>
      <c r="AB205" s="365"/>
      <c r="AC205" s="365"/>
      <c r="AD205" s="365"/>
    </row>
    <row r="206" spans="1:30" s="352" customFormat="1">
      <c r="A206" s="364"/>
      <c r="B206" s="364"/>
      <c r="C206" s="365"/>
      <c r="D206" s="365"/>
      <c r="E206" s="365"/>
      <c r="F206" s="365"/>
      <c r="G206" s="365"/>
      <c r="H206" s="365"/>
      <c r="I206" s="365"/>
      <c r="J206" s="365"/>
      <c r="K206" s="365"/>
      <c r="L206" s="365"/>
      <c r="M206" s="365"/>
      <c r="N206" s="365"/>
      <c r="O206" s="365"/>
      <c r="P206" s="365"/>
      <c r="Q206" s="365"/>
      <c r="R206" s="365"/>
      <c r="S206" s="365"/>
      <c r="T206" s="365"/>
      <c r="U206" s="365"/>
      <c r="V206" s="365"/>
      <c r="W206" s="365"/>
      <c r="X206" s="365"/>
      <c r="Y206" s="365"/>
      <c r="Z206" s="365"/>
      <c r="AA206" s="365"/>
      <c r="AB206" s="365"/>
      <c r="AC206" s="365"/>
      <c r="AD206" s="365"/>
    </row>
    <row r="207" spans="1:30" s="352" customFormat="1">
      <c r="A207" s="364"/>
      <c r="B207" s="364"/>
      <c r="C207" s="365"/>
      <c r="D207" s="365"/>
      <c r="E207" s="365"/>
      <c r="F207" s="365"/>
      <c r="G207" s="365"/>
      <c r="H207" s="365"/>
      <c r="I207" s="365"/>
      <c r="J207" s="365"/>
      <c r="K207" s="365"/>
      <c r="L207" s="365"/>
      <c r="M207" s="365"/>
      <c r="N207" s="365"/>
      <c r="O207" s="365"/>
      <c r="P207" s="365"/>
      <c r="Q207" s="365"/>
      <c r="R207" s="365"/>
      <c r="S207" s="365"/>
      <c r="T207" s="365"/>
      <c r="U207" s="365"/>
      <c r="V207" s="365"/>
      <c r="W207" s="365"/>
      <c r="X207" s="365"/>
      <c r="Y207" s="365"/>
      <c r="Z207" s="365"/>
      <c r="AA207" s="365"/>
      <c r="AB207" s="365"/>
      <c r="AC207" s="365"/>
      <c r="AD207" s="365"/>
    </row>
    <row r="208" spans="1:30" s="352" customFormat="1">
      <c r="A208" s="364"/>
      <c r="B208" s="364"/>
      <c r="C208" s="365"/>
      <c r="D208" s="365"/>
      <c r="E208" s="365"/>
      <c r="F208" s="365"/>
      <c r="G208" s="365"/>
      <c r="H208" s="365"/>
      <c r="I208" s="365"/>
      <c r="J208" s="365"/>
      <c r="K208" s="365"/>
      <c r="L208" s="365"/>
      <c r="M208" s="365"/>
      <c r="N208" s="365"/>
      <c r="O208" s="365"/>
      <c r="P208" s="365"/>
      <c r="Q208" s="365"/>
      <c r="R208" s="365"/>
      <c r="S208" s="365"/>
      <c r="T208" s="365"/>
      <c r="U208" s="365"/>
      <c r="V208" s="365"/>
      <c r="W208" s="365"/>
      <c r="X208" s="365"/>
      <c r="Y208" s="365"/>
      <c r="Z208" s="365"/>
      <c r="AA208" s="365"/>
      <c r="AB208" s="365"/>
      <c r="AC208" s="365"/>
      <c r="AD208" s="365"/>
    </row>
    <row r="209" spans="1:30" s="352" customFormat="1">
      <c r="A209" s="364"/>
      <c r="B209" s="364"/>
      <c r="C209" s="365"/>
      <c r="D209" s="365"/>
      <c r="E209" s="365"/>
      <c r="F209" s="365"/>
      <c r="G209" s="365"/>
      <c r="H209" s="365"/>
      <c r="I209" s="365"/>
      <c r="J209" s="365"/>
      <c r="K209" s="365"/>
      <c r="L209" s="365"/>
      <c r="M209" s="365"/>
      <c r="N209" s="365"/>
      <c r="O209" s="365"/>
      <c r="P209" s="365"/>
      <c r="Q209" s="365"/>
      <c r="R209" s="365"/>
      <c r="S209" s="365"/>
      <c r="T209" s="365"/>
      <c r="U209" s="365"/>
      <c r="V209" s="365"/>
      <c r="W209" s="365"/>
      <c r="X209" s="365"/>
      <c r="Y209" s="365"/>
      <c r="Z209" s="365"/>
      <c r="AA209" s="365"/>
      <c r="AB209" s="365"/>
      <c r="AC209" s="365"/>
      <c r="AD209" s="365"/>
    </row>
    <row r="210" spans="1:30" s="352" customFormat="1">
      <c r="A210" s="364"/>
      <c r="B210" s="364"/>
      <c r="C210" s="365"/>
      <c r="D210" s="365"/>
      <c r="E210" s="365"/>
      <c r="F210" s="365"/>
      <c r="G210" s="365"/>
      <c r="H210" s="365"/>
      <c r="I210" s="365"/>
      <c r="J210" s="365"/>
      <c r="K210" s="365"/>
      <c r="L210" s="365"/>
      <c r="M210" s="365"/>
      <c r="N210" s="365"/>
      <c r="O210" s="365"/>
      <c r="P210" s="365"/>
      <c r="Q210" s="365"/>
      <c r="R210" s="365"/>
      <c r="S210" s="365"/>
      <c r="T210" s="365"/>
      <c r="U210" s="365"/>
      <c r="V210" s="365"/>
      <c r="W210" s="365"/>
      <c r="X210" s="365"/>
      <c r="Y210" s="365"/>
      <c r="Z210" s="365"/>
      <c r="AA210" s="365"/>
      <c r="AB210" s="365"/>
      <c r="AC210" s="365"/>
      <c r="AD210" s="365"/>
    </row>
    <row r="211" spans="1:30" s="352" customFormat="1">
      <c r="A211" s="364"/>
      <c r="B211" s="364"/>
      <c r="C211" s="365"/>
      <c r="D211" s="365"/>
      <c r="E211" s="365"/>
      <c r="F211" s="365"/>
      <c r="G211" s="365"/>
      <c r="H211" s="365"/>
      <c r="I211" s="365"/>
      <c r="J211" s="365"/>
      <c r="K211" s="365"/>
      <c r="L211" s="365"/>
      <c r="M211" s="365"/>
      <c r="N211" s="365"/>
      <c r="O211" s="365"/>
      <c r="P211" s="365"/>
      <c r="Q211" s="365"/>
      <c r="R211" s="365"/>
      <c r="S211" s="365"/>
      <c r="T211" s="365"/>
      <c r="U211" s="365"/>
      <c r="V211" s="365"/>
      <c r="W211" s="365"/>
      <c r="X211" s="365"/>
      <c r="Y211" s="365"/>
      <c r="Z211" s="365"/>
      <c r="AA211" s="365"/>
      <c r="AB211" s="365"/>
      <c r="AC211" s="365"/>
      <c r="AD211" s="365"/>
    </row>
    <row r="212" spans="1:30" s="352" customFormat="1">
      <c r="A212" s="364"/>
      <c r="B212" s="364"/>
      <c r="C212" s="365"/>
      <c r="D212" s="365"/>
      <c r="E212" s="365"/>
      <c r="F212" s="365"/>
      <c r="G212" s="365"/>
      <c r="H212" s="365"/>
      <c r="I212" s="365"/>
      <c r="J212" s="365"/>
      <c r="K212" s="365"/>
      <c r="L212" s="365"/>
      <c r="M212" s="365"/>
      <c r="N212" s="365"/>
      <c r="O212" s="365"/>
      <c r="P212" s="365"/>
      <c r="Q212" s="365"/>
      <c r="R212" s="365"/>
      <c r="S212" s="365"/>
      <c r="T212" s="365"/>
      <c r="U212" s="365"/>
      <c r="V212" s="365"/>
      <c r="W212" s="365"/>
      <c r="X212" s="365"/>
      <c r="Y212" s="365"/>
      <c r="Z212" s="365"/>
      <c r="AA212" s="365"/>
      <c r="AB212" s="365"/>
      <c r="AC212" s="365"/>
      <c r="AD212" s="365"/>
    </row>
    <row r="213" spans="1:30" s="352" customFormat="1">
      <c r="A213" s="364"/>
      <c r="B213" s="364"/>
      <c r="C213" s="365"/>
      <c r="D213" s="365"/>
      <c r="E213" s="365"/>
      <c r="F213" s="365"/>
      <c r="G213" s="365"/>
      <c r="H213" s="365"/>
      <c r="I213" s="365"/>
      <c r="J213" s="365"/>
      <c r="K213" s="365"/>
      <c r="L213" s="365"/>
      <c r="M213" s="365"/>
      <c r="N213" s="365"/>
      <c r="O213" s="365"/>
      <c r="P213" s="365"/>
      <c r="Q213" s="365"/>
      <c r="R213" s="365"/>
      <c r="S213" s="365"/>
      <c r="T213" s="365"/>
      <c r="U213" s="365"/>
      <c r="V213" s="365"/>
      <c r="W213" s="365"/>
      <c r="X213" s="365"/>
      <c r="Y213" s="365"/>
      <c r="Z213" s="365"/>
      <c r="AA213" s="365"/>
      <c r="AB213" s="365"/>
      <c r="AC213" s="365"/>
      <c r="AD213" s="365"/>
    </row>
    <row r="214" spans="1:30" s="352" customFormat="1">
      <c r="A214" s="364"/>
      <c r="B214" s="364"/>
      <c r="C214" s="365"/>
      <c r="D214" s="365"/>
      <c r="E214" s="365"/>
      <c r="F214" s="365"/>
      <c r="G214" s="365"/>
      <c r="H214" s="365"/>
      <c r="I214" s="365"/>
      <c r="J214" s="365"/>
      <c r="K214" s="365"/>
      <c r="L214" s="365"/>
      <c r="M214" s="365"/>
      <c r="N214" s="365"/>
      <c r="O214" s="365"/>
      <c r="P214" s="365"/>
      <c r="Q214" s="365"/>
      <c r="R214" s="365"/>
      <c r="S214" s="365"/>
      <c r="T214" s="365"/>
      <c r="U214" s="365"/>
      <c r="V214" s="365"/>
      <c r="W214" s="365"/>
      <c r="X214" s="365"/>
      <c r="Y214" s="365"/>
      <c r="Z214" s="365"/>
      <c r="AA214" s="365"/>
      <c r="AB214" s="365"/>
      <c r="AC214" s="365"/>
      <c r="AD214" s="365"/>
    </row>
    <row r="215" spans="1:30" s="352" customFormat="1">
      <c r="A215" s="364"/>
      <c r="B215" s="364"/>
      <c r="C215" s="365"/>
      <c r="D215" s="365"/>
      <c r="E215" s="365"/>
      <c r="F215" s="365"/>
      <c r="G215" s="365"/>
      <c r="H215" s="365"/>
      <c r="I215" s="365"/>
      <c r="J215" s="365"/>
      <c r="K215" s="365"/>
      <c r="L215" s="365"/>
      <c r="M215" s="365"/>
      <c r="N215" s="365"/>
      <c r="O215" s="365"/>
      <c r="P215" s="365"/>
      <c r="Q215" s="365"/>
      <c r="R215" s="365"/>
      <c r="S215" s="365"/>
      <c r="T215" s="365"/>
      <c r="U215" s="365"/>
      <c r="V215" s="365"/>
      <c r="W215" s="365"/>
      <c r="X215" s="365"/>
      <c r="Y215" s="365"/>
      <c r="Z215" s="365"/>
      <c r="AA215" s="365"/>
      <c r="AB215" s="365"/>
      <c r="AC215" s="365"/>
      <c r="AD215" s="365"/>
    </row>
    <row r="216" spans="1:30" s="352" customFormat="1">
      <c r="A216" s="364"/>
      <c r="B216" s="364"/>
      <c r="C216" s="365"/>
      <c r="D216" s="365"/>
      <c r="E216" s="365"/>
      <c r="F216" s="365"/>
      <c r="G216" s="365"/>
      <c r="H216" s="365"/>
      <c r="I216" s="365"/>
      <c r="J216" s="365"/>
      <c r="K216" s="365"/>
      <c r="L216" s="365"/>
      <c r="M216" s="365"/>
      <c r="N216" s="365"/>
      <c r="O216" s="365"/>
      <c r="P216" s="365"/>
      <c r="Q216" s="365"/>
      <c r="R216" s="365"/>
      <c r="S216" s="365"/>
      <c r="T216" s="365"/>
      <c r="U216" s="365"/>
      <c r="V216" s="365"/>
      <c r="W216" s="365"/>
      <c r="X216" s="365"/>
      <c r="Y216" s="365"/>
      <c r="Z216" s="365"/>
      <c r="AA216" s="365"/>
      <c r="AB216" s="365"/>
      <c r="AC216" s="365"/>
      <c r="AD216" s="365"/>
    </row>
    <row r="217" spans="1:30" s="352" customFormat="1">
      <c r="A217" s="364"/>
      <c r="B217" s="364"/>
      <c r="C217" s="365"/>
      <c r="D217" s="365"/>
      <c r="E217" s="365"/>
      <c r="F217" s="365"/>
      <c r="G217" s="365"/>
      <c r="H217" s="365"/>
      <c r="I217" s="365"/>
      <c r="J217" s="365"/>
      <c r="K217" s="365"/>
      <c r="L217" s="365"/>
      <c r="M217" s="365"/>
      <c r="N217" s="365"/>
      <c r="O217" s="365"/>
      <c r="P217" s="365"/>
      <c r="Q217" s="365"/>
      <c r="R217" s="365"/>
      <c r="S217" s="365"/>
      <c r="T217" s="365"/>
      <c r="U217" s="365"/>
      <c r="V217" s="365"/>
      <c r="W217" s="365"/>
      <c r="X217" s="365"/>
      <c r="Y217" s="365"/>
      <c r="Z217" s="365"/>
      <c r="AA217" s="365"/>
      <c r="AB217" s="365"/>
      <c r="AC217" s="365"/>
      <c r="AD217" s="365"/>
    </row>
    <row r="218" spans="1:30" s="352" customFormat="1">
      <c r="A218" s="364"/>
      <c r="B218" s="364"/>
      <c r="C218" s="365"/>
      <c r="D218" s="365"/>
      <c r="E218" s="365"/>
      <c r="F218" s="365"/>
      <c r="G218" s="365"/>
      <c r="H218" s="365"/>
      <c r="I218" s="365"/>
      <c r="J218" s="365"/>
      <c r="K218" s="365"/>
      <c r="L218" s="365"/>
      <c r="M218" s="365"/>
      <c r="N218" s="365"/>
      <c r="O218" s="365"/>
      <c r="P218" s="365"/>
      <c r="Q218" s="365"/>
      <c r="R218" s="365"/>
      <c r="S218" s="365"/>
      <c r="T218" s="365"/>
      <c r="U218" s="365"/>
      <c r="V218" s="365"/>
      <c r="W218" s="365"/>
      <c r="X218" s="365"/>
      <c r="Y218" s="365"/>
      <c r="Z218" s="365"/>
      <c r="AA218" s="365"/>
      <c r="AB218" s="365"/>
      <c r="AC218" s="365"/>
      <c r="AD218" s="365"/>
    </row>
    <row r="219" spans="1:30" s="352" customFormat="1">
      <c r="A219" s="364"/>
      <c r="B219" s="364"/>
      <c r="C219" s="365"/>
      <c r="D219" s="365"/>
      <c r="E219" s="365"/>
      <c r="F219" s="365"/>
      <c r="G219" s="365"/>
      <c r="H219" s="365"/>
      <c r="I219" s="365"/>
      <c r="J219" s="365"/>
      <c r="K219" s="365"/>
      <c r="L219" s="365"/>
      <c r="M219" s="365"/>
      <c r="N219" s="365"/>
      <c r="O219" s="365"/>
      <c r="P219" s="365"/>
      <c r="Q219" s="365"/>
      <c r="R219" s="365"/>
      <c r="S219" s="365"/>
      <c r="T219" s="365"/>
      <c r="U219" s="365"/>
      <c r="V219" s="365"/>
      <c r="W219" s="365"/>
      <c r="X219" s="365"/>
      <c r="Y219" s="365"/>
      <c r="Z219" s="365"/>
      <c r="AA219" s="365"/>
      <c r="AB219" s="365"/>
      <c r="AC219" s="365"/>
      <c r="AD219" s="365"/>
    </row>
    <row r="220" spans="1:30" s="352" customFormat="1">
      <c r="A220" s="364"/>
      <c r="B220" s="364"/>
      <c r="C220" s="365"/>
      <c r="D220" s="365"/>
      <c r="E220" s="365"/>
      <c r="F220" s="365"/>
      <c r="G220" s="365"/>
      <c r="H220" s="365"/>
      <c r="I220" s="365"/>
      <c r="J220" s="365"/>
      <c r="K220" s="365"/>
      <c r="L220" s="365"/>
      <c r="M220" s="365"/>
      <c r="N220" s="365"/>
      <c r="O220" s="365"/>
      <c r="P220" s="365"/>
      <c r="Q220" s="365"/>
      <c r="R220" s="365"/>
      <c r="S220" s="365"/>
      <c r="T220" s="365"/>
      <c r="U220" s="365"/>
      <c r="V220" s="365"/>
      <c r="W220" s="365"/>
      <c r="X220" s="365"/>
      <c r="Y220" s="365"/>
      <c r="Z220" s="365"/>
      <c r="AA220" s="365"/>
      <c r="AB220" s="365"/>
      <c r="AC220" s="365"/>
      <c r="AD220" s="365"/>
    </row>
    <row r="221" spans="1:30" s="352" customFormat="1">
      <c r="A221" s="364"/>
      <c r="B221" s="364"/>
      <c r="C221" s="365"/>
      <c r="D221" s="365"/>
      <c r="E221" s="365"/>
      <c r="F221" s="365"/>
      <c r="G221" s="365"/>
      <c r="H221" s="365"/>
      <c r="I221" s="365"/>
      <c r="J221" s="365"/>
      <c r="K221" s="365"/>
      <c r="L221" s="365"/>
      <c r="M221" s="365"/>
      <c r="N221" s="365"/>
      <c r="O221" s="365"/>
      <c r="P221" s="365"/>
      <c r="Q221" s="365"/>
      <c r="R221" s="365"/>
      <c r="S221" s="365"/>
      <c r="T221" s="365"/>
      <c r="U221" s="365"/>
      <c r="V221" s="365"/>
      <c r="W221" s="365"/>
      <c r="X221" s="365"/>
      <c r="Y221" s="365"/>
      <c r="Z221" s="365"/>
      <c r="AA221" s="365"/>
      <c r="AB221" s="365"/>
      <c r="AC221" s="365"/>
      <c r="AD221" s="365"/>
    </row>
    <row r="222" spans="1:30" s="352" customFormat="1">
      <c r="A222" s="364"/>
      <c r="B222" s="364"/>
      <c r="C222" s="365"/>
      <c r="D222" s="365"/>
      <c r="E222" s="365"/>
      <c r="F222" s="365"/>
      <c r="G222" s="365"/>
      <c r="H222" s="365"/>
      <c r="I222" s="365"/>
      <c r="J222" s="365"/>
      <c r="K222" s="365"/>
      <c r="L222" s="365"/>
      <c r="M222" s="365"/>
      <c r="N222" s="365"/>
      <c r="O222" s="365"/>
      <c r="P222" s="365"/>
      <c r="Q222" s="365"/>
      <c r="R222" s="365"/>
      <c r="S222" s="365"/>
      <c r="T222" s="365"/>
      <c r="U222" s="365"/>
      <c r="V222" s="365"/>
      <c r="W222" s="365"/>
      <c r="X222" s="365"/>
      <c r="Y222" s="365"/>
      <c r="Z222" s="365"/>
      <c r="AA222" s="365"/>
      <c r="AB222" s="365"/>
      <c r="AC222" s="365"/>
      <c r="AD222" s="365"/>
    </row>
    <row r="223" spans="1:30" s="352" customFormat="1">
      <c r="A223" s="364"/>
      <c r="B223" s="364"/>
      <c r="C223" s="365"/>
      <c r="D223" s="365"/>
      <c r="E223" s="365"/>
      <c r="F223" s="365"/>
      <c r="G223" s="365"/>
      <c r="H223" s="365"/>
      <c r="I223" s="365"/>
      <c r="J223" s="365"/>
      <c r="K223" s="365"/>
      <c r="L223" s="365"/>
      <c r="M223" s="365"/>
      <c r="N223" s="365"/>
      <c r="O223" s="365"/>
      <c r="P223" s="365"/>
      <c r="Q223" s="365"/>
      <c r="R223" s="365"/>
      <c r="S223" s="365"/>
      <c r="T223" s="365"/>
      <c r="U223" s="365"/>
      <c r="V223" s="365"/>
      <c r="W223" s="365"/>
      <c r="X223" s="365"/>
      <c r="Y223" s="365"/>
      <c r="Z223" s="365"/>
      <c r="AA223" s="365"/>
      <c r="AB223" s="365"/>
      <c r="AC223" s="365"/>
      <c r="AD223" s="365"/>
    </row>
    <row r="224" spans="1:30" s="352" customFormat="1">
      <c r="A224" s="364"/>
      <c r="B224" s="364"/>
      <c r="C224" s="365"/>
      <c r="D224" s="365"/>
      <c r="E224" s="365"/>
      <c r="F224" s="365"/>
      <c r="G224" s="365"/>
      <c r="H224" s="365"/>
      <c r="I224" s="365"/>
      <c r="J224" s="365"/>
      <c r="K224" s="365"/>
      <c r="L224" s="365"/>
      <c r="M224" s="365"/>
      <c r="N224" s="365"/>
      <c r="O224" s="365"/>
      <c r="P224" s="365"/>
      <c r="Q224" s="365"/>
      <c r="R224" s="365"/>
      <c r="S224" s="365"/>
      <c r="T224" s="365"/>
      <c r="U224" s="365"/>
      <c r="V224" s="365"/>
      <c r="W224" s="365"/>
      <c r="X224" s="365"/>
      <c r="Y224" s="365"/>
      <c r="Z224" s="365"/>
      <c r="AA224" s="365"/>
      <c r="AB224" s="365"/>
      <c r="AC224" s="365"/>
      <c r="AD224" s="365"/>
    </row>
    <row r="225" spans="1:30" s="352" customFormat="1">
      <c r="A225" s="364"/>
      <c r="B225" s="364"/>
      <c r="C225" s="365"/>
      <c r="D225" s="365"/>
      <c r="E225" s="365"/>
      <c r="F225" s="365"/>
      <c r="G225" s="365"/>
      <c r="H225" s="365"/>
      <c r="I225" s="365"/>
      <c r="J225" s="365"/>
      <c r="K225" s="365"/>
      <c r="L225" s="365"/>
      <c r="M225" s="365"/>
      <c r="N225" s="365"/>
      <c r="O225" s="365"/>
      <c r="P225" s="365"/>
      <c r="Q225" s="365"/>
      <c r="R225" s="365"/>
      <c r="S225" s="365"/>
      <c r="T225" s="365"/>
      <c r="U225" s="365"/>
      <c r="V225" s="365"/>
      <c r="W225" s="365"/>
      <c r="X225" s="365"/>
      <c r="Y225" s="365"/>
      <c r="Z225" s="365"/>
      <c r="AA225" s="365"/>
      <c r="AB225" s="365"/>
      <c r="AC225" s="365"/>
      <c r="AD225" s="365"/>
    </row>
    <row r="226" spans="1:30" s="352" customFormat="1">
      <c r="A226" s="364"/>
      <c r="B226" s="364"/>
      <c r="C226" s="365"/>
      <c r="D226" s="365"/>
      <c r="E226" s="365"/>
      <c r="F226" s="365"/>
      <c r="G226" s="365"/>
      <c r="H226" s="365"/>
      <c r="I226" s="365"/>
      <c r="J226" s="365"/>
      <c r="K226" s="365"/>
      <c r="L226" s="365"/>
      <c r="M226" s="365"/>
      <c r="N226" s="365"/>
      <c r="O226" s="365"/>
      <c r="P226" s="365"/>
      <c r="Q226" s="365"/>
      <c r="R226" s="365"/>
      <c r="S226" s="365"/>
      <c r="T226" s="365"/>
      <c r="U226" s="365"/>
      <c r="V226" s="365"/>
      <c r="W226" s="365"/>
      <c r="X226" s="365"/>
      <c r="Y226" s="365"/>
      <c r="Z226" s="365"/>
      <c r="AA226" s="365"/>
      <c r="AB226" s="365"/>
      <c r="AC226" s="365"/>
      <c r="AD226" s="365"/>
    </row>
    <row r="227" spans="1:30" s="352" customFormat="1">
      <c r="A227" s="364"/>
      <c r="B227" s="364"/>
      <c r="C227" s="365"/>
      <c r="D227" s="365"/>
      <c r="E227" s="365"/>
      <c r="F227" s="365"/>
      <c r="G227" s="365"/>
      <c r="H227" s="365"/>
      <c r="I227" s="365"/>
      <c r="J227" s="365"/>
      <c r="K227" s="365"/>
      <c r="L227" s="365"/>
      <c r="M227" s="365"/>
      <c r="N227" s="365"/>
      <c r="O227" s="365"/>
      <c r="P227" s="365"/>
      <c r="Q227" s="365"/>
      <c r="R227" s="365"/>
      <c r="S227" s="365"/>
      <c r="T227" s="365"/>
      <c r="U227" s="365"/>
      <c r="V227" s="365"/>
      <c r="W227" s="365"/>
      <c r="X227" s="365"/>
      <c r="Y227" s="365"/>
      <c r="Z227" s="365"/>
      <c r="AA227" s="365"/>
      <c r="AB227" s="365"/>
      <c r="AC227" s="365"/>
      <c r="AD227" s="365"/>
    </row>
    <row r="228" spans="1:30" s="352" customFormat="1">
      <c r="A228" s="364"/>
      <c r="B228" s="364"/>
      <c r="C228" s="365"/>
      <c r="D228" s="365"/>
      <c r="E228" s="365"/>
      <c r="F228" s="365"/>
      <c r="G228" s="365"/>
      <c r="H228" s="365"/>
      <c r="I228" s="365"/>
      <c r="J228" s="365"/>
      <c r="K228" s="365"/>
      <c r="L228" s="365"/>
      <c r="M228" s="365"/>
      <c r="N228" s="365"/>
      <c r="O228" s="365"/>
      <c r="P228" s="365"/>
      <c r="Q228" s="365"/>
      <c r="R228" s="365"/>
      <c r="S228" s="365"/>
      <c r="T228" s="365"/>
      <c r="U228" s="365"/>
      <c r="V228" s="365"/>
      <c r="W228" s="365"/>
      <c r="X228" s="365"/>
      <c r="Y228" s="365"/>
      <c r="Z228" s="365"/>
      <c r="AA228" s="365"/>
      <c r="AB228" s="365"/>
      <c r="AC228" s="365"/>
      <c r="AD228" s="365"/>
    </row>
    <row r="229" spans="1:30" s="352" customFormat="1">
      <c r="A229" s="364"/>
      <c r="B229" s="364"/>
      <c r="C229" s="365"/>
      <c r="D229" s="365"/>
      <c r="E229" s="365"/>
      <c r="F229" s="365"/>
      <c r="G229" s="365"/>
      <c r="H229" s="365"/>
      <c r="I229" s="365"/>
      <c r="J229" s="365"/>
      <c r="K229" s="365"/>
      <c r="L229" s="365"/>
      <c r="M229" s="365"/>
      <c r="N229" s="365"/>
      <c r="O229" s="365"/>
      <c r="P229" s="365"/>
      <c r="Q229" s="365"/>
      <c r="R229" s="365"/>
      <c r="S229" s="365"/>
      <c r="T229" s="365"/>
      <c r="U229" s="365"/>
      <c r="V229" s="365"/>
      <c r="W229" s="365"/>
      <c r="X229" s="365"/>
      <c r="Y229" s="365"/>
      <c r="Z229" s="365"/>
      <c r="AA229" s="365"/>
      <c r="AB229" s="365"/>
      <c r="AC229" s="365"/>
      <c r="AD229" s="365"/>
    </row>
    <row r="230" spans="1:30" s="352" customFormat="1">
      <c r="A230" s="364"/>
      <c r="B230" s="364"/>
      <c r="C230" s="365"/>
      <c r="D230" s="365"/>
      <c r="E230" s="365"/>
      <c r="F230" s="365"/>
      <c r="G230" s="365"/>
      <c r="H230" s="365"/>
      <c r="I230" s="365"/>
      <c r="J230" s="365"/>
      <c r="K230" s="365"/>
      <c r="L230" s="365"/>
      <c r="M230" s="365"/>
      <c r="N230" s="365"/>
      <c r="O230" s="365"/>
      <c r="P230" s="365"/>
      <c r="Q230" s="365"/>
      <c r="R230" s="365"/>
      <c r="S230" s="365"/>
      <c r="T230" s="365"/>
      <c r="U230" s="365"/>
      <c r="V230" s="365"/>
      <c r="W230" s="365"/>
      <c r="X230" s="365"/>
      <c r="Y230" s="365"/>
      <c r="Z230" s="365"/>
      <c r="AA230" s="365"/>
      <c r="AB230" s="365"/>
      <c r="AC230" s="365"/>
      <c r="AD230" s="365"/>
    </row>
    <row r="231" spans="1:30" s="352" customFormat="1">
      <c r="A231" s="364"/>
      <c r="B231" s="364"/>
      <c r="C231" s="365"/>
      <c r="D231" s="365"/>
      <c r="E231" s="365"/>
      <c r="F231" s="365"/>
      <c r="G231" s="365"/>
      <c r="H231" s="365"/>
      <c r="I231" s="365"/>
      <c r="J231" s="365"/>
      <c r="K231" s="365"/>
      <c r="L231" s="365"/>
      <c r="M231" s="365"/>
      <c r="N231" s="365"/>
      <c r="O231" s="365"/>
      <c r="P231" s="365"/>
      <c r="Q231" s="365"/>
      <c r="R231" s="365"/>
      <c r="S231" s="365"/>
      <c r="T231" s="365"/>
      <c r="U231" s="365"/>
      <c r="V231" s="365"/>
      <c r="W231" s="365"/>
      <c r="X231" s="365"/>
      <c r="Y231" s="365"/>
      <c r="Z231" s="365"/>
      <c r="AA231" s="365"/>
      <c r="AB231" s="365"/>
      <c r="AC231" s="365"/>
      <c r="AD231" s="365"/>
    </row>
    <row r="232" spans="1:30" s="352" customFormat="1">
      <c r="A232" s="364"/>
      <c r="B232" s="364"/>
      <c r="C232" s="365"/>
      <c r="D232" s="365"/>
      <c r="E232" s="365"/>
      <c r="F232" s="365"/>
      <c r="G232" s="365"/>
      <c r="H232" s="365"/>
      <c r="I232" s="365"/>
      <c r="J232" s="365"/>
      <c r="K232" s="365"/>
      <c r="L232" s="365"/>
      <c r="M232" s="365"/>
      <c r="N232" s="365"/>
      <c r="O232" s="365"/>
      <c r="P232" s="365"/>
      <c r="Q232" s="365"/>
      <c r="R232" s="365"/>
      <c r="S232" s="365"/>
      <c r="T232" s="365"/>
      <c r="U232" s="365"/>
      <c r="V232" s="365"/>
      <c r="W232" s="365"/>
      <c r="X232" s="365"/>
      <c r="Y232" s="365"/>
      <c r="Z232" s="365"/>
      <c r="AA232" s="365"/>
      <c r="AB232" s="365"/>
      <c r="AC232" s="365"/>
      <c r="AD232" s="365"/>
    </row>
    <row r="233" spans="1:30" s="352" customFormat="1">
      <c r="A233" s="364"/>
      <c r="B233" s="364"/>
      <c r="C233" s="365"/>
      <c r="D233" s="365"/>
      <c r="E233" s="365"/>
      <c r="F233" s="365"/>
      <c r="G233" s="365"/>
      <c r="H233" s="365"/>
      <c r="I233" s="365"/>
      <c r="J233" s="365"/>
      <c r="K233" s="365"/>
      <c r="L233" s="365"/>
      <c r="M233" s="365"/>
      <c r="N233" s="365"/>
      <c r="O233" s="365"/>
      <c r="P233" s="365"/>
      <c r="Q233" s="365"/>
      <c r="R233" s="365"/>
      <c r="S233" s="365"/>
      <c r="T233" s="365"/>
      <c r="U233" s="365"/>
      <c r="V233" s="365"/>
      <c r="W233" s="365"/>
      <c r="X233" s="365"/>
      <c r="Y233" s="365"/>
      <c r="Z233" s="365"/>
      <c r="AA233" s="365"/>
      <c r="AB233" s="365"/>
      <c r="AC233" s="365"/>
      <c r="AD233" s="365"/>
    </row>
    <row r="234" spans="1:30" s="352" customFormat="1">
      <c r="A234" s="364"/>
      <c r="B234" s="364"/>
      <c r="C234" s="365"/>
      <c r="D234" s="365"/>
      <c r="E234" s="365"/>
      <c r="F234" s="365"/>
      <c r="G234" s="365"/>
      <c r="H234" s="365"/>
      <c r="I234" s="365"/>
      <c r="J234" s="365"/>
      <c r="K234" s="365"/>
      <c r="L234" s="365"/>
      <c r="M234" s="365"/>
      <c r="N234" s="365"/>
      <c r="O234" s="365"/>
      <c r="P234" s="365"/>
      <c r="Q234" s="365"/>
      <c r="R234" s="365"/>
      <c r="S234" s="365"/>
      <c r="T234" s="365"/>
      <c r="U234" s="365"/>
      <c r="V234" s="365"/>
      <c r="W234" s="365"/>
      <c r="X234" s="365"/>
      <c r="Y234" s="365"/>
      <c r="Z234" s="365"/>
      <c r="AA234" s="365"/>
      <c r="AB234" s="365"/>
      <c r="AC234" s="365"/>
      <c r="AD234" s="365"/>
    </row>
    <row r="235" spans="1:30" s="352" customFormat="1">
      <c r="A235" s="364"/>
      <c r="B235" s="364"/>
      <c r="C235" s="365"/>
      <c r="D235" s="365"/>
      <c r="E235" s="365"/>
      <c r="F235" s="365"/>
      <c r="G235" s="365"/>
      <c r="H235" s="365"/>
      <c r="I235" s="365"/>
      <c r="J235" s="365"/>
      <c r="K235" s="365"/>
      <c r="L235" s="365"/>
      <c r="M235" s="365"/>
      <c r="N235" s="365"/>
      <c r="O235" s="365"/>
      <c r="P235" s="365"/>
      <c r="Q235" s="365"/>
      <c r="R235" s="365"/>
      <c r="S235" s="365"/>
      <c r="T235" s="365"/>
      <c r="U235" s="365"/>
      <c r="V235" s="365"/>
      <c r="W235" s="365"/>
      <c r="X235" s="365"/>
      <c r="Y235" s="365"/>
      <c r="Z235" s="365"/>
      <c r="AA235" s="365"/>
      <c r="AB235" s="365"/>
      <c r="AC235" s="365"/>
      <c r="AD235" s="365"/>
    </row>
    <row r="236" spans="1:30" s="352" customFormat="1">
      <c r="A236" s="364"/>
      <c r="B236" s="364"/>
      <c r="C236" s="365"/>
      <c r="D236" s="365"/>
      <c r="E236" s="365"/>
      <c r="F236" s="365"/>
      <c r="G236" s="365"/>
      <c r="H236" s="365"/>
      <c r="I236" s="365"/>
      <c r="J236" s="365"/>
      <c r="K236" s="365"/>
      <c r="L236" s="365"/>
      <c r="M236" s="365"/>
      <c r="N236" s="365"/>
      <c r="O236" s="365"/>
      <c r="P236" s="365"/>
      <c r="Q236" s="365"/>
      <c r="R236" s="365"/>
      <c r="S236" s="365"/>
      <c r="T236" s="365"/>
      <c r="U236" s="365"/>
      <c r="V236" s="365"/>
      <c r="W236" s="365"/>
      <c r="X236" s="365"/>
      <c r="Y236" s="365"/>
      <c r="Z236" s="365"/>
      <c r="AA236" s="365"/>
      <c r="AB236" s="365"/>
      <c r="AC236" s="365"/>
      <c r="AD236" s="365"/>
    </row>
    <row r="237" spans="1:30" s="352" customFormat="1">
      <c r="A237" s="364"/>
      <c r="B237" s="364"/>
      <c r="C237" s="365"/>
      <c r="D237" s="365"/>
      <c r="E237" s="365"/>
      <c r="F237" s="365"/>
      <c r="G237" s="365"/>
      <c r="H237" s="365"/>
      <c r="I237" s="365"/>
      <c r="J237" s="365"/>
      <c r="K237" s="365"/>
      <c r="L237" s="365"/>
      <c r="M237" s="365"/>
      <c r="N237" s="365"/>
      <c r="O237" s="365"/>
      <c r="P237" s="365"/>
      <c r="Q237" s="365"/>
      <c r="R237" s="365"/>
      <c r="S237" s="365"/>
      <c r="T237" s="365"/>
      <c r="U237" s="365"/>
      <c r="V237" s="365"/>
      <c r="W237" s="365"/>
      <c r="X237" s="365"/>
      <c r="Y237" s="365"/>
      <c r="Z237" s="365"/>
      <c r="AA237" s="365"/>
      <c r="AB237" s="365"/>
      <c r="AC237" s="365"/>
      <c r="AD237" s="365"/>
    </row>
    <row r="238" spans="1:30" s="352" customFormat="1">
      <c r="A238" s="364"/>
      <c r="B238" s="364"/>
      <c r="C238" s="365"/>
      <c r="D238" s="365"/>
      <c r="E238" s="365"/>
      <c r="F238" s="365"/>
      <c r="G238" s="365"/>
      <c r="H238" s="365"/>
      <c r="I238" s="365"/>
      <c r="J238" s="365"/>
      <c r="K238" s="365"/>
      <c r="L238" s="365"/>
      <c r="M238" s="365"/>
      <c r="N238" s="365"/>
      <c r="O238" s="365"/>
      <c r="P238" s="365"/>
      <c r="Q238" s="365"/>
      <c r="R238" s="365"/>
      <c r="S238" s="365"/>
      <c r="T238" s="365"/>
      <c r="U238" s="365"/>
      <c r="V238" s="365"/>
      <c r="W238" s="365"/>
      <c r="X238" s="365"/>
      <c r="Y238" s="365"/>
      <c r="Z238" s="365"/>
      <c r="AA238" s="365"/>
      <c r="AB238" s="365"/>
      <c r="AC238" s="365"/>
      <c r="AD238" s="365"/>
    </row>
    <row r="239" spans="1:30" s="352" customFormat="1">
      <c r="A239" s="364"/>
      <c r="B239" s="364"/>
      <c r="C239" s="365"/>
      <c r="D239" s="365"/>
      <c r="E239" s="365"/>
      <c r="F239" s="365"/>
      <c r="G239" s="365"/>
      <c r="H239" s="365"/>
      <c r="I239" s="365"/>
      <c r="J239" s="365"/>
      <c r="K239" s="365"/>
      <c r="L239" s="365"/>
      <c r="M239" s="365"/>
      <c r="N239" s="365"/>
      <c r="O239" s="365"/>
      <c r="P239" s="365"/>
      <c r="Q239" s="365"/>
      <c r="R239" s="365"/>
      <c r="S239" s="365"/>
      <c r="T239" s="365"/>
      <c r="U239" s="365"/>
      <c r="V239" s="365"/>
      <c r="W239" s="365"/>
      <c r="X239" s="365"/>
      <c r="Y239" s="365"/>
      <c r="Z239" s="365"/>
      <c r="AA239" s="365"/>
      <c r="AB239" s="365"/>
      <c r="AC239" s="365"/>
      <c r="AD239" s="365"/>
    </row>
    <row r="240" spans="1:30" s="352" customFormat="1">
      <c r="A240" s="364"/>
      <c r="B240" s="364"/>
      <c r="C240" s="365"/>
      <c r="D240" s="365"/>
      <c r="E240" s="365"/>
      <c r="F240" s="365"/>
      <c r="G240" s="365"/>
      <c r="H240" s="365"/>
      <c r="I240" s="365"/>
      <c r="J240" s="365"/>
      <c r="K240" s="365"/>
      <c r="L240" s="365"/>
      <c r="M240" s="365"/>
      <c r="N240" s="365"/>
      <c r="O240" s="365"/>
      <c r="P240" s="365"/>
      <c r="Q240" s="365"/>
      <c r="R240" s="365"/>
      <c r="S240" s="365"/>
      <c r="T240" s="365"/>
      <c r="U240" s="365"/>
      <c r="V240" s="365"/>
      <c r="W240" s="365"/>
      <c r="X240" s="365"/>
      <c r="Y240" s="365"/>
      <c r="Z240" s="365"/>
      <c r="AA240" s="365"/>
      <c r="AB240" s="365"/>
      <c r="AC240" s="365"/>
      <c r="AD240" s="365"/>
    </row>
    <row r="241" spans="1:30" s="352" customFormat="1">
      <c r="A241" s="364"/>
      <c r="B241" s="364"/>
      <c r="C241" s="365"/>
      <c r="D241" s="365"/>
      <c r="E241" s="365"/>
      <c r="F241" s="365"/>
      <c r="G241" s="365"/>
      <c r="H241" s="365"/>
      <c r="I241" s="365"/>
      <c r="J241" s="365"/>
      <c r="K241" s="365"/>
      <c r="L241" s="365"/>
      <c r="M241" s="365"/>
      <c r="N241" s="365"/>
      <c r="O241" s="365"/>
      <c r="P241" s="365"/>
      <c r="Q241" s="365"/>
      <c r="R241" s="365"/>
      <c r="S241" s="365"/>
      <c r="T241" s="365"/>
      <c r="U241" s="365"/>
      <c r="V241" s="365"/>
      <c r="W241" s="365"/>
      <c r="X241" s="365"/>
      <c r="Y241" s="365"/>
      <c r="Z241" s="365"/>
      <c r="AA241" s="365"/>
      <c r="AB241" s="365"/>
      <c r="AC241" s="365"/>
      <c r="AD241" s="365"/>
    </row>
    <row r="242" spans="1:30" s="352" customFormat="1">
      <c r="A242" s="364"/>
      <c r="B242" s="364"/>
      <c r="C242" s="365"/>
      <c r="D242" s="365"/>
      <c r="E242" s="365"/>
      <c r="F242" s="365"/>
      <c r="G242" s="365"/>
      <c r="H242" s="365"/>
      <c r="I242" s="365"/>
      <c r="J242" s="365"/>
      <c r="K242" s="365"/>
      <c r="L242" s="365"/>
      <c r="M242" s="365"/>
      <c r="N242" s="365"/>
      <c r="O242" s="365"/>
      <c r="P242" s="365"/>
      <c r="Q242" s="365"/>
      <c r="R242" s="365"/>
      <c r="S242" s="365"/>
      <c r="T242" s="365"/>
      <c r="U242" s="365"/>
      <c r="V242" s="365"/>
      <c r="W242" s="365"/>
      <c r="X242" s="365"/>
      <c r="Y242" s="365"/>
      <c r="Z242" s="365"/>
      <c r="AA242" s="365"/>
      <c r="AB242" s="365"/>
      <c r="AC242" s="365"/>
      <c r="AD242" s="365"/>
    </row>
    <row r="243" spans="1:30" s="352" customFormat="1">
      <c r="A243" s="364"/>
      <c r="B243" s="364"/>
      <c r="C243" s="365"/>
      <c r="D243" s="365"/>
      <c r="E243" s="365"/>
      <c r="F243" s="365"/>
      <c r="G243" s="365"/>
      <c r="H243" s="365"/>
      <c r="I243" s="365"/>
      <c r="J243" s="365"/>
      <c r="K243" s="365"/>
      <c r="L243" s="365"/>
      <c r="M243" s="365"/>
      <c r="N243" s="365"/>
      <c r="O243" s="365"/>
      <c r="P243" s="365"/>
      <c r="Q243" s="365"/>
      <c r="R243" s="365"/>
      <c r="S243" s="365"/>
      <c r="T243" s="365"/>
      <c r="U243" s="365"/>
      <c r="V243" s="365"/>
      <c r="W243" s="365"/>
      <c r="X243" s="365"/>
      <c r="Y243" s="365"/>
      <c r="Z243" s="365"/>
      <c r="AA243" s="365"/>
      <c r="AB243" s="365"/>
      <c r="AC243" s="365"/>
      <c r="AD243" s="365"/>
    </row>
    <row r="244" spans="1:30" s="352" customFormat="1">
      <c r="A244" s="364"/>
      <c r="B244" s="364"/>
      <c r="C244" s="365"/>
      <c r="D244" s="365"/>
      <c r="E244" s="365"/>
      <c r="F244" s="365"/>
      <c r="G244" s="365"/>
      <c r="H244" s="365"/>
      <c r="I244" s="365"/>
      <c r="J244" s="365"/>
      <c r="K244" s="365"/>
      <c r="L244" s="365"/>
      <c r="M244" s="365"/>
      <c r="N244" s="365"/>
      <c r="O244" s="365"/>
      <c r="P244" s="365"/>
      <c r="Q244" s="365"/>
      <c r="R244" s="365"/>
      <c r="S244" s="365"/>
      <c r="T244" s="365"/>
      <c r="U244" s="365"/>
      <c r="V244" s="365"/>
      <c r="W244" s="365"/>
      <c r="X244" s="365"/>
      <c r="Y244" s="365"/>
      <c r="Z244" s="365"/>
      <c r="AA244" s="365"/>
      <c r="AB244" s="365"/>
      <c r="AC244" s="365"/>
      <c r="AD244" s="365"/>
    </row>
    <row r="245" spans="1:30" s="352" customFormat="1">
      <c r="A245" s="364"/>
      <c r="B245" s="364"/>
      <c r="C245" s="365"/>
      <c r="D245" s="365"/>
      <c r="E245" s="365"/>
      <c r="F245" s="365"/>
      <c r="G245" s="365"/>
      <c r="H245" s="365"/>
      <c r="I245" s="365"/>
      <c r="J245" s="365"/>
      <c r="K245" s="365"/>
      <c r="L245" s="365"/>
      <c r="M245" s="365"/>
      <c r="N245" s="365"/>
      <c r="O245" s="365"/>
      <c r="P245" s="365"/>
      <c r="Q245" s="365"/>
      <c r="R245" s="365"/>
      <c r="S245" s="365"/>
      <c r="T245" s="365"/>
      <c r="U245" s="365"/>
      <c r="V245" s="365"/>
      <c r="W245" s="365"/>
      <c r="X245" s="365"/>
      <c r="Y245" s="365"/>
      <c r="Z245" s="365"/>
      <c r="AA245" s="365"/>
      <c r="AB245" s="365"/>
      <c r="AC245" s="365"/>
      <c r="AD245" s="365"/>
    </row>
    <row r="246" spans="1:30" s="352" customFormat="1">
      <c r="A246" s="364"/>
      <c r="B246" s="364"/>
      <c r="C246" s="365"/>
      <c r="D246" s="365"/>
      <c r="E246" s="365"/>
      <c r="F246" s="365"/>
      <c r="G246" s="365"/>
      <c r="H246" s="365"/>
      <c r="I246" s="365"/>
      <c r="J246" s="365"/>
      <c r="K246" s="365"/>
      <c r="L246" s="365"/>
      <c r="M246" s="365"/>
      <c r="N246" s="365"/>
      <c r="O246" s="365"/>
      <c r="P246" s="365"/>
      <c r="Q246" s="365"/>
      <c r="R246" s="365"/>
      <c r="S246" s="365"/>
      <c r="T246" s="365"/>
      <c r="U246" s="365"/>
      <c r="V246" s="365"/>
      <c r="W246" s="365"/>
      <c r="X246" s="365"/>
      <c r="Y246" s="365"/>
      <c r="Z246" s="365"/>
      <c r="AA246" s="365"/>
      <c r="AB246" s="365"/>
      <c r="AC246" s="365"/>
      <c r="AD246" s="365"/>
    </row>
    <row r="247" spans="1:30" s="352" customFormat="1">
      <c r="A247" s="364"/>
      <c r="B247" s="364"/>
      <c r="C247" s="365"/>
      <c r="D247" s="365"/>
      <c r="E247" s="365"/>
      <c r="F247" s="365"/>
      <c r="G247" s="365"/>
      <c r="H247" s="365"/>
      <c r="I247" s="365"/>
      <c r="J247" s="365"/>
      <c r="K247" s="365"/>
      <c r="L247" s="365"/>
      <c r="M247" s="365"/>
      <c r="N247" s="365"/>
      <c r="O247" s="365"/>
      <c r="P247" s="365"/>
      <c r="Q247" s="365"/>
      <c r="R247" s="365"/>
      <c r="S247" s="365"/>
      <c r="T247" s="365"/>
      <c r="U247" s="365"/>
      <c r="V247" s="365"/>
      <c r="W247" s="365"/>
      <c r="X247" s="365"/>
      <c r="Y247" s="365"/>
      <c r="Z247" s="365"/>
      <c r="AA247" s="365"/>
      <c r="AB247" s="365"/>
      <c r="AC247" s="365"/>
      <c r="AD247" s="365"/>
    </row>
    <row r="248" spans="1:30" s="352" customFormat="1">
      <c r="A248" s="364"/>
      <c r="B248" s="364"/>
      <c r="C248" s="365"/>
      <c r="D248" s="365"/>
      <c r="E248" s="365"/>
      <c r="F248" s="365"/>
      <c r="G248" s="365"/>
      <c r="H248" s="365"/>
      <c r="I248" s="365"/>
      <c r="J248" s="365"/>
      <c r="K248" s="365"/>
      <c r="L248" s="365"/>
      <c r="M248" s="365"/>
      <c r="N248" s="365"/>
      <c r="O248" s="365"/>
      <c r="P248" s="365"/>
      <c r="Q248" s="365"/>
      <c r="R248" s="365"/>
      <c r="S248" s="365"/>
      <c r="T248" s="365"/>
      <c r="U248" s="365"/>
      <c r="V248" s="365"/>
      <c r="W248" s="365"/>
      <c r="X248" s="365"/>
      <c r="Y248" s="365"/>
      <c r="Z248" s="365"/>
      <c r="AA248" s="365"/>
      <c r="AB248" s="365"/>
      <c r="AC248" s="365"/>
      <c r="AD248" s="365"/>
    </row>
    <row r="249" spans="1:30" s="352" customFormat="1">
      <c r="A249" s="364"/>
      <c r="B249" s="364"/>
      <c r="C249" s="365"/>
      <c r="D249" s="365"/>
      <c r="E249" s="365"/>
      <c r="F249" s="365"/>
      <c r="G249" s="365"/>
      <c r="H249" s="365"/>
      <c r="I249" s="365"/>
      <c r="J249" s="365"/>
      <c r="K249" s="365"/>
      <c r="L249" s="365"/>
      <c r="M249" s="365"/>
      <c r="N249" s="365"/>
      <c r="O249" s="365"/>
      <c r="P249" s="365"/>
      <c r="Q249" s="365"/>
      <c r="R249" s="365"/>
      <c r="S249" s="365"/>
      <c r="T249" s="365"/>
      <c r="U249" s="365"/>
      <c r="V249" s="365"/>
      <c r="W249" s="365"/>
      <c r="X249" s="365"/>
      <c r="Y249" s="365"/>
      <c r="Z249" s="365"/>
      <c r="AA249" s="365"/>
      <c r="AB249" s="365"/>
      <c r="AC249" s="365"/>
      <c r="AD249" s="365"/>
    </row>
    <row r="250" spans="1:30" s="352" customFormat="1">
      <c r="A250" s="364"/>
      <c r="B250" s="364"/>
      <c r="C250" s="365"/>
      <c r="D250" s="365"/>
      <c r="E250" s="365"/>
      <c r="F250" s="365"/>
      <c r="G250" s="365"/>
      <c r="H250" s="365"/>
      <c r="I250" s="365"/>
      <c r="J250" s="365"/>
      <c r="K250" s="365"/>
      <c r="L250" s="365"/>
      <c r="M250" s="365"/>
      <c r="N250" s="365"/>
      <c r="O250" s="365"/>
      <c r="P250" s="365"/>
      <c r="Q250" s="365"/>
      <c r="R250" s="365"/>
      <c r="S250" s="365"/>
      <c r="T250" s="365"/>
      <c r="U250" s="365"/>
      <c r="V250" s="365"/>
      <c r="W250" s="365"/>
      <c r="X250" s="365"/>
      <c r="Y250" s="365"/>
      <c r="Z250" s="365"/>
      <c r="AA250" s="365"/>
      <c r="AB250" s="365"/>
      <c r="AC250" s="365"/>
      <c r="AD250" s="365"/>
    </row>
    <row r="251" spans="1:30" s="352" customFormat="1">
      <c r="A251" s="364"/>
      <c r="B251" s="364"/>
      <c r="C251" s="365"/>
      <c r="D251" s="365"/>
      <c r="E251" s="365"/>
      <c r="F251" s="365"/>
      <c r="G251" s="365"/>
      <c r="H251" s="365"/>
      <c r="I251" s="365"/>
      <c r="J251" s="365"/>
      <c r="K251" s="365"/>
      <c r="L251" s="365"/>
      <c r="M251" s="365"/>
      <c r="N251" s="365"/>
      <c r="O251" s="365"/>
      <c r="P251" s="365"/>
      <c r="Q251" s="365"/>
      <c r="R251" s="365"/>
      <c r="S251" s="365"/>
      <c r="T251" s="365"/>
      <c r="U251" s="365"/>
      <c r="V251" s="365"/>
      <c r="W251" s="365"/>
      <c r="X251" s="365"/>
      <c r="Y251" s="365"/>
      <c r="Z251" s="365"/>
      <c r="AA251" s="365"/>
      <c r="AB251" s="365"/>
      <c r="AC251" s="365"/>
      <c r="AD251" s="365"/>
    </row>
    <row r="252" spans="1:30" s="352" customFormat="1">
      <c r="A252" s="364"/>
      <c r="B252" s="364"/>
      <c r="C252" s="365"/>
      <c r="D252" s="365"/>
      <c r="E252" s="365"/>
      <c r="F252" s="365"/>
      <c r="G252" s="365"/>
      <c r="H252" s="365"/>
      <c r="I252" s="365"/>
      <c r="J252" s="365"/>
      <c r="K252" s="365"/>
      <c r="L252" s="365"/>
      <c r="M252" s="365"/>
      <c r="N252" s="365"/>
      <c r="O252" s="365"/>
      <c r="P252" s="365"/>
      <c r="Q252" s="365"/>
      <c r="R252" s="365"/>
      <c r="S252" s="365"/>
      <c r="T252" s="365"/>
      <c r="U252" s="365"/>
      <c r="V252" s="365"/>
      <c r="W252" s="365"/>
      <c r="X252" s="365"/>
      <c r="Y252" s="365"/>
      <c r="Z252" s="365"/>
      <c r="AA252" s="365"/>
      <c r="AB252" s="365"/>
      <c r="AC252" s="365"/>
      <c r="AD252" s="365"/>
    </row>
    <row r="253" spans="1:30" s="352" customFormat="1">
      <c r="A253" s="364"/>
      <c r="B253" s="364"/>
      <c r="C253" s="365"/>
      <c r="D253" s="365"/>
      <c r="E253" s="365"/>
      <c r="F253" s="365"/>
      <c r="G253" s="365"/>
      <c r="H253" s="365"/>
      <c r="I253" s="365"/>
      <c r="J253" s="365"/>
      <c r="K253" s="365"/>
      <c r="L253" s="365"/>
      <c r="M253" s="365"/>
      <c r="N253" s="365"/>
      <c r="O253" s="365"/>
      <c r="P253" s="365"/>
      <c r="Q253" s="365"/>
      <c r="R253" s="365"/>
      <c r="S253" s="365"/>
      <c r="T253" s="365"/>
      <c r="U253" s="365"/>
      <c r="V253" s="365"/>
      <c r="W253" s="365"/>
      <c r="X253" s="365"/>
      <c r="Y253" s="365"/>
      <c r="Z253" s="365"/>
      <c r="AA253" s="365"/>
      <c r="AB253" s="365"/>
      <c r="AC253" s="365"/>
      <c r="AD253" s="365"/>
    </row>
    <row r="254" spans="1:30" s="352" customFormat="1">
      <c r="A254" s="364"/>
      <c r="B254" s="364"/>
      <c r="C254" s="365"/>
      <c r="D254" s="365"/>
      <c r="E254" s="365"/>
      <c r="F254" s="365"/>
      <c r="G254" s="365"/>
      <c r="H254" s="365"/>
      <c r="I254" s="365"/>
      <c r="J254" s="365"/>
      <c r="K254" s="365"/>
      <c r="L254" s="365"/>
      <c r="M254" s="365"/>
      <c r="N254" s="365"/>
      <c r="O254" s="365"/>
      <c r="P254" s="365"/>
      <c r="Q254" s="365"/>
      <c r="R254" s="365"/>
      <c r="S254" s="365"/>
      <c r="T254" s="365"/>
      <c r="U254" s="365"/>
      <c r="V254" s="365"/>
      <c r="W254" s="365"/>
      <c r="X254" s="365"/>
      <c r="Y254" s="365"/>
      <c r="Z254" s="365"/>
      <c r="AA254" s="365"/>
      <c r="AB254" s="365"/>
      <c r="AC254" s="365"/>
      <c r="AD254" s="365"/>
    </row>
    <row r="255" spans="1:30" s="352" customFormat="1">
      <c r="A255" s="364"/>
      <c r="B255" s="364"/>
      <c r="C255" s="365"/>
      <c r="D255" s="365"/>
      <c r="E255" s="365"/>
      <c r="F255" s="365"/>
      <c r="G255" s="365"/>
      <c r="H255" s="365"/>
      <c r="I255" s="365"/>
      <c r="J255" s="365"/>
      <c r="K255" s="365"/>
      <c r="L255" s="365"/>
      <c r="M255" s="365"/>
      <c r="N255" s="365"/>
      <c r="O255" s="365"/>
      <c r="P255" s="365"/>
      <c r="Q255" s="365"/>
      <c r="R255" s="365"/>
      <c r="S255" s="365"/>
      <c r="T255" s="365"/>
      <c r="U255" s="365"/>
      <c r="V255" s="365"/>
      <c r="W255" s="365"/>
      <c r="X255" s="365"/>
      <c r="Y255" s="365"/>
      <c r="Z255" s="365"/>
      <c r="AA255" s="365"/>
      <c r="AB255" s="365"/>
      <c r="AC255" s="365"/>
      <c r="AD255" s="365"/>
    </row>
    <row r="256" spans="1:30" s="352" customFormat="1">
      <c r="A256" s="364"/>
      <c r="B256" s="364"/>
      <c r="C256" s="365"/>
      <c r="D256" s="365"/>
      <c r="E256" s="365"/>
      <c r="F256" s="365"/>
      <c r="G256" s="365"/>
      <c r="H256" s="365"/>
      <c r="I256" s="365"/>
      <c r="J256" s="365"/>
      <c r="K256" s="365"/>
      <c r="L256" s="365"/>
      <c r="M256" s="365"/>
      <c r="N256" s="365"/>
      <c r="O256" s="365"/>
      <c r="P256" s="365"/>
      <c r="Q256" s="365"/>
      <c r="R256" s="365"/>
      <c r="S256" s="365"/>
      <c r="T256" s="365"/>
      <c r="U256" s="365"/>
      <c r="V256" s="365"/>
      <c r="W256" s="365"/>
      <c r="X256" s="365"/>
      <c r="Y256" s="365"/>
      <c r="Z256" s="365"/>
      <c r="AA256" s="365"/>
      <c r="AB256" s="365"/>
      <c r="AC256" s="365"/>
      <c r="AD256" s="365"/>
    </row>
    <row r="257" spans="1:30" s="352" customFormat="1">
      <c r="A257" s="364"/>
      <c r="B257" s="364"/>
      <c r="C257" s="365"/>
      <c r="D257" s="365"/>
      <c r="E257" s="365"/>
      <c r="F257" s="365"/>
      <c r="G257" s="365"/>
      <c r="H257" s="365"/>
      <c r="I257" s="365"/>
      <c r="J257" s="365"/>
      <c r="K257" s="365"/>
      <c r="L257" s="365"/>
      <c r="M257" s="365"/>
      <c r="N257" s="365"/>
      <c r="O257" s="365"/>
      <c r="P257" s="365"/>
      <c r="Q257" s="365"/>
      <c r="R257" s="365"/>
      <c r="S257" s="365"/>
      <c r="T257" s="365"/>
      <c r="U257" s="365"/>
      <c r="V257" s="365"/>
      <c r="W257" s="365"/>
      <c r="X257" s="365"/>
      <c r="Y257" s="365"/>
      <c r="Z257" s="365"/>
      <c r="AA257" s="365"/>
      <c r="AB257" s="365"/>
      <c r="AC257" s="365"/>
      <c r="AD257" s="365"/>
    </row>
    <row r="258" spans="1:30" s="352" customFormat="1">
      <c r="A258" s="364"/>
      <c r="B258" s="364"/>
      <c r="C258" s="365"/>
      <c r="D258" s="365"/>
      <c r="E258" s="365"/>
      <c r="F258" s="365"/>
      <c r="G258" s="365"/>
      <c r="H258" s="365"/>
      <c r="I258" s="365"/>
      <c r="J258" s="365"/>
      <c r="K258" s="365"/>
      <c r="L258" s="365"/>
      <c r="M258" s="365"/>
      <c r="N258" s="365"/>
      <c r="O258" s="365"/>
      <c r="P258" s="365"/>
      <c r="Q258" s="365"/>
      <c r="R258" s="365"/>
      <c r="S258" s="365"/>
      <c r="T258" s="365"/>
      <c r="U258" s="365"/>
      <c r="V258" s="365"/>
      <c r="W258" s="365"/>
      <c r="X258" s="365"/>
      <c r="Y258" s="365"/>
      <c r="Z258" s="365"/>
      <c r="AA258" s="365"/>
      <c r="AB258" s="365"/>
      <c r="AC258" s="365"/>
      <c r="AD258" s="365"/>
    </row>
    <row r="259" spans="1:30" s="352" customFormat="1">
      <c r="A259" s="364"/>
      <c r="B259" s="364"/>
      <c r="C259" s="365"/>
      <c r="D259" s="365"/>
      <c r="E259" s="365"/>
      <c r="F259" s="365"/>
      <c r="G259" s="365"/>
      <c r="H259" s="365"/>
      <c r="I259" s="365"/>
      <c r="J259" s="365"/>
      <c r="K259" s="365"/>
      <c r="L259" s="365"/>
      <c r="M259" s="365"/>
      <c r="N259" s="365"/>
      <c r="O259" s="365"/>
      <c r="P259" s="365"/>
      <c r="Q259" s="365"/>
      <c r="R259" s="365"/>
      <c r="S259" s="365"/>
      <c r="T259" s="365"/>
      <c r="U259" s="365"/>
      <c r="V259" s="365"/>
      <c r="W259" s="365"/>
      <c r="X259" s="365"/>
      <c r="Y259" s="365"/>
      <c r="Z259" s="365"/>
      <c r="AA259" s="365"/>
      <c r="AB259" s="365"/>
      <c r="AC259" s="365"/>
      <c r="AD259" s="365"/>
    </row>
    <row r="260" spans="1:30" s="352" customFormat="1">
      <c r="A260" s="364"/>
      <c r="B260" s="364"/>
      <c r="C260" s="365"/>
      <c r="D260" s="365"/>
      <c r="E260" s="365"/>
      <c r="F260" s="365"/>
      <c r="G260" s="365"/>
      <c r="H260" s="365"/>
      <c r="I260" s="365"/>
      <c r="J260" s="365"/>
      <c r="K260" s="365"/>
      <c r="L260" s="365"/>
      <c r="M260" s="365"/>
      <c r="N260" s="365"/>
      <c r="O260" s="365"/>
      <c r="P260" s="365"/>
      <c r="Q260" s="365"/>
      <c r="R260" s="365"/>
      <c r="S260" s="365"/>
      <c r="T260" s="365"/>
      <c r="U260" s="365"/>
      <c r="V260" s="365"/>
      <c r="W260" s="365"/>
      <c r="X260" s="365"/>
      <c r="Y260" s="365"/>
      <c r="Z260" s="365"/>
      <c r="AA260" s="365"/>
      <c r="AB260" s="365"/>
      <c r="AC260" s="365"/>
      <c r="AD260" s="365"/>
    </row>
    <row r="261" spans="1:30" s="352" customFormat="1">
      <c r="A261" s="364"/>
      <c r="B261" s="364"/>
      <c r="C261" s="365"/>
      <c r="D261" s="365"/>
      <c r="E261" s="365"/>
      <c r="F261" s="365"/>
      <c r="G261" s="365"/>
      <c r="H261" s="365"/>
      <c r="I261" s="365"/>
      <c r="J261" s="365"/>
      <c r="K261" s="365"/>
      <c r="L261" s="365"/>
      <c r="M261" s="365"/>
      <c r="N261" s="365"/>
      <c r="O261" s="365"/>
      <c r="P261" s="365"/>
      <c r="Q261" s="365"/>
      <c r="R261" s="365"/>
      <c r="S261" s="365"/>
      <c r="T261" s="365"/>
      <c r="U261" s="365"/>
      <c r="V261" s="365"/>
      <c r="W261" s="365"/>
      <c r="X261" s="365"/>
      <c r="Y261" s="365"/>
      <c r="Z261" s="365"/>
      <c r="AA261" s="365"/>
      <c r="AB261" s="365"/>
      <c r="AC261" s="365"/>
      <c r="AD261" s="365"/>
    </row>
    <row r="262" spans="1:30" s="352" customFormat="1">
      <c r="A262" s="364"/>
      <c r="B262" s="364"/>
      <c r="C262" s="365"/>
      <c r="D262" s="365"/>
      <c r="E262" s="365"/>
      <c r="F262" s="365"/>
      <c r="G262" s="365"/>
      <c r="H262" s="365"/>
      <c r="I262" s="365"/>
      <c r="J262" s="365"/>
      <c r="K262" s="365"/>
      <c r="L262" s="365"/>
      <c r="M262" s="365"/>
      <c r="N262" s="365"/>
      <c r="O262" s="365"/>
      <c r="P262" s="365"/>
      <c r="Q262" s="365"/>
      <c r="R262" s="365"/>
      <c r="S262" s="365"/>
      <c r="T262" s="365"/>
      <c r="U262" s="365"/>
      <c r="V262" s="365"/>
      <c r="W262" s="365"/>
      <c r="X262" s="365"/>
      <c r="Y262" s="365"/>
      <c r="Z262" s="365"/>
      <c r="AA262" s="365"/>
      <c r="AB262" s="365"/>
      <c r="AC262" s="365"/>
      <c r="AD262" s="365"/>
    </row>
    <row r="263" spans="1:30" s="352" customFormat="1">
      <c r="A263" s="364"/>
      <c r="B263" s="364"/>
      <c r="C263" s="365"/>
      <c r="D263" s="365"/>
      <c r="E263" s="365"/>
      <c r="F263" s="365"/>
      <c r="G263" s="365"/>
      <c r="H263" s="365"/>
      <c r="I263" s="365"/>
      <c r="J263" s="365"/>
      <c r="K263" s="365"/>
      <c r="L263" s="365"/>
      <c r="M263" s="365"/>
      <c r="N263" s="365"/>
      <c r="O263" s="365"/>
      <c r="P263" s="365"/>
      <c r="Q263" s="365"/>
      <c r="R263" s="365"/>
      <c r="S263" s="365"/>
      <c r="T263" s="365"/>
      <c r="U263" s="365"/>
      <c r="V263" s="365"/>
      <c r="W263" s="365"/>
      <c r="X263" s="365"/>
      <c r="Y263" s="365"/>
      <c r="Z263" s="365"/>
      <c r="AA263" s="365"/>
      <c r="AB263" s="365"/>
      <c r="AC263" s="365"/>
      <c r="AD263" s="365"/>
    </row>
    <row r="264" spans="1:30" s="352" customFormat="1">
      <c r="A264" s="364"/>
      <c r="B264" s="364"/>
      <c r="C264" s="365"/>
      <c r="D264" s="365"/>
      <c r="E264" s="365"/>
      <c r="F264" s="365"/>
      <c r="G264" s="365"/>
      <c r="H264" s="365"/>
      <c r="I264" s="365"/>
      <c r="J264" s="365"/>
      <c r="K264" s="365"/>
      <c r="L264" s="365"/>
      <c r="M264" s="365"/>
      <c r="N264" s="365"/>
      <c r="O264" s="365"/>
      <c r="P264" s="365"/>
      <c r="Q264" s="365"/>
      <c r="R264" s="365"/>
      <c r="S264" s="365"/>
      <c r="T264" s="365"/>
      <c r="U264" s="365"/>
      <c r="V264" s="365"/>
      <c r="W264" s="365"/>
      <c r="X264" s="365"/>
      <c r="Y264" s="365"/>
      <c r="Z264" s="365"/>
      <c r="AA264" s="365"/>
      <c r="AB264" s="365"/>
      <c r="AC264" s="365"/>
      <c r="AD264" s="365"/>
    </row>
    <row r="265" spans="1:30" s="352" customFormat="1">
      <c r="A265" s="364"/>
      <c r="B265" s="364"/>
      <c r="C265" s="365"/>
      <c r="D265" s="365"/>
      <c r="E265" s="365"/>
      <c r="F265" s="365"/>
      <c r="G265" s="365"/>
      <c r="H265" s="365"/>
      <c r="I265" s="365"/>
      <c r="J265" s="365"/>
      <c r="K265" s="365"/>
      <c r="L265" s="365"/>
      <c r="M265" s="365"/>
      <c r="N265" s="365"/>
      <c r="O265" s="365"/>
      <c r="P265" s="365"/>
      <c r="Q265" s="365"/>
      <c r="R265" s="365"/>
      <c r="S265" s="365"/>
      <c r="T265" s="365"/>
      <c r="U265" s="365"/>
      <c r="V265" s="365"/>
      <c r="W265" s="365"/>
      <c r="X265" s="365"/>
      <c r="Y265" s="365"/>
      <c r="Z265" s="365"/>
      <c r="AA265" s="365"/>
      <c r="AB265" s="365"/>
      <c r="AC265" s="365"/>
      <c r="AD265" s="365"/>
    </row>
    <row r="266" spans="1:30" s="352" customFormat="1">
      <c r="A266" s="364"/>
      <c r="B266" s="364"/>
      <c r="C266" s="365"/>
      <c r="D266" s="365"/>
      <c r="E266" s="365"/>
      <c r="F266" s="365"/>
      <c r="G266" s="365"/>
      <c r="H266" s="365"/>
      <c r="I266" s="365"/>
      <c r="J266" s="365"/>
      <c r="K266" s="365"/>
      <c r="L266" s="365"/>
      <c r="M266" s="365"/>
      <c r="N266" s="365"/>
      <c r="O266" s="365"/>
      <c r="P266" s="365"/>
      <c r="Q266" s="365"/>
      <c r="R266" s="365"/>
      <c r="S266" s="365"/>
      <c r="T266" s="365"/>
      <c r="U266" s="365"/>
      <c r="V266" s="365"/>
      <c r="W266" s="365"/>
      <c r="X266" s="365"/>
      <c r="Y266" s="365"/>
      <c r="Z266" s="365"/>
      <c r="AA266" s="365"/>
      <c r="AB266" s="365"/>
      <c r="AC266" s="365"/>
      <c r="AD266" s="365"/>
    </row>
    <row r="267" spans="1:30" s="352" customFormat="1">
      <c r="A267" s="364"/>
      <c r="B267" s="364"/>
      <c r="C267" s="365"/>
      <c r="D267" s="365"/>
      <c r="E267" s="365"/>
      <c r="F267" s="365"/>
      <c r="G267" s="365"/>
      <c r="H267" s="365"/>
      <c r="I267" s="365"/>
      <c r="J267" s="365"/>
      <c r="K267" s="365"/>
      <c r="L267" s="365"/>
      <c r="M267" s="365"/>
      <c r="N267" s="365"/>
      <c r="O267" s="365"/>
      <c r="P267" s="365"/>
      <c r="Q267" s="365"/>
      <c r="R267" s="365"/>
      <c r="S267" s="365"/>
      <c r="T267" s="365"/>
      <c r="U267" s="365"/>
      <c r="V267" s="365"/>
      <c r="W267" s="365"/>
      <c r="X267" s="365"/>
      <c r="Y267" s="365"/>
      <c r="Z267" s="365"/>
      <c r="AA267" s="365"/>
      <c r="AB267" s="365"/>
      <c r="AC267" s="365"/>
      <c r="AD267" s="365"/>
    </row>
    <row r="268" spans="1:30" s="352" customFormat="1">
      <c r="A268" s="364"/>
      <c r="B268" s="364"/>
      <c r="C268" s="365"/>
      <c r="D268" s="365"/>
      <c r="E268" s="365"/>
      <c r="F268" s="365"/>
      <c r="G268" s="365"/>
      <c r="H268" s="365"/>
      <c r="I268" s="365"/>
      <c r="J268" s="365"/>
      <c r="K268" s="365"/>
      <c r="L268" s="365"/>
      <c r="M268" s="365"/>
      <c r="N268" s="365"/>
      <c r="O268" s="365"/>
      <c r="P268" s="365"/>
      <c r="Q268" s="365"/>
      <c r="R268" s="365"/>
      <c r="S268" s="365"/>
      <c r="T268" s="365"/>
      <c r="U268" s="365"/>
      <c r="V268" s="365"/>
      <c r="W268" s="365"/>
      <c r="X268" s="365"/>
      <c r="Y268" s="365"/>
      <c r="Z268" s="365"/>
      <c r="AA268" s="365"/>
      <c r="AB268" s="365"/>
      <c r="AC268" s="365"/>
      <c r="AD268" s="365"/>
    </row>
    <row r="269" spans="1:30" s="352" customFormat="1">
      <c r="A269" s="364"/>
      <c r="B269" s="364"/>
      <c r="C269" s="365"/>
      <c r="D269" s="365"/>
      <c r="E269" s="365"/>
      <c r="F269" s="365"/>
      <c r="G269" s="365"/>
      <c r="H269" s="365"/>
      <c r="I269" s="365"/>
      <c r="J269" s="365"/>
      <c r="K269" s="365"/>
      <c r="L269" s="365"/>
      <c r="M269" s="365"/>
      <c r="N269" s="365"/>
      <c r="O269" s="365"/>
      <c r="P269" s="365"/>
      <c r="Q269" s="365"/>
      <c r="R269" s="365"/>
      <c r="S269" s="365"/>
      <c r="T269" s="365"/>
      <c r="U269" s="365"/>
      <c r="V269" s="365"/>
      <c r="W269" s="365"/>
      <c r="X269" s="365"/>
      <c r="Y269" s="365"/>
      <c r="Z269" s="365"/>
      <c r="AA269" s="365"/>
      <c r="AB269" s="365"/>
      <c r="AC269" s="365"/>
      <c r="AD269" s="365"/>
    </row>
    <row r="270" spans="1:30" s="352" customFormat="1">
      <c r="A270" s="364"/>
      <c r="B270" s="364"/>
      <c r="C270" s="365"/>
      <c r="D270" s="365"/>
      <c r="E270" s="365"/>
      <c r="F270" s="365"/>
      <c r="G270" s="365"/>
      <c r="H270" s="365"/>
      <c r="I270" s="365"/>
      <c r="J270" s="365"/>
      <c r="K270" s="365"/>
      <c r="L270" s="365"/>
      <c r="M270" s="365"/>
      <c r="N270" s="365"/>
      <c r="O270" s="365"/>
      <c r="P270" s="365"/>
      <c r="Q270" s="365"/>
      <c r="R270" s="365"/>
      <c r="S270" s="365"/>
      <c r="T270" s="365"/>
      <c r="U270" s="365"/>
      <c r="V270" s="365"/>
      <c r="W270" s="365"/>
      <c r="X270" s="365"/>
      <c r="Y270" s="365"/>
      <c r="Z270" s="365"/>
      <c r="AA270" s="365"/>
      <c r="AB270" s="365"/>
      <c r="AC270" s="365"/>
      <c r="AD270" s="365"/>
    </row>
    <row r="271" spans="1:30" s="352" customFormat="1">
      <c r="A271" s="364"/>
      <c r="B271" s="364"/>
      <c r="C271" s="365"/>
      <c r="D271" s="365"/>
      <c r="E271" s="365"/>
      <c r="F271" s="365"/>
      <c r="G271" s="365"/>
      <c r="H271" s="365"/>
      <c r="I271" s="365"/>
      <c r="J271" s="365"/>
      <c r="K271" s="365"/>
      <c r="L271" s="365"/>
      <c r="M271" s="365"/>
      <c r="N271" s="365"/>
      <c r="O271" s="365"/>
      <c r="P271" s="365"/>
      <c r="Q271" s="365"/>
      <c r="R271" s="365"/>
      <c r="S271" s="365"/>
      <c r="T271" s="365"/>
      <c r="U271" s="365"/>
      <c r="V271" s="365"/>
      <c r="W271" s="365"/>
      <c r="X271" s="365"/>
      <c r="Y271" s="365"/>
      <c r="Z271" s="365"/>
      <c r="AA271" s="365"/>
      <c r="AB271" s="365"/>
      <c r="AC271" s="365"/>
      <c r="AD271" s="365"/>
    </row>
    <row r="272" spans="1:30" s="352" customFormat="1">
      <c r="A272" s="364"/>
      <c r="B272" s="364"/>
      <c r="C272" s="365"/>
      <c r="D272" s="365"/>
      <c r="E272" s="365"/>
      <c r="F272" s="365"/>
      <c r="G272" s="365"/>
      <c r="H272" s="365"/>
      <c r="I272" s="365"/>
      <c r="J272" s="365"/>
      <c r="K272" s="365"/>
      <c r="L272" s="365"/>
      <c r="M272" s="365"/>
      <c r="N272" s="365"/>
      <c r="O272" s="365"/>
      <c r="P272" s="365"/>
      <c r="Q272" s="365"/>
      <c r="R272" s="365"/>
      <c r="S272" s="365"/>
      <c r="T272" s="365"/>
      <c r="U272" s="365"/>
      <c r="V272" s="365"/>
      <c r="W272" s="365"/>
      <c r="X272" s="365"/>
      <c r="Y272" s="365"/>
      <c r="Z272" s="365"/>
      <c r="AA272" s="365"/>
      <c r="AB272" s="365"/>
      <c r="AC272" s="365"/>
      <c r="AD272" s="365"/>
    </row>
    <row r="273" spans="1:30" s="352" customFormat="1">
      <c r="A273" s="364"/>
      <c r="B273" s="364"/>
      <c r="C273" s="365"/>
      <c r="D273" s="365"/>
      <c r="E273" s="365"/>
      <c r="F273" s="365"/>
      <c r="G273" s="365"/>
      <c r="H273" s="365"/>
      <c r="I273" s="365"/>
      <c r="J273" s="365"/>
      <c r="K273" s="365"/>
      <c r="L273" s="365"/>
      <c r="M273" s="365"/>
      <c r="N273" s="365"/>
      <c r="O273" s="365"/>
      <c r="P273" s="365"/>
      <c r="Q273" s="365"/>
      <c r="R273" s="365"/>
      <c r="S273" s="365"/>
      <c r="T273" s="365"/>
      <c r="U273" s="365"/>
      <c r="V273" s="365"/>
      <c r="W273" s="365"/>
      <c r="X273" s="365"/>
      <c r="Y273" s="365"/>
      <c r="Z273" s="365"/>
      <c r="AA273" s="365"/>
      <c r="AB273" s="365"/>
      <c r="AC273" s="365"/>
      <c r="AD273" s="365"/>
    </row>
    <row r="274" spans="1:30" s="352" customFormat="1">
      <c r="A274" s="364"/>
      <c r="B274" s="364"/>
      <c r="C274" s="365"/>
      <c r="D274" s="365"/>
      <c r="E274" s="365"/>
      <c r="F274" s="365"/>
      <c r="G274" s="365"/>
      <c r="H274" s="365"/>
      <c r="I274" s="365"/>
      <c r="J274" s="365"/>
      <c r="K274" s="365"/>
      <c r="L274" s="365"/>
      <c r="M274" s="365"/>
      <c r="N274" s="365"/>
      <c r="O274" s="365"/>
      <c r="P274" s="365"/>
      <c r="Q274" s="365"/>
      <c r="R274" s="365"/>
      <c r="S274" s="365"/>
      <c r="T274" s="365"/>
      <c r="U274" s="365"/>
      <c r="V274" s="365"/>
      <c r="W274" s="365"/>
      <c r="X274" s="365"/>
      <c r="Y274" s="365"/>
      <c r="Z274" s="365"/>
      <c r="AA274" s="365"/>
      <c r="AB274" s="365"/>
      <c r="AC274" s="365"/>
      <c r="AD274" s="365"/>
    </row>
    <row r="275" spans="1:30" s="352" customFormat="1">
      <c r="A275" s="364"/>
      <c r="B275" s="364"/>
      <c r="C275" s="365"/>
      <c r="D275" s="365"/>
      <c r="E275" s="365"/>
      <c r="F275" s="365"/>
      <c r="G275" s="365"/>
      <c r="H275" s="365"/>
      <c r="I275" s="365"/>
      <c r="J275" s="365"/>
      <c r="K275" s="365"/>
      <c r="L275" s="365"/>
      <c r="M275" s="365"/>
      <c r="N275" s="365"/>
      <c r="O275" s="365"/>
      <c r="P275" s="365"/>
      <c r="Q275" s="365"/>
      <c r="R275" s="365"/>
      <c r="S275" s="365"/>
      <c r="T275" s="365"/>
      <c r="U275" s="365"/>
      <c r="V275" s="365"/>
      <c r="W275" s="365"/>
      <c r="X275" s="365"/>
      <c r="Y275" s="365"/>
      <c r="Z275" s="365"/>
      <c r="AA275" s="365"/>
      <c r="AB275" s="365"/>
      <c r="AC275" s="365"/>
      <c r="AD275" s="365"/>
    </row>
    <row r="276" spans="1:30" s="352" customFormat="1">
      <c r="A276" s="364"/>
      <c r="B276" s="364"/>
      <c r="C276" s="365"/>
      <c r="D276" s="365"/>
      <c r="E276" s="365"/>
      <c r="F276" s="365"/>
      <c r="G276" s="365"/>
      <c r="H276" s="365"/>
      <c r="I276" s="365"/>
      <c r="J276" s="365"/>
      <c r="K276" s="365"/>
      <c r="L276" s="365"/>
      <c r="M276" s="365"/>
      <c r="N276" s="365"/>
      <c r="O276" s="365"/>
      <c r="P276" s="365"/>
      <c r="Q276" s="365"/>
      <c r="R276" s="365"/>
      <c r="S276" s="365"/>
      <c r="T276" s="365"/>
      <c r="U276" s="365"/>
      <c r="V276" s="365"/>
      <c r="W276" s="365"/>
      <c r="X276" s="365"/>
      <c r="Y276" s="365"/>
      <c r="Z276" s="365"/>
      <c r="AA276" s="365"/>
      <c r="AB276" s="365"/>
      <c r="AC276" s="365"/>
      <c r="AD276" s="365"/>
    </row>
    <row r="277" spans="1:30" s="352" customFormat="1">
      <c r="A277" s="364"/>
      <c r="B277" s="364"/>
      <c r="C277" s="365"/>
      <c r="D277" s="365"/>
      <c r="E277" s="365"/>
      <c r="F277" s="365"/>
      <c r="G277" s="365"/>
      <c r="H277" s="365"/>
      <c r="I277" s="365"/>
      <c r="J277" s="365"/>
      <c r="K277" s="365"/>
      <c r="L277" s="365"/>
      <c r="M277" s="365"/>
      <c r="N277" s="365"/>
      <c r="O277" s="365"/>
      <c r="P277" s="365"/>
      <c r="Q277" s="365"/>
      <c r="R277" s="365"/>
      <c r="S277" s="365"/>
      <c r="T277" s="365"/>
      <c r="U277" s="365"/>
      <c r="V277" s="365"/>
      <c r="W277" s="365"/>
      <c r="X277" s="365"/>
      <c r="Y277" s="365"/>
      <c r="Z277" s="365"/>
      <c r="AA277" s="365"/>
      <c r="AB277" s="365"/>
      <c r="AC277" s="365"/>
      <c r="AD277" s="365"/>
    </row>
    <row r="278" spans="1:30" s="352" customFormat="1">
      <c r="A278" s="364"/>
      <c r="B278" s="364"/>
      <c r="C278" s="365"/>
      <c r="D278" s="365"/>
      <c r="E278" s="365"/>
      <c r="F278" s="365"/>
      <c r="G278" s="365"/>
      <c r="H278" s="365"/>
      <c r="I278" s="365"/>
      <c r="J278" s="365"/>
      <c r="K278" s="365"/>
      <c r="L278" s="365"/>
      <c r="M278" s="365"/>
      <c r="N278" s="365"/>
      <c r="O278" s="365"/>
      <c r="P278" s="365"/>
      <c r="Q278" s="365"/>
      <c r="R278" s="365"/>
      <c r="S278" s="365"/>
      <c r="T278" s="365"/>
      <c r="U278" s="365"/>
      <c r="V278" s="365"/>
      <c r="W278" s="365"/>
      <c r="X278" s="365"/>
      <c r="Y278" s="365"/>
      <c r="Z278" s="365"/>
      <c r="AA278" s="365"/>
      <c r="AB278" s="365"/>
      <c r="AC278" s="365"/>
      <c r="AD278" s="365"/>
    </row>
    <row r="279" spans="1:30" s="352" customFormat="1">
      <c r="A279" s="364"/>
      <c r="B279" s="364"/>
      <c r="C279" s="365"/>
      <c r="D279" s="365"/>
      <c r="E279" s="365"/>
      <c r="F279" s="365"/>
      <c r="G279" s="365"/>
      <c r="H279" s="365"/>
      <c r="I279" s="365"/>
      <c r="J279" s="365"/>
      <c r="K279" s="365"/>
      <c r="L279" s="365"/>
      <c r="M279" s="365"/>
      <c r="N279" s="365"/>
      <c r="O279" s="365"/>
      <c r="P279" s="365"/>
      <c r="Q279" s="365"/>
      <c r="R279" s="365"/>
      <c r="S279" s="365"/>
      <c r="T279" s="365"/>
      <c r="U279" s="365"/>
      <c r="V279" s="365"/>
      <c r="W279" s="365"/>
      <c r="X279" s="365"/>
      <c r="Y279" s="365"/>
      <c r="Z279" s="365"/>
      <c r="AA279" s="365"/>
      <c r="AB279" s="365"/>
      <c r="AC279" s="365"/>
      <c r="AD279" s="365"/>
    </row>
    <row r="280" spans="1:30" s="352" customFormat="1">
      <c r="A280" s="364"/>
      <c r="B280" s="364"/>
      <c r="C280" s="365"/>
      <c r="D280" s="365"/>
      <c r="E280" s="365"/>
      <c r="F280" s="365"/>
      <c r="G280" s="365"/>
      <c r="H280" s="365"/>
      <c r="I280" s="365"/>
      <c r="J280" s="365"/>
      <c r="K280" s="365"/>
      <c r="L280" s="365"/>
      <c r="M280" s="365"/>
      <c r="N280" s="365"/>
      <c r="O280" s="365"/>
      <c r="P280" s="365"/>
      <c r="Q280" s="365"/>
      <c r="R280" s="365"/>
      <c r="S280" s="365"/>
      <c r="T280" s="365"/>
      <c r="U280" s="365"/>
      <c r="V280" s="365"/>
      <c r="W280" s="365"/>
      <c r="X280" s="365"/>
      <c r="Y280" s="365"/>
      <c r="Z280" s="365"/>
      <c r="AA280" s="365"/>
      <c r="AB280" s="365"/>
      <c r="AC280" s="365"/>
      <c r="AD280" s="365"/>
    </row>
    <row r="281" spans="1:30" s="352" customFormat="1">
      <c r="A281" s="364"/>
      <c r="B281" s="364"/>
      <c r="C281" s="365"/>
      <c r="D281" s="365"/>
      <c r="E281" s="365"/>
      <c r="F281" s="365"/>
      <c r="G281" s="365"/>
      <c r="H281" s="365"/>
      <c r="I281" s="365"/>
      <c r="J281" s="365"/>
      <c r="K281" s="365"/>
      <c r="L281" s="365"/>
      <c r="M281" s="365"/>
      <c r="N281" s="365"/>
      <c r="O281" s="365"/>
      <c r="P281" s="365"/>
      <c r="Q281" s="365"/>
      <c r="R281" s="365"/>
      <c r="S281" s="365"/>
      <c r="T281" s="365"/>
      <c r="U281" s="365"/>
      <c r="V281" s="365"/>
      <c r="W281" s="365"/>
      <c r="X281" s="365"/>
      <c r="Y281" s="365"/>
      <c r="Z281" s="365"/>
      <c r="AA281" s="365"/>
      <c r="AB281" s="365"/>
      <c r="AC281" s="365"/>
      <c r="AD281" s="365"/>
    </row>
    <row r="282" spans="1:30" s="352" customFormat="1">
      <c r="A282" s="364"/>
      <c r="B282" s="364"/>
      <c r="C282" s="365"/>
      <c r="D282" s="365"/>
      <c r="E282" s="365"/>
      <c r="F282" s="365"/>
      <c r="G282" s="365"/>
      <c r="H282" s="365"/>
      <c r="I282" s="365"/>
      <c r="J282" s="365"/>
      <c r="K282" s="365"/>
      <c r="L282" s="365"/>
      <c r="M282" s="365"/>
      <c r="N282" s="365"/>
      <c r="O282" s="365"/>
      <c r="P282" s="365"/>
      <c r="Q282" s="365"/>
      <c r="R282" s="365"/>
      <c r="S282" s="365"/>
      <c r="T282" s="365"/>
      <c r="U282" s="365"/>
      <c r="V282" s="365"/>
      <c r="W282" s="365"/>
      <c r="X282" s="365"/>
      <c r="Y282" s="365"/>
      <c r="Z282" s="365"/>
      <c r="AA282" s="365"/>
      <c r="AB282" s="365"/>
      <c r="AC282" s="365"/>
      <c r="AD282" s="365"/>
    </row>
    <row r="283" spans="1:30" s="352" customFormat="1">
      <c r="A283" s="364"/>
      <c r="B283" s="364"/>
      <c r="C283" s="365"/>
      <c r="D283" s="365"/>
      <c r="E283" s="365"/>
      <c r="F283" s="365"/>
      <c r="G283" s="365"/>
      <c r="H283" s="365"/>
      <c r="I283" s="365"/>
      <c r="J283" s="365"/>
      <c r="K283" s="365"/>
      <c r="L283" s="365"/>
      <c r="M283" s="365"/>
      <c r="N283" s="365"/>
      <c r="O283" s="365"/>
      <c r="P283" s="365"/>
      <c r="Q283" s="365"/>
      <c r="R283" s="365"/>
      <c r="S283" s="365"/>
      <c r="T283" s="365"/>
      <c r="U283" s="365"/>
      <c r="V283" s="365"/>
      <c r="W283" s="365"/>
      <c r="X283" s="365"/>
      <c r="Y283" s="365"/>
      <c r="Z283" s="365"/>
      <c r="AA283" s="365"/>
      <c r="AB283" s="365"/>
      <c r="AC283" s="365"/>
      <c r="AD283" s="365"/>
    </row>
    <row r="284" spans="1:30" s="352" customFormat="1">
      <c r="A284" s="364"/>
      <c r="B284" s="364"/>
      <c r="C284" s="365"/>
      <c r="D284" s="365"/>
      <c r="E284" s="365"/>
      <c r="F284" s="365"/>
      <c r="G284" s="365"/>
      <c r="H284" s="365"/>
      <c r="I284" s="365"/>
      <c r="J284" s="365"/>
      <c r="K284" s="365"/>
      <c r="L284" s="365"/>
      <c r="M284" s="365"/>
      <c r="N284" s="365"/>
      <c r="O284" s="365"/>
      <c r="P284" s="365"/>
      <c r="Q284" s="365"/>
      <c r="R284" s="365"/>
      <c r="S284" s="365"/>
      <c r="T284" s="365"/>
      <c r="U284" s="365"/>
      <c r="V284" s="365"/>
      <c r="W284" s="365"/>
      <c r="X284" s="365"/>
      <c r="Y284" s="365"/>
      <c r="Z284" s="365"/>
      <c r="AA284" s="365"/>
      <c r="AB284" s="365"/>
      <c r="AC284" s="365"/>
      <c r="AD284" s="365"/>
    </row>
    <row r="285" spans="1:30" s="352" customFormat="1">
      <c r="A285" s="364"/>
      <c r="B285" s="364"/>
      <c r="C285" s="365"/>
      <c r="D285" s="365"/>
      <c r="E285" s="365"/>
      <c r="F285" s="365"/>
      <c r="G285" s="365"/>
      <c r="H285" s="365"/>
      <c r="I285" s="365"/>
      <c r="J285" s="365"/>
      <c r="K285" s="365"/>
      <c r="L285" s="365"/>
      <c r="M285" s="365"/>
      <c r="N285" s="365"/>
      <c r="O285" s="365"/>
      <c r="P285" s="365"/>
      <c r="Q285" s="365"/>
      <c r="R285" s="365"/>
      <c r="S285" s="365"/>
      <c r="T285" s="365"/>
      <c r="U285" s="365"/>
      <c r="V285" s="365"/>
      <c r="W285" s="365"/>
      <c r="X285" s="365"/>
      <c r="Y285" s="365"/>
      <c r="Z285" s="365"/>
      <c r="AA285" s="365"/>
      <c r="AB285" s="365"/>
      <c r="AC285" s="365"/>
      <c r="AD285" s="365"/>
    </row>
    <row r="286" spans="1:30" s="352" customFormat="1">
      <c r="A286" s="364"/>
      <c r="B286" s="364"/>
      <c r="C286" s="365"/>
      <c r="D286" s="365"/>
      <c r="E286" s="365"/>
      <c r="F286" s="365"/>
      <c r="G286" s="365"/>
      <c r="H286" s="365"/>
      <c r="I286" s="365"/>
      <c r="J286" s="365"/>
      <c r="K286" s="365"/>
      <c r="L286" s="365"/>
      <c r="M286" s="365"/>
      <c r="N286" s="365"/>
      <c r="O286" s="365"/>
      <c r="P286" s="365"/>
      <c r="Q286" s="365"/>
      <c r="R286" s="365"/>
      <c r="S286" s="365"/>
      <c r="T286" s="365"/>
      <c r="U286" s="365"/>
      <c r="V286" s="365"/>
      <c r="W286" s="365"/>
      <c r="X286" s="365"/>
      <c r="Y286" s="365"/>
      <c r="Z286" s="365"/>
      <c r="AA286" s="365"/>
      <c r="AB286" s="365"/>
      <c r="AC286" s="365"/>
      <c r="AD286" s="365"/>
    </row>
    <row r="287" spans="1:30" s="352" customFormat="1">
      <c r="A287" s="364"/>
      <c r="B287" s="364"/>
      <c r="C287" s="365"/>
      <c r="D287" s="365"/>
      <c r="E287" s="365"/>
      <c r="F287" s="365"/>
      <c r="G287" s="365"/>
      <c r="H287" s="365"/>
      <c r="I287" s="365"/>
      <c r="J287" s="365"/>
      <c r="K287" s="365"/>
      <c r="L287" s="365"/>
      <c r="M287" s="365"/>
      <c r="N287" s="365"/>
      <c r="O287" s="365"/>
      <c r="P287" s="365"/>
      <c r="Q287" s="365"/>
      <c r="R287" s="365"/>
      <c r="S287" s="365"/>
      <c r="T287" s="365"/>
      <c r="U287" s="365"/>
      <c r="V287" s="365"/>
      <c r="W287" s="365"/>
      <c r="X287" s="365"/>
      <c r="Y287" s="365"/>
      <c r="Z287" s="365"/>
      <c r="AA287" s="365"/>
      <c r="AB287" s="365"/>
      <c r="AC287" s="365"/>
      <c r="AD287" s="365"/>
    </row>
    <row r="288" spans="1:30" s="352" customFormat="1">
      <c r="A288" s="364"/>
      <c r="B288" s="364"/>
      <c r="C288" s="365"/>
      <c r="D288" s="365"/>
      <c r="E288" s="365"/>
      <c r="F288" s="365"/>
      <c r="G288" s="365"/>
      <c r="H288" s="365"/>
      <c r="I288" s="365"/>
      <c r="J288" s="365"/>
      <c r="K288" s="365"/>
      <c r="L288" s="365"/>
      <c r="M288" s="365"/>
      <c r="N288" s="365"/>
      <c r="O288" s="365"/>
      <c r="P288" s="365"/>
      <c r="Q288" s="365"/>
      <c r="R288" s="365"/>
      <c r="S288" s="365"/>
      <c r="T288" s="365"/>
      <c r="U288" s="365"/>
      <c r="V288" s="365"/>
      <c r="W288" s="365"/>
      <c r="X288" s="365"/>
      <c r="Y288" s="365"/>
      <c r="Z288" s="365"/>
      <c r="AA288" s="365"/>
      <c r="AB288" s="365"/>
      <c r="AC288" s="365"/>
      <c r="AD288" s="365"/>
    </row>
    <row r="289" spans="1:30" s="352" customFormat="1">
      <c r="A289" s="364"/>
      <c r="B289" s="364"/>
      <c r="C289" s="365"/>
      <c r="D289" s="365"/>
      <c r="E289" s="365"/>
      <c r="F289" s="365"/>
      <c r="G289" s="365"/>
      <c r="H289" s="365"/>
      <c r="I289" s="365"/>
      <c r="J289" s="365"/>
      <c r="K289" s="365"/>
      <c r="L289" s="365"/>
      <c r="M289" s="365"/>
      <c r="N289" s="365"/>
      <c r="O289" s="365"/>
      <c r="P289" s="365"/>
      <c r="Q289" s="365"/>
      <c r="R289" s="365"/>
      <c r="S289" s="365"/>
      <c r="T289" s="365"/>
      <c r="U289" s="365"/>
      <c r="V289" s="365"/>
      <c r="W289" s="365"/>
      <c r="X289" s="365"/>
      <c r="Y289" s="365"/>
      <c r="Z289" s="365"/>
      <c r="AA289" s="365"/>
      <c r="AB289" s="365"/>
      <c r="AC289" s="365"/>
      <c r="AD289" s="365"/>
    </row>
    <row r="290" spans="1:30" s="352" customFormat="1">
      <c r="A290" s="364"/>
      <c r="B290" s="364"/>
      <c r="C290" s="365"/>
      <c r="D290" s="365"/>
      <c r="E290" s="365"/>
      <c r="F290" s="365"/>
      <c r="G290" s="365"/>
      <c r="H290" s="365"/>
      <c r="I290" s="365"/>
      <c r="J290" s="365"/>
      <c r="K290" s="365"/>
      <c r="L290" s="365"/>
      <c r="M290" s="365"/>
      <c r="N290" s="365"/>
      <c r="O290" s="365"/>
      <c r="P290" s="365"/>
      <c r="Q290" s="365"/>
      <c r="R290" s="365"/>
      <c r="S290" s="365"/>
      <c r="T290" s="365"/>
      <c r="U290" s="365"/>
      <c r="V290" s="365"/>
      <c r="W290" s="365"/>
      <c r="X290" s="365"/>
      <c r="Y290" s="365"/>
      <c r="Z290" s="365"/>
      <c r="AA290" s="365"/>
      <c r="AB290" s="365"/>
      <c r="AC290" s="365"/>
      <c r="AD290" s="365"/>
    </row>
    <row r="291" spans="1:30" s="352" customFormat="1">
      <c r="A291" s="364"/>
      <c r="B291" s="364"/>
      <c r="C291" s="365"/>
      <c r="D291" s="365"/>
      <c r="E291" s="365"/>
      <c r="F291" s="365"/>
      <c r="G291" s="365"/>
      <c r="H291" s="365"/>
      <c r="I291" s="365"/>
      <c r="J291" s="365"/>
      <c r="K291" s="365"/>
      <c r="L291" s="365"/>
      <c r="M291" s="365"/>
      <c r="N291" s="365"/>
      <c r="O291" s="365"/>
      <c r="P291" s="365"/>
      <c r="Q291" s="365"/>
      <c r="R291" s="365"/>
      <c r="S291" s="365"/>
      <c r="T291" s="365"/>
      <c r="U291" s="365"/>
      <c r="V291" s="365"/>
      <c r="W291" s="365"/>
      <c r="X291" s="365"/>
      <c r="Y291" s="365"/>
      <c r="Z291" s="365"/>
      <c r="AA291" s="365"/>
      <c r="AB291" s="365"/>
      <c r="AC291" s="365"/>
      <c r="AD291" s="365"/>
    </row>
    <row r="292" spans="1:30" s="352" customFormat="1">
      <c r="A292" s="364"/>
      <c r="B292" s="364"/>
      <c r="C292" s="365"/>
      <c r="D292" s="365"/>
      <c r="E292" s="365"/>
      <c r="F292" s="365"/>
      <c r="G292" s="365"/>
      <c r="H292" s="365"/>
      <c r="I292" s="365"/>
      <c r="J292" s="365"/>
      <c r="K292" s="365"/>
      <c r="L292" s="365"/>
      <c r="M292" s="365"/>
      <c r="N292" s="365"/>
      <c r="O292" s="365"/>
      <c r="P292" s="365"/>
      <c r="Q292" s="365"/>
      <c r="R292" s="365"/>
      <c r="S292" s="365"/>
      <c r="T292" s="365"/>
      <c r="U292" s="365"/>
      <c r="V292" s="365"/>
      <c r="W292" s="365"/>
      <c r="X292" s="365"/>
      <c r="Y292" s="365"/>
      <c r="Z292" s="365"/>
      <c r="AA292" s="365"/>
      <c r="AB292" s="365"/>
      <c r="AC292" s="365"/>
      <c r="AD292" s="365"/>
    </row>
    <row r="293" spans="1:30" s="352" customFormat="1">
      <c r="A293" s="364"/>
      <c r="B293" s="364"/>
      <c r="C293" s="365"/>
      <c r="D293" s="365"/>
      <c r="E293" s="365"/>
      <c r="F293" s="365"/>
      <c r="G293" s="365"/>
      <c r="H293" s="365"/>
      <c r="I293" s="365"/>
      <c r="J293" s="365"/>
      <c r="K293" s="365"/>
      <c r="L293" s="365"/>
      <c r="M293" s="365"/>
      <c r="N293" s="365"/>
      <c r="O293" s="365"/>
      <c r="P293" s="365"/>
      <c r="Q293" s="365"/>
      <c r="R293" s="365"/>
      <c r="S293" s="365"/>
      <c r="T293" s="365"/>
      <c r="U293" s="365"/>
      <c r="V293" s="365"/>
      <c r="W293" s="365"/>
      <c r="X293" s="365"/>
      <c r="Y293" s="365"/>
      <c r="Z293" s="365"/>
      <c r="AA293" s="365"/>
      <c r="AB293" s="365"/>
      <c r="AC293" s="365"/>
      <c r="AD293" s="365"/>
    </row>
    <row r="294" spans="1:30" s="352" customFormat="1">
      <c r="A294" s="364"/>
      <c r="B294" s="364"/>
      <c r="C294" s="365"/>
      <c r="D294" s="365"/>
      <c r="E294" s="365"/>
      <c r="F294" s="365"/>
      <c r="G294" s="365"/>
      <c r="H294" s="365"/>
      <c r="I294" s="365"/>
      <c r="J294" s="365"/>
      <c r="K294" s="365"/>
      <c r="L294" s="365"/>
      <c r="M294" s="365"/>
      <c r="N294" s="365"/>
      <c r="O294" s="365"/>
      <c r="P294" s="365"/>
      <c r="Q294" s="365"/>
      <c r="R294" s="365"/>
      <c r="S294" s="365"/>
      <c r="T294" s="365"/>
      <c r="U294" s="365"/>
      <c r="V294" s="365"/>
      <c r="W294" s="365"/>
      <c r="X294" s="365"/>
      <c r="Y294" s="365"/>
      <c r="Z294" s="365"/>
      <c r="AA294" s="365"/>
      <c r="AB294" s="365"/>
      <c r="AC294" s="365"/>
      <c r="AD294" s="365"/>
    </row>
    <row r="295" spans="1:30" s="352" customFormat="1">
      <c r="A295" s="364"/>
      <c r="B295" s="364"/>
      <c r="C295" s="365"/>
      <c r="D295" s="365"/>
      <c r="E295" s="365"/>
      <c r="F295" s="365"/>
      <c r="G295" s="365"/>
      <c r="H295" s="365"/>
      <c r="I295" s="365"/>
      <c r="J295" s="365"/>
      <c r="K295" s="365"/>
      <c r="L295" s="365"/>
      <c r="M295" s="365"/>
      <c r="N295" s="365"/>
      <c r="O295" s="365"/>
      <c r="P295" s="365"/>
      <c r="Q295" s="365"/>
      <c r="R295" s="365"/>
      <c r="S295" s="365"/>
      <c r="T295" s="365"/>
      <c r="U295" s="365"/>
      <c r="V295" s="365"/>
      <c r="W295" s="365"/>
      <c r="X295" s="365"/>
      <c r="Y295" s="365"/>
      <c r="Z295" s="365"/>
      <c r="AA295" s="365"/>
      <c r="AB295" s="365"/>
      <c r="AC295" s="365"/>
      <c r="AD295" s="365"/>
    </row>
    <row r="296" spans="1:30" s="352" customFormat="1">
      <c r="A296" s="364"/>
      <c r="B296" s="364"/>
      <c r="C296" s="365"/>
      <c r="D296" s="365"/>
      <c r="E296" s="365"/>
      <c r="F296" s="365"/>
      <c r="G296" s="365"/>
      <c r="H296" s="365"/>
      <c r="I296" s="365"/>
      <c r="J296" s="365"/>
      <c r="K296" s="365"/>
      <c r="L296" s="365"/>
      <c r="M296" s="365"/>
      <c r="N296" s="365"/>
      <c r="O296" s="365"/>
      <c r="P296" s="365"/>
      <c r="Q296" s="365"/>
      <c r="R296" s="365"/>
      <c r="S296" s="365"/>
      <c r="T296" s="365"/>
      <c r="U296" s="365"/>
      <c r="V296" s="365"/>
      <c r="W296" s="365"/>
      <c r="X296" s="365"/>
      <c r="Y296" s="365"/>
      <c r="Z296" s="365"/>
      <c r="AA296" s="365"/>
      <c r="AB296" s="365"/>
      <c r="AC296" s="365"/>
      <c r="AD296" s="365"/>
    </row>
    <row r="297" spans="1:30" s="352" customFormat="1">
      <c r="A297" s="364"/>
      <c r="B297" s="364"/>
      <c r="C297" s="365"/>
      <c r="D297" s="365"/>
      <c r="E297" s="365"/>
      <c r="F297" s="365"/>
      <c r="G297" s="365"/>
      <c r="H297" s="365"/>
      <c r="I297" s="365"/>
      <c r="J297" s="365"/>
      <c r="K297" s="365"/>
      <c r="L297" s="365"/>
      <c r="M297" s="365"/>
      <c r="N297" s="365"/>
      <c r="O297" s="365"/>
      <c r="P297" s="365"/>
      <c r="Q297" s="365"/>
      <c r="R297" s="365"/>
      <c r="S297" s="365"/>
      <c r="T297" s="365"/>
      <c r="U297" s="365"/>
      <c r="V297" s="365"/>
      <c r="W297" s="365"/>
      <c r="X297" s="365"/>
      <c r="Y297" s="365"/>
      <c r="Z297" s="365"/>
      <c r="AA297" s="365"/>
      <c r="AB297" s="365"/>
      <c r="AC297" s="365"/>
      <c r="AD297" s="365"/>
    </row>
    <row r="298" spans="1:30" s="352" customFormat="1">
      <c r="A298" s="364"/>
      <c r="B298" s="364"/>
      <c r="C298" s="365"/>
      <c r="D298" s="365"/>
      <c r="E298" s="365"/>
      <c r="F298" s="365"/>
      <c r="G298" s="365"/>
      <c r="H298" s="365"/>
      <c r="I298" s="365"/>
      <c r="J298" s="365"/>
      <c r="K298" s="365"/>
      <c r="L298" s="365"/>
      <c r="M298" s="365"/>
      <c r="N298" s="365"/>
      <c r="O298" s="365"/>
      <c r="P298" s="365"/>
      <c r="Q298" s="365"/>
      <c r="R298" s="365"/>
      <c r="S298" s="365"/>
      <c r="T298" s="365"/>
      <c r="U298" s="365"/>
      <c r="V298" s="365"/>
      <c r="W298" s="365"/>
      <c r="X298" s="365"/>
      <c r="Y298" s="365"/>
      <c r="Z298" s="365"/>
      <c r="AA298" s="365"/>
      <c r="AB298" s="365"/>
      <c r="AC298" s="365"/>
      <c r="AD298" s="365"/>
    </row>
    <row r="299" spans="1:30" s="352" customFormat="1">
      <c r="A299" s="364"/>
      <c r="B299" s="364"/>
      <c r="C299" s="365"/>
      <c r="D299" s="365"/>
      <c r="E299" s="365"/>
      <c r="F299" s="365"/>
      <c r="G299" s="365"/>
      <c r="H299" s="365"/>
      <c r="I299" s="365"/>
      <c r="J299" s="365"/>
      <c r="K299" s="365"/>
      <c r="L299" s="365"/>
      <c r="M299" s="365"/>
      <c r="N299" s="365"/>
      <c r="O299" s="365"/>
      <c r="P299" s="365"/>
      <c r="Q299" s="365"/>
      <c r="R299" s="365"/>
      <c r="S299" s="365"/>
      <c r="T299" s="365"/>
      <c r="U299" s="365"/>
      <c r="V299" s="365"/>
      <c r="W299" s="365"/>
      <c r="X299" s="365"/>
      <c r="Y299" s="365"/>
      <c r="Z299" s="365"/>
      <c r="AA299" s="365"/>
      <c r="AB299" s="365"/>
      <c r="AC299" s="365"/>
      <c r="AD299" s="365"/>
    </row>
    <row r="300" spans="1:30" s="352" customFormat="1">
      <c r="A300" s="364"/>
      <c r="B300" s="364"/>
      <c r="C300" s="365"/>
      <c r="D300" s="365"/>
      <c r="E300" s="365"/>
      <c r="F300" s="365"/>
      <c r="G300" s="365"/>
      <c r="H300" s="365"/>
      <c r="I300" s="365"/>
      <c r="J300" s="365"/>
      <c r="K300" s="365"/>
      <c r="L300" s="365"/>
      <c r="M300" s="365"/>
      <c r="N300" s="365"/>
      <c r="O300" s="365"/>
      <c r="P300" s="365"/>
      <c r="Q300" s="365"/>
      <c r="R300" s="365"/>
      <c r="S300" s="365"/>
      <c r="T300" s="365"/>
      <c r="U300" s="365"/>
      <c r="V300" s="365"/>
      <c r="W300" s="365"/>
      <c r="X300" s="365"/>
      <c r="Y300" s="365"/>
      <c r="Z300" s="365"/>
      <c r="AA300" s="365"/>
      <c r="AB300" s="365"/>
      <c r="AC300" s="365"/>
      <c r="AD300" s="365"/>
    </row>
    <row r="301" spans="1:30" s="352" customFormat="1">
      <c r="A301" s="364"/>
      <c r="B301" s="364"/>
      <c r="C301" s="365"/>
      <c r="D301" s="365"/>
      <c r="E301" s="365"/>
      <c r="F301" s="365"/>
      <c r="G301" s="365"/>
      <c r="H301" s="365"/>
      <c r="I301" s="365"/>
      <c r="J301" s="365"/>
      <c r="K301" s="365"/>
      <c r="L301" s="365"/>
      <c r="M301" s="365"/>
      <c r="N301" s="365"/>
      <c r="O301" s="365"/>
      <c r="P301" s="365"/>
      <c r="Q301" s="365"/>
      <c r="R301" s="365"/>
      <c r="S301" s="365"/>
      <c r="T301" s="365"/>
      <c r="U301" s="365"/>
      <c r="V301" s="365"/>
      <c r="W301" s="365"/>
      <c r="X301" s="365"/>
      <c r="Y301" s="365"/>
      <c r="Z301" s="365"/>
      <c r="AA301" s="365"/>
      <c r="AB301" s="365"/>
      <c r="AC301" s="365"/>
      <c r="AD301" s="365"/>
    </row>
    <row r="302" spans="1:30" s="352" customFormat="1">
      <c r="A302" s="364"/>
      <c r="B302" s="364"/>
      <c r="C302" s="365"/>
      <c r="D302" s="365"/>
      <c r="E302" s="365"/>
      <c r="F302" s="365"/>
      <c r="G302" s="365"/>
      <c r="H302" s="365"/>
      <c r="I302" s="365"/>
      <c r="J302" s="365"/>
      <c r="K302" s="365"/>
      <c r="L302" s="365"/>
      <c r="M302" s="365"/>
      <c r="N302" s="365"/>
      <c r="O302" s="365"/>
      <c r="P302" s="365"/>
      <c r="Q302" s="365"/>
      <c r="R302" s="365"/>
      <c r="S302" s="365"/>
      <c r="T302" s="365"/>
      <c r="U302" s="365"/>
      <c r="V302" s="365"/>
      <c r="W302" s="365"/>
      <c r="X302" s="365"/>
      <c r="Y302" s="365"/>
      <c r="Z302" s="365"/>
      <c r="AA302" s="365"/>
      <c r="AB302" s="365"/>
      <c r="AC302" s="365"/>
      <c r="AD302" s="365"/>
    </row>
    <row r="303" spans="1:30" s="352" customFormat="1">
      <c r="A303" s="364"/>
      <c r="B303" s="364"/>
      <c r="C303" s="365"/>
      <c r="D303" s="365"/>
      <c r="E303" s="365"/>
      <c r="F303" s="365"/>
      <c r="G303" s="365"/>
      <c r="H303" s="365"/>
      <c r="I303" s="365"/>
      <c r="J303" s="365"/>
      <c r="K303" s="365"/>
      <c r="L303" s="365"/>
      <c r="M303" s="365"/>
      <c r="N303" s="365"/>
      <c r="O303" s="365"/>
      <c r="P303" s="365"/>
      <c r="Q303" s="365"/>
      <c r="R303" s="365"/>
      <c r="S303" s="365"/>
      <c r="T303" s="365"/>
      <c r="U303" s="365"/>
      <c r="V303" s="365"/>
      <c r="W303" s="365"/>
      <c r="X303" s="365"/>
      <c r="Y303" s="365"/>
      <c r="Z303" s="365"/>
      <c r="AA303" s="365"/>
      <c r="AB303" s="365"/>
      <c r="AC303" s="365"/>
      <c r="AD303" s="365"/>
    </row>
    <row r="304" spans="1:30" s="352" customFormat="1">
      <c r="A304" s="364"/>
      <c r="B304" s="364"/>
      <c r="C304" s="365"/>
      <c r="D304" s="365"/>
      <c r="E304" s="365"/>
      <c r="F304" s="365"/>
      <c r="G304" s="365"/>
      <c r="H304" s="365"/>
      <c r="I304" s="365"/>
      <c r="J304" s="365"/>
      <c r="K304" s="365"/>
      <c r="L304" s="365"/>
      <c r="M304" s="365"/>
      <c r="N304" s="365"/>
      <c r="O304" s="365"/>
      <c r="P304" s="365"/>
      <c r="Q304" s="365"/>
      <c r="R304" s="365"/>
      <c r="S304" s="365"/>
      <c r="T304" s="365"/>
      <c r="U304" s="365"/>
      <c r="V304" s="365"/>
      <c r="W304" s="365"/>
      <c r="X304" s="365"/>
      <c r="Y304" s="365"/>
      <c r="Z304" s="365"/>
      <c r="AA304" s="365"/>
      <c r="AB304" s="365"/>
      <c r="AC304" s="365"/>
      <c r="AD304" s="365"/>
    </row>
    <row r="305" spans="1:30" s="352" customFormat="1">
      <c r="A305" s="364"/>
      <c r="B305" s="364"/>
      <c r="C305" s="365"/>
      <c r="D305" s="365"/>
      <c r="E305" s="365"/>
      <c r="F305" s="365"/>
      <c r="G305" s="365"/>
      <c r="H305" s="365"/>
      <c r="I305" s="365"/>
      <c r="J305" s="365"/>
      <c r="K305" s="365"/>
      <c r="L305" s="365"/>
      <c r="M305" s="365"/>
      <c r="N305" s="365"/>
      <c r="O305" s="365"/>
      <c r="P305" s="365"/>
      <c r="Q305" s="365"/>
      <c r="R305" s="365"/>
      <c r="S305" s="365"/>
      <c r="T305" s="365"/>
      <c r="U305" s="365"/>
      <c r="V305" s="365"/>
      <c r="W305" s="365"/>
      <c r="X305" s="365"/>
      <c r="Y305" s="365"/>
      <c r="Z305" s="365"/>
      <c r="AA305" s="365"/>
      <c r="AB305" s="365"/>
      <c r="AC305" s="365"/>
      <c r="AD305" s="365"/>
    </row>
    <row r="306" spans="1:30" s="352" customFormat="1">
      <c r="A306" s="364"/>
      <c r="B306" s="364"/>
      <c r="C306" s="365"/>
      <c r="D306" s="365"/>
      <c r="E306" s="365"/>
      <c r="F306" s="365"/>
      <c r="G306" s="365"/>
      <c r="H306" s="365"/>
      <c r="I306" s="365"/>
      <c r="J306" s="365"/>
      <c r="K306" s="365"/>
      <c r="L306" s="365"/>
      <c r="M306" s="365"/>
      <c r="N306" s="365"/>
      <c r="O306" s="365"/>
      <c r="P306" s="365"/>
      <c r="Q306" s="365"/>
      <c r="R306" s="365"/>
      <c r="S306" s="365"/>
      <c r="T306" s="365"/>
      <c r="U306" s="365"/>
      <c r="V306" s="365"/>
      <c r="W306" s="365"/>
      <c r="X306" s="365"/>
      <c r="Y306" s="365"/>
      <c r="Z306" s="365"/>
      <c r="AA306" s="365"/>
      <c r="AB306" s="365"/>
      <c r="AC306" s="365"/>
      <c r="AD306" s="365"/>
    </row>
    <row r="307" spans="1:30" s="352" customFormat="1">
      <c r="A307" s="364"/>
      <c r="B307" s="364"/>
      <c r="C307" s="365"/>
      <c r="D307" s="365"/>
      <c r="E307" s="365"/>
      <c r="F307" s="365"/>
      <c r="G307" s="365"/>
      <c r="H307" s="365"/>
      <c r="I307" s="365"/>
      <c r="J307" s="365"/>
      <c r="K307" s="365"/>
      <c r="L307" s="365"/>
      <c r="M307" s="365"/>
      <c r="N307" s="365"/>
      <c r="O307" s="365"/>
      <c r="P307" s="365"/>
      <c r="Q307" s="365"/>
      <c r="R307" s="365"/>
      <c r="S307" s="365"/>
      <c r="T307" s="365"/>
      <c r="U307" s="365"/>
      <c r="V307" s="365"/>
      <c r="W307" s="365"/>
      <c r="X307" s="365"/>
      <c r="Y307" s="365"/>
      <c r="Z307" s="365"/>
      <c r="AA307" s="365"/>
      <c r="AB307" s="365"/>
      <c r="AC307" s="365"/>
      <c r="AD307" s="365"/>
    </row>
    <row r="308" spans="1:30" s="352" customFormat="1">
      <c r="A308" s="364"/>
      <c r="B308" s="364"/>
      <c r="C308" s="365"/>
      <c r="D308" s="365"/>
      <c r="E308" s="365"/>
      <c r="F308" s="365"/>
      <c r="G308" s="365"/>
      <c r="H308" s="365"/>
      <c r="I308" s="365"/>
      <c r="J308" s="365"/>
      <c r="K308" s="365"/>
      <c r="L308" s="365"/>
      <c r="M308" s="365"/>
      <c r="N308" s="365"/>
      <c r="O308" s="365"/>
      <c r="P308" s="365"/>
      <c r="Q308" s="365"/>
      <c r="R308" s="365"/>
      <c r="S308" s="365"/>
      <c r="T308" s="365"/>
      <c r="U308" s="365"/>
      <c r="V308" s="365"/>
      <c r="W308" s="365"/>
      <c r="X308" s="365"/>
      <c r="Y308" s="365"/>
      <c r="Z308" s="365"/>
      <c r="AA308" s="365"/>
      <c r="AB308" s="365"/>
      <c r="AC308" s="365"/>
      <c r="AD308" s="365"/>
    </row>
    <row r="309" spans="1:30" s="352" customFormat="1">
      <c r="A309" s="364"/>
      <c r="B309" s="364"/>
      <c r="C309" s="365"/>
      <c r="D309" s="365"/>
      <c r="E309" s="365"/>
      <c r="F309" s="365"/>
      <c r="G309" s="365"/>
      <c r="H309" s="365"/>
      <c r="I309" s="365"/>
      <c r="J309" s="365"/>
      <c r="K309" s="365"/>
      <c r="L309" s="365"/>
      <c r="M309" s="365"/>
      <c r="N309" s="365"/>
      <c r="O309" s="365"/>
      <c r="P309" s="365"/>
      <c r="Q309" s="365"/>
      <c r="R309" s="365"/>
      <c r="S309" s="365"/>
      <c r="T309" s="365"/>
      <c r="U309" s="365"/>
      <c r="V309" s="365"/>
      <c r="W309" s="365"/>
      <c r="X309" s="365"/>
      <c r="Y309" s="365"/>
      <c r="Z309" s="365"/>
      <c r="AA309" s="365"/>
      <c r="AB309" s="365"/>
      <c r="AC309" s="365"/>
      <c r="AD309" s="365"/>
    </row>
    <row r="310" spans="1:30" s="352" customFormat="1">
      <c r="A310" s="364"/>
      <c r="B310" s="364"/>
      <c r="C310" s="365"/>
      <c r="D310" s="365"/>
      <c r="E310" s="365"/>
      <c r="F310" s="365"/>
      <c r="G310" s="365"/>
      <c r="H310" s="365"/>
      <c r="I310" s="365"/>
      <c r="J310" s="365"/>
      <c r="K310" s="365"/>
      <c r="L310" s="365"/>
      <c r="M310" s="365"/>
      <c r="N310" s="365"/>
      <c r="O310" s="365"/>
      <c r="P310" s="365"/>
      <c r="Q310" s="365"/>
      <c r="R310" s="365"/>
      <c r="S310" s="365"/>
      <c r="T310" s="365"/>
      <c r="U310" s="365"/>
      <c r="V310" s="365"/>
      <c r="W310" s="365"/>
      <c r="X310" s="365"/>
      <c r="Y310" s="365"/>
      <c r="Z310" s="365"/>
      <c r="AA310" s="365"/>
      <c r="AB310" s="365"/>
      <c r="AC310" s="365"/>
      <c r="AD310" s="365"/>
    </row>
    <row r="311" spans="1:30" s="352" customFormat="1">
      <c r="A311" s="364"/>
      <c r="B311" s="364"/>
      <c r="C311" s="365"/>
      <c r="D311" s="365"/>
      <c r="E311" s="365"/>
      <c r="F311" s="365"/>
      <c r="G311" s="365"/>
      <c r="H311" s="365"/>
      <c r="I311" s="365"/>
      <c r="J311" s="365"/>
      <c r="K311" s="365"/>
      <c r="L311" s="365"/>
      <c r="M311" s="365"/>
      <c r="N311" s="365"/>
      <c r="O311" s="365"/>
      <c r="P311" s="365"/>
      <c r="Q311" s="365"/>
      <c r="R311" s="365"/>
      <c r="S311" s="365"/>
      <c r="T311" s="365"/>
      <c r="U311" s="365"/>
      <c r="V311" s="365"/>
      <c r="W311" s="365"/>
      <c r="X311" s="365"/>
      <c r="Y311" s="365"/>
      <c r="Z311" s="365"/>
      <c r="AA311" s="365"/>
      <c r="AB311" s="365"/>
      <c r="AC311" s="365"/>
      <c r="AD311" s="365"/>
    </row>
    <row r="312" spans="1:30" s="352" customFormat="1">
      <c r="A312" s="364"/>
      <c r="B312" s="364"/>
      <c r="C312" s="365"/>
      <c r="D312" s="365"/>
      <c r="E312" s="365"/>
      <c r="F312" s="365"/>
      <c r="G312" s="365"/>
      <c r="H312" s="365"/>
      <c r="I312" s="365"/>
      <c r="J312" s="365"/>
      <c r="K312" s="365"/>
      <c r="L312" s="365"/>
      <c r="M312" s="365"/>
      <c r="N312" s="365"/>
      <c r="O312" s="365"/>
      <c r="P312" s="365"/>
      <c r="Q312" s="365"/>
      <c r="R312" s="365"/>
      <c r="S312" s="365"/>
      <c r="T312" s="365"/>
      <c r="U312" s="365"/>
      <c r="V312" s="365"/>
      <c r="W312" s="365"/>
      <c r="X312" s="365"/>
      <c r="Y312" s="365"/>
      <c r="Z312" s="365"/>
      <c r="AA312" s="365"/>
      <c r="AB312" s="365"/>
      <c r="AC312" s="365"/>
      <c r="AD312" s="365"/>
    </row>
    <row r="313" spans="1:30" s="352" customFormat="1">
      <c r="A313" s="364"/>
      <c r="B313" s="364"/>
      <c r="C313" s="365"/>
      <c r="D313" s="365"/>
      <c r="E313" s="365"/>
      <c r="F313" s="365"/>
      <c r="G313" s="365"/>
      <c r="H313" s="365"/>
      <c r="I313" s="365"/>
      <c r="J313" s="365"/>
      <c r="K313" s="365"/>
      <c r="L313" s="365"/>
      <c r="M313" s="365"/>
      <c r="N313" s="365"/>
      <c r="O313" s="365"/>
      <c r="P313" s="365"/>
      <c r="Q313" s="365"/>
      <c r="R313" s="365"/>
      <c r="S313" s="365"/>
      <c r="T313" s="365"/>
      <c r="U313" s="365"/>
      <c r="V313" s="365"/>
      <c r="W313" s="365"/>
      <c r="X313" s="365"/>
      <c r="Y313" s="365"/>
      <c r="Z313" s="365"/>
      <c r="AA313" s="365"/>
      <c r="AB313" s="365"/>
      <c r="AC313" s="365"/>
      <c r="AD313" s="365"/>
    </row>
    <row r="314" spans="1:30" s="352" customFormat="1">
      <c r="A314" s="364"/>
      <c r="B314" s="364"/>
      <c r="C314" s="365"/>
      <c r="D314" s="365"/>
      <c r="E314" s="365"/>
      <c r="F314" s="365"/>
      <c r="G314" s="365"/>
      <c r="H314" s="365"/>
      <c r="I314" s="365"/>
      <c r="J314" s="365"/>
      <c r="K314" s="365"/>
      <c r="L314" s="365"/>
      <c r="M314" s="365"/>
      <c r="N314" s="365"/>
      <c r="O314" s="365"/>
      <c r="P314" s="365"/>
      <c r="Q314" s="365"/>
      <c r="R314" s="365"/>
      <c r="S314" s="365"/>
      <c r="T314" s="365"/>
      <c r="U314" s="365"/>
      <c r="V314" s="365"/>
      <c r="W314" s="365"/>
      <c r="X314" s="365"/>
      <c r="Y314" s="365"/>
      <c r="Z314" s="365"/>
      <c r="AA314" s="365"/>
      <c r="AB314" s="365"/>
      <c r="AC314" s="365"/>
      <c r="AD314" s="365"/>
    </row>
    <row r="315" spans="1:30" s="352" customFormat="1">
      <c r="A315" s="364"/>
      <c r="B315" s="364"/>
      <c r="C315" s="365"/>
      <c r="D315" s="365"/>
      <c r="E315" s="365"/>
      <c r="F315" s="365"/>
      <c r="G315" s="365"/>
      <c r="H315" s="365"/>
      <c r="I315" s="365"/>
      <c r="J315" s="365"/>
      <c r="K315" s="365"/>
      <c r="L315" s="365"/>
      <c r="M315" s="365"/>
      <c r="N315" s="365"/>
      <c r="O315" s="365"/>
      <c r="P315" s="365"/>
      <c r="Q315" s="365"/>
      <c r="R315" s="365"/>
      <c r="S315" s="365"/>
      <c r="T315" s="365"/>
      <c r="U315" s="365"/>
      <c r="V315" s="365"/>
      <c r="W315" s="365"/>
      <c r="X315" s="365"/>
      <c r="Y315" s="365"/>
      <c r="Z315" s="365"/>
      <c r="AA315" s="365"/>
      <c r="AB315" s="365"/>
      <c r="AC315" s="365"/>
      <c r="AD315" s="365"/>
    </row>
    <row r="316" spans="1:30" s="352" customFormat="1">
      <c r="A316" s="364"/>
      <c r="B316" s="364"/>
      <c r="C316" s="365"/>
      <c r="D316" s="365"/>
      <c r="E316" s="365"/>
      <c r="F316" s="365"/>
      <c r="G316" s="365"/>
      <c r="H316" s="365"/>
      <c r="I316" s="365"/>
      <c r="J316" s="365"/>
      <c r="K316" s="365"/>
      <c r="L316" s="365"/>
      <c r="M316" s="365"/>
      <c r="N316" s="365"/>
      <c r="O316" s="365"/>
      <c r="P316" s="365"/>
      <c r="Q316" s="365"/>
      <c r="R316" s="365"/>
      <c r="S316" s="365"/>
      <c r="T316" s="365"/>
      <c r="U316" s="365"/>
      <c r="V316" s="365"/>
      <c r="W316" s="365"/>
      <c r="X316" s="365"/>
      <c r="Y316" s="365"/>
      <c r="Z316" s="365"/>
      <c r="AA316" s="365"/>
      <c r="AB316" s="365"/>
      <c r="AC316" s="365"/>
      <c r="AD316" s="365"/>
    </row>
    <row r="317" spans="1:30" s="352" customFormat="1">
      <c r="A317" s="364"/>
      <c r="B317" s="364"/>
      <c r="C317" s="365"/>
      <c r="D317" s="365"/>
      <c r="E317" s="365"/>
      <c r="F317" s="365"/>
      <c r="G317" s="365"/>
      <c r="H317" s="365"/>
      <c r="I317" s="365"/>
      <c r="J317" s="365"/>
      <c r="K317" s="365"/>
      <c r="L317" s="365"/>
      <c r="M317" s="365"/>
      <c r="N317" s="365"/>
      <c r="O317" s="365"/>
      <c r="P317" s="365"/>
      <c r="Q317" s="365"/>
      <c r="R317" s="365"/>
      <c r="S317" s="365"/>
      <c r="T317" s="365"/>
      <c r="U317" s="365"/>
      <c r="V317" s="365"/>
      <c r="W317" s="365"/>
      <c r="X317" s="365"/>
      <c r="Y317" s="365"/>
      <c r="Z317" s="365"/>
      <c r="AA317" s="365"/>
      <c r="AB317" s="365"/>
      <c r="AC317" s="365"/>
      <c r="AD317" s="365"/>
    </row>
    <row r="318" spans="1:30" s="352" customFormat="1">
      <c r="A318" s="364"/>
      <c r="B318" s="364"/>
      <c r="C318" s="365"/>
      <c r="D318" s="365"/>
      <c r="E318" s="365"/>
      <c r="F318" s="365"/>
      <c r="G318" s="365"/>
      <c r="H318" s="365"/>
      <c r="I318" s="365"/>
      <c r="J318" s="365"/>
      <c r="K318" s="365"/>
      <c r="L318" s="365"/>
      <c r="M318" s="365"/>
      <c r="N318" s="365"/>
      <c r="O318" s="365"/>
      <c r="P318" s="365"/>
      <c r="Q318" s="365"/>
      <c r="R318" s="365"/>
      <c r="S318" s="365"/>
      <c r="T318" s="365"/>
      <c r="U318" s="365"/>
      <c r="V318" s="365"/>
      <c r="W318" s="365"/>
      <c r="X318" s="365"/>
      <c r="Y318" s="365"/>
      <c r="Z318" s="365"/>
      <c r="AA318" s="365"/>
      <c r="AB318" s="365"/>
      <c r="AC318" s="365"/>
      <c r="AD318" s="365"/>
    </row>
    <row r="319" spans="1:30" s="352" customFormat="1">
      <c r="A319" s="364"/>
      <c r="B319" s="364"/>
      <c r="C319" s="365"/>
      <c r="D319" s="365"/>
      <c r="E319" s="365"/>
      <c r="F319" s="365"/>
      <c r="G319" s="365"/>
      <c r="H319" s="365"/>
      <c r="I319" s="365"/>
      <c r="J319" s="365"/>
      <c r="K319" s="365"/>
      <c r="L319" s="365"/>
      <c r="M319" s="365"/>
      <c r="N319" s="365"/>
      <c r="O319" s="365"/>
      <c r="P319" s="365"/>
      <c r="Q319" s="365"/>
      <c r="R319" s="365"/>
      <c r="S319" s="365"/>
      <c r="T319" s="365"/>
      <c r="U319" s="365"/>
      <c r="V319" s="365"/>
      <c r="W319" s="365"/>
      <c r="X319" s="365"/>
      <c r="Y319" s="365"/>
      <c r="Z319" s="365"/>
      <c r="AA319" s="365"/>
      <c r="AB319" s="365"/>
      <c r="AC319" s="365"/>
      <c r="AD319" s="365"/>
    </row>
    <row r="320" spans="1:30" s="352" customFormat="1">
      <c r="A320" s="364"/>
      <c r="B320" s="364"/>
      <c r="C320" s="365"/>
      <c r="D320" s="365"/>
      <c r="E320" s="365"/>
      <c r="F320" s="365"/>
      <c r="G320" s="365"/>
      <c r="H320" s="365"/>
      <c r="I320" s="365"/>
      <c r="J320" s="365"/>
      <c r="K320" s="365"/>
      <c r="L320" s="365"/>
      <c r="M320" s="365"/>
      <c r="N320" s="365"/>
      <c r="O320" s="365"/>
      <c r="P320" s="365"/>
      <c r="Q320" s="365"/>
      <c r="R320" s="365"/>
      <c r="S320" s="365"/>
      <c r="T320" s="365"/>
      <c r="U320" s="365"/>
      <c r="V320" s="365"/>
      <c r="W320" s="365"/>
      <c r="X320" s="365"/>
      <c r="Y320" s="365"/>
      <c r="Z320" s="365"/>
      <c r="AA320" s="365"/>
      <c r="AB320" s="365"/>
      <c r="AC320" s="365"/>
      <c r="AD320" s="365"/>
    </row>
    <row r="321" spans="1:30" s="352" customFormat="1">
      <c r="A321" s="364"/>
      <c r="B321" s="364"/>
      <c r="C321" s="365"/>
      <c r="D321" s="365"/>
      <c r="E321" s="365"/>
      <c r="F321" s="365"/>
      <c r="G321" s="365"/>
      <c r="H321" s="365"/>
      <c r="I321" s="365"/>
      <c r="J321" s="365"/>
      <c r="K321" s="365"/>
      <c r="L321" s="365"/>
      <c r="M321" s="365"/>
      <c r="N321" s="365"/>
      <c r="O321" s="365"/>
      <c r="P321" s="365"/>
      <c r="Q321" s="365"/>
      <c r="R321" s="365"/>
      <c r="S321" s="365"/>
      <c r="T321" s="365"/>
      <c r="U321" s="365"/>
      <c r="V321" s="365"/>
      <c r="W321" s="365"/>
      <c r="X321" s="365"/>
      <c r="Y321" s="365"/>
      <c r="Z321" s="365"/>
      <c r="AA321" s="365"/>
      <c r="AB321" s="365"/>
      <c r="AC321" s="365"/>
      <c r="AD321" s="365"/>
    </row>
    <row r="322" spans="1:30" s="352" customFormat="1">
      <c r="A322" s="364"/>
      <c r="B322" s="364"/>
      <c r="C322" s="365"/>
      <c r="D322" s="365"/>
      <c r="E322" s="365"/>
      <c r="F322" s="365"/>
      <c r="G322" s="365"/>
      <c r="H322" s="365"/>
      <c r="I322" s="365"/>
      <c r="J322" s="365"/>
      <c r="K322" s="365"/>
      <c r="L322" s="365"/>
      <c r="M322" s="365"/>
      <c r="N322" s="365"/>
      <c r="O322" s="365"/>
      <c r="P322" s="365"/>
      <c r="Q322" s="365"/>
      <c r="R322" s="365"/>
      <c r="S322" s="365"/>
      <c r="T322" s="365"/>
      <c r="U322" s="365"/>
      <c r="V322" s="365"/>
      <c r="W322" s="365"/>
      <c r="X322" s="365"/>
      <c r="Y322" s="365"/>
      <c r="Z322" s="365"/>
      <c r="AA322" s="365"/>
      <c r="AB322" s="365"/>
      <c r="AC322" s="365"/>
      <c r="AD322" s="365"/>
    </row>
    <row r="323" spans="1:30" s="352" customFormat="1">
      <c r="A323" s="364"/>
      <c r="B323" s="364"/>
      <c r="C323" s="365"/>
      <c r="D323" s="365"/>
      <c r="E323" s="365"/>
      <c r="F323" s="365"/>
      <c r="G323" s="365"/>
      <c r="H323" s="365"/>
      <c r="I323" s="365"/>
      <c r="J323" s="365"/>
      <c r="K323" s="365"/>
      <c r="L323" s="365"/>
      <c r="M323" s="365"/>
      <c r="N323" s="365"/>
      <c r="O323" s="365"/>
      <c r="P323" s="365"/>
      <c r="Q323" s="365"/>
      <c r="R323" s="365"/>
      <c r="S323" s="365"/>
      <c r="T323" s="365"/>
      <c r="U323" s="365"/>
      <c r="V323" s="365"/>
      <c r="W323" s="365"/>
      <c r="X323" s="365"/>
      <c r="Y323" s="365"/>
      <c r="Z323" s="365"/>
      <c r="AA323" s="365"/>
      <c r="AB323" s="365"/>
      <c r="AC323" s="365"/>
      <c r="AD323" s="365"/>
    </row>
    <row r="324" spans="1:30" s="352" customFormat="1">
      <c r="A324" s="364"/>
      <c r="B324" s="364"/>
      <c r="C324" s="365"/>
      <c r="D324" s="365"/>
      <c r="E324" s="365"/>
      <c r="F324" s="365"/>
      <c r="G324" s="365"/>
      <c r="H324" s="365"/>
      <c r="I324" s="365"/>
      <c r="J324" s="365"/>
      <c r="K324" s="365"/>
      <c r="L324" s="365"/>
      <c r="M324" s="365"/>
      <c r="N324" s="365"/>
      <c r="O324" s="365"/>
      <c r="P324" s="365"/>
      <c r="Q324" s="365"/>
      <c r="R324" s="365"/>
      <c r="S324" s="365"/>
      <c r="T324" s="365"/>
      <c r="U324" s="365"/>
      <c r="V324" s="365"/>
      <c r="W324" s="365"/>
      <c r="X324" s="365"/>
      <c r="Y324" s="365"/>
      <c r="Z324" s="365"/>
      <c r="AA324" s="365"/>
      <c r="AB324" s="365"/>
      <c r="AC324" s="365"/>
      <c r="AD324" s="365"/>
    </row>
    <row r="325" spans="1:30" s="352" customFormat="1">
      <c r="A325" s="364"/>
      <c r="B325" s="364"/>
      <c r="C325" s="365"/>
      <c r="D325" s="365"/>
      <c r="E325" s="365"/>
      <c r="F325" s="365"/>
      <c r="G325" s="365"/>
      <c r="H325" s="365"/>
      <c r="I325" s="365"/>
      <c r="J325" s="365"/>
      <c r="K325" s="365"/>
      <c r="L325" s="365"/>
      <c r="M325" s="365"/>
      <c r="N325" s="365"/>
      <c r="O325" s="365"/>
      <c r="P325" s="365"/>
      <c r="Q325" s="365"/>
      <c r="R325" s="365"/>
      <c r="S325" s="365"/>
      <c r="T325" s="365"/>
      <c r="U325" s="365"/>
      <c r="V325" s="365"/>
      <c r="W325" s="365"/>
      <c r="X325" s="365"/>
      <c r="Y325" s="365"/>
      <c r="Z325" s="365"/>
      <c r="AA325" s="365"/>
      <c r="AB325" s="365"/>
      <c r="AC325" s="365"/>
      <c r="AD325" s="365"/>
    </row>
    <row r="326" spans="1:30" s="352" customFormat="1">
      <c r="A326" s="364"/>
      <c r="B326" s="364"/>
      <c r="C326" s="365"/>
      <c r="D326" s="365"/>
      <c r="E326" s="365"/>
      <c r="F326" s="365"/>
      <c r="G326" s="365"/>
      <c r="H326" s="365"/>
      <c r="I326" s="365"/>
      <c r="J326" s="365"/>
      <c r="K326" s="365"/>
      <c r="L326" s="365"/>
      <c r="M326" s="365"/>
      <c r="N326" s="365"/>
      <c r="O326" s="365"/>
      <c r="P326" s="365"/>
      <c r="Q326" s="365"/>
      <c r="R326" s="365"/>
      <c r="S326" s="365"/>
      <c r="T326" s="365"/>
      <c r="U326" s="365"/>
      <c r="V326" s="365"/>
      <c r="W326" s="365"/>
      <c r="X326" s="365"/>
      <c r="Y326" s="365"/>
      <c r="Z326" s="365"/>
      <c r="AA326" s="365"/>
      <c r="AB326" s="365"/>
      <c r="AC326" s="365"/>
      <c r="AD326" s="365"/>
    </row>
    <row r="327" spans="1:30" s="352" customFormat="1">
      <c r="A327" s="364"/>
      <c r="B327" s="364"/>
      <c r="C327" s="365"/>
      <c r="D327" s="365"/>
      <c r="E327" s="365"/>
      <c r="F327" s="365"/>
      <c r="G327" s="365"/>
      <c r="H327" s="365"/>
      <c r="I327" s="365"/>
      <c r="J327" s="365"/>
      <c r="K327" s="365"/>
      <c r="L327" s="365"/>
      <c r="M327" s="365"/>
      <c r="N327" s="365"/>
      <c r="O327" s="365"/>
      <c r="P327" s="365"/>
      <c r="Q327" s="365"/>
      <c r="R327" s="365"/>
      <c r="S327" s="365"/>
      <c r="T327" s="365"/>
      <c r="U327" s="365"/>
      <c r="V327" s="365"/>
      <c r="W327" s="365"/>
      <c r="X327" s="365"/>
      <c r="Y327" s="365"/>
      <c r="Z327" s="365"/>
      <c r="AA327" s="365"/>
      <c r="AB327" s="365"/>
      <c r="AC327" s="365"/>
      <c r="AD327" s="365"/>
    </row>
    <row r="328" spans="1:30" s="352" customFormat="1">
      <c r="A328" s="364"/>
      <c r="B328" s="364"/>
      <c r="C328" s="365"/>
      <c r="D328" s="365"/>
      <c r="E328" s="365"/>
      <c r="F328" s="365"/>
      <c r="G328" s="365"/>
      <c r="H328" s="365"/>
      <c r="I328" s="365"/>
      <c r="J328" s="365"/>
      <c r="K328" s="365"/>
      <c r="L328" s="365"/>
      <c r="M328" s="365"/>
      <c r="N328" s="365"/>
      <c r="O328" s="365"/>
      <c r="P328" s="365"/>
      <c r="Q328" s="365"/>
      <c r="R328" s="365"/>
      <c r="S328" s="365"/>
      <c r="T328" s="365"/>
      <c r="U328" s="365"/>
      <c r="V328" s="365"/>
      <c r="W328" s="365"/>
      <c r="X328" s="365"/>
      <c r="Y328" s="365"/>
      <c r="Z328" s="365"/>
      <c r="AA328" s="365"/>
      <c r="AB328" s="365"/>
      <c r="AC328" s="365"/>
      <c r="AD328" s="365"/>
    </row>
    <row r="329" spans="1:30" s="352" customFormat="1">
      <c r="A329" s="364"/>
      <c r="B329" s="364"/>
      <c r="C329" s="365"/>
      <c r="D329" s="365"/>
      <c r="E329" s="365"/>
      <c r="F329" s="365"/>
      <c r="G329" s="365"/>
      <c r="H329" s="365"/>
      <c r="I329" s="365"/>
      <c r="J329" s="365"/>
      <c r="K329" s="365"/>
      <c r="L329" s="365"/>
      <c r="M329" s="365"/>
      <c r="N329" s="365"/>
      <c r="O329" s="365"/>
      <c r="P329" s="365"/>
      <c r="Q329" s="365"/>
      <c r="R329" s="365"/>
      <c r="S329" s="365"/>
      <c r="T329" s="365"/>
      <c r="U329" s="365"/>
      <c r="V329" s="365"/>
      <c r="W329" s="365"/>
      <c r="X329" s="365"/>
      <c r="Y329" s="365"/>
      <c r="Z329" s="365"/>
      <c r="AA329" s="365"/>
      <c r="AB329" s="365"/>
      <c r="AC329" s="365"/>
      <c r="AD329" s="365"/>
    </row>
    <row r="330" spans="1:30" s="352" customFormat="1">
      <c r="A330" s="364"/>
      <c r="B330" s="364"/>
      <c r="C330" s="365"/>
      <c r="D330" s="365"/>
      <c r="E330" s="365"/>
      <c r="F330" s="365"/>
      <c r="G330" s="365"/>
      <c r="H330" s="365"/>
      <c r="I330" s="365"/>
      <c r="J330" s="365"/>
      <c r="K330" s="365"/>
      <c r="L330" s="365"/>
      <c r="M330" s="365"/>
      <c r="N330" s="365"/>
      <c r="O330" s="365"/>
      <c r="P330" s="365"/>
      <c r="Q330" s="365"/>
      <c r="R330" s="365"/>
      <c r="S330" s="365"/>
      <c r="T330" s="365"/>
      <c r="U330" s="365"/>
      <c r="V330" s="365"/>
      <c r="W330" s="365"/>
      <c r="X330" s="365"/>
      <c r="Y330" s="365"/>
      <c r="Z330" s="365"/>
      <c r="AA330" s="365"/>
      <c r="AB330" s="365"/>
      <c r="AC330" s="365"/>
      <c r="AD330" s="365"/>
    </row>
    <row r="331" spans="1:30" s="352" customFormat="1">
      <c r="A331" s="364"/>
      <c r="B331" s="364"/>
      <c r="C331" s="365"/>
      <c r="D331" s="365"/>
      <c r="E331" s="365"/>
      <c r="F331" s="365"/>
      <c r="G331" s="365"/>
      <c r="H331" s="365"/>
      <c r="I331" s="365"/>
      <c r="J331" s="365"/>
      <c r="K331" s="365"/>
      <c r="L331" s="365"/>
      <c r="M331" s="365"/>
      <c r="N331" s="365"/>
      <c r="O331" s="365"/>
      <c r="P331" s="365"/>
      <c r="Q331" s="365"/>
      <c r="R331" s="365"/>
      <c r="S331" s="365"/>
      <c r="T331" s="365"/>
      <c r="U331" s="365"/>
      <c r="V331" s="365"/>
      <c r="W331" s="365"/>
      <c r="X331" s="365"/>
      <c r="Y331" s="365"/>
      <c r="Z331" s="365"/>
      <c r="AA331" s="365"/>
      <c r="AB331" s="365"/>
      <c r="AC331" s="365"/>
      <c r="AD331" s="365"/>
    </row>
    <row r="332" spans="1:30" s="352" customFormat="1">
      <c r="A332" s="364"/>
      <c r="B332" s="364"/>
      <c r="C332" s="365"/>
      <c r="D332" s="365"/>
      <c r="E332" s="365"/>
      <c r="F332" s="365"/>
      <c r="G332" s="365"/>
      <c r="H332" s="365"/>
      <c r="I332" s="365"/>
      <c r="J332" s="365"/>
      <c r="K332" s="365"/>
      <c r="L332" s="365"/>
      <c r="M332" s="365"/>
      <c r="N332" s="365"/>
      <c r="O332" s="365"/>
      <c r="P332" s="365"/>
      <c r="Q332" s="365"/>
      <c r="R332" s="365"/>
      <c r="S332" s="365"/>
      <c r="T332" s="365"/>
      <c r="U332" s="365"/>
      <c r="V332" s="365"/>
      <c r="W332" s="365"/>
      <c r="X332" s="365"/>
      <c r="Y332" s="365"/>
      <c r="Z332" s="365"/>
      <c r="AA332" s="365"/>
      <c r="AB332" s="365"/>
      <c r="AC332" s="365"/>
      <c r="AD332" s="365"/>
    </row>
    <row r="333" spans="1:30" s="352" customFormat="1">
      <c r="A333" s="364"/>
      <c r="B333" s="364"/>
      <c r="C333" s="365"/>
      <c r="D333" s="365"/>
      <c r="E333" s="365"/>
      <c r="F333" s="365"/>
      <c r="G333" s="365"/>
      <c r="H333" s="365"/>
      <c r="I333" s="365"/>
      <c r="J333" s="365"/>
      <c r="K333" s="365"/>
      <c r="L333" s="365"/>
      <c r="M333" s="365"/>
      <c r="N333" s="365"/>
      <c r="O333" s="365"/>
      <c r="P333" s="365"/>
      <c r="Q333" s="365"/>
      <c r="R333" s="365"/>
      <c r="S333" s="365"/>
      <c r="T333" s="365"/>
      <c r="U333" s="365"/>
      <c r="V333" s="365"/>
      <c r="W333" s="365"/>
      <c r="X333" s="365"/>
      <c r="Y333" s="365"/>
      <c r="Z333" s="365"/>
      <c r="AA333" s="365"/>
      <c r="AB333" s="365"/>
      <c r="AC333" s="365"/>
      <c r="AD333" s="365"/>
    </row>
    <row r="334" spans="1:30" s="352" customFormat="1">
      <c r="A334" s="364"/>
      <c r="B334" s="364"/>
      <c r="C334" s="365"/>
      <c r="D334" s="365"/>
      <c r="E334" s="365"/>
      <c r="F334" s="365"/>
      <c r="G334" s="365"/>
      <c r="H334" s="365"/>
      <c r="I334" s="365"/>
      <c r="J334" s="365"/>
      <c r="K334" s="365"/>
      <c r="L334" s="365"/>
      <c r="M334" s="365"/>
      <c r="N334" s="365"/>
      <c r="O334" s="365"/>
      <c r="P334" s="365"/>
      <c r="Q334" s="365"/>
      <c r="R334" s="365"/>
      <c r="S334" s="365"/>
      <c r="T334" s="365"/>
      <c r="U334" s="365"/>
      <c r="V334" s="365"/>
      <c r="W334" s="365"/>
      <c r="X334" s="365"/>
      <c r="Y334" s="365"/>
      <c r="Z334" s="365"/>
      <c r="AA334" s="365"/>
      <c r="AB334" s="365"/>
      <c r="AC334" s="365"/>
      <c r="AD334" s="365"/>
    </row>
    <row r="335" spans="1:30" s="352" customFormat="1">
      <c r="A335" s="364"/>
      <c r="B335" s="364"/>
      <c r="C335" s="365"/>
      <c r="D335" s="365"/>
      <c r="E335" s="365"/>
      <c r="F335" s="365"/>
      <c r="G335" s="365"/>
      <c r="H335" s="365"/>
      <c r="I335" s="365"/>
      <c r="J335" s="365"/>
      <c r="K335" s="365"/>
      <c r="L335" s="365"/>
      <c r="M335" s="365"/>
      <c r="N335" s="365"/>
      <c r="O335" s="365"/>
      <c r="P335" s="365"/>
      <c r="Q335" s="365"/>
      <c r="R335" s="365"/>
      <c r="S335" s="365"/>
      <c r="T335" s="365"/>
      <c r="U335" s="365"/>
      <c r="V335" s="365"/>
      <c r="W335" s="365"/>
      <c r="X335" s="365"/>
      <c r="Y335" s="365"/>
      <c r="Z335" s="365"/>
      <c r="AA335" s="365"/>
      <c r="AB335" s="365"/>
      <c r="AC335" s="365"/>
      <c r="AD335" s="365"/>
    </row>
    <row r="336" spans="1:30" s="352" customFormat="1">
      <c r="A336" s="364"/>
      <c r="B336" s="364"/>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365"/>
      <c r="Y336" s="365"/>
      <c r="Z336" s="365"/>
      <c r="AA336" s="365"/>
      <c r="AB336" s="365"/>
      <c r="AC336" s="365"/>
      <c r="AD336" s="365"/>
    </row>
    <row r="337" spans="1:30" s="352" customFormat="1">
      <c r="A337" s="364"/>
      <c r="B337" s="364"/>
      <c r="C337" s="365"/>
      <c r="D337" s="365"/>
      <c r="E337" s="365"/>
      <c r="F337" s="365"/>
      <c r="G337" s="365"/>
      <c r="H337" s="365"/>
      <c r="I337" s="365"/>
      <c r="J337" s="365"/>
      <c r="K337" s="365"/>
      <c r="L337" s="365"/>
      <c r="M337" s="365"/>
      <c r="N337" s="365"/>
      <c r="O337" s="365"/>
      <c r="P337" s="365"/>
      <c r="Q337" s="365"/>
      <c r="R337" s="365"/>
      <c r="S337" s="365"/>
      <c r="T337" s="365"/>
      <c r="U337" s="365"/>
      <c r="V337" s="365"/>
      <c r="W337" s="365"/>
      <c r="X337" s="365"/>
      <c r="Y337" s="365"/>
      <c r="Z337" s="365"/>
      <c r="AA337" s="365"/>
      <c r="AB337" s="365"/>
      <c r="AC337" s="365"/>
      <c r="AD337" s="365"/>
    </row>
    <row r="338" spans="1:30" s="352" customFormat="1">
      <c r="A338" s="364"/>
      <c r="B338" s="364"/>
      <c r="C338" s="365"/>
      <c r="D338" s="365"/>
      <c r="E338" s="365"/>
      <c r="F338" s="365"/>
      <c r="G338" s="365"/>
      <c r="H338" s="365"/>
      <c r="I338" s="365"/>
      <c r="J338" s="365"/>
      <c r="K338" s="365"/>
      <c r="L338" s="365"/>
      <c r="M338" s="365"/>
      <c r="N338" s="365"/>
      <c r="O338" s="365"/>
      <c r="P338" s="365"/>
      <c r="Q338" s="365"/>
      <c r="R338" s="365"/>
      <c r="S338" s="365"/>
      <c r="T338" s="365"/>
      <c r="U338" s="365"/>
      <c r="V338" s="365"/>
      <c r="W338" s="365"/>
      <c r="X338" s="365"/>
      <c r="Y338" s="365"/>
      <c r="Z338" s="365"/>
      <c r="AA338" s="365"/>
      <c r="AB338" s="365"/>
      <c r="AC338" s="365"/>
      <c r="AD338" s="365"/>
    </row>
    <row r="339" spans="1:30" s="352" customFormat="1">
      <c r="A339" s="364"/>
      <c r="B339" s="364"/>
      <c r="C339" s="365"/>
      <c r="D339" s="365"/>
      <c r="E339" s="365"/>
      <c r="F339" s="365"/>
      <c r="G339" s="365"/>
      <c r="H339" s="365"/>
      <c r="I339" s="365"/>
      <c r="J339" s="365"/>
      <c r="K339" s="365"/>
      <c r="L339" s="365"/>
      <c r="M339" s="365"/>
      <c r="N339" s="365"/>
      <c r="O339" s="365"/>
      <c r="P339" s="365"/>
      <c r="Q339" s="365"/>
      <c r="R339" s="365"/>
      <c r="S339" s="365"/>
      <c r="T339" s="365"/>
      <c r="U339" s="365"/>
      <c r="V339" s="365"/>
      <c r="W339" s="365"/>
      <c r="X339" s="365"/>
      <c r="Y339" s="365"/>
      <c r="Z339" s="365"/>
      <c r="AA339" s="365"/>
      <c r="AB339" s="365"/>
      <c r="AC339" s="365"/>
      <c r="AD339" s="365"/>
    </row>
    <row r="340" spans="1:30" s="352" customFormat="1">
      <c r="A340" s="364"/>
      <c r="B340" s="364"/>
      <c r="C340" s="365"/>
      <c r="D340" s="365"/>
      <c r="E340" s="365"/>
      <c r="F340" s="365"/>
      <c r="G340" s="365"/>
      <c r="H340" s="365"/>
      <c r="I340" s="365"/>
      <c r="J340" s="365"/>
      <c r="K340" s="365"/>
      <c r="L340" s="365"/>
      <c r="M340" s="365"/>
      <c r="N340" s="365"/>
      <c r="O340" s="365"/>
      <c r="P340" s="365"/>
      <c r="Q340" s="365"/>
      <c r="R340" s="365"/>
      <c r="S340" s="365"/>
      <c r="T340" s="365"/>
      <c r="U340" s="365"/>
      <c r="V340" s="365"/>
      <c r="W340" s="365"/>
      <c r="X340" s="365"/>
      <c r="Y340" s="365"/>
      <c r="Z340" s="365"/>
      <c r="AA340" s="365"/>
      <c r="AB340" s="365"/>
      <c r="AC340" s="365"/>
      <c r="AD340" s="365"/>
    </row>
    <row r="341" spans="1:30" s="352" customFormat="1">
      <c r="A341" s="364"/>
      <c r="B341" s="364"/>
      <c r="C341" s="365"/>
      <c r="D341" s="365"/>
      <c r="E341" s="365"/>
      <c r="F341" s="365"/>
      <c r="G341" s="365"/>
      <c r="H341" s="365"/>
      <c r="I341" s="365"/>
      <c r="J341" s="365"/>
      <c r="K341" s="365"/>
      <c r="L341" s="365"/>
      <c r="M341" s="365"/>
      <c r="N341" s="365"/>
      <c r="O341" s="365"/>
      <c r="P341" s="365"/>
      <c r="Q341" s="365"/>
      <c r="R341" s="365"/>
      <c r="S341" s="365"/>
      <c r="T341" s="365"/>
      <c r="U341" s="365"/>
      <c r="V341" s="365"/>
      <c r="W341" s="365"/>
      <c r="X341" s="365"/>
      <c r="Y341" s="365"/>
      <c r="Z341" s="365"/>
      <c r="AA341" s="365"/>
      <c r="AB341" s="365"/>
      <c r="AC341" s="365"/>
      <c r="AD341" s="365"/>
    </row>
    <row r="342" spans="1:30" s="352" customFormat="1">
      <c r="A342" s="364"/>
      <c r="B342" s="364"/>
      <c r="C342" s="365"/>
      <c r="D342" s="365"/>
      <c r="E342" s="365"/>
      <c r="F342" s="365"/>
      <c r="G342" s="365"/>
      <c r="H342" s="365"/>
      <c r="I342" s="365"/>
      <c r="J342" s="365"/>
      <c r="K342" s="365"/>
      <c r="L342" s="365"/>
      <c r="M342" s="365"/>
      <c r="N342" s="365"/>
      <c r="O342" s="365"/>
      <c r="P342" s="365"/>
      <c r="Q342" s="365"/>
      <c r="R342" s="365"/>
      <c r="S342" s="365"/>
      <c r="T342" s="365"/>
      <c r="U342" s="365"/>
      <c r="V342" s="365"/>
      <c r="W342" s="365"/>
      <c r="X342" s="365"/>
      <c r="Y342" s="365"/>
      <c r="Z342" s="365"/>
      <c r="AA342" s="365"/>
      <c r="AB342" s="365"/>
      <c r="AC342" s="365"/>
      <c r="AD342" s="365"/>
    </row>
    <row r="343" spans="1:30" s="352" customFormat="1">
      <c r="A343" s="364"/>
      <c r="B343" s="364"/>
      <c r="C343" s="365"/>
      <c r="D343" s="365"/>
      <c r="E343" s="365"/>
      <c r="F343" s="365"/>
      <c r="G343" s="365"/>
      <c r="H343" s="365"/>
      <c r="I343" s="365"/>
      <c r="J343" s="365"/>
      <c r="K343" s="365"/>
      <c r="L343" s="365"/>
      <c r="M343" s="365"/>
      <c r="N343" s="365"/>
      <c r="O343" s="365"/>
      <c r="P343" s="365"/>
      <c r="Q343" s="365"/>
      <c r="R343" s="365"/>
      <c r="S343" s="365"/>
      <c r="T343" s="365"/>
      <c r="U343" s="365"/>
      <c r="V343" s="365"/>
      <c r="W343" s="365"/>
      <c r="X343" s="365"/>
      <c r="Y343" s="365"/>
      <c r="Z343" s="365"/>
      <c r="AA343" s="365"/>
      <c r="AB343" s="365"/>
      <c r="AC343" s="365"/>
      <c r="AD343" s="365"/>
    </row>
    <row r="344" spans="1:30" s="352" customFormat="1">
      <c r="A344" s="364"/>
      <c r="B344" s="364"/>
      <c r="C344" s="365"/>
      <c r="D344" s="365"/>
      <c r="E344" s="365"/>
      <c r="F344" s="365"/>
      <c r="G344" s="365"/>
      <c r="H344" s="365"/>
      <c r="I344" s="365"/>
      <c r="J344" s="365"/>
      <c r="K344" s="365"/>
      <c r="L344" s="365"/>
      <c r="M344" s="365"/>
      <c r="N344" s="365"/>
      <c r="O344" s="365"/>
      <c r="P344" s="365"/>
      <c r="Q344" s="365"/>
      <c r="R344" s="365"/>
      <c r="S344" s="365"/>
      <c r="T344" s="365"/>
      <c r="U344" s="365"/>
      <c r="V344" s="365"/>
      <c r="W344" s="365"/>
      <c r="X344" s="365"/>
      <c r="Y344" s="365"/>
      <c r="Z344" s="365"/>
      <c r="AA344" s="365"/>
      <c r="AB344" s="365"/>
      <c r="AC344" s="365"/>
      <c r="AD344" s="365"/>
    </row>
    <row r="345" spans="1:30" s="352" customFormat="1">
      <c r="A345" s="364"/>
      <c r="B345" s="364"/>
      <c r="C345" s="365"/>
      <c r="D345" s="365"/>
      <c r="E345" s="365"/>
      <c r="F345" s="365"/>
      <c r="G345" s="365"/>
      <c r="H345" s="365"/>
      <c r="I345" s="365"/>
      <c r="J345" s="365"/>
      <c r="K345" s="365"/>
      <c r="L345" s="365"/>
      <c r="M345" s="365"/>
      <c r="N345" s="365"/>
      <c r="O345" s="365"/>
      <c r="P345" s="365"/>
      <c r="Q345" s="365"/>
      <c r="R345" s="365"/>
      <c r="S345" s="365"/>
      <c r="T345" s="365"/>
      <c r="U345" s="365"/>
      <c r="V345" s="365"/>
      <c r="W345" s="365"/>
      <c r="X345" s="365"/>
      <c r="Y345" s="365"/>
      <c r="Z345" s="365"/>
      <c r="AA345" s="365"/>
      <c r="AB345" s="365"/>
      <c r="AC345" s="365"/>
      <c r="AD345" s="365"/>
    </row>
    <row r="346" spans="1:30" s="352" customFormat="1">
      <c r="A346" s="364"/>
      <c r="B346" s="364"/>
      <c r="C346" s="365"/>
      <c r="D346" s="365"/>
      <c r="E346" s="365"/>
      <c r="F346" s="365"/>
      <c r="G346" s="365"/>
      <c r="H346" s="365"/>
      <c r="I346" s="365"/>
      <c r="J346" s="365"/>
      <c r="K346" s="365"/>
      <c r="L346" s="365"/>
      <c r="M346" s="365"/>
      <c r="N346" s="365"/>
      <c r="O346" s="365"/>
      <c r="P346" s="365"/>
      <c r="Q346" s="365"/>
      <c r="R346" s="365"/>
      <c r="S346" s="365"/>
      <c r="T346" s="365"/>
      <c r="U346" s="365"/>
      <c r="V346" s="365"/>
      <c r="W346" s="365"/>
      <c r="X346" s="365"/>
      <c r="Y346" s="365"/>
      <c r="Z346" s="365"/>
      <c r="AA346" s="365"/>
      <c r="AB346" s="365"/>
      <c r="AC346" s="365"/>
      <c r="AD346" s="365"/>
    </row>
    <row r="347" spans="1:30" s="352" customFormat="1">
      <c r="A347" s="364"/>
      <c r="B347" s="364"/>
      <c r="C347" s="365"/>
      <c r="D347" s="365"/>
      <c r="E347" s="365"/>
      <c r="F347" s="365"/>
      <c r="G347" s="365"/>
      <c r="H347" s="365"/>
      <c r="I347" s="365"/>
      <c r="J347" s="365"/>
      <c r="K347" s="365"/>
      <c r="L347" s="365"/>
      <c r="M347" s="365"/>
      <c r="N347" s="365"/>
      <c r="O347" s="365"/>
      <c r="P347" s="365"/>
      <c r="Q347" s="365"/>
      <c r="R347" s="365"/>
      <c r="S347" s="365"/>
      <c r="T347" s="365"/>
      <c r="U347" s="365"/>
      <c r="V347" s="365"/>
      <c r="W347" s="365"/>
      <c r="X347" s="365"/>
      <c r="Y347" s="365"/>
      <c r="Z347" s="365"/>
      <c r="AA347" s="365"/>
      <c r="AB347" s="365"/>
      <c r="AC347" s="365"/>
      <c r="AD347" s="365"/>
    </row>
    <row r="348" spans="1:30" s="352" customFormat="1">
      <c r="A348" s="364"/>
      <c r="B348" s="364"/>
      <c r="C348" s="365"/>
      <c r="D348" s="365"/>
      <c r="E348" s="365"/>
      <c r="F348" s="365"/>
      <c r="G348" s="365"/>
      <c r="H348" s="365"/>
      <c r="I348" s="365"/>
      <c r="J348" s="365"/>
      <c r="K348" s="365"/>
      <c r="L348" s="365"/>
      <c r="M348" s="365"/>
      <c r="N348" s="365"/>
      <c r="O348" s="365"/>
      <c r="P348" s="365"/>
      <c r="Q348" s="365"/>
      <c r="R348" s="365"/>
      <c r="S348" s="365"/>
      <c r="T348" s="365"/>
      <c r="U348" s="365"/>
      <c r="V348" s="365"/>
      <c r="W348" s="365"/>
      <c r="X348" s="365"/>
      <c r="Y348" s="365"/>
      <c r="Z348" s="365"/>
      <c r="AA348" s="365"/>
      <c r="AB348" s="365"/>
      <c r="AC348" s="365"/>
      <c r="AD348" s="365"/>
    </row>
    <row r="349" spans="1:30" s="352" customFormat="1">
      <c r="A349" s="364"/>
      <c r="B349" s="364"/>
      <c r="C349" s="365"/>
      <c r="D349" s="365"/>
      <c r="E349" s="365"/>
      <c r="F349" s="365"/>
      <c r="G349" s="365"/>
      <c r="H349" s="365"/>
      <c r="I349" s="365"/>
      <c r="J349" s="365"/>
      <c r="K349" s="365"/>
      <c r="L349" s="365"/>
      <c r="M349" s="365"/>
      <c r="N349" s="365"/>
      <c r="O349" s="365"/>
      <c r="P349" s="365"/>
      <c r="Q349" s="365"/>
      <c r="R349" s="365"/>
      <c r="S349" s="365"/>
      <c r="T349" s="365"/>
      <c r="U349" s="365"/>
      <c r="V349" s="365"/>
      <c r="W349" s="365"/>
      <c r="X349" s="365"/>
      <c r="Y349" s="365"/>
      <c r="Z349" s="365"/>
      <c r="AA349" s="365"/>
      <c r="AB349" s="365"/>
      <c r="AC349" s="365"/>
      <c r="AD349" s="365"/>
    </row>
    <row r="350" spans="1:30" s="352" customFormat="1">
      <c r="A350" s="364"/>
      <c r="B350" s="364"/>
      <c r="C350" s="365"/>
      <c r="D350" s="365"/>
      <c r="E350" s="365"/>
      <c r="F350" s="365"/>
      <c r="G350" s="365"/>
      <c r="H350" s="365"/>
      <c r="I350" s="365"/>
      <c r="J350" s="365"/>
      <c r="K350" s="365"/>
      <c r="L350" s="365"/>
      <c r="M350" s="365"/>
      <c r="N350" s="365"/>
      <c r="O350" s="365"/>
      <c r="P350" s="365"/>
      <c r="Q350" s="365"/>
      <c r="R350" s="365"/>
      <c r="S350" s="365"/>
      <c r="T350" s="365"/>
      <c r="U350" s="365"/>
      <c r="V350" s="365"/>
      <c r="W350" s="365"/>
      <c r="X350" s="365"/>
      <c r="Y350" s="365"/>
      <c r="Z350" s="365"/>
      <c r="AA350" s="365"/>
      <c r="AB350" s="365"/>
      <c r="AC350" s="365"/>
      <c r="AD350" s="365"/>
    </row>
    <row r="351" spans="1:30" s="352" customFormat="1">
      <c r="A351" s="364"/>
      <c r="B351" s="364"/>
      <c r="C351" s="365"/>
      <c r="D351" s="365"/>
      <c r="E351" s="365"/>
      <c r="F351" s="365"/>
      <c r="G351" s="365"/>
      <c r="H351" s="365"/>
      <c r="I351" s="365"/>
      <c r="J351" s="365"/>
      <c r="K351" s="365"/>
      <c r="L351" s="365"/>
      <c r="M351" s="365"/>
      <c r="N351" s="365"/>
      <c r="O351" s="365"/>
      <c r="P351" s="365"/>
      <c r="Q351" s="365"/>
      <c r="R351" s="365"/>
      <c r="S351" s="365"/>
      <c r="T351" s="365"/>
      <c r="U351" s="365"/>
      <c r="V351" s="365"/>
      <c r="W351" s="365"/>
      <c r="X351" s="365"/>
      <c r="Y351" s="365"/>
      <c r="Z351" s="365"/>
      <c r="AA351" s="365"/>
      <c r="AB351" s="365"/>
      <c r="AC351" s="365"/>
      <c r="AD351" s="365"/>
    </row>
    <row r="352" spans="1:30" s="352" customFormat="1">
      <c r="A352" s="364"/>
      <c r="B352" s="364"/>
      <c r="C352" s="365"/>
      <c r="D352" s="365"/>
      <c r="E352" s="365"/>
      <c r="F352" s="365"/>
      <c r="G352" s="365"/>
      <c r="H352" s="365"/>
      <c r="I352" s="365"/>
      <c r="J352" s="365"/>
      <c r="K352" s="365"/>
      <c r="L352" s="365"/>
      <c r="M352" s="365"/>
      <c r="N352" s="365"/>
      <c r="O352" s="365"/>
      <c r="P352" s="365"/>
      <c r="Q352" s="365"/>
      <c r="R352" s="365"/>
      <c r="S352" s="365"/>
      <c r="T352" s="365"/>
      <c r="U352" s="365"/>
      <c r="V352" s="365"/>
      <c r="W352" s="365"/>
      <c r="X352" s="365"/>
      <c r="Y352" s="365"/>
      <c r="Z352" s="365"/>
      <c r="AA352" s="365"/>
      <c r="AB352" s="365"/>
      <c r="AC352" s="365"/>
      <c r="AD352" s="365"/>
    </row>
    <row r="353" spans="1:30" s="352" customFormat="1">
      <c r="A353" s="364"/>
      <c r="B353" s="364"/>
      <c r="C353" s="365"/>
      <c r="D353" s="365"/>
      <c r="E353" s="365"/>
      <c r="F353" s="365"/>
      <c r="G353" s="365"/>
      <c r="H353" s="365"/>
      <c r="I353" s="365"/>
      <c r="J353" s="365"/>
      <c r="K353" s="365"/>
      <c r="L353" s="365"/>
      <c r="M353" s="365"/>
      <c r="N353" s="365"/>
      <c r="O353" s="365"/>
      <c r="P353" s="365"/>
      <c r="Q353" s="365"/>
      <c r="R353" s="365"/>
      <c r="S353" s="365"/>
      <c r="T353" s="365"/>
      <c r="U353" s="365"/>
      <c r="V353" s="365"/>
      <c r="W353" s="365"/>
      <c r="X353" s="365"/>
      <c r="Y353" s="365"/>
      <c r="Z353" s="365"/>
      <c r="AA353" s="365"/>
      <c r="AB353" s="365"/>
      <c r="AC353" s="365"/>
      <c r="AD353" s="365"/>
    </row>
    <row r="354" spans="1:30" s="352" customFormat="1">
      <c r="A354" s="364"/>
      <c r="B354" s="364"/>
      <c r="C354" s="365"/>
      <c r="D354" s="365"/>
      <c r="E354" s="365"/>
      <c r="F354" s="365"/>
      <c r="G354" s="365"/>
      <c r="H354" s="365"/>
      <c r="I354" s="365"/>
      <c r="J354" s="365"/>
      <c r="K354" s="365"/>
      <c r="L354" s="365"/>
      <c r="M354" s="365"/>
      <c r="N354" s="365"/>
      <c r="O354" s="365"/>
      <c r="P354" s="365"/>
      <c r="Q354" s="365"/>
      <c r="R354" s="365"/>
      <c r="S354" s="365"/>
      <c r="T354" s="365"/>
      <c r="U354" s="365"/>
      <c r="V354" s="365"/>
      <c r="W354" s="365"/>
      <c r="X354" s="365"/>
      <c r="Y354" s="365"/>
      <c r="Z354" s="365"/>
      <c r="AA354" s="365"/>
      <c r="AB354" s="365"/>
      <c r="AC354" s="365"/>
      <c r="AD354" s="365"/>
    </row>
    <row r="355" spans="1:30" s="352" customFormat="1">
      <c r="A355" s="364"/>
      <c r="B355" s="364"/>
      <c r="C355" s="365"/>
      <c r="D355" s="365"/>
      <c r="E355" s="365"/>
      <c r="F355" s="365"/>
      <c r="G355" s="365"/>
      <c r="H355" s="365"/>
      <c r="I355" s="365"/>
      <c r="J355" s="365"/>
      <c r="K355" s="365"/>
      <c r="L355" s="365"/>
      <c r="M355" s="365"/>
      <c r="N355" s="365"/>
      <c r="O355" s="365"/>
      <c r="P355" s="365"/>
      <c r="Q355" s="365"/>
      <c r="R355" s="365"/>
      <c r="S355" s="365"/>
      <c r="T355" s="365"/>
      <c r="U355" s="365"/>
      <c r="V355" s="365"/>
      <c r="W355" s="365"/>
      <c r="X355" s="365"/>
      <c r="Y355" s="365"/>
      <c r="Z355" s="365"/>
      <c r="AA355" s="365"/>
      <c r="AB355" s="365"/>
      <c r="AC355" s="365"/>
      <c r="AD355" s="365"/>
    </row>
    <row r="356" spans="1:30" s="352" customFormat="1">
      <c r="A356" s="364"/>
      <c r="B356" s="364"/>
      <c r="C356" s="365"/>
      <c r="D356" s="365"/>
      <c r="E356" s="365"/>
      <c r="F356" s="365"/>
      <c r="G356" s="365"/>
      <c r="H356" s="365"/>
      <c r="I356" s="365"/>
      <c r="J356" s="365"/>
      <c r="K356" s="365"/>
      <c r="L356" s="365"/>
      <c r="M356" s="365"/>
      <c r="N356" s="365"/>
      <c r="O356" s="365"/>
      <c r="P356" s="365"/>
      <c r="Q356" s="365"/>
      <c r="R356" s="365"/>
      <c r="S356" s="365"/>
      <c r="T356" s="365"/>
      <c r="U356" s="365"/>
      <c r="V356" s="365"/>
      <c r="W356" s="365"/>
      <c r="X356" s="365"/>
      <c r="Y356" s="365"/>
      <c r="Z356" s="365"/>
      <c r="AA356" s="365"/>
      <c r="AB356" s="365"/>
      <c r="AC356" s="365"/>
      <c r="AD356" s="365"/>
    </row>
    <row r="357" spans="1:30" s="352" customFormat="1">
      <c r="A357" s="364"/>
      <c r="B357" s="364"/>
      <c r="C357" s="365"/>
      <c r="D357" s="365"/>
      <c r="E357" s="365"/>
      <c r="F357" s="365"/>
      <c r="G357" s="365"/>
      <c r="H357" s="365"/>
      <c r="I357" s="365"/>
      <c r="J357" s="365"/>
      <c r="K357" s="365"/>
      <c r="L357" s="365"/>
      <c r="M357" s="365"/>
      <c r="N357" s="365"/>
      <c r="O357" s="365"/>
      <c r="P357" s="365"/>
      <c r="Q357" s="365"/>
      <c r="R357" s="365"/>
      <c r="S357" s="365"/>
      <c r="T357" s="365"/>
      <c r="U357" s="365"/>
      <c r="V357" s="365"/>
      <c r="W357" s="365"/>
      <c r="X357" s="365"/>
      <c r="Y357" s="365"/>
      <c r="Z357" s="365"/>
      <c r="AA357" s="365"/>
      <c r="AB357" s="365"/>
      <c r="AC357" s="365"/>
      <c r="AD357" s="365"/>
    </row>
    <row r="358" spans="1:30" s="352" customFormat="1">
      <c r="A358" s="364"/>
      <c r="B358" s="364"/>
      <c r="C358" s="365"/>
      <c r="D358" s="365"/>
      <c r="E358" s="365"/>
      <c r="F358" s="365"/>
      <c r="G358" s="365"/>
      <c r="H358" s="365"/>
      <c r="I358" s="365"/>
      <c r="J358" s="365"/>
      <c r="K358" s="365"/>
      <c r="L358" s="365"/>
      <c r="M358" s="365"/>
      <c r="N358" s="365"/>
      <c r="O358" s="365"/>
      <c r="P358" s="365"/>
      <c r="Q358" s="365"/>
      <c r="R358" s="365"/>
      <c r="S358" s="365"/>
      <c r="T358" s="365"/>
      <c r="U358" s="365"/>
      <c r="V358" s="365"/>
      <c r="W358" s="365"/>
      <c r="X358" s="365"/>
      <c r="Y358" s="365"/>
      <c r="Z358" s="365"/>
      <c r="AA358" s="365"/>
      <c r="AB358" s="365"/>
      <c r="AC358" s="365"/>
      <c r="AD358" s="365"/>
    </row>
    <row r="359" spans="1:30" s="352" customFormat="1">
      <c r="A359" s="364"/>
      <c r="B359" s="364"/>
      <c r="C359" s="365"/>
      <c r="D359" s="365"/>
      <c r="E359" s="365"/>
      <c r="F359" s="365"/>
      <c r="G359" s="365"/>
      <c r="H359" s="365"/>
      <c r="I359" s="365"/>
      <c r="J359" s="365"/>
      <c r="K359" s="365"/>
      <c r="L359" s="365"/>
      <c r="M359" s="365"/>
      <c r="N359" s="365"/>
      <c r="O359" s="365"/>
      <c r="P359" s="365"/>
      <c r="Q359" s="365"/>
      <c r="R359" s="365"/>
      <c r="S359" s="365"/>
      <c r="T359" s="365"/>
      <c r="U359" s="365"/>
      <c r="V359" s="365"/>
      <c r="W359" s="365"/>
      <c r="X359" s="365"/>
      <c r="Y359" s="365"/>
      <c r="Z359" s="365"/>
      <c r="AA359" s="365"/>
      <c r="AB359" s="365"/>
      <c r="AC359" s="365"/>
      <c r="AD359" s="365"/>
    </row>
    <row r="360" spans="1:30" s="352" customFormat="1">
      <c r="A360" s="364"/>
      <c r="B360" s="364"/>
      <c r="C360" s="365"/>
      <c r="D360" s="365"/>
      <c r="E360" s="365"/>
      <c r="F360" s="365"/>
      <c r="G360" s="365"/>
      <c r="H360" s="365"/>
      <c r="I360" s="365"/>
      <c r="J360" s="365"/>
      <c r="K360" s="365"/>
      <c r="L360" s="365"/>
      <c r="M360" s="365"/>
      <c r="N360" s="365"/>
      <c r="O360" s="365"/>
      <c r="P360" s="365"/>
      <c r="Q360" s="365"/>
      <c r="R360" s="365"/>
      <c r="S360" s="365"/>
      <c r="T360" s="365"/>
      <c r="U360" s="365"/>
      <c r="V360" s="365"/>
      <c r="W360" s="365"/>
      <c r="X360" s="365"/>
      <c r="Y360" s="365"/>
      <c r="Z360" s="365"/>
      <c r="AA360" s="365"/>
      <c r="AB360" s="365"/>
      <c r="AC360" s="365"/>
      <c r="AD360" s="365"/>
    </row>
    <row r="361" spans="1:30" s="352" customFormat="1">
      <c r="A361" s="364"/>
      <c r="B361" s="364"/>
      <c r="C361" s="365"/>
      <c r="D361" s="365"/>
      <c r="E361" s="365"/>
      <c r="F361" s="365"/>
      <c r="G361" s="365"/>
      <c r="H361" s="365"/>
      <c r="I361" s="365"/>
      <c r="J361" s="365"/>
      <c r="K361" s="365"/>
      <c r="L361" s="365"/>
      <c r="M361" s="365"/>
      <c r="N361" s="365"/>
      <c r="O361" s="365"/>
      <c r="P361" s="365"/>
      <c r="Q361" s="365"/>
      <c r="R361" s="365"/>
      <c r="S361" s="365"/>
      <c r="T361" s="365"/>
      <c r="U361" s="365"/>
      <c r="V361" s="365"/>
      <c r="W361" s="365"/>
      <c r="X361" s="365"/>
      <c r="Y361" s="365"/>
      <c r="Z361" s="365"/>
      <c r="AA361" s="365"/>
      <c r="AB361" s="365"/>
      <c r="AC361" s="365"/>
      <c r="AD361" s="365"/>
    </row>
    <row r="362" spans="1:30" s="352" customFormat="1">
      <c r="A362" s="364"/>
      <c r="B362" s="364"/>
      <c r="C362" s="365"/>
      <c r="D362" s="365"/>
      <c r="E362" s="365"/>
      <c r="F362" s="365"/>
      <c r="G362" s="365"/>
      <c r="H362" s="365"/>
      <c r="I362" s="365"/>
      <c r="J362" s="365"/>
      <c r="K362" s="365"/>
      <c r="L362" s="365"/>
      <c r="M362" s="365"/>
      <c r="N362" s="365"/>
      <c r="O362" s="365"/>
      <c r="P362" s="365"/>
      <c r="Q362" s="365"/>
      <c r="R362" s="365"/>
      <c r="S362" s="365"/>
      <c r="T362" s="365"/>
      <c r="U362" s="365"/>
      <c r="V362" s="365"/>
      <c r="W362" s="365"/>
      <c r="X362" s="365"/>
      <c r="Y362" s="365"/>
      <c r="Z362" s="365"/>
      <c r="AA362" s="365"/>
      <c r="AB362" s="365"/>
      <c r="AC362" s="365"/>
      <c r="AD362" s="365"/>
    </row>
    <row r="363" spans="1:30" s="352" customFormat="1">
      <c r="A363" s="364"/>
      <c r="B363" s="364"/>
      <c r="C363" s="365"/>
      <c r="D363" s="365"/>
      <c r="E363" s="365"/>
      <c r="F363" s="365"/>
      <c r="G363" s="365"/>
      <c r="H363" s="365"/>
      <c r="I363" s="365"/>
      <c r="J363" s="365"/>
      <c r="K363" s="365"/>
      <c r="L363" s="365"/>
      <c r="M363" s="365"/>
      <c r="N363" s="365"/>
      <c r="O363" s="365"/>
      <c r="P363" s="365"/>
      <c r="Q363" s="365"/>
      <c r="R363" s="365"/>
      <c r="S363" s="365"/>
      <c r="T363" s="365"/>
      <c r="U363" s="365"/>
      <c r="V363" s="365"/>
      <c r="W363" s="365"/>
      <c r="X363" s="365"/>
      <c r="Y363" s="365"/>
      <c r="Z363" s="365"/>
      <c r="AA363" s="365"/>
      <c r="AB363" s="365"/>
      <c r="AC363" s="365"/>
      <c r="AD363" s="365"/>
    </row>
    <row r="364" spans="1:30" s="352" customFormat="1">
      <c r="A364" s="364"/>
      <c r="B364" s="364"/>
      <c r="C364" s="365"/>
      <c r="D364" s="365"/>
      <c r="E364" s="365"/>
      <c r="F364" s="365"/>
      <c r="G364" s="365"/>
      <c r="H364" s="365"/>
      <c r="I364" s="365"/>
      <c r="J364" s="365"/>
      <c r="K364" s="365"/>
      <c r="L364" s="365"/>
      <c r="M364" s="365"/>
      <c r="N364" s="365"/>
      <c r="O364" s="365"/>
      <c r="P364" s="365"/>
      <c r="Q364" s="365"/>
      <c r="R364" s="365"/>
      <c r="S364" s="365"/>
      <c r="T364" s="365"/>
      <c r="U364" s="365"/>
      <c r="V364" s="365"/>
      <c r="W364" s="365"/>
      <c r="X364" s="365"/>
      <c r="Y364" s="365"/>
      <c r="Z364" s="365"/>
      <c r="AA364" s="365"/>
      <c r="AB364" s="365"/>
      <c r="AC364" s="365"/>
      <c r="AD364" s="365"/>
    </row>
    <row r="365" spans="1:30" s="352" customFormat="1">
      <c r="A365" s="364"/>
      <c r="B365" s="364"/>
      <c r="C365" s="365"/>
      <c r="D365" s="365"/>
      <c r="E365" s="365"/>
      <c r="F365" s="365"/>
      <c r="G365" s="365"/>
      <c r="H365" s="365"/>
      <c r="I365" s="365"/>
      <c r="J365" s="365"/>
      <c r="K365" s="365"/>
      <c r="L365" s="365"/>
      <c r="M365" s="365"/>
      <c r="N365" s="365"/>
      <c r="O365" s="365"/>
      <c r="P365" s="365"/>
      <c r="Q365" s="365"/>
      <c r="R365" s="365"/>
      <c r="S365" s="365"/>
      <c r="T365" s="365"/>
      <c r="U365" s="365"/>
      <c r="V365" s="365"/>
      <c r="W365" s="365"/>
      <c r="X365" s="365"/>
      <c r="Y365" s="365"/>
      <c r="Z365" s="365"/>
      <c r="AA365" s="365"/>
      <c r="AB365" s="365"/>
      <c r="AC365" s="365"/>
      <c r="AD365" s="365"/>
    </row>
    <row r="366" spans="1:30" s="352" customFormat="1">
      <c r="A366" s="364"/>
      <c r="B366" s="364"/>
      <c r="C366" s="365"/>
      <c r="D366" s="365"/>
      <c r="E366" s="365"/>
      <c r="F366" s="365"/>
      <c r="G366" s="365"/>
      <c r="H366" s="365"/>
      <c r="I366" s="365"/>
      <c r="J366" s="365"/>
      <c r="K366" s="365"/>
      <c r="L366" s="365"/>
      <c r="M366" s="365"/>
      <c r="N366" s="365"/>
      <c r="O366" s="365"/>
      <c r="P366" s="365"/>
      <c r="Q366" s="365"/>
      <c r="R366" s="365"/>
      <c r="S366" s="365"/>
      <c r="T366" s="365"/>
      <c r="U366" s="365"/>
      <c r="V366" s="365"/>
      <c r="W366" s="365"/>
      <c r="X366" s="365"/>
      <c r="Y366" s="365"/>
      <c r="Z366" s="365"/>
      <c r="AA366" s="365"/>
      <c r="AB366" s="365"/>
      <c r="AC366" s="365"/>
      <c r="AD366" s="365"/>
    </row>
    <row r="367" spans="1:30" s="352" customFormat="1">
      <c r="A367" s="364"/>
      <c r="B367" s="364"/>
      <c r="C367" s="365"/>
      <c r="D367" s="365"/>
      <c r="E367" s="365"/>
      <c r="F367" s="365"/>
      <c r="G367" s="365"/>
      <c r="H367" s="365"/>
      <c r="I367" s="365"/>
      <c r="J367" s="365"/>
      <c r="K367" s="365"/>
      <c r="L367" s="365"/>
      <c r="M367" s="365"/>
      <c r="N367" s="365"/>
      <c r="O367" s="365"/>
      <c r="P367" s="365"/>
      <c r="Q367" s="365"/>
      <c r="R367" s="365"/>
      <c r="S367" s="365"/>
      <c r="T367" s="365"/>
      <c r="U367" s="365"/>
      <c r="V367" s="365"/>
      <c r="W367" s="365"/>
      <c r="X367" s="365"/>
      <c r="Y367" s="365"/>
      <c r="Z367" s="365"/>
      <c r="AA367" s="365"/>
      <c r="AB367" s="365"/>
      <c r="AC367" s="365"/>
      <c r="AD367" s="365"/>
    </row>
    <row r="368" spans="1:30" s="352" customFormat="1">
      <c r="A368" s="364"/>
      <c r="B368" s="364"/>
      <c r="C368" s="365"/>
      <c r="D368" s="365"/>
      <c r="E368" s="365"/>
      <c r="F368" s="365"/>
      <c r="G368" s="365"/>
      <c r="H368" s="365"/>
      <c r="I368" s="365"/>
      <c r="J368" s="365"/>
      <c r="K368" s="365"/>
      <c r="L368" s="365"/>
      <c r="M368" s="365"/>
      <c r="N368" s="365"/>
      <c r="O368" s="365"/>
      <c r="P368" s="365"/>
      <c r="Q368" s="365"/>
      <c r="R368" s="365"/>
      <c r="S368" s="365"/>
      <c r="T368" s="365"/>
      <c r="U368" s="365"/>
      <c r="V368" s="365"/>
      <c r="W368" s="365"/>
      <c r="X368" s="365"/>
      <c r="Y368" s="365"/>
      <c r="Z368" s="365"/>
      <c r="AA368" s="365"/>
      <c r="AB368" s="365"/>
      <c r="AC368" s="365"/>
      <c r="AD368" s="365"/>
    </row>
    <row r="369" spans="1:30" s="352" customFormat="1">
      <c r="A369" s="364"/>
      <c r="B369" s="364"/>
      <c r="C369" s="365"/>
      <c r="D369" s="365"/>
      <c r="E369" s="365"/>
      <c r="F369" s="365"/>
      <c r="G369" s="365"/>
      <c r="H369" s="365"/>
      <c r="I369" s="365"/>
      <c r="J369" s="365"/>
      <c r="K369" s="365"/>
      <c r="L369" s="365"/>
      <c r="M369" s="365"/>
      <c r="N369" s="365"/>
      <c r="O369" s="365"/>
      <c r="P369" s="365"/>
      <c r="Q369" s="365"/>
      <c r="R369" s="365"/>
      <c r="S369" s="365"/>
      <c r="T369" s="365"/>
      <c r="U369" s="365"/>
      <c r="V369" s="365"/>
      <c r="W369" s="365"/>
      <c r="X369" s="365"/>
      <c r="Y369" s="365"/>
      <c r="Z369" s="365"/>
      <c r="AA369" s="365"/>
      <c r="AB369" s="365"/>
      <c r="AC369" s="365"/>
      <c r="AD369" s="365"/>
    </row>
    <row r="370" spans="1:30" s="352" customFormat="1">
      <c r="A370" s="364"/>
      <c r="B370" s="364"/>
      <c r="C370" s="365"/>
      <c r="D370" s="365"/>
      <c r="E370" s="365"/>
      <c r="F370" s="365"/>
      <c r="G370" s="365"/>
      <c r="H370" s="365"/>
      <c r="I370" s="365"/>
      <c r="J370" s="365"/>
      <c r="K370" s="365"/>
      <c r="L370" s="365"/>
      <c r="M370" s="365"/>
      <c r="N370" s="365"/>
      <c r="O370" s="365"/>
      <c r="P370" s="365"/>
      <c r="Q370" s="365"/>
      <c r="R370" s="365"/>
      <c r="S370" s="365"/>
      <c r="T370" s="365"/>
      <c r="U370" s="365"/>
      <c r="V370" s="365"/>
      <c r="W370" s="365"/>
      <c r="X370" s="365"/>
      <c r="Y370" s="365"/>
      <c r="Z370" s="365"/>
      <c r="AA370" s="365"/>
      <c r="AB370" s="365"/>
      <c r="AC370" s="365"/>
      <c r="AD370" s="365"/>
    </row>
    <row r="371" spans="1:30" s="352" customFormat="1">
      <c r="A371" s="364"/>
      <c r="B371" s="364"/>
      <c r="C371" s="365"/>
      <c r="D371" s="365"/>
      <c r="E371" s="365"/>
      <c r="F371" s="365"/>
      <c r="G371" s="365"/>
      <c r="H371" s="365"/>
      <c r="I371" s="365"/>
      <c r="J371" s="365"/>
      <c r="K371" s="365"/>
      <c r="L371" s="365"/>
      <c r="M371" s="365"/>
      <c r="N371" s="365"/>
      <c r="O371" s="365"/>
      <c r="P371" s="365"/>
      <c r="Q371" s="365"/>
      <c r="R371" s="365"/>
      <c r="S371" s="365"/>
      <c r="T371" s="365"/>
      <c r="U371" s="365"/>
      <c r="V371" s="365"/>
      <c r="W371" s="365"/>
      <c r="X371" s="365"/>
      <c r="Y371" s="365"/>
      <c r="Z371" s="365"/>
      <c r="AA371" s="365"/>
      <c r="AB371" s="365"/>
      <c r="AC371" s="365"/>
      <c r="AD371" s="365"/>
    </row>
    <row r="372" spans="1:30" s="352" customFormat="1">
      <c r="A372" s="364"/>
      <c r="B372" s="364"/>
      <c r="C372" s="365"/>
      <c r="D372" s="365"/>
      <c r="E372" s="365"/>
      <c r="F372" s="365"/>
      <c r="G372" s="365"/>
      <c r="H372" s="365"/>
      <c r="I372" s="365"/>
      <c r="J372" s="365"/>
      <c r="K372" s="365"/>
      <c r="L372" s="365"/>
      <c r="M372" s="365"/>
      <c r="N372" s="365"/>
      <c r="O372" s="365"/>
      <c r="P372" s="365"/>
      <c r="Q372" s="365"/>
      <c r="R372" s="365"/>
      <c r="S372" s="365"/>
      <c r="T372" s="365"/>
      <c r="U372" s="365"/>
      <c r="V372" s="365"/>
      <c r="W372" s="365"/>
      <c r="X372" s="365"/>
      <c r="Y372" s="365"/>
      <c r="Z372" s="365"/>
      <c r="AA372" s="365"/>
      <c r="AB372" s="365"/>
      <c r="AC372" s="365"/>
      <c r="AD372" s="365"/>
    </row>
    <row r="373" spans="1:30" s="352" customFormat="1">
      <c r="A373" s="364"/>
      <c r="B373" s="364"/>
      <c r="C373" s="365"/>
      <c r="D373" s="365"/>
      <c r="E373" s="365"/>
      <c r="F373" s="365"/>
      <c r="G373" s="365"/>
      <c r="H373" s="365"/>
      <c r="I373" s="365"/>
      <c r="J373" s="365"/>
      <c r="K373" s="365"/>
      <c r="L373" s="365"/>
      <c r="M373" s="365"/>
      <c r="N373" s="365"/>
      <c r="O373" s="365"/>
      <c r="P373" s="365"/>
      <c r="Q373" s="365"/>
      <c r="R373" s="365"/>
      <c r="S373" s="365"/>
      <c r="T373" s="365"/>
      <c r="U373" s="365"/>
      <c r="V373" s="365"/>
      <c r="W373" s="365"/>
      <c r="X373" s="365"/>
      <c r="Y373" s="365"/>
      <c r="Z373" s="365"/>
      <c r="AA373" s="365"/>
      <c r="AB373" s="365"/>
      <c r="AC373" s="365"/>
      <c r="AD373" s="365"/>
    </row>
    <row r="374" spans="1:30" s="352" customFormat="1">
      <c r="A374" s="364"/>
      <c r="B374" s="364"/>
      <c r="C374" s="365"/>
      <c r="D374" s="365"/>
      <c r="E374" s="365"/>
      <c r="F374" s="365"/>
      <c r="G374" s="365"/>
      <c r="H374" s="365"/>
      <c r="I374" s="365"/>
      <c r="J374" s="365"/>
      <c r="K374" s="365"/>
      <c r="L374" s="365"/>
      <c r="M374" s="365"/>
      <c r="N374" s="365"/>
      <c r="O374" s="365"/>
      <c r="P374" s="365"/>
      <c r="Q374" s="365"/>
      <c r="R374" s="365"/>
      <c r="S374" s="365"/>
      <c r="T374" s="365"/>
      <c r="U374" s="365"/>
      <c r="V374" s="365"/>
      <c r="W374" s="365"/>
      <c r="X374" s="365"/>
      <c r="Y374" s="365"/>
      <c r="Z374" s="365"/>
      <c r="AA374" s="365"/>
      <c r="AB374" s="365"/>
      <c r="AC374" s="365"/>
      <c r="AD374" s="365"/>
    </row>
    <row r="375" spans="1:30" s="352" customFormat="1">
      <c r="A375" s="364"/>
      <c r="B375" s="364"/>
      <c r="C375" s="365"/>
      <c r="D375" s="365"/>
      <c r="E375" s="365"/>
      <c r="F375" s="365"/>
      <c r="G375" s="365"/>
      <c r="H375" s="365"/>
      <c r="I375" s="365"/>
      <c r="J375" s="365"/>
      <c r="K375" s="365"/>
      <c r="L375" s="365"/>
      <c r="M375" s="365"/>
      <c r="N375" s="365"/>
      <c r="O375" s="365"/>
      <c r="P375" s="365"/>
      <c r="Q375" s="365"/>
      <c r="R375" s="365"/>
      <c r="S375" s="365"/>
      <c r="T375" s="365"/>
      <c r="U375" s="365"/>
      <c r="V375" s="365"/>
      <c r="W375" s="365"/>
      <c r="X375" s="365"/>
      <c r="Y375" s="365"/>
      <c r="Z375" s="365"/>
      <c r="AA375" s="365"/>
      <c r="AB375" s="365"/>
      <c r="AC375" s="365"/>
      <c r="AD375" s="365"/>
    </row>
    <row r="376" spans="1:30" s="352" customFormat="1">
      <c r="A376" s="364"/>
      <c r="B376" s="364"/>
      <c r="C376" s="365"/>
      <c r="D376" s="365"/>
      <c r="E376" s="365"/>
      <c r="F376" s="365"/>
      <c r="G376" s="365"/>
      <c r="H376" s="365"/>
      <c r="I376" s="365"/>
      <c r="J376" s="365"/>
      <c r="K376" s="365"/>
      <c r="L376" s="365"/>
      <c r="M376" s="365"/>
      <c r="N376" s="365"/>
      <c r="O376" s="365"/>
      <c r="P376" s="365"/>
      <c r="Q376" s="365"/>
      <c r="R376" s="365"/>
      <c r="S376" s="365"/>
      <c r="T376" s="365"/>
      <c r="U376" s="365"/>
      <c r="V376" s="365"/>
      <c r="W376" s="365"/>
      <c r="X376" s="365"/>
      <c r="Y376" s="365"/>
      <c r="Z376" s="365"/>
      <c r="AA376" s="365"/>
      <c r="AB376" s="365"/>
      <c r="AC376" s="365"/>
      <c r="AD376" s="365"/>
    </row>
    <row r="377" spans="1:30" s="352" customFormat="1">
      <c r="A377" s="364"/>
      <c r="B377" s="364"/>
      <c r="C377" s="365"/>
      <c r="D377" s="365"/>
      <c r="E377" s="365"/>
      <c r="F377" s="365"/>
      <c r="G377" s="365"/>
      <c r="H377" s="365"/>
      <c r="I377" s="365"/>
      <c r="J377" s="365"/>
      <c r="K377" s="365"/>
      <c r="L377" s="365"/>
      <c r="M377" s="365"/>
      <c r="N377" s="365"/>
      <c r="O377" s="365"/>
      <c r="P377" s="365"/>
      <c r="Q377" s="365"/>
      <c r="R377" s="365"/>
      <c r="S377" s="365"/>
      <c r="T377" s="365"/>
      <c r="U377" s="365"/>
      <c r="V377" s="365"/>
      <c r="W377" s="365"/>
      <c r="X377" s="365"/>
      <c r="Y377" s="365"/>
      <c r="Z377" s="365"/>
      <c r="AA377" s="365"/>
      <c r="AB377" s="365"/>
      <c r="AC377" s="365"/>
      <c r="AD377" s="365"/>
    </row>
    <row r="378" spans="1:30" s="352" customFormat="1">
      <c r="A378" s="364"/>
      <c r="B378" s="364"/>
      <c r="C378" s="365"/>
      <c r="D378" s="365"/>
      <c r="E378" s="365"/>
      <c r="F378" s="365"/>
      <c r="G378" s="365"/>
      <c r="H378" s="365"/>
      <c r="I378" s="365"/>
      <c r="J378" s="365"/>
      <c r="K378" s="365"/>
      <c r="L378" s="365"/>
      <c r="M378" s="365"/>
      <c r="N378" s="365"/>
      <c r="O378" s="365"/>
      <c r="P378" s="365"/>
      <c r="Q378" s="365"/>
      <c r="R378" s="365"/>
      <c r="S378" s="365"/>
      <c r="T378" s="365"/>
      <c r="U378" s="365"/>
      <c r="V378" s="365"/>
      <c r="W378" s="365"/>
      <c r="X378" s="365"/>
      <c r="Y378" s="365"/>
      <c r="Z378" s="365"/>
      <c r="AA378" s="365"/>
      <c r="AB378" s="365"/>
      <c r="AC378" s="365"/>
      <c r="AD378" s="365"/>
    </row>
    <row r="379" spans="1:30" s="352" customFormat="1">
      <c r="A379" s="364"/>
      <c r="B379" s="364"/>
      <c r="C379" s="365"/>
      <c r="D379" s="365"/>
      <c r="E379" s="365"/>
      <c r="F379" s="365"/>
      <c r="G379" s="365"/>
      <c r="H379" s="365"/>
      <c r="I379" s="365"/>
      <c r="J379" s="365"/>
      <c r="K379" s="365"/>
      <c r="L379" s="365"/>
      <c r="M379" s="365"/>
      <c r="N379" s="365"/>
      <c r="O379" s="365"/>
      <c r="P379" s="365"/>
      <c r="Q379" s="365"/>
      <c r="R379" s="365"/>
      <c r="S379" s="365"/>
      <c r="T379" s="365"/>
      <c r="U379" s="365"/>
      <c r="V379" s="365"/>
      <c r="W379" s="365"/>
      <c r="X379" s="365"/>
      <c r="Y379" s="365"/>
      <c r="Z379" s="365"/>
      <c r="AA379" s="365"/>
      <c r="AB379" s="365"/>
      <c r="AC379" s="365"/>
      <c r="AD379" s="365"/>
    </row>
    <row r="380" spans="1:30" s="352" customFormat="1">
      <c r="A380" s="364"/>
      <c r="B380" s="364"/>
      <c r="C380" s="365"/>
      <c r="D380" s="365"/>
      <c r="E380" s="365"/>
      <c r="F380" s="365"/>
      <c r="G380" s="365"/>
      <c r="H380" s="365"/>
      <c r="I380" s="365"/>
      <c r="J380" s="365"/>
      <c r="K380" s="365"/>
      <c r="L380" s="365"/>
      <c r="M380" s="365"/>
      <c r="N380" s="365"/>
      <c r="O380" s="365"/>
      <c r="P380" s="365"/>
      <c r="Q380" s="365"/>
      <c r="R380" s="365"/>
      <c r="S380" s="365"/>
      <c r="T380" s="365"/>
      <c r="U380" s="365"/>
      <c r="V380" s="365"/>
      <c r="W380" s="365"/>
      <c r="X380" s="365"/>
      <c r="Y380" s="365"/>
      <c r="Z380" s="365"/>
      <c r="AA380" s="365"/>
      <c r="AB380" s="365"/>
      <c r="AC380" s="365"/>
      <c r="AD380" s="365"/>
    </row>
    <row r="381" spans="1:30" s="352" customFormat="1">
      <c r="A381" s="364"/>
      <c r="B381" s="364"/>
      <c r="C381" s="365"/>
      <c r="D381" s="365"/>
      <c r="E381" s="365"/>
      <c r="F381" s="365"/>
      <c r="G381" s="365"/>
      <c r="H381" s="365"/>
      <c r="I381" s="365"/>
      <c r="J381" s="365"/>
      <c r="K381" s="365"/>
      <c r="L381" s="365"/>
      <c r="M381" s="365"/>
      <c r="N381" s="365"/>
      <c r="O381" s="365"/>
      <c r="P381" s="365"/>
      <c r="Q381" s="365"/>
      <c r="R381" s="365"/>
      <c r="S381" s="365"/>
      <c r="T381" s="365"/>
      <c r="U381" s="365"/>
      <c r="V381" s="365"/>
      <c r="W381" s="365"/>
      <c r="X381" s="365"/>
      <c r="Y381" s="365"/>
      <c r="Z381" s="365"/>
      <c r="AA381" s="365"/>
      <c r="AB381" s="365"/>
      <c r="AC381" s="365"/>
      <c r="AD381" s="365"/>
    </row>
    <row r="382" spans="1:30" s="352" customFormat="1">
      <c r="A382" s="364"/>
      <c r="B382" s="364"/>
      <c r="C382" s="365"/>
      <c r="D382" s="365"/>
      <c r="E382" s="365"/>
      <c r="F382" s="365"/>
      <c r="G382" s="365"/>
      <c r="H382" s="365"/>
      <c r="I382" s="365"/>
      <c r="J382" s="365"/>
      <c r="K382" s="365"/>
      <c r="L382" s="365"/>
      <c r="M382" s="365"/>
      <c r="N382" s="365"/>
      <c r="O382" s="365"/>
      <c r="P382" s="365"/>
      <c r="Q382" s="365"/>
      <c r="R382" s="365"/>
      <c r="S382" s="365"/>
      <c r="T382" s="365"/>
      <c r="U382" s="365"/>
      <c r="V382" s="365"/>
      <c r="W382" s="365"/>
      <c r="X382" s="365"/>
      <c r="Y382" s="365"/>
      <c r="Z382" s="365"/>
      <c r="AA382" s="365"/>
      <c r="AB382" s="365"/>
      <c r="AC382" s="365"/>
      <c r="AD382" s="365"/>
    </row>
    <row r="383" spans="1:30" s="352" customFormat="1">
      <c r="A383" s="364"/>
      <c r="B383" s="364"/>
      <c r="C383" s="365"/>
      <c r="D383" s="365"/>
      <c r="E383" s="365"/>
      <c r="F383" s="365"/>
      <c r="G383" s="365"/>
      <c r="H383" s="365"/>
      <c r="I383" s="365"/>
      <c r="J383" s="365"/>
      <c r="K383" s="365"/>
      <c r="L383" s="365"/>
      <c r="M383" s="365"/>
      <c r="N383" s="365"/>
      <c r="O383" s="365"/>
      <c r="P383" s="365"/>
      <c r="Q383" s="365"/>
      <c r="R383" s="365"/>
      <c r="S383" s="365"/>
      <c r="T383" s="365"/>
      <c r="U383" s="365"/>
      <c r="V383" s="365"/>
      <c r="W383" s="365"/>
      <c r="X383" s="365"/>
      <c r="Y383" s="365"/>
      <c r="Z383" s="365"/>
      <c r="AA383" s="365"/>
      <c r="AB383" s="365"/>
      <c r="AC383" s="365"/>
      <c r="AD383" s="365"/>
    </row>
    <row r="384" spans="1:30" s="352" customFormat="1">
      <c r="A384" s="364"/>
      <c r="B384" s="364"/>
      <c r="C384" s="365"/>
      <c r="D384" s="365"/>
      <c r="E384" s="365"/>
      <c r="F384" s="365"/>
      <c r="G384" s="365"/>
      <c r="H384" s="365"/>
      <c r="I384" s="365"/>
      <c r="J384" s="365"/>
      <c r="K384" s="365"/>
      <c r="L384" s="365"/>
      <c r="M384" s="365"/>
      <c r="N384" s="365"/>
      <c r="O384" s="365"/>
      <c r="P384" s="365"/>
      <c r="Q384" s="365"/>
      <c r="R384" s="365"/>
      <c r="S384" s="365"/>
      <c r="T384" s="365"/>
      <c r="U384" s="365"/>
      <c r="V384" s="365"/>
      <c r="W384" s="365"/>
      <c r="X384" s="365"/>
      <c r="Y384" s="365"/>
      <c r="Z384" s="365"/>
      <c r="AA384" s="365"/>
      <c r="AB384" s="365"/>
      <c r="AC384" s="365"/>
      <c r="AD384" s="365"/>
    </row>
    <row r="385" spans="1:30" s="352" customFormat="1">
      <c r="A385" s="364"/>
      <c r="B385" s="364"/>
      <c r="C385" s="365"/>
      <c r="D385" s="365"/>
      <c r="E385" s="365"/>
      <c r="F385" s="365"/>
      <c r="G385" s="365"/>
      <c r="H385" s="365"/>
      <c r="I385" s="365"/>
      <c r="J385" s="365"/>
      <c r="K385" s="365"/>
      <c r="L385" s="365"/>
      <c r="M385" s="365"/>
      <c r="N385" s="365"/>
      <c r="O385" s="365"/>
      <c r="P385" s="365"/>
      <c r="Q385" s="365"/>
      <c r="R385" s="365"/>
      <c r="S385" s="365"/>
      <c r="T385" s="365"/>
      <c r="U385" s="365"/>
      <c r="V385" s="365"/>
      <c r="W385" s="365"/>
      <c r="X385" s="365"/>
      <c r="Y385" s="365"/>
      <c r="Z385" s="365"/>
      <c r="AA385" s="365"/>
      <c r="AB385" s="365"/>
      <c r="AC385" s="365"/>
      <c r="AD385" s="365"/>
    </row>
    <row r="386" spans="1:30" s="352" customFormat="1">
      <c r="A386" s="364"/>
      <c r="B386" s="364"/>
      <c r="C386" s="365"/>
      <c r="D386" s="365"/>
      <c r="E386" s="365"/>
      <c r="F386" s="365"/>
      <c r="G386" s="365"/>
      <c r="H386" s="365"/>
      <c r="I386" s="365"/>
      <c r="J386" s="365"/>
      <c r="K386" s="365"/>
      <c r="L386" s="365"/>
      <c r="M386" s="365"/>
      <c r="N386" s="365"/>
      <c r="O386" s="365"/>
      <c r="P386" s="365"/>
      <c r="Q386" s="365"/>
      <c r="R386" s="365"/>
      <c r="S386" s="365"/>
      <c r="T386" s="365"/>
      <c r="U386" s="365"/>
      <c r="V386" s="365"/>
      <c r="W386" s="365"/>
      <c r="X386" s="365"/>
      <c r="Y386" s="365"/>
      <c r="Z386" s="365"/>
      <c r="AA386" s="365"/>
      <c r="AB386" s="365"/>
      <c r="AC386" s="365"/>
      <c r="AD386" s="365"/>
    </row>
    <row r="387" spans="1:30" s="352" customFormat="1">
      <c r="A387" s="364"/>
      <c r="B387" s="364"/>
      <c r="C387" s="365"/>
      <c r="D387" s="365"/>
      <c r="E387" s="365"/>
      <c r="F387" s="365"/>
      <c r="G387" s="365"/>
      <c r="H387" s="365"/>
      <c r="I387" s="365"/>
      <c r="J387" s="365"/>
      <c r="K387" s="365"/>
      <c r="L387" s="365"/>
      <c r="M387" s="365"/>
      <c r="N387" s="365"/>
      <c r="O387" s="365"/>
      <c r="P387" s="365"/>
      <c r="Q387" s="365"/>
      <c r="R387" s="365"/>
      <c r="S387" s="365"/>
      <c r="T387" s="365"/>
      <c r="U387" s="365"/>
      <c r="V387" s="365"/>
      <c r="W387" s="365"/>
      <c r="X387" s="365"/>
      <c r="Y387" s="365"/>
      <c r="Z387" s="365"/>
      <c r="AA387" s="365"/>
      <c r="AB387" s="365"/>
      <c r="AC387" s="365"/>
      <c r="AD387" s="365"/>
    </row>
    <row r="388" spans="1:30" s="352" customFormat="1">
      <c r="A388" s="364"/>
      <c r="B388" s="364"/>
      <c r="C388" s="365"/>
      <c r="D388" s="365"/>
      <c r="E388" s="365"/>
      <c r="F388" s="365"/>
      <c r="G388" s="365"/>
      <c r="H388" s="365"/>
      <c r="I388" s="365"/>
      <c r="J388" s="365"/>
      <c r="K388" s="365"/>
      <c r="L388" s="365"/>
      <c r="M388" s="365"/>
      <c r="N388" s="365"/>
      <c r="O388" s="365"/>
      <c r="P388" s="365"/>
      <c r="Q388" s="365"/>
      <c r="R388" s="365"/>
      <c r="S388" s="365"/>
      <c r="T388" s="365"/>
      <c r="U388" s="365"/>
      <c r="V388" s="365"/>
      <c r="W388" s="365"/>
      <c r="X388" s="365"/>
      <c r="Y388" s="365"/>
      <c r="Z388" s="365"/>
      <c r="AA388" s="365"/>
      <c r="AB388" s="365"/>
      <c r="AC388" s="365"/>
      <c r="AD388" s="365"/>
    </row>
    <row r="389" spans="1:30" s="352" customFormat="1">
      <c r="A389" s="364"/>
      <c r="B389" s="364"/>
      <c r="C389" s="365"/>
      <c r="D389" s="365"/>
      <c r="E389" s="365"/>
      <c r="F389" s="365"/>
      <c r="G389" s="365"/>
      <c r="H389" s="365"/>
      <c r="I389" s="365"/>
      <c r="J389" s="365"/>
      <c r="K389" s="365"/>
      <c r="L389" s="365"/>
      <c r="M389" s="365"/>
      <c r="N389" s="365"/>
      <c r="O389" s="365"/>
      <c r="P389" s="365"/>
      <c r="Q389" s="365"/>
      <c r="R389" s="365"/>
      <c r="S389" s="365"/>
      <c r="T389" s="365"/>
      <c r="U389" s="365"/>
      <c r="V389" s="365"/>
      <c r="W389" s="365"/>
      <c r="X389" s="365"/>
      <c r="Y389" s="365"/>
      <c r="Z389" s="365"/>
      <c r="AA389" s="365"/>
      <c r="AB389" s="365"/>
      <c r="AC389" s="365"/>
      <c r="AD389" s="365"/>
    </row>
    <row r="390" spans="1:30" s="352" customFormat="1">
      <c r="A390" s="364"/>
      <c r="B390" s="364"/>
      <c r="C390" s="365"/>
      <c r="D390" s="365"/>
      <c r="E390" s="365"/>
      <c r="F390" s="365"/>
      <c r="G390" s="365"/>
      <c r="H390" s="365"/>
      <c r="I390" s="365"/>
      <c r="J390" s="365"/>
      <c r="K390" s="365"/>
      <c r="L390" s="365"/>
      <c r="M390" s="365"/>
      <c r="N390" s="365"/>
      <c r="O390" s="365"/>
      <c r="P390" s="365"/>
      <c r="Q390" s="365"/>
      <c r="R390" s="365"/>
      <c r="S390" s="365"/>
      <c r="T390" s="365"/>
      <c r="U390" s="365"/>
      <c r="V390" s="365"/>
      <c r="W390" s="365"/>
      <c r="X390" s="365"/>
      <c r="Y390" s="365"/>
      <c r="Z390" s="365"/>
      <c r="AA390" s="365"/>
      <c r="AB390" s="365"/>
      <c r="AC390" s="365"/>
      <c r="AD390" s="365"/>
    </row>
    <row r="391" spans="1:30" s="352" customFormat="1">
      <c r="A391" s="364"/>
      <c r="B391" s="364"/>
      <c r="C391" s="365"/>
      <c r="D391" s="365"/>
      <c r="E391" s="365"/>
      <c r="F391" s="365"/>
      <c r="G391" s="365"/>
      <c r="H391" s="365"/>
      <c r="I391" s="365"/>
      <c r="J391" s="365"/>
      <c r="K391" s="365"/>
      <c r="L391" s="365"/>
      <c r="M391" s="365"/>
      <c r="N391" s="365"/>
      <c r="O391" s="365"/>
      <c r="P391" s="365"/>
      <c r="Q391" s="365"/>
      <c r="R391" s="365"/>
      <c r="S391" s="365"/>
      <c r="T391" s="365"/>
      <c r="U391" s="365"/>
      <c r="V391" s="365"/>
      <c r="W391" s="365"/>
      <c r="X391" s="365"/>
      <c r="Y391" s="365"/>
      <c r="Z391" s="365"/>
      <c r="AA391" s="365"/>
      <c r="AB391" s="365"/>
      <c r="AC391" s="365"/>
      <c r="AD391" s="365"/>
    </row>
    <row r="392" spans="1:30" s="352" customFormat="1">
      <c r="A392" s="364"/>
      <c r="B392" s="364"/>
      <c r="C392" s="365"/>
      <c r="D392" s="365"/>
      <c r="E392" s="365"/>
      <c r="F392" s="365"/>
      <c r="G392" s="365"/>
      <c r="H392" s="365"/>
      <c r="I392" s="365"/>
      <c r="J392" s="365"/>
      <c r="K392" s="365"/>
      <c r="L392" s="365"/>
      <c r="M392" s="365"/>
      <c r="N392" s="365"/>
      <c r="O392" s="365"/>
      <c r="P392" s="365"/>
      <c r="Q392" s="365"/>
      <c r="R392" s="365"/>
      <c r="S392" s="365"/>
      <c r="T392" s="365"/>
      <c r="U392" s="365"/>
      <c r="V392" s="365"/>
      <c r="W392" s="365"/>
      <c r="X392" s="365"/>
      <c r="Y392" s="365"/>
      <c r="Z392" s="365"/>
      <c r="AA392" s="365"/>
      <c r="AB392" s="365"/>
      <c r="AC392" s="365"/>
      <c r="AD392" s="365"/>
    </row>
    <row r="393" spans="1:30" s="352" customFormat="1">
      <c r="A393" s="364"/>
      <c r="B393" s="364"/>
      <c r="C393" s="365"/>
      <c r="D393" s="365"/>
      <c r="E393" s="365"/>
      <c r="F393" s="365"/>
      <c r="G393" s="365"/>
      <c r="H393" s="365"/>
      <c r="I393" s="365"/>
      <c r="J393" s="365"/>
      <c r="K393" s="365"/>
      <c r="L393" s="365"/>
      <c r="M393" s="365"/>
      <c r="N393" s="365"/>
      <c r="O393" s="365"/>
      <c r="P393" s="365"/>
      <c r="Q393" s="365"/>
      <c r="R393" s="365"/>
      <c r="S393" s="365"/>
      <c r="T393" s="365"/>
      <c r="U393" s="365"/>
      <c r="V393" s="365"/>
      <c r="W393" s="365"/>
      <c r="X393" s="365"/>
      <c r="Y393" s="365"/>
      <c r="Z393" s="365"/>
      <c r="AA393" s="365"/>
      <c r="AB393" s="365"/>
      <c r="AC393" s="365"/>
      <c r="AD393" s="365"/>
    </row>
    <row r="394" spans="1:30" s="352" customFormat="1">
      <c r="A394" s="364"/>
      <c r="B394" s="364"/>
      <c r="C394" s="365"/>
      <c r="D394" s="365"/>
      <c r="E394" s="365"/>
      <c r="F394" s="365"/>
      <c r="G394" s="365"/>
      <c r="H394" s="365"/>
      <c r="I394" s="365"/>
      <c r="J394" s="365"/>
      <c r="K394" s="365"/>
      <c r="L394" s="365"/>
      <c r="M394" s="365"/>
      <c r="N394" s="365"/>
      <c r="O394" s="365"/>
      <c r="P394" s="365"/>
      <c r="Q394" s="365"/>
      <c r="R394" s="365"/>
      <c r="S394" s="365"/>
      <c r="T394" s="365"/>
      <c r="U394" s="365"/>
      <c r="V394" s="365"/>
      <c r="W394" s="365"/>
      <c r="X394" s="365"/>
      <c r="Y394" s="365"/>
      <c r="Z394" s="365"/>
      <c r="AA394" s="365"/>
      <c r="AB394" s="365"/>
      <c r="AC394" s="365"/>
      <c r="AD394" s="365"/>
    </row>
    <row r="395" spans="1:30" s="352" customFormat="1">
      <c r="A395" s="364"/>
      <c r="B395" s="364"/>
      <c r="C395" s="365"/>
      <c r="D395" s="365"/>
      <c r="E395" s="365"/>
      <c r="F395" s="365"/>
      <c r="G395" s="365"/>
      <c r="H395" s="365"/>
      <c r="I395" s="365"/>
      <c r="J395" s="365"/>
      <c r="K395" s="365"/>
      <c r="L395" s="365"/>
      <c r="M395" s="365"/>
      <c r="N395" s="365"/>
      <c r="O395" s="365"/>
      <c r="P395" s="365"/>
      <c r="Q395" s="365"/>
      <c r="R395" s="365"/>
      <c r="S395" s="365"/>
      <c r="T395" s="365"/>
      <c r="U395" s="365"/>
      <c r="V395" s="365"/>
      <c r="W395" s="365"/>
      <c r="X395" s="365"/>
      <c r="Y395" s="365"/>
      <c r="Z395" s="365"/>
      <c r="AA395" s="365"/>
      <c r="AB395" s="365"/>
      <c r="AC395" s="365"/>
      <c r="AD395" s="365"/>
    </row>
    <row r="396" spans="1:30" s="352" customFormat="1">
      <c r="A396" s="364"/>
      <c r="B396" s="364"/>
      <c r="C396" s="365"/>
      <c r="D396" s="365"/>
      <c r="E396" s="365"/>
      <c r="F396" s="365"/>
      <c r="G396" s="365"/>
      <c r="H396" s="365"/>
      <c r="I396" s="365"/>
      <c r="J396" s="365"/>
      <c r="K396" s="365"/>
      <c r="L396" s="365"/>
      <c r="M396" s="365"/>
      <c r="N396" s="365"/>
      <c r="O396" s="365"/>
      <c r="P396" s="365"/>
      <c r="Q396" s="365"/>
      <c r="R396" s="365"/>
      <c r="S396" s="365"/>
      <c r="T396" s="365"/>
      <c r="U396" s="365"/>
      <c r="V396" s="365"/>
      <c r="W396" s="365"/>
      <c r="X396" s="365"/>
      <c r="Y396" s="365"/>
      <c r="Z396" s="365"/>
      <c r="AA396" s="365"/>
      <c r="AB396" s="365"/>
      <c r="AC396" s="365"/>
      <c r="AD396" s="365"/>
    </row>
    <row r="397" spans="1:30" s="352" customFormat="1">
      <c r="A397" s="364"/>
      <c r="B397" s="364"/>
      <c r="C397" s="365"/>
      <c r="D397" s="365"/>
      <c r="E397" s="365"/>
      <c r="F397" s="365"/>
      <c r="G397" s="365"/>
      <c r="H397" s="365"/>
      <c r="I397" s="365"/>
      <c r="J397" s="365"/>
      <c r="K397" s="365"/>
      <c r="L397" s="365"/>
      <c r="M397" s="365"/>
      <c r="N397" s="365"/>
      <c r="O397" s="365"/>
      <c r="P397" s="365"/>
      <c r="Q397" s="365"/>
      <c r="R397" s="365"/>
      <c r="S397" s="365"/>
      <c r="T397" s="365"/>
      <c r="U397" s="365"/>
      <c r="V397" s="365"/>
      <c r="W397" s="365"/>
      <c r="X397" s="365"/>
      <c r="Y397" s="365"/>
      <c r="Z397" s="365"/>
      <c r="AA397" s="365"/>
      <c r="AB397" s="365"/>
      <c r="AC397" s="365"/>
      <c r="AD397" s="365"/>
    </row>
    <row r="398" spans="1:30" s="352" customFormat="1">
      <c r="A398" s="364"/>
      <c r="B398" s="364"/>
      <c r="C398" s="365"/>
      <c r="D398" s="365"/>
      <c r="E398" s="365"/>
      <c r="F398" s="365"/>
      <c r="G398" s="365"/>
      <c r="H398" s="365"/>
      <c r="I398" s="365"/>
      <c r="J398" s="365"/>
      <c r="K398" s="365"/>
      <c r="L398" s="365"/>
      <c r="M398" s="365"/>
      <c r="N398" s="365"/>
      <c r="O398" s="365"/>
      <c r="P398" s="365"/>
      <c r="Q398" s="365"/>
      <c r="R398" s="365"/>
      <c r="S398" s="365"/>
      <c r="T398" s="365"/>
      <c r="U398" s="365"/>
      <c r="V398" s="365"/>
      <c r="W398" s="365"/>
      <c r="X398" s="365"/>
      <c r="Y398" s="365"/>
      <c r="Z398" s="365"/>
      <c r="AA398" s="365"/>
      <c r="AB398" s="365"/>
      <c r="AC398" s="365"/>
      <c r="AD398" s="365"/>
    </row>
    <row r="399" spans="1:30" s="352" customFormat="1">
      <c r="A399" s="364"/>
      <c r="B399" s="364"/>
      <c r="C399" s="365"/>
      <c r="D399" s="365"/>
      <c r="E399" s="365"/>
      <c r="F399" s="365"/>
      <c r="G399" s="365"/>
      <c r="H399" s="365"/>
      <c r="I399" s="365"/>
      <c r="J399" s="365"/>
      <c r="K399" s="365"/>
      <c r="L399" s="365"/>
      <c r="M399" s="365"/>
      <c r="N399" s="365"/>
      <c r="O399" s="365"/>
      <c r="P399" s="365"/>
      <c r="Q399" s="365"/>
      <c r="R399" s="365"/>
      <c r="S399" s="365"/>
      <c r="T399" s="365"/>
      <c r="U399" s="365"/>
      <c r="V399" s="365"/>
      <c r="W399" s="365"/>
      <c r="X399" s="365"/>
      <c r="Y399" s="365"/>
      <c r="Z399" s="365"/>
      <c r="AA399" s="365"/>
      <c r="AB399" s="365"/>
      <c r="AC399" s="365"/>
      <c r="AD399" s="365"/>
    </row>
    <row r="400" spans="1:30" s="352" customFormat="1">
      <c r="A400" s="364"/>
      <c r="B400" s="364"/>
      <c r="C400" s="365"/>
      <c r="D400" s="365"/>
      <c r="E400" s="365"/>
      <c r="F400" s="365"/>
      <c r="G400" s="365"/>
      <c r="H400" s="365"/>
      <c r="I400" s="365"/>
      <c r="J400" s="365"/>
      <c r="K400" s="365"/>
      <c r="L400" s="365"/>
      <c r="M400" s="365"/>
      <c r="N400" s="365"/>
      <c r="O400" s="365"/>
      <c r="P400" s="365"/>
      <c r="Q400" s="365"/>
      <c r="R400" s="365"/>
      <c r="S400" s="365"/>
      <c r="T400" s="365"/>
      <c r="U400" s="365"/>
      <c r="V400" s="365"/>
      <c r="W400" s="365"/>
      <c r="X400" s="365"/>
      <c r="Y400" s="365"/>
      <c r="Z400" s="365"/>
      <c r="AA400" s="365"/>
      <c r="AB400" s="365"/>
      <c r="AC400" s="365"/>
      <c r="AD400" s="365"/>
    </row>
    <row r="401" spans="1:30" s="352" customFormat="1">
      <c r="A401" s="364"/>
      <c r="B401" s="364"/>
      <c r="C401" s="365"/>
      <c r="D401" s="365"/>
      <c r="E401" s="365"/>
      <c r="F401" s="365"/>
      <c r="G401" s="365"/>
      <c r="H401" s="365"/>
      <c r="I401" s="365"/>
      <c r="J401" s="365"/>
      <c r="K401" s="365"/>
      <c r="L401" s="365"/>
      <c r="M401" s="365"/>
      <c r="N401" s="365"/>
      <c r="O401" s="365"/>
      <c r="P401" s="365"/>
      <c r="Q401" s="365"/>
      <c r="R401" s="365"/>
      <c r="S401" s="365"/>
      <c r="T401" s="365"/>
      <c r="U401" s="365"/>
      <c r="V401" s="365"/>
      <c r="W401" s="365"/>
      <c r="X401" s="365"/>
      <c r="Y401" s="365"/>
      <c r="Z401" s="365"/>
      <c r="AA401" s="365"/>
      <c r="AB401" s="365"/>
      <c r="AC401" s="365"/>
      <c r="AD401" s="365"/>
    </row>
    <row r="402" spans="1:30" s="352" customFormat="1">
      <c r="A402" s="364"/>
      <c r="B402" s="364"/>
      <c r="C402" s="365"/>
      <c r="D402" s="365"/>
      <c r="E402" s="365"/>
      <c r="F402" s="365"/>
      <c r="G402" s="365"/>
      <c r="H402" s="365"/>
      <c r="I402" s="365"/>
      <c r="J402" s="365"/>
      <c r="K402" s="365"/>
      <c r="L402" s="365"/>
      <c r="M402" s="365"/>
      <c r="N402" s="365"/>
      <c r="O402" s="365"/>
      <c r="P402" s="365"/>
      <c r="Q402" s="365"/>
      <c r="R402" s="365"/>
      <c r="S402" s="365"/>
      <c r="T402" s="365"/>
      <c r="U402" s="365"/>
      <c r="V402" s="365"/>
      <c r="W402" s="365"/>
      <c r="X402" s="365"/>
      <c r="Y402" s="365"/>
      <c r="Z402" s="365"/>
      <c r="AA402" s="365"/>
      <c r="AB402" s="365"/>
      <c r="AC402" s="365"/>
      <c r="AD402" s="365"/>
    </row>
    <row r="403" spans="1:30" s="352" customFormat="1">
      <c r="A403" s="364"/>
      <c r="B403" s="364"/>
      <c r="C403" s="365"/>
      <c r="D403" s="365"/>
      <c r="E403" s="365"/>
      <c r="F403" s="365"/>
      <c r="G403" s="365"/>
      <c r="H403" s="365"/>
      <c r="I403" s="365"/>
      <c r="J403" s="365"/>
      <c r="K403" s="365"/>
      <c r="L403" s="365"/>
      <c r="M403" s="365"/>
      <c r="N403" s="365"/>
      <c r="O403" s="365"/>
      <c r="P403" s="365"/>
      <c r="Q403" s="365"/>
      <c r="R403" s="365"/>
      <c r="S403" s="365"/>
      <c r="T403" s="365"/>
      <c r="U403" s="365"/>
      <c r="V403" s="365"/>
      <c r="W403" s="365"/>
      <c r="X403" s="365"/>
      <c r="Y403" s="365"/>
      <c r="Z403" s="365"/>
      <c r="AA403" s="365"/>
      <c r="AB403" s="365"/>
      <c r="AC403" s="365"/>
      <c r="AD403" s="365"/>
    </row>
    <row r="404" spans="1:30" s="352" customFormat="1">
      <c r="A404" s="364"/>
      <c r="B404" s="364"/>
      <c r="C404" s="365"/>
      <c r="D404" s="365"/>
      <c r="E404" s="365"/>
      <c r="F404" s="365"/>
      <c r="G404" s="365"/>
      <c r="H404" s="365"/>
      <c r="I404" s="365"/>
      <c r="J404" s="365"/>
      <c r="K404" s="365"/>
      <c r="L404" s="365"/>
      <c r="M404" s="365"/>
      <c r="N404" s="365"/>
      <c r="O404" s="365"/>
      <c r="P404" s="365"/>
      <c r="Q404" s="365"/>
      <c r="R404" s="365"/>
      <c r="S404" s="365"/>
      <c r="T404" s="365"/>
      <c r="U404" s="365"/>
      <c r="V404" s="365"/>
      <c r="W404" s="365"/>
      <c r="X404" s="365"/>
      <c r="Y404" s="365"/>
      <c r="Z404" s="365"/>
      <c r="AA404" s="365"/>
      <c r="AB404" s="365"/>
      <c r="AC404" s="365"/>
      <c r="AD404" s="365"/>
    </row>
    <row r="405" spans="1:30" s="352" customFormat="1">
      <c r="A405" s="364"/>
      <c r="B405" s="364"/>
      <c r="C405" s="365"/>
      <c r="D405" s="365"/>
      <c r="E405" s="365"/>
      <c r="F405" s="365"/>
      <c r="G405" s="365"/>
      <c r="H405" s="365"/>
      <c r="I405" s="365"/>
      <c r="J405" s="365"/>
      <c r="K405" s="365"/>
      <c r="L405" s="365"/>
      <c r="M405" s="365"/>
      <c r="N405" s="365"/>
      <c r="O405" s="365"/>
      <c r="P405" s="365"/>
      <c r="Q405" s="365"/>
      <c r="R405" s="365"/>
      <c r="S405" s="365"/>
      <c r="T405" s="365"/>
      <c r="U405" s="365"/>
      <c r="V405" s="365"/>
      <c r="W405" s="365"/>
      <c r="X405" s="365"/>
      <c r="Y405" s="365"/>
      <c r="Z405" s="365"/>
      <c r="AA405" s="365"/>
      <c r="AB405" s="365"/>
      <c r="AC405" s="365"/>
      <c r="AD405" s="365"/>
    </row>
    <row r="406" spans="1:30" s="352" customFormat="1">
      <c r="A406" s="364"/>
      <c r="B406" s="364"/>
      <c r="C406" s="365"/>
      <c r="D406" s="365"/>
      <c r="E406" s="365"/>
      <c r="F406" s="365"/>
      <c r="G406" s="365"/>
      <c r="H406" s="365"/>
      <c r="I406" s="365"/>
      <c r="J406" s="365"/>
      <c r="K406" s="365"/>
      <c r="L406" s="365"/>
      <c r="M406" s="365"/>
      <c r="N406" s="365"/>
      <c r="O406" s="365"/>
      <c r="P406" s="365"/>
      <c r="Q406" s="365"/>
      <c r="R406" s="365"/>
      <c r="S406" s="365"/>
      <c r="T406" s="365"/>
      <c r="U406" s="365"/>
      <c r="V406" s="365"/>
      <c r="W406" s="365"/>
      <c r="X406" s="365"/>
      <c r="Y406" s="365"/>
      <c r="Z406" s="365"/>
      <c r="AA406" s="365"/>
      <c r="AB406" s="365"/>
      <c r="AC406" s="365"/>
      <c r="AD406" s="365"/>
    </row>
    <row r="407" spans="1:30" s="352" customFormat="1">
      <c r="A407" s="364"/>
      <c r="B407" s="364"/>
      <c r="C407" s="365"/>
      <c r="D407" s="365"/>
      <c r="E407" s="365"/>
      <c r="F407" s="365"/>
      <c r="G407" s="365"/>
      <c r="H407" s="365"/>
      <c r="I407" s="365"/>
      <c r="J407" s="365"/>
      <c r="K407" s="365"/>
      <c r="L407" s="365"/>
      <c r="M407" s="365"/>
      <c r="N407" s="365"/>
      <c r="O407" s="365"/>
      <c r="P407" s="365"/>
      <c r="Q407" s="365"/>
      <c r="R407" s="365"/>
      <c r="S407" s="365"/>
      <c r="T407" s="365"/>
      <c r="U407" s="365"/>
      <c r="V407" s="365"/>
      <c r="W407" s="365"/>
      <c r="X407" s="365"/>
      <c r="Y407" s="365"/>
      <c r="Z407" s="365"/>
      <c r="AA407" s="365"/>
      <c r="AB407" s="365"/>
      <c r="AC407" s="365"/>
      <c r="AD407" s="365"/>
    </row>
    <row r="408" spans="1:30" s="352" customFormat="1">
      <c r="A408" s="364"/>
      <c r="B408" s="364"/>
      <c r="C408" s="365"/>
      <c r="D408" s="365"/>
      <c r="E408" s="365"/>
      <c r="F408" s="365"/>
      <c r="G408" s="365"/>
      <c r="H408" s="365"/>
      <c r="I408" s="365"/>
      <c r="J408" s="365"/>
      <c r="K408" s="365"/>
      <c r="L408" s="365"/>
      <c r="M408" s="365"/>
      <c r="N408" s="365"/>
      <c r="O408" s="365"/>
      <c r="P408" s="365"/>
      <c r="Q408" s="365"/>
      <c r="R408" s="365"/>
      <c r="S408" s="365"/>
      <c r="T408" s="365"/>
      <c r="U408" s="365"/>
      <c r="V408" s="365"/>
      <c r="W408" s="365"/>
      <c r="X408" s="365"/>
      <c r="Y408" s="365"/>
      <c r="Z408" s="365"/>
      <c r="AA408" s="365"/>
      <c r="AB408" s="365"/>
      <c r="AC408" s="365"/>
      <c r="AD408" s="365"/>
    </row>
    <row r="409" spans="1:30" s="352" customFormat="1">
      <c r="A409" s="364"/>
      <c r="B409" s="364"/>
      <c r="C409" s="365"/>
      <c r="D409" s="365"/>
      <c r="E409" s="365"/>
      <c r="F409" s="365"/>
      <c r="G409" s="365"/>
      <c r="H409" s="365"/>
      <c r="I409" s="365"/>
      <c r="J409" s="365"/>
      <c r="K409" s="365"/>
      <c r="L409" s="365"/>
      <c r="M409" s="365"/>
      <c r="N409" s="365"/>
      <c r="O409" s="365"/>
      <c r="P409" s="365"/>
      <c r="Q409" s="365"/>
      <c r="R409" s="365"/>
      <c r="S409" s="365"/>
      <c r="T409" s="365"/>
      <c r="U409" s="365"/>
      <c r="V409" s="365"/>
      <c r="W409" s="365"/>
      <c r="X409" s="365"/>
      <c r="Y409" s="365"/>
      <c r="Z409" s="365"/>
      <c r="AA409" s="365"/>
      <c r="AB409" s="365"/>
      <c r="AC409" s="365"/>
      <c r="AD409" s="365"/>
    </row>
    <row r="410" spans="1:30" s="352" customFormat="1">
      <c r="A410" s="364"/>
      <c r="B410" s="364"/>
      <c r="C410" s="365"/>
      <c r="D410" s="365"/>
      <c r="E410" s="365"/>
      <c r="F410" s="365"/>
      <c r="G410" s="365"/>
      <c r="H410" s="365"/>
      <c r="I410" s="365"/>
      <c r="J410" s="365"/>
      <c r="K410" s="365"/>
      <c r="L410" s="365"/>
      <c r="M410" s="365"/>
      <c r="N410" s="365"/>
      <c r="O410" s="365"/>
      <c r="P410" s="365"/>
      <c r="Q410" s="365"/>
      <c r="R410" s="365"/>
      <c r="S410" s="365"/>
      <c r="T410" s="365"/>
      <c r="U410" s="365"/>
      <c r="V410" s="365"/>
      <c r="W410" s="365"/>
      <c r="X410" s="365"/>
      <c r="Y410" s="365"/>
      <c r="Z410" s="365"/>
      <c r="AA410" s="365"/>
      <c r="AB410" s="365"/>
      <c r="AC410" s="365"/>
      <c r="AD410" s="365"/>
    </row>
    <row r="411" spans="1:30" s="352" customFormat="1">
      <c r="A411" s="364"/>
      <c r="B411" s="364"/>
      <c r="C411" s="365"/>
      <c r="D411" s="365"/>
      <c r="E411" s="365"/>
      <c r="F411" s="365"/>
      <c r="G411" s="365"/>
      <c r="H411" s="365"/>
      <c r="I411" s="365"/>
      <c r="J411" s="365"/>
      <c r="K411" s="365"/>
      <c r="L411" s="365"/>
      <c r="M411" s="365"/>
      <c r="N411" s="365"/>
      <c r="O411" s="365"/>
      <c r="P411" s="365"/>
      <c r="Q411" s="365"/>
      <c r="R411" s="365"/>
      <c r="S411" s="365"/>
      <c r="T411" s="365"/>
      <c r="U411" s="365"/>
      <c r="V411" s="365"/>
      <c r="W411" s="365"/>
      <c r="X411" s="365"/>
      <c r="Y411" s="365"/>
      <c r="Z411" s="365"/>
      <c r="AA411" s="365"/>
      <c r="AB411" s="365"/>
      <c r="AC411" s="365"/>
      <c r="AD411" s="365"/>
    </row>
    <row r="412" spans="1:30" s="352" customFormat="1">
      <c r="A412" s="364"/>
      <c r="B412" s="364"/>
      <c r="C412" s="365"/>
      <c r="D412" s="365"/>
      <c r="E412" s="365"/>
      <c r="F412" s="365"/>
      <c r="G412" s="365"/>
      <c r="H412" s="365"/>
      <c r="I412" s="365"/>
      <c r="J412" s="365"/>
      <c r="K412" s="365"/>
      <c r="L412" s="365"/>
      <c r="M412" s="365"/>
      <c r="N412" s="365"/>
      <c r="O412" s="365"/>
      <c r="P412" s="365"/>
      <c r="Q412" s="365"/>
      <c r="R412" s="365"/>
      <c r="S412" s="365"/>
      <c r="T412" s="365"/>
      <c r="U412" s="365"/>
      <c r="V412" s="365"/>
      <c r="W412" s="365"/>
      <c r="X412" s="365"/>
      <c r="Y412" s="365"/>
      <c r="Z412" s="365"/>
      <c r="AA412" s="365"/>
      <c r="AB412" s="365"/>
      <c r="AC412" s="365"/>
      <c r="AD412" s="365"/>
    </row>
    <row r="413" spans="1:30" s="352" customFormat="1">
      <c r="A413" s="364"/>
      <c r="B413" s="364"/>
      <c r="C413" s="365"/>
      <c r="D413" s="365"/>
      <c r="E413" s="365"/>
      <c r="F413" s="365"/>
      <c r="G413" s="365"/>
      <c r="H413" s="365"/>
      <c r="I413" s="365"/>
      <c r="J413" s="365"/>
      <c r="K413" s="365"/>
      <c r="L413" s="365"/>
      <c r="M413" s="365"/>
      <c r="N413" s="365"/>
      <c r="O413" s="365"/>
      <c r="P413" s="365"/>
      <c r="Q413" s="365"/>
      <c r="R413" s="365"/>
      <c r="S413" s="365"/>
      <c r="T413" s="365"/>
      <c r="U413" s="365"/>
      <c r="V413" s="365"/>
      <c r="W413" s="365"/>
      <c r="X413" s="365"/>
      <c r="Y413" s="365"/>
      <c r="Z413" s="365"/>
      <c r="AA413" s="365"/>
      <c r="AB413" s="365"/>
      <c r="AC413" s="365"/>
      <c r="AD413" s="365"/>
    </row>
    <row r="414" spans="1:30" s="352" customFormat="1">
      <c r="A414" s="364"/>
      <c r="B414" s="364"/>
      <c r="C414" s="365"/>
      <c r="D414" s="365"/>
      <c r="E414" s="365"/>
      <c r="F414" s="365"/>
      <c r="G414" s="365"/>
      <c r="H414" s="365"/>
      <c r="I414" s="365"/>
      <c r="J414" s="365"/>
      <c r="K414" s="365"/>
      <c r="L414" s="365"/>
      <c r="M414" s="365"/>
      <c r="N414" s="365"/>
      <c r="O414" s="365"/>
      <c r="P414" s="365"/>
      <c r="Q414" s="365"/>
      <c r="R414" s="365"/>
      <c r="S414" s="365"/>
      <c r="T414" s="365"/>
      <c r="U414" s="365"/>
      <c r="V414" s="365"/>
      <c r="W414" s="365"/>
      <c r="X414" s="365"/>
      <c r="Y414" s="365"/>
      <c r="Z414" s="365"/>
      <c r="AA414" s="365"/>
      <c r="AB414" s="365"/>
      <c r="AC414" s="365"/>
      <c r="AD414" s="365"/>
    </row>
    <row r="415" spans="1:30" s="352" customFormat="1">
      <c r="A415" s="364"/>
      <c r="B415" s="364"/>
      <c r="C415" s="365"/>
      <c r="D415" s="365"/>
      <c r="E415" s="365"/>
      <c r="F415" s="365"/>
      <c r="G415" s="365"/>
      <c r="H415" s="365"/>
      <c r="I415" s="365"/>
      <c r="J415" s="365"/>
      <c r="K415" s="365"/>
      <c r="L415" s="365"/>
      <c r="M415" s="365"/>
      <c r="N415" s="365"/>
      <c r="O415" s="365"/>
      <c r="P415" s="365"/>
      <c r="Q415" s="365"/>
      <c r="R415" s="365"/>
      <c r="S415" s="365"/>
      <c r="T415" s="365"/>
      <c r="U415" s="365"/>
      <c r="V415" s="365"/>
      <c r="W415" s="365"/>
      <c r="X415" s="365"/>
      <c r="Y415" s="365"/>
      <c r="Z415" s="365"/>
      <c r="AA415" s="365"/>
      <c r="AB415" s="365"/>
      <c r="AC415" s="365"/>
      <c r="AD415" s="365"/>
    </row>
    <row r="416" spans="1:30" s="352" customFormat="1">
      <c r="A416" s="364"/>
      <c r="B416" s="364"/>
      <c r="C416" s="365"/>
      <c r="D416" s="365"/>
      <c r="E416" s="365"/>
      <c r="F416" s="365"/>
      <c r="G416" s="365"/>
      <c r="H416" s="365"/>
      <c r="I416" s="365"/>
      <c r="J416" s="365"/>
      <c r="K416" s="365"/>
      <c r="L416" s="365"/>
      <c r="M416" s="365"/>
      <c r="N416" s="365"/>
      <c r="O416" s="365"/>
      <c r="P416" s="365"/>
      <c r="Q416" s="365"/>
      <c r="R416" s="365"/>
      <c r="S416" s="365"/>
      <c r="T416" s="365"/>
      <c r="U416" s="365"/>
      <c r="V416" s="365"/>
      <c r="W416" s="365"/>
      <c r="X416" s="365"/>
      <c r="Y416" s="365"/>
      <c r="Z416" s="365"/>
      <c r="AA416" s="365"/>
      <c r="AB416" s="365"/>
      <c r="AC416" s="365"/>
      <c r="AD416" s="365"/>
    </row>
    <row r="417" spans="1:30" s="352" customFormat="1">
      <c r="A417" s="364"/>
      <c r="B417" s="364"/>
      <c r="C417" s="365"/>
      <c r="D417" s="365"/>
      <c r="E417" s="365"/>
      <c r="F417" s="365"/>
      <c r="G417" s="365"/>
      <c r="H417" s="365"/>
      <c r="I417" s="365"/>
      <c r="J417" s="365"/>
      <c r="K417" s="365"/>
      <c r="L417" s="365"/>
      <c r="M417" s="365"/>
      <c r="N417" s="365"/>
      <c r="O417" s="365"/>
      <c r="P417" s="365"/>
      <c r="Q417" s="365"/>
      <c r="R417" s="365"/>
      <c r="S417" s="365"/>
      <c r="T417" s="365"/>
      <c r="U417" s="365"/>
      <c r="V417" s="365"/>
      <c r="W417" s="365"/>
      <c r="X417" s="365"/>
      <c r="Y417" s="365"/>
      <c r="Z417" s="365"/>
      <c r="AA417" s="365"/>
      <c r="AB417" s="365"/>
      <c r="AC417" s="365"/>
      <c r="AD417" s="365"/>
    </row>
    <row r="418" spans="1:30" s="352" customFormat="1">
      <c r="A418" s="364"/>
      <c r="B418" s="364"/>
      <c r="C418" s="365"/>
      <c r="D418" s="365"/>
      <c r="E418" s="365"/>
      <c r="F418" s="365"/>
      <c r="G418" s="365"/>
      <c r="H418" s="365"/>
      <c r="I418" s="365"/>
      <c r="J418" s="365"/>
      <c r="K418" s="365"/>
      <c r="L418" s="365"/>
      <c r="M418" s="365"/>
      <c r="N418" s="365"/>
      <c r="O418" s="365"/>
      <c r="P418" s="365"/>
      <c r="Q418" s="365"/>
      <c r="R418" s="365"/>
      <c r="S418" s="365"/>
      <c r="T418" s="365"/>
      <c r="U418" s="365"/>
      <c r="V418" s="365"/>
      <c r="W418" s="365"/>
      <c r="X418" s="365"/>
      <c r="Y418" s="365"/>
      <c r="Z418" s="365"/>
      <c r="AA418" s="365"/>
      <c r="AB418" s="365"/>
      <c r="AC418" s="365"/>
      <c r="AD418" s="365"/>
    </row>
    <row r="419" spans="1:30" s="352" customFormat="1">
      <c r="A419" s="364"/>
      <c r="B419" s="364"/>
      <c r="C419" s="365"/>
      <c r="D419" s="365"/>
      <c r="E419" s="365"/>
      <c r="F419" s="365"/>
      <c r="G419" s="365"/>
      <c r="H419" s="365"/>
      <c r="I419" s="365"/>
      <c r="J419" s="365"/>
      <c r="K419" s="365"/>
      <c r="L419" s="365"/>
      <c r="M419" s="365"/>
      <c r="N419" s="365"/>
      <c r="O419" s="365"/>
      <c r="P419" s="365"/>
      <c r="Q419" s="365"/>
      <c r="R419" s="365"/>
      <c r="S419" s="365"/>
      <c r="T419" s="365"/>
      <c r="U419" s="365"/>
      <c r="V419" s="365"/>
      <c r="W419" s="365"/>
      <c r="X419" s="365"/>
      <c r="Y419" s="365"/>
      <c r="Z419" s="365"/>
      <c r="AA419" s="365"/>
      <c r="AB419" s="365"/>
      <c r="AC419" s="365"/>
      <c r="AD419" s="365"/>
    </row>
    <row r="420" spans="1:30" s="352" customFormat="1">
      <c r="A420" s="364"/>
      <c r="B420" s="364"/>
      <c r="C420" s="365"/>
      <c r="D420" s="365"/>
      <c r="E420" s="365"/>
      <c r="F420" s="365"/>
      <c r="G420" s="365"/>
      <c r="H420" s="365"/>
      <c r="I420" s="365"/>
      <c r="J420" s="365"/>
      <c r="K420" s="365"/>
      <c r="L420" s="365"/>
      <c r="M420" s="365"/>
      <c r="N420" s="365"/>
      <c r="O420" s="365"/>
      <c r="P420" s="365"/>
      <c r="Q420" s="365"/>
      <c r="R420" s="365"/>
      <c r="S420" s="365"/>
      <c r="T420" s="365"/>
      <c r="U420" s="365"/>
      <c r="V420" s="365"/>
      <c r="W420" s="365"/>
      <c r="X420" s="365"/>
      <c r="Y420" s="365"/>
      <c r="Z420" s="365"/>
      <c r="AA420" s="365"/>
      <c r="AB420" s="365"/>
      <c r="AC420" s="365"/>
      <c r="AD420" s="365"/>
    </row>
    <row r="421" spans="1:30" s="352" customFormat="1">
      <c r="A421" s="364"/>
      <c r="B421" s="364"/>
      <c r="C421" s="365"/>
      <c r="D421" s="365"/>
      <c r="E421" s="365"/>
      <c r="F421" s="365"/>
      <c r="G421" s="365"/>
      <c r="H421" s="365"/>
      <c r="I421" s="365"/>
      <c r="J421" s="365"/>
      <c r="K421" s="365"/>
      <c r="L421" s="365"/>
      <c r="M421" s="365"/>
      <c r="N421" s="365"/>
      <c r="O421" s="365"/>
      <c r="P421" s="365"/>
      <c r="Q421" s="365"/>
      <c r="R421" s="365"/>
      <c r="S421" s="365"/>
      <c r="T421" s="365"/>
      <c r="U421" s="365"/>
      <c r="V421" s="365"/>
      <c r="W421" s="365"/>
      <c r="X421" s="365"/>
      <c r="Y421" s="365"/>
      <c r="Z421" s="365"/>
      <c r="AA421" s="365"/>
      <c r="AB421" s="365"/>
      <c r="AC421" s="365"/>
      <c r="AD421" s="365"/>
    </row>
    <row r="422" spans="1:30" s="352" customFormat="1">
      <c r="A422" s="364"/>
      <c r="B422" s="364"/>
      <c r="C422" s="365"/>
      <c r="D422" s="365"/>
      <c r="E422" s="365"/>
      <c r="F422" s="365"/>
      <c r="G422" s="365"/>
      <c r="H422" s="365"/>
      <c r="I422" s="365"/>
      <c r="J422" s="365"/>
      <c r="K422" s="365"/>
      <c r="L422" s="365"/>
      <c r="M422" s="365"/>
      <c r="N422" s="365"/>
      <c r="O422" s="365"/>
      <c r="P422" s="365"/>
      <c r="Q422" s="365"/>
      <c r="R422" s="365"/>
      <c r="S422" s="365"/>
      <c r="T422" s="365"/>
      <c r="U422" s="365"/>
      <c r="V422" s="365"/>
      <c r="W422" s="365"/>
      <c r="X422" s="365"/>
      <c r="Y422" s="365"/>
      <c r="Z422" s="365"/>
      <c r="AA422" s="365"/>
      <c r="AB422" s="365"/>
      <c r="AC422" s="365"/>
      <c r="AD422" s="365"/>
    </row>
    <row r="423" spans="1:30" s="352" customFormat="1">
      <c r="A423" s="374"/>
      <c r="B423" s="374"/>
      <c r="C423" s="365"/>
      <c r="D423" s="365"/>
      <c r="E423" s="365"/>
      <c r="F423" s="365"/>
      <c r="G423" s="365"/>
      <c r="H423" s="365"/>
      <c r="I423" s="365"/>
      <c r="J423" s="365"/>
      <c r="K423" s="365"/>
      <c r="L423" s="365"/>
      <c r="M423" s="365"/>
      <c r="N423" s="365"/>
      <c r="O423" s="365"/>
      <c r="P423" s="365"/>
      <c r="Q423" s="365"/>
      <c r="R423" s="365"/>
      <c r="S423" s="365"/>
      <c r="T423" s="365"/>
      <c r="U423" s="365"/>
      <c r="V423" s="365"/>
      <c r="W423" s="365"/>
      <c r="X423" s="365"/>
      <c r="Y423" s="365"/>
      <c r="Z423" s="365"/>
      <c r="AA423" s="365"/>
      <c r="AB423" s="365"/>
      <c r="AC423" s="365"/>
      <c r="AD423" s="365"/>
    </row>
    <row r="424" spans="1:30" s="352" customFormat="1">
      <c r="A424" s="374"/>
      <c r="B424" s="374"/>
      <c r="C424" s="365"/>
      <c r="D424" s="365"/>
      <c r="E424" s="365"/>
      <c r="F424" s="365"/>
      <c r="G424" s="365"/>
      <c r="H424" s="365"/>
      <c r="I424" s="365"/>
      <c r="J424" s="365"/>
      <c r="K424" s="365"/>
      <c r="L424" s="365"/>
      <c r="M424" s="365"/>
      <c r="N424" s="365"/>
      <c r="O424" s="365"/>
      <c r="P424" s="365"/>
      <c r="Q424" s="365"/>
      <c r="R424" s="365"/>
      <c r="S424" s="365"/>
      <c r="T424" s="365"/>
      <c r="U424" s="365"/>
      <c r="V424" s="365"/>
      <c r="W424" s="365"/>
      <c r="X424" s="365"/>
      <c r="Y424" s="365"/>
      <c r="Z424" s="365"/>
      <c r="AA424" s="365"/>
      <c r="AB424" s="365"/>
      <c r="AC424" s="365"/>
      <c r="AD424" s="365"/>
    </row>
    <row r="425" spans="1:30" s="352" customFormat="1">
      <c r="A425" s="374"/>
      <c r="B425" s="374"/>
      <c r="C425" s="365"/>
      <c r="D425" s="365"/>
      <c r="E425" s="365"/>
      <c r="F425" s="365"/>
      <c r="G425" s="365"/>
      <c r="H425" s="365"/>
      <c r="I425" s="365"/>
      <c r="J425" s="365"/>
      <c r="K425" s="365"/>
      <c r="L425" s="365"/>
      <c r="M425" s="365"/>
      <c r="N425" s="365"/>
      <c r="O425" s="365"/>
      <c r="P425" s="365"/>
      <c r="Q425" s="365"/>
      <c r="R425" s="365"/>
      <c r="S425" s="365"/>
      <c r="T425" s="365"/>
      <c r="U425" s="365"/>
      <c r="V425" s="365"/>
      <c r="W425" s="365"/>
      <c r="X425" s="365"/>
      <c r="Y425" s="365"/>
      <c r="Z425" s="365"/>
      <c r="AA425" s="365"/>
      <c r="AB425" s="365"/>
      <c r="AC425" s="365"/>
      <c r="AD425" s="365"/>
    </row>
    <row r="426" spans="1:30" s="352" customFormat="1">
      <c r="A426" s="374"/>
      <c r="B426" s="374"/>
      <c r="C426" s="365"/>
      <c r="D426" s="365"/>
      <c r="E426" s="365"/>
      <c r="F426" s="365"/>
      <c r="G426" s="365"/>
      <c r="H426" s="365"/>
      <c r="I426" s="365"/>
      <c r="J426" s="365"/>
      <c r="K426" s="365"/>
      <c r="L426" s="365"/>
      <c r="M426" s="365"/>
      <c r="N426" s="365"/>
      <c r="O426" s="365"/>
      <c r="P426" s="365"/>
      <c r="Q426" s="365"/>
      <c r="R426" s="365"/>
      <c r="S426" s="365"/>
      <c r="T426" s="365"/>
      <c r="U426" s="365"/>
      <c r="V426" s="365"/>
      <c r="W426" s="365"/>
      <c r="X426" s="365"/>
      <c r="Y426" s="365"/>
      <c r="Z426" s="365"/>
      <c r="AA426" s="365"/>
      <c r="AB426" s="365"/>
      <c r="AC426" s="365"/>
      <c r="AD426" s="365"/>
    </row>
    <row r="427" spans="1:30" s="352" customFormat="1">
      <c r="A427" s="374"/>
      <c r="B427" s="374"/>
      <c r="C427" s="365"/>
      <c r="D427" s="365"/>
      <c r="E427" s="365"/>
      <c r="F427" s="365"/>
      <c r="G427" s="365"/>
      <c r="H427" s="365"/>
      <c r="I427" s="365"/>
      <c r="J427" s="365"/>
      <c r="K427" s="365"/>
      <c r="L427" s="365"/>
      <c r="M427" s="365"/>
      <c r="N427" s="365"/>
      <c r="O427" s="365"/>
      <c r="P427" s="365"/>
      <c r="Q427" s="365"/>
      <c r="R427" s="365"/>
      <c r="S427" s="365"/>
      <c r="T427" s="365"/>
      <c r="U427" s="365"/>
      <c r="V427" s="365"/>
      <c r="W427" s="365"/>
      <c r="X427" s="365"/>
      <c r="Y427" s="365"/>
      <c r="Z427" s="365"/>
      <c r="AA427" s="365"/>
      <c r="AB427" s="365"/>
      <c r="AC427" s="365"/>
      <c r="AD427" s="365"/>
    </row>
    <row r="428" spans="1:30" s="352" customFormat="1">
      <c r="A428" s="374"/>
      <c r="B428" s="374"/>
      <c r="C428" s="365"/>
      <c r="D428" s="365"/>
      <c r="E428" s="365"/>
      <c r="F428" s="365"/>
      <c r="G428" s="365"/>
      <c r="H428" s="365"/>
      <c r="I428" s="365"/>
      <c r="J428" s="365"/>
      <c r="K428" s="365"/>
      <c r="L428" s="365"/>
      <c r="M428" s="365"/>
      <c r="N428" s="365"/>
      <c r="O428" s="365"/>
      <c r="P428" s="365"/>
      <c r="Q428" s="365"/>
      <c r="R428" s="365"/>
      <c r="S428" s="365"/>
      <c r="T428" s="365"/>
      <c r="U428" s="365"/>
      <c r="V428" s="365"/>
      <c r="W428" s="365"/>
      <c r="X428" s="365"/>
      <c r="Y428" s="365"/>
      <c r="Z428" s="365"/>
      <c r="AA428" s="365"/>
      <c r="AB428" s="365"/>
      <c r="AC428" s="365"/>
      <c r="AD428" s="365"/>
    </row>
    <row r="429" spans="1:30" s="352" customFormat="1">
      <c r="A429" s="374"/>
      <c r="B429" s="374"/>
      <c r="C429" s="365"/>
      <c r="D429" s="365"/>
      <c r="E429" s="365"/>
      <c r="F429" s="365"/>
      <c r="G429" s="365"/>
      <c r="H429" s="365"/>
      <c r="I429" s="365"/>
      <c r="J429" s="365"/>
      <c r="K429" s="365"/>
      <c r="L429" s="365"/>
      <c r="M429" s="365"/>
      <c r="N429" s="365"/>
      <c r="O429" s="365"/>
      <c r="P429" s="365"/>
      <c r="Q429" s="365"/>
      <c r="R429" s="365"/>
      <c r="S429" s="365"/>
      <c r="T429" s="365"/>
      <c r="U429" s="365"/>
      <c r="V429" s="365"/>
      <c r="W429" s="365"/>
      <c r="X429" s="365"/>
      <c r="Y429" s="365"/>
      <c r="Z429" s="365"/>
      <c r="AA429" s="365"/>
      <c r="AB429" s="365"/>
      <c r="AC429" s="365"/>
      <c r="AD429" s="365"/>
    </row>
    <row r="430" spans="1:30" s="352" customFormat="1">
      <c r="A430" s="374"/>
      <c r="B430" s="374"/>
      <c r="C430" s="365"/>
      <c r="D430" s="365"/>
      <c r="E430" s="365"/>
      <c r="F430" s="365"/>
      <c r="G430" s="365"/>
      <c r="H430" s="365"/>
      <c r="I430" s="365"/>
      <c r="J430" s="365"/>
      <c r="K430" s="365"/>
      <c r="L430" s="365"/>
      <c r="M430" s="365"/>
      <c r="N430" s="365"/>
      <c r="O430" s="365"/>
      <c r="P430" s="365"/>
      <c r="Q430" s="365"/>
      <c r="R430" s="365"/>
      <c r="S430" s="365"/>
      <c r="T430" s="365"/>
      <c r="U430" s="365"/>
      <c r="V430" s="365"/>
      <c r="W430" s="365"/>
      <c r="X430" s="365"/>
      <c r="Y430" s="365"/>
      <c r="Z430" s="365"/>
      <c r="AA430" s="365"/>
      <c r="AB430" s="365"/>
      <c r="AC430" s="365"/>
      <c r="AD430" s="365"/>
    </row>
    <row r="431" spans="1:30" s="352" customFormat="1">
      <c r="A431" s="374"/>
      <c r="B431" s="374"/>
      <c r="C431" s="365"/>
      <c r="D431" s="365"/>
      <c r="E431" s="365"/>
      <c r="F431" s="365"/>
      <c r="G431" s="365"/>
      <c r="H431" s="365"/>
      <c r="I431" s="365"/>
      <c r="J431" s="365"/>
      <c r="K431" s="365"/>
      <c r="L431" s="365"/>
      <c r="M431" s="365"/>
      <c r="N431" s="365"/>
      <c r="O431" s="365"/>
      <c r="P431" s="365"/>
      <c r="Q431" s="365"/>
      <c r="R431" s="365"/>
      <c r="S431" s="365"/>
      <c r="T431" s="365"/>
      <c r="U431" s="365"/>
      <c r="V431" s="365"/>
      <c r="W431" s="365"/>
      <c r="X431" s="365"/>
      <c r="Y431" s="365"/>
      <c r="Z431" s="365"/>
      <c r="AA431" s="365"/>
      <c r="AB431" s="365"/>
      <c r="AC431" s="365"/>
      <c r="AD431" s="365"/>
    </row>
    <row r="432" spans="1:30" s="352" customFormat="1">
      <c r="A432" s="374"/>
      <c r="B432" s="374"/>
      <c r="C432" s="365"/>
      <c r="D432" s="365"/>
      <c r="E432" s="365"/>
      <c r="F432" s="365"/>
      <c r="G432" s="365"/>
      <c r="H432" s="365"/>
      <c r="I432" s="365"/>
      <c r="J432" s="365"/>
      <c r="K432" s="365"/>
      <c r="L432" s="365"/>
      <c r="M432" s="365"/>
      <c r="N432" s="365"/>
      <c r="O432" s="365"/>
      <c r="P432" s="365"/>
      <c r="Q432" s="365"/>
      <c r="R432" s="365"/>
      <c r="S432" s="365"/>
      <c r="T432" s="365"/>
      <c r="U432" s="365"/>
      <c r="V432" s="365"/>
      <c r="W432" s="365"/>
      <c r="X432" s="365"/>
      <c r="Y432" s="365"/>
      <c r="Z432" s="365"/>
      <c r="AA432" s="365"/>
      <c r="AB432" s="365"/>
      <c r="AC432" s="365"/>
      <c r="AD432" s="365"/>
    </row>
    <row r="433" spans="1:30" s="352" customFormat="1">
      <c r="A433" s="374"/>
      <c r="B433" s="374"/>
      <c r="C433" s="365"/>
      <c r="D433" s="365"/>
      <c r="E433" s="365"/>
      <c r="F433" s="365"/>
      <c r="G433" s="365"/>
      <c r="H433" s="365"/>
      <c r="I433" s="365"/>
      <c r="J433" s="365"/>
      <c r="K433" s="365"/>
      <c r="L433" s="365"/>
      <c r="M433" s="365"/>
      <c r="N433" s="365"/>
      <c r="O433" s="365"/>
      <c r="P433" s="365"/>
      <c r="Q433" s="365"/>
      <c r="R433" s="365"/>
      <c r="S433" s="365"/>
      <c r="T433" s="365"/>
      <c r="U433" s="365"/>
      <c r="V433" s="365"/>
      <c r="W433" s="365"/>
      <c r="X433" s="365"/>
      <c r="Y433" s="365"/>
      <c r="Z433" s="365"/>
      <c r="AA433" s="365"/>
      <c r="AB433" s="365"/>
      <c r="AC433" s="365"/>
      <c r="AD433" s="365"/>
    </row>
    <row r="434" spans="1:30" s="352" customFormat="1">
      <c r="A434" s="374"/>
      <c r="B434" s="374"/>
      <c r="C434" s="365"/>
      <c r="D434" s="365"/>
      <c r="E434" s="365"/>
      <c r="F434" s="365"/>
      <c r="G434" s="365"/>
      <c r="H434" s="365"/>
      <c r="I434" s="365"/>
      <c r="J434" s="365"/>
      <c r="K434" s="365"/>
      <c r="L434" s="365"/>
      <c r="M434" s="365"/>
      <c r="N434" s="365"/>
      <c r="O434" s="365"/>
      <c r="P434" s="365"/>
      <c r="Q434" s="365"/>
      <c r="R434" s="365"/>
      <c r="S434" s="365"/>
      <c r="T434" s="365"/>
      <c r="U434" s="365"/>
      <c r="V434" s="365"/>
      <c r="W434" s="365"/>
      <c r="X434" s="365"/>
      <c r="Y434" s="365"/>
      <c r="Z434" s="365"/>
      <c r="AA434" s="365"/>
      <c r="AB434" s="365"/>
      <c r="AC434" s="365"/>
      <c r="AD434" s="365"/>
    </row>
    <row r="435" spans="1:30" s="352" customFormat="1">
      <c r="A435" s="374"/>
      <c r="B435" s="374"/>
      <c r="C435" s="365"/>
      <c r="D435" s="365"/>
      <c r="E435" s="365"/>
      <c r="F435" s="365"/>
      <c r="G435" s="365"/>
      <c r="H435" s="365"/>
      <c r="I435" s="365"/>
      <c r="J435" s="365"/>
      <c r="K435" s="365"/>
      <c r="L435" s="365"/>
      <c r="M435" s="365"/>
      <c r="N435" s="365"/>
      <c r="O435" s="365"/>
      <c r="P435" s="365"/>
      <c r="Q435" s="365"/>
      <c r="R435" s="365"/>
      <c r="S435" s="365"/>
      <c r="T435" s="365"/>
      <c r="U435" s="365"/>
      <c r="V435" s="365"/>
      <c r="W435" s="365"/>
      <c r="X435" s="365"/>
      <c r="Y435" s="365"/>
      <c r="Z435" s="365"/>
      <c r="AA435" s="365"/>
      <c r="AB435" s="365"/>
      <c r="AC435" s="365"/>
      <c r="AD435" s="365"/>
    </row>
    <row r="436" spans="1:30" s="352" customFormat="1">
      <c r="C436" s="365"/>
      <c r="D436" s="365"/>
      <c r="E436" s="365"/>
      <c r="F436" s="365"/>
      <c r="G436" s="365"/>
      <c r="H436" s="365"/>
      <c r="I436" s="365"/>
      <c r="J436" s="365"/>
      <c r="K436" s="365"/>
      <c r="L436" s="365"/>
      <c r="M436" s="365"/>
      <c r="N436" s="365"/>
      <c r="O436" s="365"/>
      <c r="P436" s="365"/>
      <c r="Q436" s="365"/>
      <c r="R436" s="365"/>
      <c r="S436" s="365"/>
      <c r="T436" s="365"/>
      <c r="U436" s="365"/>
      <c r="V436" s="365"/>
      <c r="W436" s="365"/>
      <c r="X436" s="365"/>
      <c r="Y436" s="365"/>
      <c r="Z436" s="365"/>
      <c r="AA436" s="365"/>
      <c r="AB436" s="365"/>
      <c r="AC436" s="365"/>
      <c r="AD436" s="365"/>
    </row>
    <row r="437" spans="1:30" s="352" customFormat="1">
      <c r="C437" s="365"/>
      <c r="D437" s="365"/>
      <c r="E437" s="365"/>
      <c r="F437" s="365"/>
      <c r="G437" s="365"/>
      <c r="H437" s="365"/>
      <c r="I437" s="365"/>
      <c r="J437" s="365"/>
      <c r="K437" s="365"/>
      <c r="L437" s="365"/>
      <c r="M437" s="365"/>
      <c r="N437" s="365"/>
      <c r="O437" s="365"/>
      <c r="P437" s="365"/>
      <c r="Q437" s="365"/>
      <c r="R437" s="365"/>
      <c r="S437" s="365"/>
      <c r="T437" s="365"/>
      <c r="U437" s="365"/>
      <c r="V437" s="365"/>
      <c r="W437" s="365"/>
      <c r="X437" s="365"/>
      <c r="Y437" s="365"/>
      <c r="Z437" s="365"/>
      <c r="AA437" s="365"/>
      <c r="AB437" s="365"/>
      <c r="AC437" s="365"/>
      <c r="AD437" s="365"/>
    </row>
    <row r="438" spans="1:30" s="352" customFormat="1">
      <c r="C438" s="365"/>
      <c r="D438" s="365"/>
      <c r="E438" s="365"/>
      <c r="F438" s="365"/>
      <c r="G438" s="365"/>
      <c r="H438" s="365"/>
      <c r="I438" s="365"/>
      <c r="J438" s="365"/>
      <c r="K438" s="365"/>
      <c r="L438" s="365"/>
      <c r="M438" s="365"/>
      <c r="N438" s="365"/>
      <c r="O438" s="365"/>
      <c r="P438" s="365"/>
      <c r="Q438" s="365"/>
      <c r="R438" s="365"/>
      <c r="S438" s="365"/>
      <c r="T438" s="365"/>
      <c r="U438" s="365"/>
      <c r="V438" s="365"/>
      <c r="W438" s="365"/>
      <c r="X438" s="365"/>
      <c r="Y438" s="365"/>
      <c r="Z438" s="365"/>
      <c r="AA438" s="365"/>
      <c r="AB438" s="365"/>
      <c r="AC438" s="365"/>
      <c r="AD438" s="365"/>
    </row>
    <row r="439" spans="1:30" s="352" customFormat="1">
      <c r="C439" s="365"/>
      <c r="D439" s="365"/>
      <c r="E439" s="365"/>
      <c r="F439" s="365"/>
      <c r="G439" s="365"/>
      <c r="H439" s="365"/>
      <c r="I439" s="365"/>
      <c r="J439" s="365"/>
      <c r="K439" s="365"/>
      <c r="L439" s="365"/>
      <c r="M439" s="365"/>
      <c r="N439" s="365"/>
      <c r="O439" s="365"/>
      <c r="P439" s="365"/>
      <c r="Q439" s="365"/>
      <c r="R439" s="365"/>
      <c r="S439" s="365"/>
      <c r="T439" s="365"/>
      <c r="U439" s="365"/>
      <c r="V439" s="365"/>
      <c r="W439" s="365"/>
      <c r="X439" s="365"/>
      <c r="Y439" s="365"/>
      <c r="Z439" s="365"/>
      <c r="AA439" s="365"/>
      <c r="AB439" s="365"/>
      <c r="AC439" s="365"/>
      <c r="AD439" s="365"/>
    </row>
    <row r="440" spans="1:30" s="352" customFormat="1">
      <c r="C440" s="365"/>
      <c r="D440" s="365"/>
      <c r="E440" s="365"/>
      <c r="F440" s="365"/>
      <c r="G440" s="365"/>
      <c r="H440" s="365"/>
      <c r="I440" s="365"/>
      <c r="J440" s="365"/>
      <c r="K440" s="365"/>
      <c r="L440" s="365"/>
      <c r="M440" s="365"/>
      <c r="N440" s="365"/>
      <c r="O440" s="365"/>
      <c r="P440" s="365"/>
      <c r="Q440" s="365"/>
      <c r="R440" s="365"/>
      <c r="S440" s="365"/>
      <c r="T440" s="365"/>
      <c r="U440" s="365"/>
      <c r="V440" s="365"/>
      <c r="W440" s="365"/>
      <c r="X440" s="365"/>
      <c r="Y440" s="365"/>
      <c r="Z440" s="365"/>
      <c r="AA440" s="365"/>
      <c r="AB440" s="365"/>
      <c r="AC440" s="365"/>
      <c r="AD440" s="365"/>
    </row>
    <row r="441" spans="1:30" s="352" customFormat="1">
      <c r="C441" s="365"/>
      <c r="D441" s="365"/>
      <c r="E441" s="365"/>
      <c r="F441" s="365"/>
      <c r="G441" s="365"/>
      <c r="H441" s="365"/>
      <c r="I441" s="365"/>
      <c r="J441" s="365"/>
      <c r="K441" s="365"/>
      <c r="L441" s="365"/>
      <c r="M441" s="365"/>
      <c r="N441" s="365"/>
      <c r="O441" s="365"/>
      <c r="P441" s="365"/>
      <c r="Q441" s="365"/>
      <c r="R441" s="365"/>
      <c r="S441" s="365"/>
      <c r="T441" s="365"/>
      <c r="U441" s="365"/>
      <c r="V441" s="365"/>
      <c r="W441" s="365"/>
      <c r="X441" s="365"/>
      <c r="Y441" s="365"/>
      <c r="Z441" s="365"/>
      <c r="AA441" s="365"/>
      <c r="AB441" s="365"/>
      <c r="AC441" s="365"/>
      <c r="AD441" s="365"/>
    </row>
    <row r="442" spans="1:30" s="352" customFormat="1">
      <c r="C442" s="365"/>
      <c r="D442" s="365"/>
      <c r="E442" s="365"/>
      <c r="F442" s="365"/>
      <c r="G442" s="365"/>
      <c r="H442" s="365"/>
      <c r="I442" s="365"/>
      <c r="J442" s="365"/>
      <c r="K442" s="365"/>
      <c r="L442" s="365"/>
      <c r="M442" s="365"/>
      <c r="N442" s="365"/>
      <c r="O442" s="365"/>
      <c r="P442" s="365"/>
      <c r="Q442" s="365"/>
      <c r="R442" s="365"/>
      <c r="S442" s="365"/>
      <c r="T442" s="365"/>
      <c r="U442" s="365"/>
      <c r="V442" s="365"/>
      <c r="W442" s="365"/>
      <c r="X442" s="365"/>
      <c r="Y442" s="365"/>
      <c r="Z442" s="365"/>
      <c r="AA442" s="365"/>
      <c r="AB442" s="365"/>
      <c r="AC442" s="365"/>
      <c r="AD442" s="365"/>
    </row>
    <row r="443" spans="1:30" s="352" customFormat="1">
      <c r="C443" s="365"/>
      <c r="D443" s="365"/>
      <c r="E443" s="365"/>
      <c r="F443" s="365"/>
      <c r="G443" s="365"/>
      <c r="H443" s="365"/>
      <c r="I443" s="365"/>
      <c r="J443" s="365"/>
      <c r="K443" s="365"/>
      <c r="L443" s="365"/>
      <c r="M443" s="365"/>
      <c r="N443" s="365"/>
      <c r="O443" s="365"/>
      <c r="P443" s="365"/>
      <c r="Q443" s="365"/>
      <c r="R443" s="365"/>
      <c r="S443" s="365"/>
      <c r="T443" s="365"/>
      <c r="U443" s="365"/>
      <c r="V443" s="365"/>
      <c r="W443" s="365"/>
      <c r="X443" s="365"/>
      <c r="Y443" s="365"/>
      <c r="Z443" s="365"/>
      <c r="AA443" s="365"/>
      <c r="AB443" s="365"/>
      <c r="AC443" s="365"/>
      <c r="AD443" s="365"/>
    </row>
    <row r="444" spans="1:30" s="352" customFormat="1">
      <c r="C444" s="365"/>
      <c r="D444" s="365"/>
      <c r="E444" s="365"/>
      <c r="F444" s="365"/>
      <c r="G444" s="365"/>
      <c r="H444" s="365"/>
      <c r="I444" s="365"/>
      <c r="J444" s="365"/>
      <c r="K444" s="365"/>
      <c r="L444" s="365"/>
      <c r="M444" s="365"/>
      <c r="N444" s="365"/>
      <c r="O444" s="365"/>
      <c r="P444" s="365"/>
      <c r="Q444" s="365"/>
      <c r="R444" s="365"/>
      <c r="S444" s="365"/>
      <c r="T444" s="365"/>
      <c r="U444" s="365"/>
      <c r="V444" s="365"/>
      <c r="W444" s="365"/>
      <c r="X444" s="365"/>
      <c r="Y444" s="365"/>
      <c r="Z444" s="365"/>
      <c r="AA444" s="365"/>
      <c r="AB444" s="365"/>
      <c r="AC444" s="365"/>
      <c r="AD444" s="365"/>
    </row>
    <row r="445" spans="1:30" s="352" customFormat="1">
      <c r="C445" s="365"/>
      <c r="D445" s="365"/>
      <c r="E445" s="365"/>
      <c r="F445" s="365"/>
      <c r="G445" s="365"/>
      <c r="H445" s="365"/>
      <c r="I445" s="365"/>
      <c r="J445" s="365"/>
      <c r="K445" s="365"/>
      <c r="L445" s="365"/>
      <c r="M445" s="365"/>
      <c r="N445" s="365"/>
      <c r="O445" s="365"/>
      <c r="P445" s="365"/>
      <c r="Q445" s="365"/>
      <c r="R445" s="365"/>
      <c r="S445" s="365"/>
      <c r="T445" s="365"/>
      <c r="U445" s="365"/>
      <c r="V445" s="365"/>
      <c r="W445" s="365"/>
      <c r="X445" s="365"/>
      <c r="Y445" s="365"/>
      <c r="Z445" s="365"/>
      <c r="AA445" s="365"/>
      <c r="AB445" s="365"/>
      <c r="AC445" s="365"/>
      <c r="AD445" s="365"/>
    </row>
    <row r="446" spans="1:30" s="352" customFormat="1">
      <c r="C446" s="365"/>
      <c r="D446" s="365"/>
      <c r="E446" s="365"/>
      <c r="F446" s="365"/>
      <c r="G446" s="365"/>
      <c r="H446" s="365"/>
      <c r="I446" s="365"/>
      <c r="J446" s="365"/>
      <c r="K446" s="365"/>
      <c r="L446" s="365"/>
      <c r="M446" s="365"/>
      <c r="N446" s="365"/>
      <c r="O446" s="365"/>
      <c r="P446" s="365"/>
      <c r="Q446" s="365"/>
      <c r="R446" s="365"/>
      <c r="S446" s="365"/>
      <c r="T446" s="365"/>
      <c r="U446" s="365"/>
      <c r="V446" s="365"/>
      <c r="W446" s="365"/>
      <c r="X446" s="365"/>
      <c r="Y446" s="365"/>
      <c r="Z446" s="365"/>
      <c r="AA446" s="365"/>
      <c r="AB446" s="365"/>
      <c r="AC446" s="365"/>
      <c r="AD446" s="365"/>
    </row>
    <row r="447" spans="1:30" s="352" customFormat="1">
      <c r="C447" s="365"/>
      <c r="D447" s="365"/>
      <c r="E447" s="365"/>
      <c r="F447" s="365"/>
      <c r="G447" s="365"/>
      <c r="H447" s="365"/>
      <c r="I447" s="365"/>
      <c r="J447" s="365"/>
      <c r="K447" s="365"/>
      <c r="L447" s="365"/>
      <c r="M447" s="365"/>
      <c r="N447" s="365"/>
      <c r="O447" s="365"/>
      <c r="P447" s="365"/>
      <c r="Q447" s="365"/>
      <c r="R447" s="365"/>
      <c r="S447" s="365"/>
      <c r="T447" s="365"/>
      <c r="U447" s="365"/>
      <c r="V447" s="365"/>
      <c r="W447" s="365"/>
      <c r="X447" s="365"/>
      <c r="Y447" s="365"/>
      <c r="Z447" s="365"/>
      <c r="AA447" s="365"/>
      <c r="AB447" s="365"/>
      <c r="AC447" s="365"/>
      <c r="AD447" s="365"/>
    </row>
    <row r="448" spans="1:30" s="352" customFormat="1">
      <c r="C448" s="365"/>
      <c r="D448" s="365"/>
      <c r="E448" s="365"/>
      <c r="F448" s="365"/>
      <c r="G448" s="365"/>
      <c r="H448" s="365"/>
      <c r="I448" s="365"/>
      <c r="J448" s="365"/>
      <c r="K448" s="365"/>
      <c r="L448" s="365"/>
      <c r="M448" s="365"/>
      <c r="N448" s="365"/>
      <c r="O448" s="365"/>
      <c r="P448" s="365"/>
      <c r="Q448" s="365"/>
      <c r="R448" s="365"/>
      <c r="S448" s="365"/>
      <c r="T448" s="365"/>
      <c r="U448" s="365"/>
      <c r="V448" s="365"/>
      <c r="W448" s="365"/>
      <c r="X448" s="365"/>
      <c r="Y448" s="365"/>
      <c r="Z448" s="365"/>
      <c r="AA448" s="365"/>
      <c r="AB448" s="365"/>
      <c r="AC448" s="365"/>
      <c r="AD448" s="365"/>
    </row>
    <row r="449" spans="3:30" s="352" customFormat="1">
      <c r="C449" s="365"/>
      <c r="D449" s="365"/>
      <c r="E449" s="365"/>
      <c r="F449" s="365"/>
      <c r="G449" s="365"/>
      <c r="H449" s="365"/>
      <c r="I449" s="365"/>
      <c r="J449" s="365"/>
      <c r="K449" s="365"/>
      <c r="L449" s="365"/>
      <c r="M449" s="365"/>
      <c r="N449" s="365"/>
      <c r="O449" s="365"/>
      <c r="P449" s="365"/>
      <c r="Q449" s="365"/>
      <c r="R449" s="365"/>
      <c r="S449" s="365"/>
      <c r="T449" s="365"/>
      <c r="U449" s="365"/>
      <c r="V449" s="365"/>
      <c r="W449" s="365"/>
      <c r="X449" s="365"/>
      <c r="Y449" s="365"/>
      <c r="Z449" s="365"/>
      <c r="AA449" s="365"/>
      <c r="AB449" s="365"/>
      <c r="AC449" s="365"/>
      <c r="AD449" s="365"/>
    </row>
    <row r="450" spans="3:30" s="352" customFormat="1">
      <c r="C450" s="365"/>
      <c r="D450" s="365"/>
      <c r="E450" s="365"/>
      <c r="F450" s="365"/>
      <c r="G450" s="365"/>
      <c r="H450" s="365"/>
      <c r="I450" s="365"/>
      <c r="J450" s="365"/>
      <c r="K450" s="365"/>
      <c r="L450" s="365"/>
      <c r="M450" s="365"/>
      <c r="N450" s="365"/>
      <c r="O450" s="365"/>
      <c r="P450" s="365"/>
      <c r="Q450" s="365"/>
      <c r="R450" s="365"/>
      <c r="S450" s="365"/>
      <c r="T450" s="365"/>
      <c r="U450" s="365"/>
      <c r="V450" s="365"/>
      <c r="W450" s="365"/>
      <c r="X450" s="365"/>
      <c r="Y450" s="365"/>
      <c r="Z450" s="365"/>
      <c r="AA450" s="365"/>
      <c r="AB450" s="365"/>
      <c r="AC450" s="365"/>
      <c r="AD450" s="365"/>
    </row>
    <row r="451" spans="3:30" s="352" customFormat="1">
      <c r="C451" s="365"/>
      <c r="D451" s="365"/>
      <c r="E451" s="365"/>
      <c r="F451" s="365"/>
      <c r="G451" s="365"/>
      <c r="H451" s="365"/>
      <c r="I451" s="365"/>
      <c r="J451" s="365"/>
      <c r="K451" s="365"/>
      <c r="L451" s="365"/>
      <c r="M451" s="365"/>
      <c r="N451" s="365"/>
      <c r="O451" s="365"/>
      <c r="P451" s="365"/>
      <c r="Q451" s="365"/>
      <c r="R451" s="365"/>
      <c r="S451" s="365"/>
      <c r="T451" s="365"/>
      <c r="U451" s="365"/>
      <c r="V451" s="365"/>
      <c r="W451" s="365"/>
      <c r="X451" s="365"/>
      <c r="Y451" s="365"/>
      <c r="Z451" s="365"/>
      <c r="AA451" s="365"/>
      <c r="AB451" s="365"/>
      <c r="AC451" s="365"/>
      <c r="AD451" s="365"/>
    </row>
    <row r="452" spans="3:30" s="352" customFormat="1">
      <c r="C452" s="365"/>
      <c r="D452" s="365"/>
      <c r="E452" s="365"/>
      <c r="F452" s="365"/>
      <c r="G452" s="365"/>
      <c r="H452" s="365"/>
      <c r="I452" s="365"/>
      <c r="J452" s="365"/>
      <c r="K452" s="365"/>
      <c r="L452" s="365"/>
      <c r="M452" s="365"/>
      <c r="N452" s="365"/>
      <c r="O452" s="365"/>
      <c r="P452" s="365"/>
      <c r="Q452" s="365"/>
      <c r="R452" s="365"/>
      <c r="S452" s="365"/>
      <c r="T452" s="365"/>
      <c r="U452" s="365"/>
      <c r="V452" s="365"/>
      <c r="W452" s="365"/>
      <c r="X452" s="365"/>
      <c r="Y452" s="365"/>
      <c r="Z452" s="365"/>
      <c r="AA452" s="365"/>
      <c r="AB452" s="365"/>
      <c r="AC452" s="365"/>
      <c r="AD452" s="365"/>
    </row>
    <row r="453" spans="3:30" s="352" customFormat="1">
      <c r="C453" s="365"/>
      <c r="D453" s="365"/>
      <c r="E453" s="365"/>
      <c r="F453" s="365"/>
      <c r="G453" s="365"/>
      <c r="H453" s="365"/>
      <c r="I453" s="365"/>
      <c r="J453" s="365"/>
      <c r="K453" s="365"/>
      <c r="L453" s="365"/>
      <c r="M453" s="365"/>
      <c r="N453" s="365"/>
      <c r="O453" s="365"/>
      <c r="P453" s="365"/>
      <c r="Q453" s="365"/>
      <c r="R453" s="365"/>
      <c r="S453" s="365"/>
      <c r="T453" s="365"/>
      <c r="U453" s="365"/>
      <c r="V453" s="365"/>
      <c r="W453" s="365"/>
      <c r="X453" s="365"/>
      <c r="Y453" s="365"/>
      <c r="Z453" s="365"/>
      <c r="AA453" s="365"/>
      <c r="AB453" s="365"/>
      <c r="AC453" s="365"/>
      <c r="AD453" s="365"/>
    </row>
    <row r="454" spans="3:30" s="352" customFormat="1">
      <c r="C454" s="365"/>
      <c r="D454" s="365"/>
      <c r="E454" s="365"/>
      <c r="F454" s="365"/>
      <c r="G454" s="365"/>
      <c r="H454" s="365"/>
      <c r="I454" s="365"/>
      <c r="J454" s="365"/>
      <c r="K454" s="365"/>
      <c r="L454" s="365"/>
      <c r="M454" s="365"/>
      <c r="N454" s="365"/>
      <c r="O454" s="365"/>
      <c r="P454" s="365"/>
      <c r="Q454" s="365"/>
      <c r="R454" s="365"/>
      <c r="S454" s="365"/>
      <c r="T454" s="365"/>
      <c r="U454" s="365"/>
      <c r="V454" s="365"/>
      <c r="W454" s="365"/>
      <c r="X454" s="365"/>
      <c r="Y454" s="365"/>
      <c r="Z454" s="365"/>
      <c r="AA454" s="365"/>
      <c r="AB454" s="365"/>
      <c r="AC454" s="365"/>
      <c r="AD454" s="365"/>
    </row>
    <row r="455" spans="3:30" s="352" customFormat="1">
      <c r="C455" s="365"/>
      <c r="D455" s="365"/>
      <c r="E455" s="365"/>
      <c r="F455" s="365"/>
      <c r="G455" s="365"/>
      <c r="H455" s="365"/>
      <c r="I455" s="365"/>
      <c r="J455" s="365"/>
      <c r="K455" s="365"/>
      <c r="L455" s="365"/>
      <c r="M455" s="365"/>
      <c r="N455" s="365"/>
      <c r="O455" s="365"/>
      <c r="P455" s="365"/>
      <c r="Q455" s="365"/>
      <c r="R455" s="365"/>
      <c r="S455" s="365"/>
      <c r="T455" s="365"/>
      <c r="U455" s="365"/>
      <c r="V455" s="365"/>
      <c r="W455" s="365"/>
      <c r="X455" s="365"/>
      <c r="Y455" s="365"/>
      <c r="Z455" s="365"/>
      <c r="AA455" s="365"/>
      <c r="AB455" s="365"/>
      <c r="AC455" s="365"/>
      <c r="AD455" s="365"/>
    </row>
    <row r="456" spans="3:30" s="352" customFormat="1">
      <c r="C456" s="365"/>
      <c r="D456" s="365"/>
      <c r="E456" s="365"/>
      <c r="F456" s="365"/>
      <c r="G456" s="365"/>
      <c r="H456" s="365"/>
      <c r="I456" s="365"/>
      <c r="J456" s="365"/>
      <c r="K456" s="365"/>
      <c r="L456" s="365"/>
      <c r="M456" s="365"/>
      <c r="N456" s="365"/>
      <c r="O456" s="365"/>
      <c r="P456" s="365"/>
      <c r="Q456" s="365"/>
      <c r="R456" s="365"/>
      <c r="S456" s="365"/>
      <c r="T456" s="365"/>
      <c r="U456" s="365"/>
      <c r="V456" s="365"/>
      <c r="W456" s="365"/>
      <c r="X456" s="365"/>
      <c r="Y456" s="365"/>
      <c r="Z456" s="365"/>
      <c r="AA456" s="365"/>
      <c r="AB456" s="365"/>
      <c r="AC456" s="365"/>
      <c r="AD456" s="365"/>
    </row>
    <row r="457" spans="3:30" s="352" customFormat="1">
      <c r="C457" s="365"/>
      <c r="D457" s="365"/>
      <c r="E457" s="365"/>
      <c r="F457" s="365"/>
      <c r="G457" s="365"/>
      <c r="H457" s="365"/>
      <c r="I457" s="365"/>
      <c r="J457" s="365"/>
      <c r="K457" s="365"/>
      <c r="L457" s="365"/>
      <c r="M457" s="365"/>
      <c r="N457" s="365"/>
      <c r="O457" s="365"/>
      <c r="P457" s="365"/>
      <c r="Q457" s="365"/>
      <c r="R457" s="365"/>
      <c r="S457" s="365"/>
      <c r="T457" s="365"/>
      <c r="U457" s="365"/>
      <c r="V457" s="365"/>
      <c r="W457" s="365"/>
      <c r="X457" s="365"/>
      <c r="Y457" s="365"/>
      <c r="Z457" s="365"/>
      <c r="AA457" s="365"/>
      <c r="AB457" s="365"/>
      <c r="AC457" s="365"/>
      <c r="AD457" s="365"/>
    </row>
    <row r="458" spans="3:30" s="352" customFormat="1">
      <c r="C458" s="365"/>
      <c r="D458" s="365"/>
      <c r="E458" s="365"/>
      <c r="F458" s="365"/>
      <c r="G458" s="365"/>
      <c r="H458" s="365"/>
      <c r="I458" s="365"/>
      <c r="J458" s="365"/>
      <c r="K458" s="365"/>
      <c r="L458" s="365"/>
      <c r="M458" s="365"/>
      <c r="N458" s="365"/>
      <c r="O458" s="365"/>
      <c r="P458" s="365"/>
      <c r="Q458" s="365"/>
      <c r="R458" s="365"/>
      <c r="S458" s="365"/>
      <c r="T458" s="365"/>
      <c r="U458" s="365"/>
      <c r="V458" s="365"/>
      <c r="W458" s="365"/>
      <c r="X458" s="365"/>
      <c r="Y458" s="365"/>
      <c r="Z458" s="365"/>
      <c r="AA458" s="365"/>
      <c r="AB458" s="365"/>
      <c r="AC458" s="365"/>
      <c r="AD458" s="365"/>
    </row>
    <row r="459" spans="3:30" s="352" customFormat="1">
      <c r="C459" s="365"/>
      <c r="D459" s="365"/>
      <c r="E459" s="365"/>
      <c r="F459" s="365"/>
      <c r="G459" s="365"/>
      <c r="H459" s="365"/>
      <c r="I459" s="365"/>
      <c r="J459" s="365"/>
      <c r="K459" s="365"/>
      <c r="L459" s="365"/>
      <c r="M459" s="365"/>
      <c r="N459" s="365"/>
      <c r="O459" s="365"/>
      <c r="P459" s="365"/>
      <c r="Q459" s="365"/>
      <c r="R459" s="365"/>
      <c r="S459" s="365"/>
      <c r="T459" s="365"/>
      <c r="U459" s="365"/>
      <c r="V459" s="365"/>
      <c r="W459" s="365"/>
      <c r="X459" s="365"/>
      <c r="Y459" s="365"/>
      <c r="Z459" s="365"/>
      <c r="AA459" s="365"/>
      <c r="AB459" s="365"/>
      <c r="AC459" s="365"/>
      <c r="AD459" s="365"/>
    </row>
    <row r="460" spans="3:30" s="352" customFormat="1">
      <c r="C460" s="365"/>
      <c r="D460" s="365"/>
      <c r="E460" s="365"/>
      <c r="F460" s="365"/>
      <c r="G460" s="365"/>
      <c r="H460" s="365"/>
      <c r="I460" s="365"/>
      <c r="J460" s="365"/>
      <c r="K460" s="365"/>
      <c r="L460" s="365"/>
      <c r="M460" s="365"/>
      <c r="N460" s="365"/>
      <c r="O460" s="365"/>
      <c r="P460" s="365"/>
      <c r="Q460" s="365"/>
      <c r="R460" s="365"/>
      <c r="S460" s="365"/>
      <c r="T460" s="365"/>
      <c r="U460" s="365"/>
      <c r="V460" s="365"/>
      <c r="W460" s="365"/>
      <c r="X460" s="365"/>
      <c r="Y460" s="365"/>
      <c r="Z460" s="365"/>
      <c r="AA460" s="365"/>
      <c r="AB460" s="365"/>
      <c r="AC460" s="365"/>
      <c r="AD460" s="365"/>
    </row>
    <row r="461" spans="3:30" s="352" customFormat="1">
      <c r="C461" s="365"/>
      <c r="D461" s="365"/>
      <c r="E461" s="365"/>
      <c r="F461" s="365"/>
      <c r="G461" s="365"/>
      <c r="H461" s="365"/>
      <c r="I461" s="365"/>
      <c r="J461" s="365"/>
      <c r="K461" s="365"/>
      <c r="L461" s="365"/>
      <c r="M461" s="365"/>
      <c r="N461" s="365"/>
      <c r="O461" s="365"/>
      <c r="P461" s="365"/>
      <c r="Q461" s="365"/>
      <c r="R461" s="365"/>
      <c r="S461" s="365"/>
      <c r="T461" s="365"/>
      <c r="U461" s="365"/>
      <c r="V461" s="365"/>
      <c r="W461" s="365"/>
      <c r="X461" s="365"/>
      <c r="Y461" s="365"/>
      <c r="Z461" s="365"/>
      <c r="AA461" s="365"/>
      <c r="AB461" s="365"/>
      <c r="AC461" s="365"/>
      <c r="AD461" s="365"/>
    </row>
    <row r="462" spans="3:30" s="352" customFormat="1">
      <c r="C462" s="365"/>
      <c r="D462" s="365"/>
      <c r="E462" s="365"/>
      <c r="F462" s="365"/>
      <c r="G462" s="365"/>
      <c r="H462" s="365"/>
      <c r="I462" s="365"/>
      <c r="J462" s="365"/>
      <c r="K462" s="365"/>
      <c r="L462" s="365"/>
      <c r="M462" s="365"/>
      <c r="N462" s="365"/>
      <c r="O462" s="365"/>
      <c r="P462" s="365"/>
      <c r="Q462" s="365"/>
      <c r="R462" s="365"/>
      <c r="S462" s="365"/>
      <c r="T462" s="365"/>
      <c r="U462" s="365"/>
      <c r="V462" s="365"/>
      <c r="W462" s="365"/>
      <c r="X462" s="365"/>
      <c r="Y462" s="365"/>
      <c r="Z462" s="365"/>
      <c r="AA462" s="365"/>
      <c r="AB462" s="365"/>
      <c r="AC462" s="365"/>
      <c r="AD462" s="365"/>
    </row>
    <row r="463" spans="3:30" s="352" customFormat="1">
      <c r="C463" s="365"/>
      <c r="D463" s="365"/>
      <c r="E463" s="365"/>
      <c r="F463" s="365"/>
      <c r="G463" s="365"/>
      <c r="H463" s="365"/>
      <c r="I463" s="365"/>
      <c r="J463" s="365"/>
      <c r="K463" s="365"/>
      <c r="L463" s="365"/>
      <c r="M463" s="365"/>
      <c r="N463" s="365"/>
      <c r="O463" s="365"/>
      <c r="P463" s="365"/>
      <c r="Q463" s="365"/>
      <c r="R463" s="365"/>
      <c r="S463" s="365"/>
      <c r="T463" s="365"/>
      <c r="U463" s="365"/>
      <c r="V463" s="365"/>
      <c r="W463" s="365"/>
      <c r="X463" s="365"/>
      <c r="Y463" s="365"/>
      <c r="Z463" s="365"/>
      <c r="AA463" s="365"/>
      <c r="AB463" s="365"/>
      <c r="AC463" s="365"/>
      <c r="AD463" s="365"/>
    </row>
    <row r="464" spans="3:30" s="352" customFormat="1">
      <c r="C464" s="365"/>
      <c r="D464" s="365"/>
      <c r="E464" s="365"/>
      <c r="F464" s="365"/>
      <c r="G464" s="365"/>
      <c r="H464" s="365"/>
      <c r="I464" s="365"/>
      <c r="J464" s="365"/>
      <c r="K464" s="365"/>
      <c r="L464" s="365"/>
      <c r="M464" s="365"/>
      <c r="N464" s="365"/>
      <c r="O464" s="365"/>
      <c r="P464" s="365"/>
      <c r="Q464" s="365"/>
      <c r="R464" s="365"/>
      <c r="S464" s="365"/>
      <c r="T464" s="365"/>
      <c r="U464" s="365"/>
      <c r="V464" s="365"/>
      <c r="W464" s="365"/>
      <c r="X464" s="365"/>
      <c r="Y464" s="365"/>
      <c r="Z464" s="365"/>
      <c r="AA464" s="365"/>
      <c r="AB464" s="365"/>
      <c r="AC464" s="365"/>
      <c r="AD464" s="365"/>
    </row>
    <row r="465" spans="3:30" s="352" customFormat="1">
      <c r="C465" s="365"/>
      <c r="D465" s="365"/>
      <c r="E465" s="365"/>
      <c r="F465" s="365"/>
      <c r="G465" s="365"/>
      <c r="H465" s="365"/>
      <c r="I465" s="365"/>
      <c r="J465" s="365"/>
      <c r="K465" s="365"/>
      <c r="L465" s="365"/>
      <c r="M465" s="365"/>
      <c r="N465" s="365"/>
      <c r="O465" s="365"/>
      <c r="P465" s="365"/>
      <c r="Q465" s="365"/>
      <c r="R465" s="365"/>
      <c r="S465" s="365"/>
      <c r="T465" s="365"/>
      <c r="U465" s="365"/>
      <c r="V465" s="365"/>
      <c r="W465" s="365"/>
      <c r="X465" s="365"/>
      <c r="Y465" s="365"/>
      <c r="Z465" s="365"/>
      <c r="AA465" s="365"/>
      <c r="AB465" s="365"/>
      <c r="AC465" s="365"/>
      <c r="AD465" s="365"/>
    </row>
    <row r="466" spans="3:30" s="352" customFormat="1">
      <c r="C466" s="365"/>
      <c r="D466" s="365"/>
      <c r="E466" s="365"/>
      <c r="F466" s="365"/>
      <c r="G466" s="365"/>
      <c r="H466" s="365"/>
      <c r="I466" s="365"/>
      <c r="J466" s="365"/>
      <c r="K466" s="365"/>
      <c r="L466" s="365"/>
      <c r="M466" s="365"/>
      <c r="N466" s="365"/>
      <c r="O466" s="365"/>
      <c r="P466" s="365"/>
      <c r="Q466" s="365"/>
      <c r="R466" s="365"/>
      <c r="S466" s="365"/>
      <c r="T466" s="365"/>
      <c r="U466" s="365"/>
      <c r="V466" s="365"/>
      <c r="W466" s="365"/>
      <c r="X466" s="365"/>
      <c r="Y466" s="365"/>
      <c r="Z466" s="365"/>
      <c r="AA466" s="365"/>
      <c r="AB466" s="365"/>
      <c r="AC466" s="365"/>
      <c r="AD466" s="365"/>
    </row>
    <row r="467" spans="3:30" s="352" customFormat="1">
      <c r="C467" s="365"/>
      <c r="D467" s="365"/>
      <c r="E467" s="365"/>
      <c r="F467" s="365"/>
      <c r="G467" s="365"/>
      <c r="H467" s="365"/>
      <c r="I467" s="365"/>
      <c r="J467" s="365"/>
      <c r="K467" s="365"/>
      <c r="L467" s="365"/>
      <c r="M467" s="365"/>
      <c r="N467" s="365"/>
      <c r="O467" s="365"/>
      <c r="P467" s="365"/>
      <c r="Q467" s="365"/>
      <c r="R467" s="365"/>
      <c r="S467" s="365"/>
      <c r="T467" s="365"/>
      <c r="U467" s="365"/>
      <c r="V467" s="365"/>
      <c r="W467" s="365"/>
      <c r="X467" s="365"/>
      <c r="Y467" s="365"/>
      <c r="Z467" s="365"/>
      <c r="AA467" s="365"/>
      <c r="AB467" s="365"/>
      <c r="AC467" s="365"/>
      <c r="AD467" s="365"/>
    </row>
    <row r="468" spans="3:30" s="352" customFormat="1">
      <c r="C468" s="365"/>
      <c r="D468" s="365"/>
      <c r="E468" s="365"/>
      <c r="F468" s="365"/>
      <c r="G468" s="365"/>
      <c r="H468" s="365"/>
      <c r="I468" s="365"/>
      <c r="J468" s="365"/>
      <c r="K468" s="365"/>
      <c r="L468" s="365"/>
      <c r="M468" s="365"/>
      <c r="N468" s="365"/>
      <c r="O468" s="365"/>
      <c r="P468" s="365"/>
      <c r="Q468" s="365"/>
      <c r="R468" s="365"/>
      <c r="S468" s="365"/>
      <c r="T468" s="365"/>
      <c r="U468" s="365"/>
      <c r="V468" s="365"/>
      <c r="W468" s="365"/>
      <c r="X468" s="365"/>
      <c r="Y468" s="365"/>
      <c r="Z468" s="365"/>
      <c r="AA468" s="365"/>
      <c r="AB468" s="365"/>
      <c r="AC468" s="365"/>
      <c r="AD468" s="365"/>
    </row>
    <row r="469" spans="3:30" s="352" customFormat="1">
      <c r="C469" s="365"/>
      <c r="D469" s="365"/>
      <c r="E469" s="365"/>
      <c r="F469" s="365"/>
      <c r="G469" s="365"/>
      <c r="H469" s="365"/>
      <c r="I469" s="365"/>
      <c r="J469" s="365"/>
      <c r="K469" s="365"/>
      <c r="L469" s="365"/>
      <c r="M469" s="365"/>
      <c r="N469" s="365"/>
      <c r="O469" s="365"/>
      <c r="P469" s="365"/>
      <c r="Q469" s="365"/>
      <c r="R469" s="365"/>
      <c r="S469" s="365"/>
      <c r="T469" s="365"/>
      <c r="U469" s="365"/>
      <c r="V469" s="365"/>
      <c r="W469" s="365"/>
      <c r="X469" s="365"/>
      <c r="Y469" s="365"/>
      <c r="Z469" s="365"/>
      <c r="AA469" s="365"/>
      <c r="AB469" s="365"/>
      <c r="AC469" s="365"/>
      <c r="AD469" s="365"/>
    </row>
    <row r="470" spans="3:30" s="352" customFormat="1">
      <c r="C470" s="365"/>
      <c r="D470" s="365"/>
      <c r="E470" s="365"/>
      <c r="F470" s="365"/>
      <c r="G470" s="365"/>
      <c r="H470" s="365"/>
      <c r="I470" s="365"/>
      <c r="J470" s="365"/>
      <c r="K470" s="365"/>
      <c r="L470" s="365"/>
      <c r="M470" s="365"/>
      <c r="N470" s="365"/>
      <c r="O470" s="365"/>
      <c r="P470" s="365"/>
      <c r="Q470" s="365"/>
      <c r="R470" s="365"/>
      <c r="S470" s="365"/>
      <c r="T470" s="365"/>
      <c r="U470" s="365"/>
      <c r="V470" s="365"/>
      <c r="W470" s="365"/>
      <c r="X470" s="365"/>
      <c r="Y470" s="365"/>
      <c r="Z470" s="365"/>
      <c r="AA470" s="365"/>
      <c r="AB470" s="365"/>
      <c r="AC470" s="365"/>
      <c r="AD470" s="365"/>
    </row>
    <row r="471" spans="3:30" s="352" customFormat="1">
      <c r="C471" s="365"/>
      <c r="D471" s="365"/>
      <c r="E471" s="365"/>
      <c r="F471" s="365"/>
      <c r="G471" s="365"/>
      <c r="H471" s="365"/>
      <c r="I471" s="365"/>
      <c r="J471" s="365"/>
      <c r="K471" s="365"/>
      <c r="L471" s="365"/>
      <c r="M471" s="365"/>
      <c r="N471" s="365"/>
      <c r="O471" s="365"/>
      <c r="P471" s="365"/>
      <c r="Q471" s="365"/>
      <c r="R471" s="365"/>
      <c r="S471" s="365"/>
      <c r="T471" s="365"/>
      <c r="U471" s="365"/>
      <c r="V471" s="365"/>
      <c r="W471" s="365"/>
      <c r="X471" s="365"/>
      <c r="Y471" s="365"/>
      <c r="Z471" s="365"/>
      <c r="AA471" s="365"/>
      <c r="AB471" s="365"/>
      <c r="AC471" s="365"/>
      <c r="AD471" s="365"/>
    </row>
    <row r="472" spans="3:30" s="352" customFormat="1">
      <c r="C472" s="365"/>
      <c r="D472" s="365"/>
      <c r="E472" s="365"/>
      <c r="F472" s="365"/>
      <c r="G472" s="365"/>
      <c r="H472" s="365"/>
      <c r="I472" s="365"/>
      <c r="J472" s="365"/>
      <c r="K472" s="365"/>
      <c r="L472" s="365"/>
      <c r="M472" s="365"/>
      <c r="N472" s="365"/>
      <c r="O472" s="365"/>
      <c r="P472" s="365"/>
      <c r="Q472" s="365"/>
      <c r="R472" s="365"/>
      <c r="S472" s="365"/>
      <c r="T472" s="365"/>
      <c r="U472" s="365"/>
      <c r="V472" s="365"/>
      <c r="W472" s="365"/>
      <c r="X472" s="365"/>
      <c r="Y472" s="365"/>
      <c r="Z472" s="365"/>
      <c r="AA472" s="365"/>
      <c r="AB472" s="365"/>
      <c r="AC472" s="365"/>
      <c r="AD472" s="365"/>
    </row>
    <row r="473" spans="3:30" s="352" customFormat="1">
      <c r="C473" s="365"/>
      <c r="D473" s="365"/>
      <c r="E473" s="365"/>
      <c r="F473" s="365"/>
      <c r="G473" s="365"/>
      <c r="H473" s="365"/>
      <c r="I473" s="365"/>
      <c r="J473" s="365"/>
      <c r="K473" s="365"/>
      <c r="L473" s="365"/>
      <c r="M473" s="365"/>
      <c r="N473" s="365"/>
      <c r="O473" s="365"/>
      <c r="P473" s="365"/>
      <c r="Q473" s="365"/>
      <c r="R473" s="365"/>
      <c r="S473" s="365"/>
      <c r="T473" s="365"/>
      <c r="U473" s="365"/>
      <c r="V473" s="365"/>
      <c r="W473" s="365"/>
      <c r="X473" s="365"/>
      <c r="Y473" s="365"/>
      <c r="Z473" s="365"/>
      <c r="AA473" s="365"/>
      <c r="AB473" s="365"/>
      <c r="AC473" s="365"/>
      <c r="AD473" s="365"/>
    </row>
    <row r="474" spans="3:30" s="352" customFormat="1">
      <c r="C474" s="365"/>
      <c r="D474" s="365"/>
      <c r="E474" s="365"/>
      <c r="F474" s="365"/>
      <c r="G474" s="365"/>
      <c r="H474" s="365"/>
      <c r="I474" s="365"/>
      <c r="J474" s="365"/>
      <c r="K474" s="365"/>
      <c r="L474" s="365"/>
      <c r="M474" s="365"/>
      <c r="N474" s="365"/>
      <c r="O474" s="365"/>
      <c r="P474" s="365"/>
      <c r="Q474" s="365"/>
      <c r="R474" s="365"/>
      <c r="S474" s="365"/>
      <c r="T474" s="365"/>
      <c r="U474" s="365"/>
      <c r="V474" s="365"/>
      <c r="W474" s="365"/>
      <c r="X474" s="365"/>
      <c r="Y474" s="365"/>
      <c r="Z474" s="365"/>
      <c r="AA474" s="365"/>
      <c r="AB474" s="365"/>
      <c r="AC474" s="365"/>
      <c r="AD474" s="365"/>
    </row>
    <row r="475" spans="3:30" s="352" customFormat="1">
      <c r="C475" s="365"/>
      <c r="D475" s="365"/>
      <c r="E475" s="365"/>
      <c r="F475" s="365"/>
      <c r="G475" s="365"/>
      <c r="H475" s="365"/>
      <c r="I475" s="365"/>
      <c r="J475" s="365"/>
      <c r="K475" s="365"/>
      <c r="L475" s="365"/>
      <c r="M475" s="365"/>
      <c r="N475" s="365"/>
      <c r="O475" s="365"/>
      <c r="P475" s="365"/>
      <c r="Q475" s="365"/>
      <c r="R475" s="365"/>
      <c r="S475" s="365"/>
      <c r="T475" s="365"/>
      <c r="U475" s="365"/>
      <c r="V475" s="365"/>
      <c r="W475" s="365"/>
      <c r="X475" s="365"/>
      <c r="Y475" s="365"/>
      <c r="Z475" s="365"/>
      <c r="AA475" s="365"/>
      <c r="AB475" s="365"/>
      <c r="AC475" s="365"/>
      <c r="AD475" s="365"/>
    </row>
    <row r="476" spans="3:30" s="352" customFormat="1">
      <c r="C476" s="365"/>
      <c r="D476" s="365"/>
      <c r="E476" s="365"/>
      <c r="F476" s="365"/>
      <c r="G476" s="365"/>
      <c r="H476" s="365"/>
      <c r="I476" s="365"/>
      <c r="J476" s="365"/>
      <c r="K476" s="365"/>
      <c r="L476" s="365"/>
      <c r="M476" s="365"/>
      <c r="N476" s="365"/>
      <c r="O476" s="365"/>
      <c r="P476" s="365"/>
      <c r="Q476" s="365"/>
      <c r="R476" s="365"/>
      <c r="S476" s="365"/>
      <c r="T476" s="365"/>
      <c r="U476" s="365"/>
      <c r="V476" s="365"/>
      <c r="W476" s="365"/>
      <c r="X476" s="365"/>
      <c r="Y476" s="365"/>
      <c r="Z476" s="365"/>
      <c r="AA476" s="365"/>
      <c r="AB476" s="365"/>
      <c r="AC476" s="365"/>
      <c r="AD476" s="365"/>
    </row>
    <row r="477" spans="3:30" s="352" customFormat="1">
      <c r="C477" s="365"/>
      <c r="D477" s="365"/>
      <c r="E477" s="365"/>
      <c r="F477" s="365"/>
      <c r="G477" s="365"/>
      <c r="H477" s="365"/>
      <c r="I477" s="365"/>
      <c r="J477" s="365"/>
      <c r="K477" s="365"/>
      <c r="L477" s="365"/>
      <c r="M477" s="365"/>
      <c r="N477" s="365"/>
      <c r="O477" s="365"/>
      <c r="P477" s="365"/>
      <c r="Q477" s="365"/>
      <c r="R477" s="365"/>
      <c r="S477" s="365"/>
      <c r="T477" s="365"/>
      <c r="U477" s="365"/>
      <c r="V477" s="365"/>
      <c r="W477" s="365"/>
      <c r="X477" s="365"/>
      <c r="Y477" s="365"/>
      <c r="Z477" s="365"/>
      <c r="AA477" s="365"/>
      <c r="AB477" s="365"/>
      <c r="AC477" s="365"/>
      <c r="AD477" s="365"/>
    </row>
    <row r="478" spans="3:30" s="352" customFormat="1">
      <c r="C478" s="365"/>
      <c r="D478" s="365"/>
      <c r="E478" s="365"/>
      <c r="F478" s="365"/>
      <c r="G478" s="365"/>
      <c r="H478" s="365"/>
      <c r="I478" s="365"/>
      <c r="J478" s="365"/>
      <c r="K478" s="365"/>
      <c r="L478" s="365"/>
      <c r="M478" s="365"/>
      <c r="N478" s="365"/>
      <c r="O478" s="365"/>
      <c r="P478" s="365"/>
      <c r="Q478" s="365"/>
      <c r="R478" s="365"/>
      <c r="S478" s="365"/>
      <c r="T478" s="365"/>
      <c r="U478" s="365"/>
      <c r="V478" s="365"/>
      <c r="W478" s="365"/>
      <c r="X478" s="365"/>
      <c r="Y478" s="365"/>
      <c r="Z478" s="365"/>
      <c r="AA478" s="365"/>
      <c r="AB478" s="365"/>
      <c r="AC478" s="365"/>
      <c r="AD478" s="365"/>
    </row>
    <row r="479" spans="3:30" s="352" customFormat="1">
      <c r="C479" s="365"/>
      <c r="D479" s="365"/>
      <c r="E479" s="365"/>
      <c r="F479" s="365"/>
      <c r="G479" s="365"/>
      <c r="H479" s="365"/>
      <c r="I479" s="365"/>
      <c r="J479" s="365"/>
      <c r="K479" s="365"/>
      <c r="L479" s="365"/>
      <c r="M479" s="365"/>
      <c r="N479" s="365"/>
      <c r="O479" s="365"/>
      <c r="P479" s="365"/>
      <c r="Q479" s="365"/>
      <c r="R479" s="365"/>
      <c r="S479" s="365"/>
      <c r="T479" s="365"/>
      <c r="U479" s="365"/>
      <c r="V479" s="365"/>
      <c r="W479" s="365"/>
      <c r="X479" s="365"/>
      <c r="Y479" s="365"/>
      <c r="Z479" s="365"/>
      <c r="AA479" s="365"/>
      <c r="AB479" s="365"/>
      <c r="AC479" s="365"/>
      <c r="AD479" s="365"/>
    </row>
    <row r="480" spans="3:30" s="352" customFormat="1">
      <c r="C480" s="365"/>
      <c r="D480" s="365"/>
      <c r="E480" s="365"/>
      <c r="F480" s="365"/>
      <c r="G480" s="365"/>
      <c r="H480" s="365"/>
      <c r="I480" s="365"/>
      <c r="J480" s="365"/>
      <c r="K480" s="365"/>
      <c r="L480" s="365"/>
      <c r="M480" s="365"/>
      <c r="N480" s="365"/>
      <c r="O480" s="365"/>
      <c r="P480" s="365"/>
      <c r="Q480" s="365"/>
      <c r="R480" s="365"/>
      <c r="S480" s="365"/>
      <c r="T480" s="365"/>
      <c r="U480" s="365"/>
      <c r="V480" s="365"/>
      <c r="W480" s="365"/>
      <c r="X480" s="365"/>
      <c r="Y480" s="365"/>
      <c r="Z480" s="365"/>
      <c r="AA480" s="365"/>
      <c r="AB480" s="365"/>
      <c r="AC480" s="365"/>
      <c r="AD480" s="365"/>
    </row>
    <row r="481" spans="3:30" s="352" customFormat="1">
      <c r="C481" s="365"/>
      <c r="D481" s="365"/>
      <c r="E481" s="365"/>
      <c r="F481" s="365"/>
      <c r="G481" s="365"/>
      <c r="H481" s="365"/>
      <c r="I481" s="365"/>
      <c r="J481" s="365"/>
      <c r="K481" s="365"/>
      <c r="L481" s="365"/>
      <c r="M481" s="365"/>
      <c r="N481" s="365"/>
      <c r="O481" s="365"/>
      <c r="P481" s="365"/>
      <c r="Q481" s="365"/>
      <c r="R481" s="365"/>
      <c r="S481" s="365"/>
      <c r="T481" s="365"/>
      <c r="U481" s="365"/>
      <c r="V481" s="365"/>
      <c r="W481" s="365"/>
      <c r="X481" s="365"/>
      <c r="Y481" s="365"/>
      <c r="Z481" s="365"/>
      <c r="AA481" s="365"/>
      <c r="AB481" s="365"/>
      <c r="AC481" s="365"/>
      <c r="AD481" s="365"/>
    </row>
    <row r="482" spans="3:30" s="352" customFormat="1">
      <c r="C482" s="365"/>
      <c r="D482" s="365"/>
      <c r="E482" s="365"/>
      <c r="F482" s="365"/>
      <c r="G482" s="365"/>
      <c r="H482" s="365"/>
      <c r="I482" s="365"/>
      <c r="J482" s="365"/>
      <c r="K482" s="365"/>
      <c r="L482" s="365"/>
      <c r="M482" s="365"/>
      <c r="N482" s="365"/>
      <c r="O482" s="365"/>
      <c r="P482" s="365"/>
      <c r="Q482" s="365"/>
      <c r="R482" s="365"/>
      <c r="S482" s="365"/>
      <c r="T482" s="365"/>
      <c r="U482" s="365"/>
      <c r="V482" s="365"/>
      <c r="W482" s="365"/>
      <c r="X482" s="365"/>
      <c r="Y482" s="365"/>
      <c r="Z482" s="365"/>
      <c r="AA482" s="365"/>
      <c r="AB482" s="365"/>
      <c r="AC482" s="365"/>
      <c r="AD482" s="365"/>
    </row>
    <row r="483" spans="3:30" s="352" customFormat="1">
      <c r="C483" s="365"/>
      <c r="D483" s="365"/>
      <c r="E483" s="365"/>
      <c r="F483" s="365"/>
      <c r="G483" s="365"/>
      <c r="H483" s="365"/>
      <c r="I483" s="365"/>
      <c r="J483" s="365"/>
      <c r="K483" s="365"/>
      <c r="L483" s="365"/>
      <c r="M483" s="365"/>
      <c r="N483" s="365"/>
      <c r="O483" s="365"/>
      <c r="P483" s="365"/>
      <c r="Q483" s="365"/>
      <c r="R483" s="365"/>
      <c r="S483" s="365"/>
      <c r="T483" s="365"/>
      <c r="U483" s="365"/>
      <c r="V483" s="365"/>
      <c r="W483" s="365"/>
      <c r="X483" s="365"/>
      <c r="Y483" s="365"/>
      <c r="Z483" s="365"/>
      <c r="AA483" s="365"/>
      <c r="AB483" s="365"/>
      <c r="AC483" s="365"/>
      <c r="AD483" s="365"/>
    </row>
    <row r="484" spans="3:30" s="352" customFormat="1">
      <c r="C484" s="365"/>
      <c r="D484" s="365"/>
      <c r="E484" s="365"/>
      <c r="F484" s="365"/>
      <c r="G484" s="365"/>
      <c r="H484" s="365"/>
      <c r="I484" s="365"/>
      <c r="J484" s="365"/>
      <c r="K484" s="365"/>
      <c r="L484" s="365"/>
      <c r="M484" s="365"/>
      <c r="N484" s="365"/>
      <c r="O484" s="365"/>
      <c r="P484" s="365"/>
      <c r="Q484" s="365"/>
      <c r="R484" s="365"/>
      <c r="S484" s="365"/>
      <c r="T484" s="365"/>
      <c r="U484" s="365"/>
      <c r="V484" s="365"/>
      <c r="W484" s="365"/>
      <c r="X484" s="365"/>
      <c r="Y484" s="365"/>
      <c r="Z484" s="365"/>
      <c r="AA484" s="365"/>
      <c r="AB484" s="365"/>
      <c r="AC484" s="365"/>
      <c r="AD484" s="365"/>
    </row>
    <row r="485" spans="3:30" s="352" customFormat="1">
      <c r="C485" s="365"/>
      <c r="D485" s="365"/>
      <c r="E485" s="365"/>
      <c r="F485" s="365"/>
      <c r="G485" s="365"/>
      <c r="H485" s="365"/>
      <c r="I485" s="365"/>
      <c r="J485" s="365"/>
      <c r="K485" s="365"/>
      <c r="L485" s="365"/>
      <c r="M485" s="365"/>
      <c r="N485" s="365"/>
      <c r="O485" s="365"/>
      <c r="P485" s="365"/>
      <c r="Q485" s="365"/>
      <c r="R485" s="365"/>
      <c r="S485" s="365"/>
      <c r="T485" s="365"/>
      <c r="U485" s="365"/>
      <c r="V485" s="365"/>
      <c r="W485" s="365"/>
      <c r="X485" s="365"/>
      <c r="Y485" s="365"/>
      <c r="Z485" s="365"/>
      <c r="AA485" s="365"/>
      <c r="AB485" s="365"/>
      <c r="AC485" s="365"/>
      <c r="AD485" s="365"/>
    </row>
    <row r="486" spans="3:30" s="352" customFormat="1">
      <c r="C486" s="365"/>
      <c r="D486" s="365"/>
      <c r="E486" s="365"/>
      <c r="F486" s="365"/>
      <c r="G486" s="365"/>
      <c r="H486" s="365"/>
      <c r="I486" s="365"/>
      <c r="J486" s="365"/>
      <c r="K486" s="365"/>
      <c r="L486" s="365"/>
      <c r="M486" s="365"/>
      <c r="N486" s="365"/>
      <c r="O486" s="365"/>
      <c r="P486" s="365"/>
      <c r="Q486" s="365"/>
      <c r="R486" s="365"/>
      <c r="S486" s="365"/>
      <c r="T486" s="365"/>
      <c r="U486" s="365"/>
      <c r="V486" s="365"/>
      <c r="W486" s="365"/>
      <c r="X486" s="365"/>
      <c r="Y486" s="365"/>
      <c r="Z486" s="365"/>
      <c r="AA486" s="365"/>
      <c r="AB486" s="365"/>
      <c r="AC486" s="365"/>
      <c r="AD486" s="365"/>
    </row>
    <row r="487" spans="3:30" s="352" customFormat="1">
      <c r="C487" s="365"/>
      <c r="D487" s="365"/>
      <c r="E487" s="365"/>
      <c r="F487" s="365"/>
      <c r="G487" s="365"/>
      <c r="H487" s="365"/>
      <c r="I487" s="365"/>
      <c r="J487" s="365"/>
      <c r="K487" s="365"/>
      <c r="L487" s="365"/>
      <c r="M487" s="365"/>
      <c r="N487" s="365"/>
      <c r="O487" s="365"/>
      <c r="P487" s="365"/>
      <c r="Q487" s="365"/>
      <c r="R487" s="365"/>
      <c r="S487" s="365"/>
      <c r="T487" s="365"/>
      <c r="U487" s="365"/>
      <c r="V487" s="365"/>
      <c r="W487" s="365"/>
      <c r="X487" s="365"/>
      <c r="Y487" s="365"/>
      <c r="Z487" s="365"/>
      <c r="AA487" s="365"/>
      <c r="AB487" s="365"/>
      <c r="AC487" s="365"/>
      <c r="AD487" s="365"/>
    </row>
    <row r="488" spans="3:30" s="352" customFormat="1">
      <c r="C488" s="365"/>
      <c r="D488" s="365"/>
      <c r="E488" s="365"/>
      <c r="F488" s="365"/>
      <c r="G488" s="365"/>
      <c r="H488" s="365"/>
      <c r="I488" s="365"/>
      <c r="J488" s="365"/>
      <c r="K488" s="365"/>
      <c r="L488" s="365"/>
      <c r="M488" s="365"/>
      <c r="N488" s="365"/>
      <c r="O488" s="365"/>
      <c r="P488" s="365"/>
      <c r="Q488" s="365"/>
      <c r="R488" s="365"/>
      <c r="S488" s="365"/>
      <c r="T488" s="365"/>
      <c r="U488" s="365"/>
      <c r="V488" s="365"/>
      <c r="W488" s="365"/>
      <c r="X488" s="365"/>
      <c r="Y488" s="365"/>
      <c r="Z488" s="365"/>
      <c r="AA488" s="365"/>
      <c r="AB488" s="365"/>
      <c r="AC488" s="365"/>
      <c r="AD488" s="365"/>
    </row>
    <row r="489" spans="3:30" s="352" customFormat="1">
      <c r="C489" s="365"/>
      <c r="D489" s="365"/>
      <c r="E489" s="365"/>
      <c r="F489" s="365"/>
      <c r="G489" s="365"/>
      <c r="H489" s="365"/>
      <c r="I489" s="365"/>
      <c r="J489" s="365"/>
      <c r="K489" s="365"/>
      <c r="L489" s="365"/>
      <c r="M489" s="365"/>
      <c r="N489" s="365"/>
      <c r="O489" s="365"/>
      <c r="P489" s="365"/>
      <c r="Q489" s="365"/>
      <c r="R489" s="365"/>
      <c r="S489" s="365"/>
      <c r="T489" s="365"/>
      <c r="U489" s="365"/>
      <c r="V489" s="365"/>
      <c r="W489" s="365"/>
      <c r="X489" s="365"/>
      <c r="Y489" s="365"/>
      <c r="Z489" s="365"/>
      <c r="AA489" s="365"/>
      <c r="AB489" s="365"/>
      <c r="AC489" s="365"/>
      <c r="AD489" s="365"/>
    </row>
    <row r="490" spans="3:30" s="352" customFormat="1">
      <c r="C490" s="365"/>
      <c r="D490" s="365"/>
      <c r="E490" s="365"/>
      <c r="F490" s="365"/>
      <c r="G490" s="365"/>
      <c r="H490" s="365"/>
      <c r="I490" s="365"/>
      <c r="J490" s="365"/>
      <c r="K490" s="365"/>
      <c r="L490" s="365"/>
      <c r="M490" s="365"/>
      <c r="N490" s="365"/>
      <c r="O490" s="365"/>
      <c r="P490" s="365"/>
      <c r="Q490" s="365"/>
      <c r="R490" s="365"/>
      <c r="S490" s="365"/>
      <c r="T490" s="365"/>
      <c r="U490" s="365"/>
      <c r="V490" s="365"/>
      <c r="W490" s="365"/>
      <c r="X490" s="365"/>
      <c r="Y490" s="365"/>
      <c r="Z490" s="365"/>
      <c r="AA490" s="365"/>
      <c r="AB490" s="365"/>
      <c r="AC490" s="365"/>
      <c r="AD490" s="365"/>
    </row>
    <row r="491" spans="3:30" s="352" customFormat="1">
      <c r="C491" s="365"/>
      <c r="D491" s="365"/>
      <c r="E491" s="365"/>
      <c r="F491" s="365"/>
      <c r="G491" s="365"/>
      <c r="H491" s="365"/>
      <c r="I491" s="365"/>
      <c r="J491" s="365"/>
      <c r="K491" s="365"/>
      <c r="L491" s="365"/>
      <c r="M491" s="365"/>
      <c r="N491" s="365"/>
      <c r="O491" s="365"/>
      <c r="P491" s="365"/>
      <c r="Q491" s="365"/>
      <c r="R491" s="365"/>
      <c r="S491" s="365"/>
      <c r="T491" s="365"/>
      <c r="U491" s="365"/>
      <c r="V491" s="365"/>
      <c r="W491" s="365"/>
      <c r="X491" s="365"/>
      <c r="Y491" s="365"/>
      <c r="Z491" s="365"/>
      <c r="AA491" s="365"/>
      <c r="AB491" s="365"/>
      <c r="AC491" s="365"/>
      <c r="AD491" s="365"/>
    </row>
    <row r="492" spans="3:30" s="352" customFormat="1">
      <c r="C492" s="365"/>
      <c r="D492" s="365"/>
      <c r="E492" s="365"/>
      <c r="F492" s="365"/>
      <c r="G492" s="365"/>
      <c r="H492" s="365"/>
      <c r="I492" s="365"/>
      <c r="J492" s="365"/>
      <c r="K492" s="365"/>
      <c r="L492" s="365"/>
      <c r="M492" s="365"/>
      <c r="N492" s="365"/>
      <c r="O492" s="365"/>
      <c r="P492" s="365"/>
      <c r="Q492" s="365"/>
      <c r="R492" s="365"/>
      <c r="S492" s="365"/>
      <c r="T492" s="365"/>
      <c r="U492" s="365"/>
      <c r="V492" s="365"/>
      <c r="W492" s="365"/>
      <c r="X492" s="365"/>
      <c r="Y492" s="365"/>
      <c r="Z492" s="365"/>
      <c r="AA492" s="365"/>
      <c r="AB492" s="365"/>
      <c r="AC492" s="365"/>
      <c r="AD492" s="365"/>
    </row>
    <row r="493" spans="3:30" s="352" customFormat="1">
      <c r="C493" s="365"/>
      <c r="D493" s="365"/>
      <c r="E493" s="365"/>
      <c r="F493" s="365"/>
      <c r="G493" s="365"/>
      <c r="H493" s="365"/>
      <c r="I493" s="365"/>
      <c r="J493" s="365"/>
      <c r="K493" s="365"/>
      <c r="L493" s="365"/>
      <c r="M493" s="365"/>
      <c r="N493" s="365"/>
      <c r="O493" s="365"/>
      <c r="P493" s="365"/>
      <c r="Q493" s="365"/>
      <c r="R493" s="365"/>
      <c r="S493" s="365"/>
      <c r="T493" s="365"/>
      <c r="U493" s="365"/>
      <c r="V493" s="365"/>
      <c r="W493" s="365"/>
      <c r="X493" s="365"/>
      <c r="Y493" s="365"/>
      <c r="Z493" s="365"/>
      <c r="AA493" s="365"/>
      <c r="AB493" s="365"/>
      <c r="AC493" s="365"/>
      <c r="AD493" s="365"/>
    </row>
  </sheetData>
  <sheetProtection password="C6DB" sheet="1" objects="1" scenarios="1" formatCells="0" formatColumns="0" formatRows="0"/>
  <mergeCells count="17">
    <mergeCell ref="X8:AD9"/>
    <mergeCell ref="C9:I9"/>
    <mergeCell ref="J9:P9"/>
    <mergeCell ref="Q9:W9"/>
    <mergeCell ref="A2:P2"/>
    <mergeCell ref="A3:P3"/>
    <mergeCell ref="A4:P4"/>
    <mergeCell ref="Q89:W89"/>
    <mergeCell ref="B89:B90"/>
    <mergeCell ref="A8:A10"/>
    <mergeCell ref="B8:B10"/>
    <mergeCell ref="C8:W8"/>
    <mergeCell ref="B119:B120"/>
    <mergeCell ref="A84:B84"/>
    <mergeCell ref="A85:B85"/>
    <mergeCell ref="C89:I89"/>
    <mergeCell ref="J89:P89"/>
  </mergeCells>
  <dataValidations count="1">
    <dataValidation type="custom" allowBlank="1" showInputMessage="1" showErrorMessage="1" sqref="C119">
      <formula1>"80%, 20%"</formula1>
    </dataValidation>
  </dataValidations>
  <printOptions horizontalCentered="1"/>
  <pageMargins left="0.31496062992125984" right="0.31496062992125984" top="0.74803149606299213" bottom="0.35433070866141736" header="0.31496062992125984" footer="0.31496062992125984"/>
  <pageSetup paperSize="9" scale="60" orientation="landscape" r:id="rId1"/>
  <headerFooter>
    <oddFooter>&amp;A&amp;RPage &amp;P</oddFooter>
  </headerFooter>
  <rowBreaks count="2" manualBreakCount="2">
    <brk id="43" max="29" man="1"/>
    <brk id="78" max="29" man="1"/>
  </rowBreaks>
  <colBreaks count="2" manualBreakCount="2">
    <brk id="16" max="116" man="1"/>
    <brk id="30" max="1048575" man="1"/>
  </colBreaks>
  <ignoredErrors>
    <ignoredError sqref="D84:AD84 D79:AD79 D72:AD72 D66:AD66 D61:AD61 C53:AD53 D57:AD57 D49:AD49 D24:AD24 E18:AD18 D36:AD36 E85:G85 L85:P85 S85:W85 X17:AD17 C14:C16 C19:C23 C25:C27 C29 C45:C47 C50:C52 C58:C60 C62:C65 C67:C68 C73:C78 C80:C83 C37:C43 C44 L44:Q44 V44:W44 C48 E55:I55 C71 C70 C13 E13:J13 E14:J16 E23:J23 E26:J27 E29:J29 E45:J47 E37:J43 E44:J44 E48:J48 E50:J52 E58:J60 E62:J65 E67:J68 E71:J71 E70:J70 E73:J78 E80:J83 L13:Q13 L14:Q16 E19:J19 L19:Q19 E20:J22 L20:Q22 L23:Q23 E25:J25 L25:Q25 L26:Q27 L29:Q29 L45:Q47 L37:Q43 L48:Q48 L50:Q52 L58:Q60 L62:Q65 L69:Q69 L67:Q68 L71:Q71 L70:P70 L73:Q78 L80:Q83 S13:W13 S14:W16 S19:W19 S20:W22 S23:W23 S25:W25 S26:W27 S29:W29 S44:U44 S45:W47 S37:W43 S48:W48 S50:W52 S58:W60 S62:W65 S69:W69 S67:W68 S71:W71 S73:W78 S80:W83 E54:I54 L55:P55 L54:P54 S55:W55 S54:W54 C31:C35 E31:J35 L31:Q35 S31:W35" unlockedFormula="1"/>
    <ignoredError sqref="C36 C18 C12 J12 Q12 Z12:AD12" formulaRange="1"/>
    <ignoredError sqref="A11:A12 A73:B79 A28:A30 A31:A36 A57:A72 A53:A54 A41:A47 A48:B49 A50:A52" numberStoredAsText="1"/>
    <ignoredError sqref="A80:A83 A37:A40 A13:A27" twoDigitTextYear="1" numberStoredAsText="1"/>
    <ignoredError sqref="C102:W103 C105:W105" evalError="1"/>
    <ignoredError sqref="C104 D104:W104" evalError="1" formula="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BCF6C6"/>
  </sheetPr>
  <dimension ref="A1:AP499"/>
  <sheetViews>
    <sheetView view="pageBreakPreview" zoomScale="85" zoomScaleNormal="80" zoomScaleSheetLayoutView="85" workbookViewId="0">
      <pane xSplit="2" ySplit="10" topLeftCell="C62" activePane="bottomRight" state="frozen"/>
      <selection pane="topRight" activeCell="C1" sqref="C1"/>
      <selection pane="bottomLeft" activeCell="A11" sqref="A11"/>
      <selection pane="bottomRight" activeCell="E69" sqref="E69"/>
    </sheetView>
  </sheetViews>
  <sheetFormatPr defaultColWidth="9.140625" defaultRowHeight="15"/>
  <cols>
    <col min="1" max="1" width="7.28515625" style="352" customWidth="1"/>
    <col min="2" max="2" width="49" style="352" customWidth="1"/>
    <col min="3" max="7" width="8.7109375" style="353" customWidth="1"/>
    <col min="8" max="8" width="8.7109375" style="382" customWidth="1"/>
    <col min="9" max="9" width="8.7109375" style="353" customWidth="1"/>
    <col min="10" max="10" width="8.7109375" style="382" customWidth="1"/>
    <col min="11" max="13" width="8.7109375" style="353" customWidth="1"/>
    <col min="14" max="14" width="8.7109375" style="382" customWidth="1"/>
    <col min="15" max="17" width="8.7109375" style="353" customWidth="1"/>
    <col min="18" max="18" width="8.7109375" style="382" customWidth="1"/>
    <col min="19" max="19" width="8.7109375" style="353" customWidth="1"/>
    <col min="20" max="20" width="8.7109375" style="382" customWidth="1"/>
    <col min="21" max="21" width="8.7109375" style="353" customWidth="1"/>
    <col min="22" max="22" width="8.7109375" style="382" customWidth="1"/>
    <col min="23" max="23" width="8.7109375" style="353" customWidth="1"/>
    <col min="24" max="24" width="8.7109375" style="382" customWidth="1"/>
    <col min="25" max="25" width="8.7109375" style="353" customWidth="1"/>
    <col min="26" max="26" width="8.7109375" style="382" customWidth="1"/>
    <col min="27" max="29" width="8.7109375" style="353" customWidth="1"/>
    <col min="30" max="30" width="8.7109375" style="382" customWidth="1"/>
    <col min="31" max="31" width="8.7109375" style="353" customWidth="1"/>
    <col min="32" max="32" width="8.7109375" style="382" customWidth="1"/>
    <col min="33" max="33" width="8.7109375" style="353" customWidth="1"/>
    <col min="34" max="34" width="8.7109375" style="382" customWidth="1"/>
    <col min="35" max="35" width="8.7109375" style="353" customWidth="1"/>
    <col min="36" max="36" width="8.7109375" style="382" customWidth="1"/>
    <col min="37" max="37" width="8.7109375" style="353" customWidth="1"/>
    <col min="38" max="38" width="8.7109375" style="382" customWidth="1"/>
    <col min="39" max="39" width="8.7109375" style="353" customWidth="1"/>
    <col min="40" max="42" width="9.140625" style="352"/>
    <col min="43" max="16384" width="9.140625" style="260"/>
  </cols>
  <sheetData>
    <row r="1" spans="1:42">
      <c r="M1" s="490" t="s">
        <v>249</v>
      </c>
      <c r="AL1" s="490" t="s">
        <v>249</v>
      </c>
      <c r="AN1" s="298"/>
      <c r="AO1" s="298"/>
      <c r="AP1" s="298"/>
    </row>
    <row r="2" spans="1:42" ht="39" customHeight="1">
      <c r="A2" s="3650" t="s">
        <v>879</v>
      </c>
      <c r="B2" s="3650"/>
      <c r="C2" s="3650"/>
      <c r="D2" s="3650"/>
      <c r="E2" s="3650"/>
      <c r="F2" s="3650"/>
      <c r="G2" s="3650"/>
      <c r="H2" s="3650"/>
      <c r="I2" s="3650"/>
      <c r="J2" s="3650"/>
      <c r="K2" s="3650"/>
      <c r="L2" s="3650"/>
      <c r="M2" s="3650"/>
      <c r="N2" s="3650"/>
      <c r="O2" s="1851"/>
      <c r="P2" s="1851"/>
      <c r="Q2" s="1851"/>
      <c r="R2" s="1851"/>
      <c r="S2" s="1851"/>
      <c r="T2" s="1851"/>
      <c r="U2" s="1851"/>
      <c r="V2" s="1851"/>
      <c r="W2" s="1851"/>
      <c r="X2" s="1851"/>
      <c r="Y2" s="1851"/>
      <c r="Z2" s="1851"/>
      <c r="AA2" s="1851"/>
      <c r="AB2" s="1851"/>
      <c r="AC2" s="1851"/>
      <c r="AD2" s="1851"/>
      <c r="AE2" s="1851"/>
      <c r="AF2" s="1851"/>
      <c r="AG2" s="1851"/>
      <c r="AH2" s="1851"/>
      <c r="AI2" s="1851"/>
      <c r="AJ2" s="1851"/>
      <c r="AK2" s="1851"/>
      <c r="AL2" s="1851"/>
      <c r="AN2" s="186"/>
      <c r="AO2" s="298"/>
      <c r="AP2" s="298"/>
    </row>
    <row r="3" spans="1:42" ht="20.25">
      <c r="A3" s="3651" t="str">
        <f>'1. Анкетна карта'!A3:J3</f>
        <v>на "ВОДОСНАБДЯВАНЕ И КАНАЛИЗАЦИЯ ДОБРИЧ" АД, гр. Добрич</v>
      </c>
      <c r="B3" s="3651"/>
      <c r="C3" s="3651"/>
      <c r="D3" s="3651"/>
      <c r="E3" s="3651"/>
      <c r="F3" s="3651"/>
      <c r="G3" s="3651"/>
      <c r="H3" s="3651"/>
      <c r="I3" s="3651"/>
      <c r="J3" s="3651"/>
      <c r="K3" s="3651"/>
      <c r="L3" s="3651"/>
      <c r="M3" s="3651"/>
      <c r="N3" s="3651"/>
      <c r="O3" s="1201"/>
      <c r="P3" s="1201"/>
      <c r="Q3" s="1201"/>
      <c r="R3" s="1201"/>
      <c r="S3" s="1201"/>
      <c r="T3" s="1201"/>
      <c r="U3" s="1201"/>
      <c r="V3" s="1201"/>
      <c r="W3" s="1201"/>
      <c r="X3" s="1201"/>
      <c r="Y3" s="1201"/>
      <c r="Z3" s="1201"/>
      <c r="AA3" s="1201"/>
      <c r="AB3" s="1201"/>
      <c r="AC3" s="1201"/>
      <c r="AD3" s="1201"/>
      <c r="AE3" s="1201"/>
      <c r="AF3" s="1201"/>
      <c r="AG3" s="1201"/>
      <c r="AH3" s="1201"/>
      <c r="AI3" s="1201"/>
      <c r="AJ3" s="1201"/>
      <c r="AK3" s="1201"/>
      <c r="AL3" s="1201"/>
      <c r="AN3" s="186"/>
      <c r="AO3" s="298"/>
      <c r="AP3" s="298"/>
    </row>
    <row r="4" spans="1:42" ht="21" customHeight="1">
      <c r="A4" s="3651" t="str">
        <f>'1. Анкетна карта'!A4:J4</f>
        <v>ЕИК по БУЛСТАТ: 204219357</v>
      </c>
      <c r="B4" s="3651"/>
      <c r="C4" s="3651"/>
      <c r="D4" s="3651"/>
      <c r="E4" s="3651"/>
      <c r="F4" s="3651"/>
      <c r="G4" s="3651"/>
      <c r="H4" s="3651"/>
      <c r="I4" s="3651"/>
      <c r="J4" s="3651"/>
      <c r="K4" s="3651"/>
      <c r="L4" s="3651"/>
      <c r="M4" s="3651"/>
      <c r="N4" s="3651"/>
      <c r="O4" s="1201"/>
      <c r="P4" s="1201"/>
      <c r="Q4" s="1201"/>
      <c r="R4" s="1201"/>
      <c r="S4" s="1201"/>
      <c r="T4" s="1201"/>
      <c r="U4" s="1201"/>
      <c r="V4" s="1201"/>
      <c r="W4" s="1201"/>
      <c r="X4" s="1201"/>
      <c r="Y4" s="1201"/>
      <c r="Z4" s="1201"/>
      <c r="AA4" s="1201"/>
      <c r="AB4" s="1201"/>
      <c r="AC4" s="1201"/>
      <c r="AD4" s="1201"/>
      <c r="AE4" s="1201"/>
      <c r="AF4" s="1201"/>
      <c r="AG4" s="1201"/>
      <c r="AH4" s="1201"/>
      <c r="AI4" s="1201"/>
      <c r="AJ4" s="1201"/>
      <c r="AK4" s="1201"/>
      <c r="AL4" s="1201"/>
      <c r="AN4" s="186"/>
      <c r="AO4" s="298"/>
      <c r="AP4" s="298"/>
    </row>
    <row r="5" spans="1:42" ht="21" customHeight="1">
      <c r="A5" s="612"/>
      <c r="B5" s="612"/>
      <c r="C5" s="3652"/>
      <c r="D5" s="3652"/>
      <c r="E5" s="3652"/>
      <c r="F5" s="3652"/>
      <c r="G5" s="3652"/>
      <c r="H5" s="3652"/>
      <c r="I5" s="3652"/>
      <c r="J5" s="3652"/>
      <c r="K5" s="3652"/>
      <c r="L5" s="612"/>
      <c r="M5" s="612"/>
      <c r="N5" s="612"/>
      <c r="O5" s="612"/>
      <c r="P5" s="612"/>
      <c r="Q5" s="612"/>
      <c r="R5" s="612"/>
      <c r="S5" s="612"/>
      <c r="T5" s="612"/>
      <c r="U5" s="612"/>
      <c r="V5" s="612"/>
      <c r="W5" s="612"/>
      <c r="X5" s="612"/>
      <c r="Y5" s="612"/>
      <c r="Z5" s="612"/>
      <c r="AA5" s="612"/>
      <c r="AB5" s="612"/>
      <c r="AC5" s="612"/>
      <c r="AD5" s="612"/>
      <c r="AE5" s="612"/>
      <c r="AF5" s="612"/>
      <c r="AG5" s="612"/>
      <c r="AH5" s="612"/>
      <c r="AI5" s="612"/>
      <c r="AJ5" s="612"/>
      <c r="AK5" s="612"/>
      <c r="AL5" s="612"/>
      <c r="AN5" s="186"/>
      <c r="AO5" s="298"/>
      <c r="AP5" s="298"/>
    </row>
    <row r="6" spans="1:42" ht="21" customHeight="1">
      <c r="A6" s="612"/>
      <c r="B6" s="612"/>
      <c r="C6" s="3652"/>
      <c r="D6" s="3652"/>
      <c r="E6" s="3652"/>
      <c r="F6" s="3652"/>
      <c r="G6" s="3652"/>
      <c r="H6" s="3652"/>
      <c r="I6" s="3652"/>
      <c r="J6" s="3652"/>
      <c r="K6" s="3652"/>
      <c r="L6" s="612"/>
      <c r="M6" s="612"/>
      <c r="N6" s="612"/>
      <c r="O6" s="612"/>
      <c r="P6" s="612"/>
      <c r="Q6" s="612"/>
      <c r="R6" s="612"/>
      <c r="S6" s="612"/>
      <c r="T6" s="612"/>
      <c r="U6" s="612"/>
      <c r="V6" s="612"/>
      <c r="W6" s="612"/>
      <c r="X6" s="612"/>
      <c r="Y6" s="612"/>
      <c r="Z6" s="612"/>
      <c r="AA6" s="612"/>
      <c r="AB6" s="612"/>
      <c r="AC6" s="612"/>
      <c r="AD6" s="612"/>
      <c r="AE6" s="612"/>
      <c r="AF6" s="612"/>
      <c r="AG6" s="612"/>
      <c r="AH6" s="612"/>
      <c r="AI6" s="612"/>
      <c r="AJ6" s="612"/>
      <c r="AK6" s="612"/>
      <c r="AL6" s="612"/>
      <c r="AN6" s="186"/>
      <c r="AO6" s="298"/>
      <c r="AP6" s="298"/>
    </row>
    <row r="7" spans="1:42" ht="21" customHeight="1" thickBot="1">
      <c r="A7" s="612"/>
      <c r="B7" s="612"/>
      <c r="C7" s="612"/>
      <c r="D7" s="665"/>
      <c r="E7" s="612"/>
      <c r="F7" s="612"/>
      <c r="G7" s="612"/>
      <c r="H7" s="612"/>
      <c r="I7" s="612"/>
      <c r="J7" s="612"/>
      <c r="K7" s="612"/>
      <c r="L7" s="612"/>
      <c r="M7" s="612"/>
      <c r="N7" s="612"/>
      <c r="O7" s="612"/>
      <c r="P7" s="612"/>
      <c r="Q7" s="612"/>
      <c r="R7" s="612"/>
      <c r="S7" s="612"/>
      <c r="T7" s="612"/>
      <c r="U7" s="612"/>
      <c r="V7" s="612"/>
      <c r="W7" s="612"/>
      <c r="X7" s="612"/>
      <c r="Y7" s="612"/>
      <c r="Z7" s="612"/>
      <c r="AA7" s="612"/>
      <c r="AB7" s="612"/>
      <c r="AC7" s="612"/>
      <c r="AD7" s="612"/>
      <c r="AE7" s="612"/>
      <c r="AF7" s="612"/>
      <c r="AG7" s="612"/>
      <c r="AH7" s="612"/>
      <c r="AI7" s="612"/>
      <c r="AJ7" s="612"/>
      <c r="AK7" s="612"/>
      <c r="AL7" s="612"/>
      <c r="AN7" s="186"/>
      <c r="AO7" s="298"/>
      <c r="AP7" s="298"/>
    </row>
    <row r="8" spans="1:42" s="1074" customFormat="1" ht="15.75" customHeight="1" thickBot="1">
      <c r="A8" s="3600" t="s">
        <v>1</v>
      </c>
      <c r="B8" s="3598" t="s">
        <v>286</v>
      </c>
      <c r="C8" s="3624" t="s">
        <v>270</v>
      </c>
      <c r="D8" s="3624"/>
      <c r="E8" s="3624"/>
      <c r="F8" s="3624"/>
      <c r="G8" s="3624"/>
      <c r="H8" s="3624"/>
      <c r="I8" s="3624"/>
      <c r="J8" s="3624"/>
      <c r="K8" s="3624"/>
      <c r="L8" s="3624"/>
      <c r="M8" s="3624"/>
      <c r="N8" s="3624"/>
      <c r="O8" s="3624" t="s">
        <v>271</v>
      </c>
      <c r="P8" s="3624"/>
      <c r="Q8" s="3624"/>
      <c r="R8" s="3624"/>
      <c r="S8" s="3624"/>
      <c r="T8" s="3624"/>
      <c r="U8" s="3624"/>
      <c r="V8" s="3624"/>
      <c r="W8" s="3624"/>
      <c r="X8" s="3624"/>
      <c r="Y8" s="3624"/>
      <c r="Z8" s="3624"/>
      <c r="AA8" s="3624" t="s">
        <v>272</v>
      </c>
      <c r="AB8" s="3624"/>
      <c r="AC8" s="3624"/>
      <c r="AD8" s="3624"/>
      <c r="AE8" s="3624"/>
      <c r="AF8" s="3624"/>
      <c r="AG8" s="3624"/>
      <c r="AH8" s="3624"/>
      <c r="AI8" s="3624"/>
      <c r="AJ8" s="3624"/>
      <c r="AK8" s="3624"/>
      <c r="AL8" s="3624"/>
      <c r="AM8" s="366"/>
      <c r="AN8" s="1072"/>
      <c r="AO8" s="1073"/>
      <c r="AP8" s="1073"/>
    </row>
    <row r="9" spans="1:42" s="1074" customFormat="1">
      <c r="A9" s="3647"/>
      <c r="B9" s="3645"/>
      <c r="C9" s="2085" t="str">
        <f>'Приложение '!$G12</f>
        <v>2015 г.</v>
      </c>
      <c r="D9" s="2087" t="str">
        <f>'Приложение '!$G13</f>
        <v>2016 г.</v>
      </c>
      <c r="E9" s="3640" t="str">
        <f>'Приложение '!$G14</f>
        <v>2017 г.</v>
      </c>
      <c r="F9" s="3641"/>
      <c r="G9" s="3642" t="str">
        <f>'Приложение '!$G15</f>
        <v>2018 г.</v>
      </c>
      <c r="H9" s="3643"/>
      <c r="I9" s="3640" t="str">
        <f>'Приложение '!$G16</f>
        <v>2019 г.</v>
      </c>
      <c r="J9" s="3641"/>
      <c r="K9" s="3642" t="str">
        <f>'Приложение '!$G17</f>
        <v>2020 г.</v>
      </c>
      <c r="L9" s="3643"/>
      <c r="M9" s="3640" t="str">
        <f>'Приложение '!$G18</f>
        <v>2021 г.</v>
      </c>
      <c r="N9" s="3644"/>
      <c r="O9" s="2085" t="str">
        <f>'Приложение '!$G12</f>
        <v>2015 г.</v>
      </c>
      <c r="P9" s="2468" t="str">
        <f>'Приложение '!$G13</f>
        <v>2016 г.</v>
      </c>
      <c r="Q9" s="3640" t="str">
        <f>'Приложение '!$G14</f>
        <v>2017 г.</v>
      </c>
      <c r="R9" s="3641"/>
      <c r="S9" s="3640" t="str">
        <f>'Приложение '!$G15</f>
        <v>2018 г.</v>
      </c>
      <c r="T9" s="3641"/>
      <c r="U9" s="3642" t="str">
        <f>'Приложение '!$G16</f>
        <v>2019 г.</v>
      </c>
      <c r="V9" s="3643"/>
      <c r="W9" s="3640" t="str">
        <f>'Приложение '!$G17</f>
        <v>2020 г.</v>
      </c>
      <c r="X9" s="3641"/>
      <c r="Y9" s="3642" t="str">
        <f>'Приложение '!$G18</f>
        <v>2021 г.</v>
      </c>
      <c r="Z9" s="3649"/>
      <c r="AA9" s="2085" t="str">
        <f>'Приложение '!$G12</f>
        <v>2015 г.</v>
      </c>
      <c r="AB9" s="2087" t="str">
        <f>'Приложение '!$G13</f>
        <v>2016 г.</v>
      </c>
      <c r="AC9" s="3640" t="str">
        <f>'Приложение '!$G14</f>
        <v>2017 г.</v>
      </c>
      <c r="AD9" s="3641"/>
      <c r="AE9" s="3642" t="str">
        <f>'Приложение '!$G15</f>
        <v>2018 г.</v>
      </c>
      <c r="AF9" s="3643"/>
      <c r="AG9" s="3640" t="str">
        <f>'Приложение '!$G16</f>
        <v>2019 г.</v>
      </c>
      <c r="AH9" s="3641"/>
      <c r="AI9" s="3642" t="str">
        <f>'Приложение '!$G17</f>
        <v>2020 г.</v>
      </c>
      <c r="AJ9" s="3643"/>
      <c r="AK9" s="3640" t="str">
        <f>'Приложение '!$G18</f>
        <v>2021 г.</v>
      </c>
      <c r="AL9" s="3644"/>
      <c r="AM9" s="366"/>
      <c r="AN9" s="1072"/>
      <c r="AO9" s="1073"/>
      <c r="AP9" s="1073"/>
    </row>
    <row r="10" spans="1:42" s="339" customFormat="1" ht="25.5" customHeight="1" thickBot="1">
      <c r="A10" s="3648"/>
      <c r="B10" s="3646"/>
      <c r="C10" s="2086"/>
      <c r="D10" s="2088" t="s">
        <v>263</v>
      </c>
      <c r="E10" s="2089" t="s">
        <v>1212</v>
      </c>
      <c r="F10" s="2084" t="s">
        <v>1213</v>
      </c>
      <c r="G10" s="2460" t="s">
        <v>1212</v>
      </c>
      <c r="H10" s="2463" t="s">
        <v>1213</v>
      </c>
      <c r="I10" s="2089" t="s">
        <v>1212</v>
      </c>
      <c r="J10" s="2084" t="s">
        <v>1213</v>
      </c>
      <c r="K10" s="2460" t="s">
        <v>1212</v>
      </c>
      <c r="L10" s="2463" t="s">
        <v>1213</v>
      </c>
      <c r="M10" s="2089" t="s">
        <v>1212</v>
      </c>
      <c r="N10" s="2084" t="s">
        <v>1213</v>
      </c>
      <c r="O10" s="2086"/>
      <c r="P10" s="2086" t="s">
        <v>263</v>
      </c>
      <c r="Q10" s="2089" t="s">
        <v>1212</v>
      </c>
      <c r="R10" s="2084" t="s">
        <v>1213</v>
      </c>
      <c r="S10" s="2089" t="s">
        <v>1212</v>
      </c>
      <c r="T10" s="2084" t="s">
        <v>1213</v>
      </c>
      <c r="U10" s="2460" t="s">
        <v>1212</v>
      </c>
      <c r="V10" s="2463" t="s">
        <v>1213</v>
      </c>
      <c r="W10" s="2089" t="s">
        <v>1212</v>
      </c>
      <c r="X10" s="2084" t="s">
        <v>1213</v>
      </c>
      <c r="Y10" s="2460" t="s">
        <v>1212</v>
      </c>
      <c r="Z10" s="2463" t="s">
        <v>1213</v>
      </c>
      <c r="AA10" s="2086"/>
      <c r="AB10" s="2088" t="s">
        <v>263</v>
      </c>
      <c r="AC10" s="2089" t="s">
        <v>1212</v>
      </c>
      <c r="AD10" s="2084" t="s">
        <v>1213</v>
      </c>
      <c r="AE10" s="2460" t="s">
        <v>1212</v>
      </c>
      <c r="AF10" s="2463" t="s">
        <v>1213</v>
      </c>
      <c r="AG10" s="2089" t="s">
        <v>1212</v>
      </c>
      <c r="AH10" s="2084" t="s">
        <v>1213</v>
      </c>
      <c r="AI10" s="2460" t="s">
        <v>1212</v>
      </c>
      <c r="AJ10" s="2463" t="s">
        <v>1213</v>
      </c>
      <c r="AK10" s="2089" t="s">
        <v>1212</v>
      </c>
      <c r="AL10" s="2084" t="s">
        <v>1213</v>
      </c>
      <c r="AM10" s="353"/>
      <c r="AN10" s="186"/>
      <c r="AO10" s="298"/>
      <c r="AP10" s="298"/>
    </row>
    <row r="11" spans="1:42" ht="15.75" thickBot="1">
      <c r="A11" s="1029" t="s">
        <v>193</v>
      </c>
      <c r="B11" s="1030" t="s">
        <v>289</v>
      </c>
      <c r="C11" s="2450">
        <f>SUM(C12:C27)-C12-C18-C24</f>
        <v>10326</v>
      </c>
      <c r="D11" s="2454">
        <f t="shared" ref="D11:AA11" si="0">SUM(D12:D27)-D12-D18-D24</f>
        <v>9340</v>
      </c>
      <c r="E11" s="2451">
        <f t="shared" si="0"/>
        <v>0</v>
      </c>
      <c r="F11" s="2452">
        <f t="shared" si="0"/>
        <v>-1976.6</v>
      </c>
      <c r="G11" s="2453">
        <f t="shared" si="0"/>
        <v>0</v>
      </c>
      <c r="H11" s="2464">
        <f t="shared" si="0"/>
        <v>-2184.4</v>
      </c>
      <c r="I11" s="2451">
        <f t="shared" si="0"/>
        <v>0</v>
      </c>
      <c r="J11" s="2452">
        <f t="shared" si="0"/>
        <v>-2640.6</v>
      </c>
      <c r="K11" s="2453">
        <f t="shared" si="0"/>
        <v>0</v>
      </c>
      <c r="L11" s="2464">
        <f t="shared" si="0"/>
        <v>-3005</v>
      </c>
      <c r="M11" s="2451">
        <f t="shared" si="0"/>
        <v>0</v>
      </c>
      <c r="N11" s="2452">
        <f t="shared" si="0"/>
        <v>-3367.2</v>
      </c>
      <c r="O11" s="2450">
        <f t="shared" si="0"/>
        <v>229</v>
      </c>
      <c r="P11" s="2450">
        <f>SUM(P12:P27)-P12-P18-P24</f>
        <v>247</v>
      </c>
      <c r="Q11" s="2451">
        <f t="shared" ref="Q11:Z11" si="1">SUM(Q12:Q27)-Q12-Q18-Q24</f>
        <v>0</v>
      </c>
      <c r="R11" s="2452">
        <f t="shared" si="1"/>
        <v>-13</v>
      </c>
      <c r="S11" s="2451">
        <f t="shared" si="1"/>
        <v>0</v>
      </c>
      <c r="T11" s="2452">
        <f t="shared" si="1"/>
        <v>-13</v>
      </c>
      <c r="U11" s="2453">
        <f t="shared" si="1"/>
        <v>0</v>
      </c>
      <c r="V11" s="2464">
        <f t="shared" si="1"/>
        <v>-13</v>
      </c>
      <c r="W11" s="2451">
        <f t="shared" si="1"/>
        <v>0</v>
      </c>
      <c r="X11" s="2452">
        <f t="shared" si="1"/>
        <v>-13</v>
      </c>
      <c r="Y11" s="2453">
        <f t="shared" si="1"/>
        <v>0</v>
      </c>
      <c r="Z11" s="2464">
        <f t="shared" si="1"/>
        <v>-13</v>
      </c>
      <c r="AA11" s="2450">
        <f t="shared" si="0"/>
        <v>638</v>
      </c>
      <c r="AB11" s="2470">
        <f>SUM(AB12:AB27)-AB12-AB18-AB24</f>
        <v>624</v>
      </c>
      <c r="AC11" s="2451">
        <f t="shared" ref="AC11:AL11" si="2">SUM(AC12:AC27)-AC12-AC18-AC24</f>
        <v>20</v>
      </c>
      <c r="AD11" s="2452">
        <f t="shared" si="2"/>
        <v>-124</v>
      </c>
      <c r="AE11" s="2453">
        <f t="shared" si="2"/>
        <v>27</v>
      </c>
      <c r="AF11" s="2464">
        <f t="shared" si="2"/>
        <v>-130</v>
      </c>
      <c r="AG11" s="2451">
        <f t="shared" si="2"/>
        <v>27</v>
      </c>
      <c r="AH11" s="2452">
        <f t="shared" si="2"/>
        <v>-136</v>
      </c>
      <c r="AI11" s="2453">
        <f t="shared" si="2"/>
        <v>27</v>
      </c>
      <c r="AJ11" s="2464">
        <f t="shared" si="2"/>
        <v>-141</v>
      </c>
      <c r="AK11" s="2451">
        <f t="shared" si="2"/>
        <v>27</v>
      </c>
      <c r="AL11" s="2452">
        <f t="shared" si="2"/>
        <v>-147</v>
      </c>
      <c r="AN11" s="186"/>
      <c r="AO11" s="298"/>
      <c r="AP11" s="298"/>
    </row>
    <row r="12" spans="1:42">
      <c r="A12" s="1035" t="s">
        <v>98</v>
      </c>
      <c r="B12" s="1036" t="s">
        <v>290</v>
      </c>
      <c r="C12" s="2455">
        <f>SUM(C13:C16)</f>
        <v>41</v>
      </c>
      <c r="D12" s="2456">
        <f t="shared" ref="D12:AL12" si="3">SUM(D13:D16)</f>
        <v>60</v>
      </c>
      <c r="E12" s="1037">
        <f>SUM(E13:E16)</f>
        <v>0</v>
      </c>
      <c r="F12" s="1038">
        <f t="shared" si="3"/>
        <v>0</v>
      </c>
      <c r="G12" s="2461">
        <f t="shared" si="3"/>
        <v>0</v>
      </c>
      <c r="H12" s="2465">
        <f t="shared" si="3"/>
        <v>0</v>
      </c>
      <c r="I12" s="1037">
        <f t="shared" si="3"/>
        <v>0</v>
      </c>
      <c r="J12" s="1038">
        <f t="shared" si="3"/>
        <v>0</v>
      </c>
      <c r="K12" s="2461">
        <f t="shared" si="3"/>
        <v>0</v>
      </c>
      <c r="L12" s="2465">
        <f t="shared" si="3"/>
        <v>0</v>
      </c>
      <c r="M12" s="1037">
        <f t="shared" si="3"/>
        <v>0</v>
      </c>
      <c r="N12" s="1038">
        <f t="shared" si="3"/>
        <v>0</v>
      </c>
      <c r="O12" s="2455">
        <f t="shared" si="3"/>
        <v>4</v>
      </c>
      <c r="P12" s="2469">
        <f t="shared" si="3"/>
        <v>2</v>
      </c>
      <c r="Q12" s="1037">
        <f t="shared" si="3"/>
        <v>0</v>
      </c>
      <c r="R12" s="1038">
        <f t="shared" si="3"/>
        <v>0</v>
      </c>
      <c r="S12" s="1037">
        <f t="shared" si="3"/>
        <v>0</v>
      </c>
      <c r="T12" s="1038">
        <f t="shared" si="3"/>
        <v>0</v>
      </c>
      <c r="U12" s="2461">
        <f t="shared" si="3"/>
        <v>0</v>
      </c>
      <c r="V12" s="2465">
        <f t="shared" si="3"/>
        <v>0</v>
      </c>
      <c r="W12" s="1037">
        <f t="shared" si="3"/>
        <v>0</v>
      </c>
      <c r="X12" s="1038">
        <f t="shared" si="3"/>
        <v>0</v>
      </c>
      <c r="Y12" s="2461">
        <f t="shared" si="3"/>
        <v>0</v>
      </c>
      <c r="Z12" s="2465">
        <f t="shared" si="3"/>
        <v>0</v>
      </c>
      <c r="AA12" s="2455">
        <f>SUM(AA13:AA16)</f>
        <v>4</v>
      </c>
      <c r="AB12" s="2471">
        <f t="shared" si="3"/>
        <v>4</v>
      </c>
      <c r="AC12" s="1037">
        <f t="shared" si="3"/>
        <v>0</v>
      </c>
      <c r="AD12" s="1038">
        <f t="shared" si="3"/>
        <v>0</v>
      </c>
      <c r="AE12" s="2461">
        <f t="shared" si="3"/>
        <v>0</v>
      </c>
      <c r="AF12" s="2465">
        <f t="shared" si="3"/>
        <v>0</v>
      </c>
      <c r="AG12" s="1037">
        <f t="shared" si="3"/>
        <v>0</v>
      </c>
      <c r="AH12" s="1038">
        <f t="shared" si="3"/>
        <v>0</v>
      </c>
      <c r="AI12" s="2461">
        <f t="shared" si="3"/>
        <v>0</v>
      </c>
      <c r="AJ12" s="2465">
        <f t="shared" si="3"/>
        <v>0</v>
      </c>
      <c r="AK12" s="1037">
        <f t="shared" si="3"/>
        <v>0</v>
      </c>
      <c r="AL12" s="1038">
        <f t="shared" si="3"/>
        <v>0</v>
      </c>
      <c r="AN12" s="186"/>
      <c r="AO12" s="298"/>
      <c r="AP12" s="298"/>
    </row>
    <row r="13" spans="1:42">
      <c r="A13" s="1035" t="s">
        <v>484</v>
      </c>
      <c r="B13" s="1046" t="s">
        <v>291</v>
      </c>
      <c r="C13" s="2250">
        <v>41</v>
      </c>
      <c r="D13" s="2457">
        <v>60</v>
      </c>
      <c r="E13" s="785"/>
      <c r="F13" s="795"/>
      <c r="G13" s="799"/>
      <c r="H13" s="2421"/>
      <c r="I13" s="785"/>
      <c r="J13" s="795"/>
      <c r="K13" s="799"/>
      <c r="L13" s="2421"/>
      <c r="M13" s="785"/>
      <c r="N13" s="795"/>
      <c r="O13" s="2250">
        <v>4</v>
      </c>
      <c r="P13" s="2250">
        <v>2</v>
      </c>
      <c r="Q13" s="785"/>
      <c r="R13" s="795"/>
      <c r="S13" s="785"/>
      <c r="T13" s="785"/>
      <c r="U13" s="799"/>
      <c r="V13" s="2421"/>
      <c r="W13" s="785"/>
      <c r="X13" s="795"/>
      <c r="Y13" s="799"/>
      <c r="Z13" s="2421"/>
      <c r="AA13" s="2250">
        <v>4</v>
      </c>
      <c r="AB13" s="2457">
        <v>4</v>
      </c>
      <c r="AC13" s="785"/>
      <c r="AD13" s="795"/>
      <c r="AE13" s="799"/>
      <c r="AF13" s="2421"/>
      <c r="AG13" s="785"/>
      <c r="AH13" s="795"/>
      <c r="AI13" s="799"/>
      <c r="AJ13" s="2421"/>
      <c r="AK13" s="785"/>
      <c r="AL13" s="795"/>
      <c r="AN13" s="186"/>
      <c r="AO13" s="298"/>
      <c r="AP13" s="298"/>
    </row>
    <row r="14" spans="1:42">
      <c r="A14" s="1035" t="s">
        <v>485</v>
      </c>
      <c r="B14" s="1039" t="s">
        <v>292</v>
      </c>
      <c r="C14" s="2250">
        <v>0</v>
      </c>
      <c r="D14" s="2457">
        <v>0</v>
      </c>
      <c r="E14" s="785"/>
      <c r="F14" s="795"/>
      <c r="G14" s="799"/>
      <c r="H14" s="2421"/>
      <c r="I14" s="785"/>
      <c r="J14" s="795"/>
      <c r="K14" s="799"/>
      <c r="L14" s="2421"/>
      <c r="M14" s="785"/>
      <c r="N14" s="795"/>
      <c r="O14" s="2250"/>
      <c r="P14" s="2250"/>
      <c r="Q14" s="785"/>
      <c r="R14" s="795"/>
      <c r="S14" s="785"/>
      <c r="T14" s="795"/>
      <c r="U14" s="799"/>
      <c r="V14" s="2421"/>
      <c r="W14" s="785"/>
      <c r="X14" s="795"/>
      <c r="Y14" s="799"/>
      <c r="Z14" s="2421"/>
      <c r="AA14" s="2250"/>
      <c r="AB14" s="2457"/>
      <c r="AC14" s="785"/>
      <c r="AD14" s="795"/>
      <c r="AE14" s="799"/>
      <c r="AF14" s="2421"/>
      <c r="AG14" s="785"/>
      <c r="AH14" s="795"/>
      <c r="AI14" s="799"/>
      <c r="AJ14" s="2421"/>
      <c r="AK14" s="785"/>
      <c r="AL14" s="795"/>
      <c r="AN14" s="186"/>
      <c r="AO14" s="298"/>
      <c r="AP14" s="298"/>
    </row>
    <row r="15" spans="1:42">
      <c r="A15" s="1035" t="s">
        <v>486</v>
      </c>
      <c r="B15" s="1039" t="s">
        <v>293</v>
      </c>
      <c r="C15" s="2250">
        <v>0</v>
      </c>
      <c r="D15" s="2457">
        <v>0</v>
      </c>
      <c r="E15" s="785"/>
      <c r="F15" s="795"/>
      <c r="G15" s="799"/>
      <c r="H15" s="2421"/>
      <c r="I15" s="785"/>
      <c r="J15" s="795"/>
      <c r="K15" s="799"/>
      <c r="L15" s="2421"/>
      <c r="M15" s="785"/>
      <c r="N15" s="795"/>
      <c r="O15" s="2250"/>
      <c r="P15" s="2250"/>
      <c r="Q15" s="785"/>
      <c r="R15" s="795"/>
      <c r="S15" s="785"/>
      <c r="T15" s="795"/>
      <c r="U15" s="799"/>
      <c r="V15" s="2421"/>
      <c r="W15" s="785"/>
      <c r="X15" s="795"/>
      <c r="Y15" s="799"/>
      <c r="Z15" s="2421"/>
      <c r="AA15" s="2250"/>
      <c r="AB15" s="2457"/>
      <c r="AC15" s="785"/>
      <c r="AD15" s="795"/>
      <c r="AE15" s="799"/>
      <c r="AF15" s="2421"/>
      <c r="AG15" s="785"/>
      <c r="AH15" s="795"/>
      <c r="AI15" s="799"/>
      <c r="AJ15" s="2421"/>
      <c r="AK15" s="785"/>
      <c r="AL15" s="795"/>
      <c r="AN15" s="186"/>
      <c r="AO15" s="298"/>
      <c r="AP15" s="298"/>
    </row>
    <row r="16" spans="1:42">
      <c r="A16" s="1035" t="s">
        <v>487</v>
      </c>
      <c r="B16" s="1039" t="s">
        <v>294</v>
      </c>
      <c r="C16" s="2250">
        <v>0</v>
      </c>
      <c r="D16" s="2457">
        <v>0</v>
      </c>
      <c r="E16" s="785"/>
      <c r="F16" s="795"/>
      <c r="G16" s="799"/>
      <c r="H16" s="2421"/>
      <c r="I16" s="785"/>
      <c r="J16" s="795"/>
      <c r="K16" s="799"/>
      <c r="L16" s="2421"/>
      <c r="M16" s="785"/>
      <c r="N16" s="795"/>
      <c r="O16" s="2250"/>
      <c r="P16" s="2250"/>
      <c r="Q16" s="785"/>
      <c r="R16" s="795"/>
      <c r="S16" s="785"/>
      <c r="T16" s="795"/>
      <c r="U16" s="799"/>
      <c r="V16" s="2421"/>
      <c r="W16" s="785"/>
      <c r="X16" s="795"/>
      <c r="Y16" s="799"/>
      <c r="Z16" s="2421"/>
      <c r="AA16" s="2250"/>
      <c r="AB16" s="2457"/>
      <c r="AC16" s="785"/>
      <c r="AD16" s="795"/>
      <c r="AE16" s="799"/>
      <c r="AF16" s="2421"/>
      <c r="AG16" s="785"/>
      <c r="AH16" s="795"/>
      <c r="AI16" s="799"/>
      <c r="AJ16" s="2421"/>
      <c r="AK16" s="785"/>
      <c r="AL16" s="795"/>
      <c r="AN16" s="186"/>
      <c r="AO16" s="298"/>
      <c r="AP16" s="298"/>
    </row>
    <row r="17" spans="1:42">
      <c r="A17" s="1035" t="s">
        <v>99</v>
      </c>
      <c r="B17" s="1040" t="s">
        <v>295</v>
      </c>
      <c r="C17" s="2250">
        <f>8764-33</f>
        <v>8731</v>
      </c>
      <c r="D17" s="2457">
        <f>8764-35</f>
        <v>8729</v>
      </c>
      <c r="E17" s="785"/>
      <c r="F17" s="795">
        <v>-1839</v>
      </c>
      <c r="G17" s="799"/>
      <c r="H17" s="2421">
        <v>-1998</v>
      </c>
      <c r="I17" s="785"/>
      <c r="J17" s="795">
        <v>-2323</v>
      </c>
      <c r="K17" s="799"/>
      <c r="L17" s="2421">
        <v>-2569</v>
      </c>
      <c r="M17" s="785"/>
      <c r="N17" s="795">
        <v>-2796</v>
      </c>
      <c r="O17" s="2250">
        <v>90</v>
      </c>
      <c r="P17" s="2250">
        <v>90</v>
      </c>
      <c r="Q17" s="785"/>
      <c r="R17" s="795">
        <v>-13</v>
      </c>
      <c r="S17" s="785"/>
      <c r="T17" s="795">
        <v>-13</v>
      </c>
      <c r="U17" s="799"/>
      <c r="V17" s="2421">
        <v>-13</v>
      </c>
      <c r="W17" s="785"/>
      <c r="X17" s="795">
        <v>-13</v>
      </c>
      <c r="Y17" s="799"/>
      <c r="Z17" s="2421">
        <v>-13</v>
      </c>
      <c r="AA17" s="2250">
        <v>548</v>
      </c>
      <c r="AB17" s="2457">
        <v>548</v>
      </c>
      <c r="AC17" s="785">
        <v>20</v>
      </c>
      <c r="AD17" s="795">
        <v>-124</v>
      </c>
      <c r="AE17" s="799">
        <v>27</v>
      </c>
      <c r="AF17" s="2421">
        <v>-130</v>
      </c>
      <c r="AG17" s="785">
        <v>27</v>
      </c>
      <c r="AH17" s="795">
        <v>-136</v>
      </c>
      <c r="AI17" s="799">
        <v>27</v>
      </c>
      <c r="AJ17" s="2421">
        <v>-141</v>
      </c>
      <c r="AK17" s="785">
        <v>27</v>
      </c>
      <c r="AL17" s="795">
        <v>-147</v>
      </c>
      <c r="AN17" s="186"/>
      <c r="AO17" s="298"/>
      <c r="AP17" s="298"/>
    </row>
    <row r="18" spans="1:42">
      <c r="A18" s="1041" t="s">
        <v>101</v>
      </c>
      <c r="B18" s="1042" t="s">
        <v>296</v>
      </c>
      <c r="C18" s="1043">
        <f>SUM(C19:C20)</f>
        <v>396</v>
      </c>
      <c r="D18" s="2458">
        <f t="shared" ref="D18:N18" si="4">SUM(D19:D20)</f>
        <v>429</v>
      </c>
      <c r="E18" s="1044">
        <f t="shared" si="4"/>
        <v>0</v>
      </c>
      <c r="F18" s="1045">
        <f t="shared" si="4"/>
        <v>0</v>
      </c>
      <c r="G18" s="2462">
        <f t="shared" si="4"/>
        <v>0</v>
      </c>
      <c r="H18" s="2466">
        <f t="shared" si="4"/>
        <v>0</v>
      </c>
      <c r="I18" s="1044">
        <f t="shared" si="4"/>
        <v>0</v>
      </c>
      <c r="J18" s="1045">
        <f t="shared" si="4"/>
        <v>0</v>
      </c>
      <c r="K18" s="2462">
        <f t="shared" si="4"/>
        <v>0</v>
      </c>
      <c r="L18" s="2466">
        <f t="shared" si="4"/>
        <v>0</v>
      </c>
      <c r="M18" s="1044">
        <f t="shared" si="4"/>
        <v>0</v>
      </c>
      <c r="N18" s="1045">
        <f t="shared" si="4"/>
        <v>0</v>
      </c>
      <c r="O18" s="1043">
        <f>SUM(O19:O20)</f>
        <v>93</v>
      </c>
      <c r="P18" s="1043">
        <f t="shared" ref="P18:Z18" si="5">SUM(P19:P20)</f>
        <v>115</v>
      </c>
      <c r="Q18" s="1044">
        <f t="shared" si="5"/>
        <v>0</v>
      </c>
      <c r="R18" s="1045">
        <f t="shared" si="5"/>
        <v>0</v>
      </c>
      <c r="S18" s="1044">
        <f t="shared" si="5"/>
        <v>0</v>
      </c>
      <c r="T18" s="1045">
        <f t="shared" si="5"/>
        <v>0</v>
      </c>
      <c r="U18" s="2462">
        <f t="shared" si="5"/>
        <v>0</v>
      </c>
      <c r="V18" s="2466">
        <f t="shared" si="5"/>
        <v>0</v>
      </c>
      <c r="W18" s="1044">
        <f t="shared" si="5"/>
        <v>0</v>
      </c>
      <c r="X18" s="1045">
        <f t="shared" si="5"/>
        <v>0</v>
      </c>
      <c r="Y18" s="2462">
        <f t="shared" si="5"/>
        <v>0</v>
      </c>
      <c r="Z18" s="2466">
        <f t="shared" si="5"/>
        <v>0</v>
      </c>
      <c r="AA18" s="1043">
        <f>SUM(AA19:AA20)</f>
        <v>36</v>
      </c>
      <c r="AB18" s="2458">
        <f t="shared" ref="AB18:AL18" si="6">SUM(AB19:AB20)</f>
        <v>43</v>
      </c>
      <c r="AC18" s="1044">
        <f t="shared" si="6"/>
        <v>0</v>
      </c>
      <c r="AD18" s="1045">
        <f t="shared" si="6"/>
        <v>0</v>
      </c>
      <c r="AE18" s="2462">
        <f t="shared" si="6"/>
        <v>0</v>
      </c>
      <c r="AF18" s="2466">
        <f t="shared" si="6"/>
        <v>0</v>
      </c>
      <c r="AG18" s="1044">
        <f t="shared" si="6"/>
        <v>0</v>
      </c>
      <c r="AH18" s="1045">
        <f t="shared" si="6"/>
        <v>0</v>
      </c>
      <c r="AI18" s="2462">
        <f t="shared" si="6"/>
        <v>0</v>
      </c>
      <c r="AJ18" s="2466">
        <f t="shared" si="6"/>
        <v>0</v>
      </c>
      <c r="AK18" s="1044">
        <f t="shared" si="6"/>
        <v>0</v>
      </c>
      <c r="AL18" s="1045">
        <f t="shared" si="6"/>
        <v>0</v>
      </c>
      <c r="AN18" s="186"/>
      <c r="AO18" s="298"/>
      <c r="AP18" s="298"/>
    </row>
    <row r="19" spans="1:42">
      <c r="A19" s="1041" t="s">
        <v>297</v>
      </c>
      <c r="B19" s="1046" t="s">
        <v>298</v>
      </c>
      <c r="C19" s="2250">
        <v>0</v>
      </c>
      <c r="D19" s="2457">
        <v>0</v>
      </c>
      <c r="E19" s="785"/>
      <c r="F19" s="795"/>
      <c r="G19" s="799"/>
      <c r="H19" s="2421"/>
      <c r="I19" s="785"/>
      <c r="J19" s="795"/>
      <c r="K19" s="799"/>
      <c r="L19" s="2421"/>
      <c r="M19" s="785"/>
      <c r="N19" s="795"/>
      <c r="O19" s="2250"/>
      <c r="P19" s="2250"/>
      <c r="Q19" s="785"/>
      <c r="R19" s="795"/>
      <c r="S19" s="785"/>
      <c r="T19" s="795"/>
      <c r="U19" s="799"/>
      <c r="V19" s="2421"/>
      <c r="W19" s="785"/>
      <c r="X19" s="795"/>
      <c r="Y19" s="799"/>
      <c r="Z19" s="2421"/>
      <c r="AA19" s="2250"/>
      <c r="AB19" s="2457"/>
      <c r="AC19" s="785"/>
      <c r="AD19" s="795"/>
      <c r="AE19" s="799"/>
      <c r="AF19" s="2421"/>
      <c r="AG19" s="785"/>
      <c r="AH19" s="795"/>
      <c r="AI19" s="799"/>
      <c r="AJ19" s="2421"/>
      <c r="AK19" s="785"/>
      <c r="AL19" s="795"/>
      <c r="AM19" s="491"/>
      <c r="AN19" s="186"/>
      <c r="AO19" s="298"/>
      <c r="AP19" s="298"/>
    </row>
    <row r="20" spans="1:42">
      <c r="A20" s="1041" t="s">
        <v>608</v>
      </c>
      <c r="B20" s="1046" t="s">
        <v>299</v>
      </c>
      <c r="C20" s="2250">
        <v>396</v>
      </c>
      <c r="D20" s="2457">
        <v>429</v>
      </c>
      <c r="E20" s="785"/>
      <c r="F20" s="795"/>
      <c r="G20" s="799"/>
      <c r="H20" s="2421"/>
      <c r="I20" s="785"/>
      <c r="J20" s="795"/>
      <c r="K20" s="799"/>
      <c r="L20" s="2421"/>
      <c r="M20" s="785"/>
      <c r="N20" s="795"/>
      <c r="O20" s="2250">
        <v>93</v>
      </c>
      <c r="P20" s="2250">
        <v>115</v>
      </c>
      <c r="Q20" s="785"/>
      <c r="R20" s="795"/>
      <c r="S20" s="785"/>
      <c r="T20" s="795"/>
      <c r="U20" s="799"/>
      <c r="V20" s="2421"/>
      <c r="W20" s="785"/>
      <c r="X20" s="795"/>
      <c r="Y20" s="799"/>
      <c r="Z20" s="2421"/>
      <c r="AA20" s="2250">
        <v>36</v>
      </c>
      <c r="AB20" s="2457">
        <v>43</v>
      </c>
      <c r="AC20" s="785"/>
      <c r="AD20" s="795"/>
      <c r="AE20" s="799"/>
      <c r="AF20" s="2421"/>
      <c r="AG20" s="785"/>
      <c r="AH20" s="795"/>
      <c r="AI20" s="799"/>
      <c r="AJ20" s="2421"/>
      <c r="AK20" s="785"/>
      <c r="AL20" s="795"/>
      <c r="AM20" s="491"/>
      <c r="AN20" s="186"/>
      <c r="AO20" s="298"/>
      <c r="AP20" s="298"/>
    </row>
    <row r="21" spans="1:42">
      <c r="A21" s="1041" t="s">
        <v>197</v>
      </c>
      <c r="B21" s="1042" t="s">
        <v>300</v>
      </c>
      <c r="C21" s="2250">
        <v>4</v>
      </c>
      <c r="D21" s="2457">
        <v>4</v>
      </c>
      <c r="E21" s="785"/>
      <c r="F21" s="795"/>
      <c r="G21" s="799"/>
      <c r="H21" s="2421"/>
      <c r="I21" s="785"/>
      <c r="J21" s="795"/>
      <c r="K21" s="799"/>
      <c r="L21" s="2421"/>
      <c r="M21" s="785"/>
      <c r="N21" s="795"/>
      <c r="O21" s="2250">
        <v>0</v>
      </c>
      <c r="P21" s="2250">
        <v>1</v>
      </c>
      <c r="Q21" s="785"/>
      <c r="R21" s="795"/>
      <c r="S21" s="785"/>
      <c r="T21" s="795"/>
      <c r="U21" s="799"/>
      <c r="V21" s="2421"/>
      <c r="W21" s="785"/>
      <c r="X21" s="795"/>
      <c r="Y21" s="799"/>
      <c r="Z21" s="2421"/>
      <c r="AA21" s="2250"/>
      <c r="AB21" s="2457"/>
      <c r="AC21" s="785"/>
      <c r="AD21" s="795"/>
      <c r="AE21" s="799"/>
      <c r="AF21" s="2421"/>
      <c r="AG21" s="785"/>
      <c r="AH21" s="795"/>
      <c r="AI21" s="799"/>
      <c r="AJ21" s="2421"/>
      <c r="AK21" s="785"/>
      <c r="AL21" s="795"/>
      <c r="AM21" s="365"/>
      <c r="AN21" s="186"/>
      <c r="AO21" s="298"/>
      <c r="AP21" s="298"/>
    </row>
    <row r="22" spans="1:42">
      <c r="A22" s="1041" t="s">
        <v>199</v>
      </c>
      <c r="B22" s="1042" t="s">
        <v>301</v>
      </c>
      <c r="C22" s="2250">
        <v>17</v>
      </c>
      <c r="D22" s="2457">
        <v>15</v>
      </c>
      <c r="E22" s="785"/>
      <c r="F22" s="795"/>
      <c r="G22" s="799"/>
      <c r="H22" s="2421"/>
      <c r="I22" s="785"/>
      <c r="J22" s="795"/>
      <c r="K22" s="799"/>
      <c r="L22" s="2421"/>
      <c r="M22" s="785"/>
      <c r="N22" s="795"/>
      <c r="O22" s="2250">
        <v>8</v>
      </c>
      <c r="P22" s="2250">
        <v>10</v>
      </c>
      <c r="Q22" s="785"/>
      <c r="R22" s="795"/>
      <c r="S22" s="785"/>
      <c r="T22" s="795"/>
      <c r="U22" s="799"/>
      <c r="V22" s="2421"/>
      <c r="W22" s="785"/>
      <c r="X22" s="795"/>
      <c r="Y22" s="799"/>
      <c r="Z22" s="2421"/>
      <c r="AA22" s="2250">
        <v>7</v>
      </c>
      <c r="AB22" s="2457">
        <v>3</v>
      </c>
      <c r="AC22" s="785"/>
      <c r="AD22" s="795"/>
      <c r="AE22" s="799"/>
      <c r="AF22" s="2421"/>
      <c r="AG22" s="785"/>
      <c r="AH22" s="795"/>
      <c r="AI22" s="799"/>
      <c r="AJ22" s="2421"/>
      <c r="AK22" s="785"/>
      <c r="AL22" s="795"/>
      <c r="AM22" s="365"/>
      <c r="AN22" s="186"/>
      <c r="AO22" s="298"/>
      <c r="AP22" s="298"/>
    </row>
    <row r="23" spans="1:42">
      <c r="A23" s="1041" t="s">
        <v>201</v>
      </c>
      <c r="B23" s="1042" t="s">
        <v>860</v>
      </c>
      <c r="C23" s="2250">
        <v>1034</v>
      </c>
      <c r="D23" s="2457">
        <v>0</v>
      </c>
      <c r="E23" s="785"/>
      <c r="F23" s="795">
        <f>-172*0.8</f>
        <v>-137.6</v>
      </c>
      <c r="G23" s="799"/>
      <c r="H23" s="2421">
        <f>-233*0.8</f>
        <v>-186.4</v>
      </c>
      <c r="I23" s="785"/>
      <c r="J23" s="795">
        <f>-397*0.8</f>
        <v>-317.60000000000002</v>
      </c>
      <c r="K23" s="799"/>
      <c r="L23" s="2421">
        <f>-545*0.8</f>
        <v>-436</v>
      </c>
      <c r="M23" s="785"/>
      <c r="N23" s="795">
        <f>-714*0.8</f>
        <v>-571.20000000000005</v>
      </c>
      <c r="O23" s="2250">
        <v>23</v>
      </c>
      <c r="P23" s="2250">
        <v>14</v>
      </c>
      <c r="Q23" s="785"/>
      <c r="R23" s="795"/>
      <c r="S23" s="785"/>
      <c r="T23" s="795"/>
      <c r="U23" s="799"/>
      <c r="V23" s="2421"/>
      <c r="W23" s="785"/>
      <c r="X23" s="795"/>
      <c r="Y23" s="799"/>
      <c r="Z23" s="2421"/>
      <c r="AA23" s="2250">
        <v>20</v>
      </c>
      <c r="AB23" s="2457">
        <v>3</v>
      </c>
      <c r="AC23" s="785"/>
      <c r="AD23" s="795"/>
      <c r="AE23" s="799"/>
      <c r="AF23" s="2421"/>
      <c r="AG23" s="785"/>
      <c r="AH23" s="795"/>
      <c r="AI23" s="799"/>
      <c r="AJ23" s="2421"/>
      <c r="AK23" s="785"/>
      <c r="AL23" s="795"/>
      <c r="AM23" s="365"/>
      <c r="AN23" s="186"/>
      <c r="AO23" s="298"/>
      <c r="AP23" s="298"/>
    </row>
    <row r="24" spans="1:42">
      <c r="A24" s="1041" t="s">
        <v>203</v>
      </c>
      <c r="B24" s="1042" t="s">
        <v>609</v>
      </c>
      <c r="C24" s="1043">
        <f>SUM(C25:C27)</f>
        <v>103</v>
      </c>
      <c r="D24" s="2458">
        <f>SUM(D25:D27)</f>
        <v>103</v>
      </c>
      <c r="E24" s="1044">
        <f t="shared" ref="E24:N24" si="7">SUM(E25:E27)</f>
        <v>0</v>
      </c>
      <c r="F24" s="1045">
        <f t="shared" si="7"/>
        <v>0</v>
      </c>
      <c r="G24" s="2462">
        <f t="shared" si="7"/>
        <v>0</v>
      </c>
      <c r="H24" s="2466">
        <f t="shared" si="7"/>
        <v>0</v>
      </c>
      <c r="I24" s="1044">
        <f t="shared" si="7"/>
        <v>0</v>
      </c>
      <c r="J24" s="1045">
        <f t="shared" si="7"/>
        <v>0</v>
      </c>
      <c r="K24" s="2462">
        <f t="shared" si="7"/>
        <v>0</v>
      </c>
      <c r="L24" s="2466">
        <f t="shared" si="7"/>
        <v>0</v>
      </c>
      <c r="M24" s="1044">
        <f t="shared" si="7"/>
        <v>0</v>
      </c>
      <c r="N24" s="1045">
        <f t="shared" si="7"/>
        <v>0</v>
      </c>
      <c r="O24" s="1043">
        <f>SUM(O25:O27)</f>
        <v>11</v>
      </c>
      <c r="P24" s="1043">
        <f>SUM(P25:P27)</f>
        <v>15</v>
      </c>
      <c r="Q24" s="1044">
        <f t="shared" ref="Q24:Z24" si="8">SUM(Q25:Q27)</f>
        <v>0</v>
      </c>
      <c r="R24" s="1045">
        <f t="shared" si="8"/>
        <v>0</v>
      </c>
      <c r="S24" s="1044">
        <f t="shared" si="8"/>
        <v>0</v>
      </c>
      <c r="T24" s="1045">
        <f t="shared" si="8"/>
        <v>0</v>
      </c>
      <c r="U24" s="2462">
        <f t="shared" si="8"/>
        <v>0</v>
      </c>
      <c r="V24" s="2466">
        <f t="shared" si="8"/>
        <v>0</v>
      </c>
      <c r="W24" s="1044">
        <f t="shared" si="8"/>
        <v>0</v>
      </c>
      <c r="X24" s="1045">
        <f t="shared" si="8"/>
        <v>0</v>
      </c>
      <c r="Y24" s="2462">
        <f t="shared" si="8"/>
        <v>0</v>
      </c>
      <c r="Z24" s="2466">
        <f t="shared" si="8"/>
        <v>0</v>
      </c>
      <c r="AA24" s="1043">
        <f>SUM(AA25:AA27)</f>
        <v>23</v>
      </c>
      <c r="AB24" s="2458">
        <f>SUM(AB25:AB27)</f>
        <v>23</v>
      </c>
      <c r="AC24" s="1044">
        <f t="shared" ref="AC24:AL24" si="9">SUM(AC25:AC27)</f>
        <v>0</v>
      </c>
      <c r="AD24" s="1045">
        <f t="shared" si="9"/>
        <v>0</v>
      </c>
      <c r="AE24" s="2462">
        <f t="shared" si="9"/>
        <v>0</v>
      </c>
      <c r="AF24" s="2466">
        <f t="shared" si="9"/>
        <v>0</v>
      </c>
      <c r="AG24" s="1044">
        <f t="shared" si="9"/>
        <v>0</v>
      </c>
      <c r="AH24" s="1045">
        <f t="shared" si="9"/>
        <v>0</v>
      </c>
      <c r="AI24" s="2462">
        <f t="shared" si="9"/>
        <v>0</v>
      </c>
      <c r="AJ24" s="2466">
        <f t="shared" si="9"/>
        <v>0</v>
      </c>
      <c r="AK24" s="1044">
        <f>SUM(AK25:AK27)</f>
        <v>0</v>
      </c>
      <c r="AL24" s="1045">
        <f t="shared" si="9"/>
        <v>0</v>
      </c>
      <c r="AM24" s="365"/>
      <c r="AN24" s="186"/>
      <c r="AO24" s="298"/>
      <c r="AP24" s="298"/>
    </row>
    <row r="25" spans="1:42">
      <c r="A25" s="1041" t="s">
        <v>610</v>
      </c>
      <c r="B25" s="1047" t="s">
        <v>302</v>
      </c>
      <c r="C25" s="2250">
        <v>94</v>
      </c>
      <c r="D25" s="2457">
        <v>94</v>
      </c>
      <c r="E25" s="785"/>
      <c r="F25" s="795"/>
      <c r="G25" s="799"/>
      <c r="H25" s="2421"/>
      <c r="I25" s="785"/>
      <c r="J25" s="795"/>
      <c r="K25" s="799"/>
      <c r="L25" s="2421"/>
      <c r="M25" s="785"/>
      <c r="N25" s="795"/>
      <c r="O25" s="2250">
        <v>3</v>
      </c>
      <c r="P25" s="2250">
        <v>7</v>
      </c>
      <c r="Q25" s="785"/>
      <c r="R25" s="795"/>
      <c r="S25" s="785"/>
      <c r="T25" s="795"/>
      <c r="U25" s="799"/>
      <c r="V25" s="2421"/>
      <c r="W25" s="785"/>
      <c r="X25" s="795"/>
      <c r="Y25" s="799"/>
      <c r="Z25" s="2421"/>
      <c r="AA25" s="2250">
        <v>17</v>
      </c>
      <c r="AB25" s="2457">
        <v>17</v>
      </c>
      <c r="AC25" s="785"/>
      <c r="AD25" s="795"/>
      <c r="AE25" s="799"/>
      <c r="AF25" s="2421"/>
      <c r="AG25" s="785"/>
      <c r="AH25" s="795"/>
      <c r="AI25" s="799"/>
      <c r="AJ25" s="2421"/>
      <c r="AK25" s="785"/>
      <c r="AL25" s="795"/>
      <c r="AM25" s="492"/>
      <c r="AN25" s="186"/>
      <c r="AO25" s="298"/>
      <c r="AP25" s="298"/>
    </row>
    <row r="26" spans="1:42">
      <c r="A26" s="1048" t="s">
        <v>611</v>
      </c>
      <c r="B26" s="795"/>
      <c r="C26" s="2250">
        <v>9</v>
      </c>
      <c r="D26" s="2457">
        <f>5+4</f>
        <v>9</v>
      </c>
      <c r="E26" s="785"/>
      <c r="F26" s="795"/>
      <c r="G26" s="799"/>
      <c r="H26" s="2421"/>
      <c r="I26" s="785"/>
      <c r="J26" s="795"/>
      <c r="K26" s="799"/>
      <c r="L26" s="2421"/>
      <c r="M26" s="785"/>
      <c r="N26" s="795"/>
      <c r="O26" s="2250">
        <v>8</v>
      </c>
      <c r="P26" s="2250">
        <v>8</v>
      </c>
      <c r="Q26" s="785"/>
      <c r="R26" s="795"/>
      <c r="S26" s="785"/>
      <c r="T26" s="795"/>
      <c r="U26" s="799"/>
      <c r="V26" s="2421"/>
      <c r="W26" s="785"/>
      <c r="X26" s="795"/>
      <c r="Y26" s="799"/>
      <c r="Z26" s="2421"/>
      <c r="AA26" s="2250">
        <v>6</v>
      </c>
      <c r="AB26" s="2457">
        <v>6</v>
      </c>
      <c r="AC26" s="785"/>
      <c r="AD26" s="795"/>
      <c r="AE26" s="799"/>
      <c r="AF26" s="2421"/>
      <c r="AG26" s="785"/>
      <c r="AH26" s="795"/>
      <c r="AI26" s="799"/>
      <c r="AJ26" s="2421"/>
      <c r="AK26" s="785"/>
      <c r="AL26" s="795"/>
      <c r="AM26" s="492"/>
      <c r="AN26" s="186"/>
      <c r="AO26" s="298"/>
      <c r="AP26" s="298"/>
    </row>
    <row r="27" spans="1:42" ht="15.75" thickBot="1">
      <c r="A27" s="1048" t="s">
        <v>612</v>
      </c>
      <c r="B27" s="795"/>
      <c r="C27" s="2251"/>
      <c r="D27" s="2459"/>
      <c r="E27" s="2246"/>
      <c r="F27" s="2247"/>
      <c r="G27" s="2252"/>
      <c r="H27" s="2467"/>
      <c r="I27" s="2246"/>
      <c r="J27" s="2247"/>
      <c r="K27" s="2252"/>
      <c r="L27" s="2467"/>
      <c r="M27" s="2246"/>
      <c r="N27" s="2247"/>
      <c r="O27" s="2251"/>
      <c r="P27" s="2251"/>
      <c r="Q27" s="2246"/>
      <c r="R27" s="2247"/>
      <c r="S27" s="2246"/>
      <c r="T27" s="2247"/>
      <c r="U27" s="2252"/>
      <c r="V27" s="2467"/>
      <c r="W27" s="2246"/>
      <c r="X27" s="2247"/>
      <c r="Y27" s="2252"/>
      <c r="Z27" s="2467"/>
      <c r="AA27" s="2251"/>
      <c r="AB27" s="2459"/>
      <c r="AC27" s="2246"/>
      <c r="AD27" s="2247"/>
      <c r="AE27" s="2252"/>
      <c r="AF27" s="2467"/>
      <c r="AG27" s="2246"/>
      <c r="AH27" s="2247"/>
      <c r="AI27" s="2252"/>
      <c r="AJ27" s="2467"/>
      <c r="AK27" s="2246"/>
      <c r="AL27" s="2247"/>
      <c r="AM27" s="492"/>
      <c r="AN27" s="186"/>
      <c r="AO27" s="298"/>
      <c r="AP27" s="298"/>
    </row>
    <row r="28" spans="1:42" thickBot="1">
      <c r="A28" s="1049" t="s">
        <v>103</v>
      </c>
      <c r="B28" s="1050" t="s">
        <v>303</v>
      </c>
      <c r="C28" s="1031">
        <f>SUM(C29:C52)-C36-C49</f>
        <v>684.52092341991192</v>
      </c>
      <c r="D28" s="1034">
        <f t="shared" ref="D28:AL28" si="10">SUM(D29:D52)-D36-D49</f>
        <v>2060.03329908559</v>
      </c>
      <c r="E28" s="1032">
        <f t="shared" si="10"/>
        <v>3</v>
      </c>
      <c r="F28" s="1033">
        <f t="shared" si="10"/>
        <v>-42.881189344231274</v>
      </c>
      <c r="G28" s="1032">
        <f t="shared" si="10"/>
        <v>3</v>
      </c>
      <c r="H28" s="1033">
        <f t="shared" si="10"/>
        <v>-55.081189344231277</v>
      </c>
      <c r="I28" s="1032">
        <f t="shared" si="10"/>
        <v>3</v>
      </c>
      <c r="J28" s="1033">
        <f t="shared" si="10"/>
        <v>-87.881189344231274</v>
      </c>
      <c r="K28" s="1032">
        <f t="shared" si="10"/>
        <v>3</v>
      </c>
      <c r="L28" s="1033">
        <f t="shared" si="10"/>
        <v>-117.48118934423127</v>
      </c>
      <c r="M28" s="1032">
        <f t="shared" si="10"/>
        <v>3</v>
      </c>
      <c r="N28" s="1033">
        <f t="shared" si="10"/>
        <v>-151.28118934423128</v>
      </c>
      <c r="O28" s="1031">
        <f t="shared" si="10"/>
        <v>173.83727177787011</v>
      </c>
      <c r="P28" s="1034">
        <f t="shared" si="10"/>
        <v>286.17720942749503</v>
      </c>
      <c r="Q28" s="1032">
        <f t="shared" si="10"/>
        <v>1</v>
      </c>
      <c r="R28" s="1033">
        <f t="shared" si="10"/>
        <v>-1.0072398067308823</v>
      </c>
      <c r="S28" s="1032">
        <f t="shared" si="10"/>
        <v>1</v>
      </c>
      <c r="T28" s="1033">
        <f t="shared" si="10"/>
        <v>-1.0072398067308823</v>
      </c>
      <c r="U28" s="1032">
        <f t="shared" si="10"/>
        <v>1</v>
      </c>
      <c r="V28" s="1033">
        <f t="shared" si="10"/>
        <v>-1.0072398067308823</v>
      </c>
      <c r="W28" s="1032">
        <f t="shared" si="10"/>
        <v>1</v>
      </c>
      <c r="X28" s="1033">
        <f t="shared" si="10"/>
        <v>-1.0072398067308823</v>
      </c>
      <c r="Y28" s="1032">
        <f t="shared" si="10"/>
        <v>1</v>
      </c>
      <c r="Z28" s="1033">
        <f t="shared" si="10"/>
        <v>-1.0072398067308823</v>
      </c>
      <c r="AA28" s="1031">
        <f t="shared" si="10"/>
        <v>196.51550892529445</v>
      </c>
      <c r="AB28" s="1034">
        <f t="shared" si="10"/>
        <v>286.97338412683001</v>
      </c>
      <c r="AC28" s="1032">
        <f t="shared" si="10"/>
        <v>1</v>
      </c>
      <c r="AD28" s="1033">
        <f t="shared" si="10"/>
        <v>-1.3566903519232296</v>
      </c>
      <c r="AE28" s="1032">
        <f t="shared" si="10"/>
        <v>8</v>
      </c>
      <c r="AF28" s="1033">
        <f t="shared" si="10"/>
        <v>-4.3566903519232296</v>
      </c>
      <c r="AG28" s="1032">
        <f t="shared" si="10"/>
        <v>11</v>
      </c>
      <c r="AH28" s="1033">
        <f t="shared" si="10"/>
        <v>-6.3566903519232296</v>
      </c>
      <c r="AI28" s="1032">
        <f t="shared" si="10"/>
        <v>14</v>
      </c>
      <c r="AJ28" s="1033">
        <f t="shared" si="10"/>
        <v>-7.3566903519232296</v>
      </c>
      <c r="AK28" s="1032">
        <f t="shared" si="10"/>
        <v>14</v>
      </c>
      <c r="AL28" s="1033">
        <f t="shared" si="10"/>
        <v>-7.3566903519232296</v>
      </c>
      <c r="AM28" s="493"/>
      <c r="AN28" s="186"/>
      <c r="AO28" s="298"/>
      <c r="AP28" s="298"/>
    </row>
    <row r="29" spans="1:42" ht="15.75" customHeight="1">
      <c r="A29" s="1035" t="s">
        <v>105</v>
      </c>
      <c r="B29" s="1500" t="s">
        <v>304</v>
      </c>
      <c r="C29" s="2250">
        <v>45</v>
      </c>
      <c r="D29" s="2457">
        <v>50</v>
      </c>
      <c r="E29" s="785"/>
      <c r="F29" s="795"/>
      <c r="G29" s="799"/>
      <c r="H29" s="2421"/>
      <c r="I29" s="785"/>
      <c r="J29" s="795"/>
      <c r="K29" s="799"/>
      <c r="L29" s="2421"/>
      <c r="M29" s="785"/>
      <c r="N29" s="795"/>
      <c r="O29" s="2250">
        <v>7</v>
      </c>
      <c r="P29" s="2250">
        <v>5</v>
      </c>
      <c r="Q29" s="785"/>
      <c r="R29" s="795"/>
      <c r="S29" s="785"/>
      <c r="T29" s="795"/>
      <c r="U29" s="799"/>
      <c r="V29" s="2421"/>
      <c r="W29" s="785"/>
      <c r="X29" s="795"/>
      <c r="Y29" s="799"/>
      <c r="Z29" s="2421"/>
      <c r="AA29" s="2250">
        <v>13</v>
      </c>
      <c r="AB29" s="2457">
        <v>13</v>
      </c>
      <c r="AC29" s="785"/>
      <c r="AD29" s="795"/>
      <c r="AE29" s="799"/>
      <c r="AF29" s="2421"/>
      <c r="AG29" s="785"/>
      <c r="AH29" s="795"/>
      <c r="AI29" s="799"/>
      <c r="AJ29" s="2421"/>
      <c r="AK29" s="785"/>
      <c r="AL29" s="795"/>
      <c r="AM29" s="493"/>
      <c r="AN29" s="187"/>
      <c r="AO29" s="298"/>
      <c r="AP29" s="298"/>
    </row>
    <row r="30" spans="1:42">
      <c r="A30" s="1041" t="s">
        <v>107</v>
      </c>
      <c r="B30" s="3117" t="s">
        <v>305</v>
      </c>
      <c r="C30" s="2250">
        <v>18</v>
      </c>
      <c r="D30" s="2250">
        <v>74</v>
      </c>
      <c r="E30" s="785"/>
      <c r="F30" s="795">
        <v>-4</v>
      </c>
      <c r="G30" s="785"/>
      <c r="H30" s="795">
        <v>-4</v>
      </c>
      <c r="I30" s="785"/>
      <c r="J30" s="795">
        <v>-4</v>
      </c>
      <c r="K30" s="785"/>
      <c r="L30" s="795">
        <v>-4</v>
      </c>
      <c r="M30" s="785"/>
      <c r="N30" s="795">
        <v>-4</v>
      </c>
      <c r="O30" s="2250"/>
      <c r="P30" s="2250"/>
      <c r="Q30" s="785"/>
      <c r="R30" s="795"/>
      <c r="S30" s="785"/>
      <c r="T30" s="795"/>
      <c r="U30" s="785"/>
      <c r="V30" s="795"/>
      <c r="W30" s="785"/>
      <c r="X30" s="795"/>
      <c r="Y30" s="785"/>
      <c r="Z30" s="795"/>
      <c r="AA30" s="2250"/>
      <c r="AB30" s="2457"/>
      <c r="AC30" s="785"/>
      <c r="AD30" s="795"/>
      <c r="AE30" s="785"/>
      <c r="AF30" s="795"/>
      <c r="AG30" s="785"/>
      <c r="AH30" s="795"/>
      <c r="AI30" s="785"/>
      <c r="AJ30" s="795"/>
      <c r="AK30" s="799"/>
      <c r="AL30" s="786"/>
      <c r="AM30" s="365"/>
      <c r="AN30" s="187"/>
      <c r="AO30" s="298"/>
      <c r="AP30" s="298"/>
    </row>
    <row r="31" spans="1:42">
      <c r="A31" s="1041" t="s">
        <v>225</v>
      </c>
      <c r="B31" s="1499" t="s">
        <v>307</v>
      </c>
      <c r="C31" s="2250">
        <v>18</v>
      </c>
      <c r="D31" s="2457">
        <v>36</v>
      </c>
      <c r="E31" s="785"/>
      <c r="F31" s="795"/>
      <c r="G31" s="799"/>
      <c r="H31" s="2421"/>
      <c r="I31" s="785"/>
      <c r="J31" s="795"/>
      <c r="K31" s="799"/>
      <c r="L31" s="2421"/>
      <c r="M31" s="785"/>
      <c r="N31" s="795"/>
      <c r="O31" s="2250">
        <v>7</v>
      </c>
      <c r="P31" s="2250">
        <v>16</v>
      </c>
      <c r="Q31" s="785"/>
      <c r="R31" s="795"/>
      <c r="S31" s="785"/>
      <c r="T31" s="795"/>
      <c r="U31" s="799"/>
      <c r="V31" s="2421"/>
      <c r="W31" s="785"/>
      <c r="X31" s="795"/>
      <c r="Y31" s="799"/>
      <c r="Z31" s="2421"/>
      <c r="AA31" s="2250">
        <v>7</v>
      </c>
      <c r="AB31" s="2457">
        <v>6</v>
      </c>
      <c r="AC31" s="785"/>
      <c r="AD31" s="795"/>
      <c r="AE31" s="799"/>
      <c r="AF31" s="2421"/>
      <c r="AG31" s="785"/>
      <c r="AH31" s="795"/>
      <c r="AI31" s="799"/>
      <c r="AJ31" s="2421"/>
      <c r="AK31" s="785"/>
      <c r="AL31" s="795"/>
      <c r="AM31" s="491"/>
      <c r="AN31" s="358"/>
      <c r="AO31" s="358"/>
      <c r="AP31" s="358"/>
    </row>
    <row r="32" spans="1:42">
      <c r="A32" s="1041" t="s">
        <v>306</v>
      </c>
      <c r="B32" s="1499" t="s">
        <v>309</v>
      </c>
      <c r="C32" s="2250">
        <v>36</v>
      </c>
      <c r="D32" s="2457">
        <v>107</v>
      </c>
      <c r="E32" s="785"/>
      <c r="F32" s="795"/>
      <c r="G32" s="799"/>
      <c r="H32" s="2421"/>
      <c r="I32" s="785"/>
      <c r="J32" s="795"/>
      <c r="K32" s="799"/>
      <c r="L32" s="2421"/>
      <c r="M32" s="785"/>
      <c r="N32" s="795"/>
      <c r="O32" s="2250">
        <v>22</v>
      </c>
      <c r="P32" s="2250">
        <v>48</v>
      </c>
      <c r="Q32" s="785"/>
      <c r="R32" s="795"/>
      <c r="S32" s="785"/>
      <c r="T32" s="795"/>
      <c r="U32" s="799"/>
      <c r="V32" s="2421"/>
      <c r="W32" s="785"/>
      <c r="X32" s="795"/>
      <c r="Y32" s="799"/>
      <c r="Z32" s="2421"/>
      <c r="AA32" s="2250">
        <v>21</v>
      </c>
      <c r="AB32" s="2457">
        <v>43</v>
      </c>
      <c r="AC32" s="785"/>
      <c r="AD32" s="795"/>
      <c r="AE32" s="799"/>
      <c r="AF32" s="2421"/>
      <c r="AG32" s="785"/>
      <c r="AH32" s="795"/>
      <c r="AI32" s="799"/>
      <c r="AJ32" s="2421"/>
      <c r="AK32" s="785"/>
      <c r="AL32" s="795"/>
    </row>
    <row r="33" spans="1:42">
      <c r="A33" s="1041" t="s">
        <v>308</v>
      </c>
      <c r="B33" s="1499" t="s">
        <v>311</v>
      </c>
      <c r="C33" s="2250">
        <v>7</v>
      </c>
      <c r="D33" s="2457">
        <v>3</v>
      </c>
      <c r="E33" s="785"/>
      <c r="F33" s="795"/>
      <c r="G33" s="799"/>
      <c r="H33" s="2421"/>
      <c r="I33" s="785"/>
      <c r="J33" s="795"/>
      <c r="K33" s="799"/>
      <c r="L33" s="2421"/>
      <c r="M33" s="785"/>
      <c r="N33" s="795"/>
      <c r="O33" s="2250"/>
      <c r="P33" s="2250"/>
      <c r="Q33" s="785"/>
      <c r="R33" s="795"/>
      <c r="S33" s="785"/>
      <c r="T33" s="795"/>
      <c r="U33" s="799"/>
      <c r="V33" s="2421"/>
      <c r="W33" s="785"/>
      <c r="X33" s="795"/>
      <c r="Y33" s="799"/>
      <c r="Z33" s="2421"/>
      <c r="AA33" s="2250">
        <v>17</v>
      </c>
      <c r="AB33" s="2457">
        <v>19</v>
      </c>
      <c r="AC33" s="785"/>
      <c r="AD33" s="795"/>
      <c r="AE33" s="799"/>
      <c r="AF33" s="2421"/>
      <c r="AG33" s="785"/>
      <c r="AH33" s="795"/>
      <c r="AI33" s="799"/>
      <c r="AJ33" s="2421"/>
      <c r="AK33" s="785"/>
      <c r="AL33" s="795"/>
    </row>
    <row r="34" spans="1:42" ht="15.75" thickBot="1">
      <c r="A34" s="1041" t="s">
        <v>310</v>
      </c>
      <c r="B34" s="1499" t="s">
        <v>313</v>
      </c>
      <c r="C34" s="2251">
        <v>21.520923419911963</v>
      </c>
      <c r="D34" s="2459">
        <v>23.03329908559008</v>
      </c>
      <c r="E34" s="2246"/>
      <c r="F34" s="2247">
        <v>-4.4811893442312716</v>
      </c>
      <c r="G34" s="2252"/>
      <c r="H34" s="2467">
        <v>-4.4811893442312716</v>
      </c>
      <c r="I34" s="2246"/>
      <c r="J34" s="2247">
        <v>-4.4811893442312716</v>
      </c>
      <c r="K34" s="2252"/>
      <c r="L34" s="2467">
        <v>-4.4811893442312716</v>
      </c>
      <c r="M34" s="2246"/>
      <c r="N34" s="2247">
        <v>-4.4811893442312716</v>
      </c>
      <c r="O34" s="2251">
        <f>4.83727177787012+1</f>
        <v>5.8372717778701197</v>
      </c>
      <c r="P34" s="2251">
        <f>5.17720942749502+1</f>
        <v>6.1772094274950202</v>
      </c>
      <c r="Q34" s="2246"/>
      <c r="R34" s="2247">
        <v>-1.0072398067308823</v>
      </c>
      <c r="S34" s="2246"/>
      <c r="T34" s="2247">
        <v>-1.0072398067308823</v>
      </c>
      <c r="U34" s="2252"/>
      <c r="V34" s="2467">
        <v>-1.0072398067308823</v>
      </c>
      <c r="W34" s="2246"/>
      <c r="X34" s="2247">
        <v>-1.0072398067308823</v>
      </c>
      <c r="Y34" s="2252"/>
      <c r="Z34" s="2467">
        <v>-1.0072398067308823</v>
      </c>
      <c r="AA34" s="2251">
        <v>6.5155089252944478</v>
      </c>
      <c r="AB34" s="2459">
        <v>6.9733841268300241</v>
      </c>
      <c r="AC34" s="2246"/>
      <c r="AD34" s="2247">
        <v>-1.3566903519232296</v>
      </c>
      <c r="AE34" s="2252"/>
      <c r="AF34" s="2467">
        <v>-1.3566903519232296</v>
      </c>
      <c r="AG34" s="2246"/>
      <c r="AH34" s="2247">
        <v>-1.3566903519232296</v>
      </c>
      <c r="AI34" s="2252"/>
      <c r="AJ34" s="2467">
        <v>-1.3566903519232296</v>
      </c>
      <c r="AK34" s="2246"/>
      <c r="AL34" s="2247">
        <v>-1.3566903519232296</v>
      </c>
    </row>
    <row r="35" spans="1:42">
      <c r="A35" s="1041" t="s">
        <v>312</v>
      </c>
      <c r="B35" s="1499" t="s">
        <v>315</v>
      </c>
      <c r="C35" s="2250">
        <v>10</v>
      </c>
      <c r="D35" s="2457">
        <v>22</v>
      </c>
      <c r="E35" s="785"/>
      <c r="F35" s="795"/>
      <c r="G35" s="799"/>
      <c r="H35" s="2421"/>
      <c r="I35" s="785"/>
      <c r="J35" s="795"/>
      <c r="K35" s="799"/>
      <c r="L35" s="2421"/>
      <c r="M35" s="785"/>
      <c r="N35" s="795"/>
      <c r="O35" s="2250">
        <v>7</v>
      </c>
      <c r="P35" s="2250">
        <v>15</v>
      </c>
      <c r="Q35" s="785"/>
      <c r="R35" s="795"/>
      <c r="S35" s="785"/>
      <c r="T35" s="795"/>
      <c r="U35" s="799"/>
      <c r="V35" s="2421"/>
      <c r="W35" s="785"/>
      <c r="X35" s="795"/>
      <c r="Y35" s="799"/>
      <c r="Z35" s="2421"/>
      <c r="AA35" s="2250">
        <v>6</v>
      </c>
      <c r="AB35" s="2457">
        <v>12</v>
      </c>
      <c r="AC35" s="785"/>
      <c r="AD35" s="795"/>
      <c r="AE35" s="799"/>
      <c r="AF35" s="2421"/>
      <c r="AG35" s="785"/>
      <c r="AH35" s="795"/>
      <c r="AI35" s="799"/>
      <c r="AJ35" s="2421"/>
      <c r="AK35" s="785"/>
      <c r="AL35" s="795"/>
    </row>
    <row r="36" spans="1:42">
      <c r="A36" s="1041" t="s">
        <v>314</v>
      </c>
      <c r="B36" s="1499" t="s">
        <v>613</v>
      </c>
      <c r="C36" s="1496">
        <f>SUM(C37:C40)</f>
        <v>35</v>
      </c>
      <c r="D36" s="1188">
        <f>SUM(D37:D40)</f>
        <v>80</v>
      </c>
      <c r="E36" s="1044">
        <f t="shared" ref="E36:N36" si="11">SUM(E37:E40)</f>
        <v>3</v>
      </c>
      <c r="F36" s="1045">
        <f t="shared" si="11"/>
        <v>0</v>
      </c>
      <c r="G36" s="1044">
        <f t="shared" si="11"/>
        <v>3</v>
      </c>
      <c r="H36" s="1045">
        <f t="shared" si="11"/>
        <v>0</v>
      </c>
      <c r="I36" s="1044">
        <f t="shared" si="11"/>
        <v>3</v>
      </c>
      <c r="J36" s="1045">
        <f t="shared" si="11"/>
        <v>0</v>
      </c>
      <c r="K36" s="1044">
        <f t="shared" si="11"/>
        <v>3</v>
      </c>
      <c r="L36" s="1045">
        <f t="shared" si="11"/>
        <v>0</v>
      </c>
      <c r="M36" s="1044">
        <f t="shared" si="11"/>
        <v>3</v>
      </c>
      <c r="N36" s="1045">
        <f t="shared" si="11"/>
        <v>0</v>
      </c>
      <c r="O36" s="1496">
        <f>SUM(O37:O40)</f>
        <v>27</v>
      </c>
      <c r="P36" s="1188">
        <f>SUM(P37:P40)</f>
        <v>56</v>
      </c>
      <c r="Q36" s="1044">
        <f t="shared" ref="Q36:Z36" si="12">SUM(Q37:Q40)</f>
        <v>1</v>
      </c>
      <c r="R36" s="1045">
        <f t="shared" si="12"/>
        <v>0</v>
      </c>
      <c r="S36" s="1044">
        <f t="shared" si="12"/>
        <v>1</v>
      </c>
      <c r="T36" s="1045">
        <f t="shared" si="12"/>
        <v>0</v>
      </c>
      <c r="U36" s="1044">
        <f t="shared" si="12"/>
        <v>1</v>
      </c>
      <c r="V36" s="1045">
        <f t="shared" si="12"/>
        <v>0</v>
      </c>
      <c r="W36" s="1044">
        <f t="shared" si="12"/>
        <v>1</v>
      </c>
      <c r="X36" s="1045">
        <f t="shared" si="12"/>
        <v>0</v>
      </c>
      <c r="Y36" s="1044">
        <f t="shared" si="12"/>
        <v>1</v>
      </c>
      <c r="Z36" s="1045">
        <f t="shared" si="12"/>
        <v>0</v>
      </c>
      <c r="AA36" s="1496">
        <f>SUM(AA37:AA40)</f>
        <v>22</v>
      </c>
      <c r="AB36" s="1188">
        <f>SUM(AB37:AB40)</f>
        <v>42</v>
      </c>
      <c r="AC36" s="1044">
        <f t="shared" ref="AC36:AL36" si="13">SUM(AC37:AC40)</f>
        <v>1</v>
      </c>
      <c r="AD36" s="1045">
        <f t="shared" si="13"/>
        <v>0</v>
      </c>
      <c r="AE36" s="1044">
        <f t="shared" si="13"/>
        <v>1</v>
      </c>
      <c r="AF36" s="1045">
        <f t="shared" si="13"/>
        <v>0</v>
      </c>
      <c r="AG36" s="1044">
        <f t="shared" si="13"/>
        <v>1</v>
      </c>
      <c r="AH36" s="1045">
        <f t="shared" si="13"/>
        <v>0</v>
      </c>
      <c r="AI36" s="1044">
        <f t="shared" si="13"/>
        <v>1</v>
      </c>
      <c r="AJ36" s="1045">
        <f t="shared" si="13"/>
        <v>0</v>
      </c>
      <c r="AK36" s="1044">
        <f t="shared" si="13"/>
        <v>1</v>
      </c>
      <c r="AL36" s="1045">
        <f t="shared" si="13"/>
        <v>0</v>
      </c>
    </row>
    <row r="37" spans="1:42">
      <c r="A37" s="1041" t="s">
        <v>614</v>
      </c>
      <c r="B37" s="1497" t="s">
        <v>317</v>
      </c>
      <c r="C37" s="2250">
        <v>23</v>
      </c>
      <c r="D37" s="2457">
        <v>42</v>
      </c>
      <c r="E37" s="785"/>
      <c r="F37" s="795"/>
      <c r="G37" s="799"/>
      <c r="H37" s="2421"/>
      <c r="I37" s="785"/>
      <c r="J37" s="795"/>
      <c r="K37" s="799"/>
      <c r="L37" s="2421"/>
      <c r="M37" s="785"/>
      <c r="N37" s="795"/>
      <c r="O37" s="2250">
        <v>16</v>
      </c>
      <c r="P37" s="2250">
        <v>28</v>
      </c>
      <c r="Q37" s="785"/>
      <c r="R37" s="795"/>
      <c r="S37" s="785"/>
      <c r="T37" s="795"/>
      <c r="U37" s="799"/>
      <c r="V37" s="2421"/>
      <c r="W37" s="785"/>
      <c r="X37" s="795"/>
      <c r="Y37" s="799"/>
      <c r="Z37" s="2421"/>
      <c r="AA37" s="2250">
        <v>14</v>
      </c>
      <c r="AB37" s="2457">
        <v>22</v>
      </c>
      <c r="AC37" s="785"/>
      <c r="AD37" s="795"/>
      <c r="AE37" s="799"/>
      <c r="AF37" s="2421"/>
      <c r="AG37" s="785"/>
      <c r="AH37" s="795"/>
      <c r="AI37" s="799"/>
      <c r="AJ37" s="2421"/>
      <c r="AK37" s="785"/>
      <c r="AL37" s="795"/>
    </row>
    <row r="38" spans="1:42">
      <c r="A38" s="1041" t="s">
        <v>615</v>
      </c>
      <c r="B38" s="1497" t="s">
        <v>318</v>
      </c>
      <c r="C38" s="2250">
        <v>4</v>
      </c>
      <c r="D38" s="2457">
        <v>5</v>
      </c>
      <c r="E38" s="785">
        <v>3</v>
      </c>
      <c r="F38" s="795"/>
      <c r="G38" s="799">
        <v>3</v>
      </c>
      <c r="H38" s="2421"/>
      <c r="I38" s="785">
        <v>3</v>
      </c>
      <c r="J38" s="795"/>
      <c r="K38" s="799">
        <v>3</v>
      </c>
      <c r="L38" s="2421"/>
      <c r="M38" s="785">
        <v>3</v>
      </c>
      <c r="N38" s="795"/>
      <c r="O38" s="2250">
        <v>3</v>
      </c>
      <c r="P38" s="2250">
        <v>4</v>
      </c>
      <c r="Q38" s="785">
        <v>1</v>
      </c>
      <c r="R38" s="795"/>
      <c r="S38" s="785">
        <v>1</v>
      </c>
      <c r="T38" s="795"/>
      <c r="U38" s="799">
        <v>1</v>
      </c>
      <c r="V38" s="2421"/>
      <c r="W38" s="785">
        <v>1</v>
      </c>
      <c r="X38" s="795"/>
      <c r="Y38" s="799">
        <v>1</v>
      </c>
      <c r="Z38" s="2421"/>
      <c r="AA38" s="2250">
        <v>3</v>
      </c>
      <c r="AB38" s="2457">
        <v>2</v>
      </c>
      <c r="AC38" s="785">
        <v>1</v>
      </c>
      <c r="AD38" s="795"/>
      <c r="AE38" s="799">
        <v>1</v>
      </c>
      <c r="AF38" s="2421"/>
      <c r="AG38" s="785">
        <v>1</v>
      </c>
      <c r="AH38" s="795"/>
      <c r="AI38" s="799">
        <v>1</v>
      </c>
      <c r="AJ38" s="2421"/>
      <c r="AK38" s="785">
        <v>1</v>
      </c>
      <c r="AL38" s="795"/>
    </row>
    <row r="39" spans="1:42">
      <c r="A39" s="1041" t="s">
        <v>616</v>
      </c>
      <c r="B39" s="1497" t="s">
        <v>319</v>
      </c>
      <c r="C39" s="2250">
        <v>0</v>
      </c>
      <c r="D39" s="2457"/>
      <c r="E39" s="785"/>
      <c r="F39" s="795"/>
      <c r="G39" s="799"/>
      <c r="H39" s="2421"/>
      <c r="I39" s="785"/>
      <c r="J39" s="795"/>
      <c r="K39" s="799"/>
      <c r="L39" s="2421"/>
      <c r="M39" s="785"/>
      <c r="N39" s="795"/>
      <c r="O39" s="2250">
        <v>3</v>
      </c>
      <c r="P39" s="2250">
        <v>3</v>
      </c>
      <c r="Q39" s="785"/>
      <c r="R39" s="795"/>
      <c r="S39" s="785"/>
      <c r="T39" s="795"/>
      <c r="U39" s="799"/>
      <c r="V39" s="2421"/>
      <c r="W39" s="785"/>
      <c r="X39" s="795"/>
      <c r="Y39" s="799"/>
      <c r="Z39" s="2421"/>
      <c r="AA39" s="2250"/>
      <c r="AB39" s="2457"/>
      <c r="AC39" s="785"/>
      <c r="AD39" s="795"/>
      <c r="AE39" s="799"/>
      <c r="AF39" s="2421"/>
      <c r="AG39" s="785"/>
      <c r="AH39" s="795"/>
      <c r="AI39" s="799"/>
      <c r="AJ39" s="2421"/>
      <c r="AK39" s="785"/>
      <c r="AL39" s="795"/>
    </row>
    <row r="40" spans="1:42">
      <c r="A40" s="1041" t="s">
        <v>617</v>
      </c>
      <c r="B40" s="1497" t="s">
        <v>618</v>
      </c>
      <c r="C40" s="2250">
        <v>8</v>
      </c>
      <c r="D40" s="2457">
        <v>33</v>
      </c>
      <c r="E40" s="785"/>
      <c r="F40" s="795"/>
      <c r="G40" s="799"/>
      <c r="H40" s="2421"/>
      <c r="I40" s="785"/>
      <c r="J40" s="795"/>
      <c r="K40" s="799"/>
      <c r="L40" s="2421"/>
      <c r="M40" s="785"/>
      <c r="N40" s="795"/>
      <c r="O40" s="2250">
        <v>5</v>
      </c>
      <c r="P40" s="2250">
        <v>21</v>
      </c>
      <c r="Q40" s="785"/>
      <c r="R40" s="795"/>
      <c r="S40" s="785"/>
      <c r="T40" s="795"/>
      <c r="U40" s="799"/>
      <c r="V40" s="2421"/>
      <c r="W40" s="785"/>
      <c r="X40" s="795"/>
      <c r="Y40" s="799"/>
      <c r="Z40" s="2421"/>
      <c r="AA40" s="2250">
        <v>5</v>
      </c>
      <c r="AB40" s="2457">
        <v>18</v>
      </c>
      <c r="AC40" s="785"/>
      <c r="AD40" s="795"/>
      <c r="AE40" s="799"/>
      <c r="AF40" s="2421"/>
      <c r="AG40" s="785"/>
      <c r="AH40" s="795"/>
      <c r="AI40" s="799"/>
      <c r="AJ40" s="2421"/>
      <c r="AK40" s="785"/>
      <c r="AL40" s="795"/>
      <c r="AM40" s="491"/>
      <c r="AN40" s="358"/>
      <c r="AO40" s="358"/>
      <c r="AP40" s="358"/>
    </row>
    <row r="41" spans="1:42">
      <c r="A41" s="1041" t="s">
        <v>316</v>
      </c>
      <c r="B41" s="1499" t="s">
        <v>321</v>
      </c>
      <c r="C41" s="2250">
        <v>125</v>
      </c>
      <c r="D41" s="2457">
        <v>165</v>
      </c>
      <c r="E41" s="785"/>
      <c r="F41" s="795"/>
      <c r="G41" s="799"/>
      <c r="H41" s="2421"/>
      <c r="I41" s="785"/>
      <c r="J41" s="795"/>
      <c r="K41" s="799"/>
      <c r="L41" s="2421"/>
      <c r="M41" s="785"/>
      <c r="N41" s="795"/>
      <c r="O41" s="2250">
        <v>18</v>
      </c>
      <c r="P41" s="2250">
        <v>25</v>
      </c>
      <c r="Q41" s="785"/>
      <c r="R41" s="795"/>
      <c r="S41" s="785"/>
      <c r="T41" s="795"/>
      <c r="U41" s="799"/>
      <c r="V41" s="2421"/>
      <c r="W41" s="785"/>
      <c r="X41" s="795"/>
      <c r="Y41" s="799"/>
      <c r="Z41" s="2421"/>
      <c r="AA41" s="2250">
        <v>16</v>
      </c>
      <c r="AB41" s="2457">
        <v>20</v>
      </c>
      <c r="AC41" s="785"/>
      <c r="AD41" s="795"/>
      <c r="AE41" s="799"/>
      <c r="AF41" s="2421"/>
      <c r="AG41" s="785"/>
      <c r="AH41" s="795"/>
      <c r="AI41" s="799"/>
      <c r="AJ41" s="2421"/>
      <c r="AK41" s="785"/>
      <c r="AL41" s="795"/>
      <c r="AM41" s="491"/>
      <c r="AN41" s="358"/>
      <c r="AO41" s="358"/>
      <c r="AP41" s="358"/>
    </row>
    <row r="42" spans="1:42">
      <c r="A42" s="1041" t="s">
        <v>320</v>
      </c>
      <c r="B42" s="1499" t="s">
        <v>323</v>
      </c>
      <c r="C42" s="2250">
        <v>55</v>
      </c>
      <c r="D42" s="2457">
        <v>59</v>
      </c>
      <c r="E42" s="785"/>
      <c r="F42" s="795"/>
      <c r="G42" s="799"/>
      <c r="H42" s="2421"/>
      <c r="I42" s="785"/>
      <c r="J42" s="795"/>
      <c r="K42" s="799"/>
      <c r="L42" s="2421"/>
      <c r="M42" s="785"/>
      <c r="N42" s="795"/>
      <c r="O42" s="2250">
        <v>39</v>
      </c>
      <c r="P42" s="2250">
        <v>39</v>
      </c>
      <c r="Q42" s="785"/>
      <c r="R42" s="795"/>
      <c r="S42" s="785"/>
      <c r="T42" s="795"/>
      <c r="U42" s="799"/>
      <c r="V42" s="2421"/>
      <c r="W42" s="785"/>
      <c r="X42" s="795"/>
      <c r="Y42" s="799"/>
      <c r="Z42" s="2421"/>
      <c r="AA42" s="2250">
        <v>35</v>
      </c>
      <c r="AB42" s="2457">
        <v>35</v>
      </c>
      <c r="AC42" s="785"/>
      <c r="AD42" s="795"/>
      <c r="AE42" s="799"/>
      <c r="AF42" s="2421"/>
      <c r="AG42" s="785"/>
      <c r="AH42" s="795"/>
      <c r="AI42" s="799"/>
      <c r="AJ42" s="2421"/>
      <c r="AK42" s="785"/>
      <c r="AL42" s="795"/>
      <c r="AM42" s="491"/>
      <c r="AN42" s="358"/>
      <c r="AO42" s="358"/>
      <c r="AP42" s="358"/>
    </row>
    <row r="43" spans="1:42">
      <c r="A43" s="1041" t="s">
        <v>322</v>
      </c>
      <c r="B43" s="1498" t="s">
        <v>846</v>
      </c>
      <c r="C43" s="2250">
        <v>0</v>
      </c>
      <c r="D43" s="2457"/>
      <c r="E43" s="785"/>
      <c r="F43" s="795"/>
      <c r="G43" s="799"/>
      <c r="H43" s="2421"/>
      <c r="I43" s="785"/>
      <c r="J43" s="795"/>
      <c r="K43" s="799"/>
      <c r="L43" s="2421"/>
      <c r="M43" s="785"/>
      <c r="N43" s="795"/>
      <c r="O43" s="2250">
        <v>1</v>
      </c>
      <c r="P43" s="2250">
        <v>1</v>
      </c>
      <c r="Q43" s="785"/>
      <c r="R43" s="795"/>
      <c r="S43" s="785"/>
      <c r="T43" s="795"/>
      <c r="U43" s="799"/>
      <c r="V43" s="2421"/>
      <c r="W43" s="785"/>
      <c r="X43" s="795"/>
      <c r="Y43" s="799"/>
      <c r="Z43" s="2421"/>
      <c r="AA43" s="2250"/>
      <c r="AB43" s="2457"/>
      <c r="AC43" s="785"/>
      <c r="AD43" s="795"/>
      <c r="AE43" s="799"/>
      <c r="AF43" s="2421"/>
      <c r="AG43" s="785"/>
      <c r="AH43" s="795"/>
      <c r="AI43" s="799"/>
      <c r="AJ43" s="2421"/>
      <c r="AK43" s="785"/>
      <c r="AL43" s="795"/>
      <c r="AM43" s="491"/>
      <c r="AN43" s="358"/>
      <c r="AO43" s="358"/>
      <c r="AP43" s="358"/>
    </row>
    <row r="44" spans="1:42">
      <c r="A44" s="1041" t="s">
        <v>324</v>
      </c>
      <c r="B44" s="1498" t="s">
        <v>919</v>
      </c>
      <c r="C44" s="2250">
        <v>0</v>
      </c>
      <c r="D44" s="2457"/>
      <c r="E44" s="785"/>
      <c r="F44" s="795"/>
      <c r="G44" s="799"/>
      <c r="H44" s="2421"/>
      <c r="I44" s="785"/>
      <c r="J44" s="795"/>
      <c r="K44" s="799"/>
      <c r="L44" s="2421"/>
      <c r="M44" s="785"/>
      <c r="N44" s="795"/>
      <c r="O44" s="2250">
        <v>2</v>
      </c>
      <c r="P44" s="2250">
        <v>2</v>
      </c>
      <c r="Q44" s="785"/>
      <c r="R44" s="795"/>
      <c r="S44" s="785"/>
      <c r="T44" s="795"/>
      <c r="U44" s="799"/>
      <c r="V44" s="2421"/>
      <c r="W44" s="785"/>
      <c r="X44" s="795"/>
      <c r="Y44" s="799"/>
      <c r="Z44" s="2421"/>
      <c r="AA44" s="2250"/>
      <c r="AB44" s="2457"/>
      <c r="AC44" s="785"/>
      <c r="AD44" s="795"/>
      <c r="AE44" s="799"/>
      <c r="AF44" s="2421"/>
      <c r="AG44" s="785"/>
      <c r="AH44" s="795"/>
      <c r="AI44" s="799"/>
      <c r="AJ44" s="2421"/>
      <c r="AK44" s="785"/>
      <c r="AL44" s="795"/>
      <c r="AM44" s="491"/>
      <c r="AN44" s="358"/>
      <c r="AO44" s="358"/>
      <c r="AP44" s="358"/>
    </row>
    <row r="45" spans="1:42">
      <c r="A45" s="1041" t="s">
        <v>326</v>
      </c>
      <c r="B45" s="1040" t="s">
        <v>619</v>
      </c>
      <c r="C45" s="2250">
        <v>1</v>
      </c>
      <c r="D45" s="2457"/>
      <c r="E45" s="785"/>
      <c r="F45" s="795"/>
      <c r="G45" s="799"/>
      <c r="H45" s="2421"/>
      <c r="I45" s="785"/>
      <c r="J45" s="795"/>
      <c r="K45" s="799"/>
      <c r="L45" s="2421"/>
      <c r="M45" s="785"/>
      <c r="N45" s="795"/>
      <c r="O45" s="2250">
        <v>1</v>
      </c>
      <c r="P45" s="2250"/>
      <c r="Q45" s="785"/>
      <c r="R45" s="795"/>
      <c r="S45" s="785"/>
      <c r="T45" s="795"/>
      <c r="U45" s="799"/>
      <c r="V45" s="2421"/>
      <c r="W45" s="785"/>
      <c r="X45" s="795"/>
      <c r="Y45" s="799"/>
      <c r="Z45" s="2421"/>
      <c r="AA45" s="2250">
        <v>1</v>
      </c>
      <c r="AB45" s="2457"/>
      <c r="AC45" s="785"/>
      <c r="AD45" s="795"/>
      <c r="AE45" s="799"/>
      <c r="AF45" s="2421"/>
      <c r="AG45" s="785"/>
      <c r="AH45" s="795"/>
      <c r="AI45" s="799"/>
      <c r="AJ45" s="2421"/>
      <c r="AK45" s="785"/>
      <c r="AL45" s="795"/>
    </row>
    <row r="46" spans="1:42">
      <c r="A46" s="1041" t="s">
        <v>620</v>
      </c>
      <c r="B46" s="1498" t="s">
        <v>859</v>
      </c>
      <c r="C46" s="2250">
        <v>279</v>
      </c>
      <c r="D46" s="2457">
        <v>1343</v>
      </c>
      <c r="E46" s="785"/>
      <c r="F46" s="795">
        <f>-172*0.2</f>
        <v>-34.4</v>
      </c>
      <c r="G46" s="799"/>
      <c r="H46" s="2421">
        <f>-233*0.2</f>
        <v>-46.6</v>
      </c>
      <c r="I46" s="785"/>
      <c r="J46" s="795">
        <f>-397*0.2</f>
        <v>-79.400000000000006</v>
      </c>
      <c r="K46" s="799"/>
      <c r="L46" s="2421">
        <f>-545*0.2</f>
        <v>-109</v>
      </c>
      <c r="M46" s="785"/>
      <c r="N46" s="795">
        <f>-714*0.2</f>
        <v>-142.80000000000001</v>
      </c>
      <c r="O46" s="2250">
        <v>26</v>
      </c>
      <c r="P46" s="2250">
        <v>40</v>
      </c>
      <c r="Q46" s="785"/>
      <c r="R46" s="795"/>
      <c r="S46" s="785"/>
      <c r="T46" s="795"/>
      <c r="U46" s="799"/>
      <c r="V46" s="2421"/>
      <c r="W46" s="785"/>
      <c r="X46" s="795"/>
      <c r="Y46" s="799"/>
      <c r="Z46" s="2421"/>
      <c r="AA46" s="2250">
        <v>31</v>
      </c>
      <c r="AB46" s="2457">
        <v>48</v>
      </c>
      <c r="AC46" s="785"/>
      <c r="AD46" s="795"/>
      <c r="AE46" s="799"/>
      <c r="AF46" s="2421"/>
      <c r="AG46" s="785"/>
      <c r="AH46" s="795"/>
      <c r="AI46" s="799"/>
      <c r="AJ46" s="2421"/>
      <c r="AK46" s="785"/>
      <c r="AL46" s="795"/>
    </row>
    <row r="47" spans="1:42">
      <c r="A47" s="1055">
        <v>2.15</v>
      </c>
      <c r="B47" s="1498" t="s">
        <v>847</v>
      </c>
      <c r="C47" s="3057"/>
      <c r="D47" s="3058"/>
      <c r="E47" s="3058"/>
      <c r="F47" s="3059"/>
      <c r="G47" s="3058"/>
      <c r="H47" s="3059"/>
      <c r="I47" s="3058"/>
      <c r="J47" s="3059"/>
      <c r="K47" s="3058"/>
      <c r="L47" s="3059"/>
      <c r="M47" s="3058"/>
      <c r="N47" s="3059"/>
      <c r="O47" s="3057"/>
      <c r="P47" s="3058"/>
      <c r="Q47" s="3060"/>
      <c r="R47" s="3057"/>
      <c r="S47" s="3060"/>
      <c r="T47" s="3057"/>
      <c r="U47" s="3060"/>
      <c r="V47" s="3057"/>
      <c r="W47" s="3060"/>
      <c r="X47" s="3057"/>
      <c r="Y47" s="3060"/>
      <c r="Z47" s="3057"/>
      <c r="AA47" s="2250"/>
      <c r="AB47" s="2457"/>
      <c r="AC47" s="785"/>
      <c r="AD47" s="795"/>
      <c r="AE47" s="799">
        <v>7</v>
      </c>
      <c r="AF47" s="2421"/>
      <c r="AG47" s="785">
        <v>10</v>
      </c>
      <c r="AH47" s="795"/>
      <c r="AI47" s="799">
        <v>13</v>
      </c>
      <c r="AJ47" s="2421"/>
      <c r="AK47" s="785">
        <v>13</v>
      </c>
      <c r="AL47" s="795"/>
    </row>
    <row r="48" spans="1:42">
      <c r="A48" s="1056">
        <v>2.16</v>
      </c>
      <c r="B48" s="1042" t="s">
        <v>1000</v>
      </c>
      <c r="C48" s="3061"/>
      <c r="D48" s="3058"/>
      <c r="E48" s="3058"/>
      <c r="F48" s="3059"/>
      <c r="G48" s="3058"/>
      <c r="H48" s="3059"/>
      <c r="I48" s="3058"/>
      <c r="J48" s="3059"/>
      <c r="K48" s="3058"/>
      <c r="L48" s="3059"/>
      <c r="M48" s="3058"/>
      <c r="N48" s="3059"/>
      <c r="O48" s="3061"/>
      <c r="P48" s="3058"/>
      <c r="Q48" s="3060"/>
      <c r="R48" s="3057"/>
      <c r="S48" s="3060"/>
      <c r="T48" s="3057"/>
      <c r="U48" s="3060"/>
      <c r="V48" s="3057"/>
      <c r="W48" s="3060"/>
      <c r="X48" s="3057"/>
      <c r="Y48" s="3060"/>
      <c r="Z48" s="3057"/>
      <c r="AA48" s="2250">
        <v>11</v>
      </c>
      <c r="AB48" s="2457">
        <v>11</v>
      </c>
      <c r="AC48" s="785"/>
      <c r="AD48" s="795"/>
      <c r="AE48" s="799"/>
      <c r="AF48" s="2421">
        <v>-3</v>
      </c>
      <c r="AG48" s="785"/>
      <c r="AH48" s="795">
        <v>-5</v>
      </c>
      <c r="AI48" s="799"/>
      <c r="AJ48" s="2421">
        <v>-6</v>
      </c>
      <c r="AK48" s="785"/>
      <c r="AL48" s="795">
        <v>-6</v>
      </c>
    </row>
    <row r="49" spans="1:42">
      <c r="A49" s="1056">
        <v>2.17</v>
      </c>
      <c r="B49" s="1042" t="s">
        <v>621</v>
      </c>
      <c r="C49" s="1043">
        <f>SUM(C50:C52)</f>
        <v>34</v>
      </c>
      <c r="D49" s="1188">
        <f>SUM(D50:D52)</f>
        <v>98</v>
      </c>
      <c r="E49" s="1044">
        <f t="shared" ref="E49:N49" si="14">SUM(E50:E52)</f>
        <v>0</v>
      </c>
      <c r="F49" s="1045">
        <f t="shared" si="14"/>
        <v>0</v>
      </c>
      <c r="G49" s="1044">
        <f t="shared" si="14"/>
        <v>0</v>
      </c>
      <c r="H49" s="1045">
        <f t="shared" si="14"/>
        <v>0</v>
      </c>
      <c r="I49" s="1044">
        <f t="shared" si="14"/>
        <v>0</v>
      </c>
      <c r="J49" s="1045">
        <f t="shared" si="14"/>
        <v>0</v>
      </c>
      <c r="K49" s="1044">
        <f t="shared" si="14"/>
        <v>0</v>
      </c>
      <c r="L49" s="1045">
        <f t="shared" si="14"/>
        <v>0</v>
      </c>
      <c r="M49" s="1044">
        <f t="shared" si="14"/>
        <v>0</v>
      </c>
      <c r="N49" s="1045">
        <f t="shared" si="14"/>
        <v>0</v>
      </c>
      <c r="O49" s="1043">
        <f>SUM(O50:O52)</f>
        <v>11</v>
      </c>
      <c r="P49" s="1188">
        <f>SUM(P50:P52)</f>
        <v>33</v>
      </c>
      <c r="Q49" s="1044">
        <f t="shared" ref="Q49:Z49" si="15">SUM(Q50:Q52)</f>
        <v>0</v>
      </c>
      <c r="R49" s="1045">
        <f t="shared" si="15"/>
        <v>0</v>
      </c>
      <c r="S49" s="1044">
        <f t="shared" si="15"/>
        <v>0</v>
      </c>
      <c r="T49" s="1045">
        <f t="shared" si="15"/>
        <v>0</v>
      </c>
      <c r="U49" s="1044">
        <f t="shared" si="15"/>
        <v>0</v>
      </c>
      <c r="V49" s="1045">
        <f t="shared" si="15"/>
        <v>0</v>
      </c>
      <c r="W49" s="1044">
        <f t="shared" si="15"/>
        <v>0</v>
      </c>
      <c r="X49" s="1045">
        <f t="shared" si="15"/>
        <v>0</v>
      </c>
      <c r="Y49" s="1044">
        <f t="shared" si="15"/>
        <v>0</v>
      </c>
      <c r="Z49" s="1045">
        <f t="shared" si="15"/>
        <v>0</v>
      </c>
      <c r="AA49" s="1043">
        <f>SUM(AA50:AA52)</f>
        <v>10</v>
      </c>
      <c r="AB49" s="1188">
        <f>SUM(AB50:AB52)</f>
        <v>31</v>
      </c>
      <c r="AC49" s="1044">
        <f t="shared" ref="AC49:AL49" si="16">SUM(AC50:AC52)</f>
        <v>0</v>
      </c>
      <c r="AD49" s="1045">
        <f t="shared" si="16"/>
        <v>0</v>
      </c>
      <c r="AE49" s="1044">
        <f t="shared" si="16"/>
        <v>0</v>
      </c>
      <c r="AF49" s="1045">
        <f t="shared" si="16"/>
        <v>0</v>
      </c>
      <c r="AG49" s="1044">
        <f t="shared" si="16"/>
        <v>0</v>
      </c>
      <c r="AH49" s="1045">
        <f t="shared" si="16"/>
        <v>0</v>
      </c>
      <c r="AI49" s="1044">
        <f t="shared" si="16"/>
        <v>0</v>
      </c>
      <c r="AJ49" s="1045">
        <f t="shared" si="16"/>
        <v>0</v>
      </c>
      <c r="AK49" s="1044">
        <f t="shared" si="16"/>
        <v>0</v>
      </c>
      <c r="AL49" s="1045">
        <f t="shared" si="16"/>
        <v>0</v>
      </c>
    </row>
    <row r="50" spans="1:42">
      <c r="A50" s="488" t="s">
        <v>1002</v>
      </c>
      <c r="B50" s="795"/>
      <c r="C50" s="2250">
        <v>34</v>
      </c>
      <c r="D50" s="2457">
        <v>98</v>
      </c>
      <c r="E50" s="785"/>
      <c r="F50" s="795"/>
      <c r="G50" s="799"/>
      <c r="H50" s="2421"/>
      <c r="I50" s="785"/>
      <c r="J50" s="795"/>
      <c r="K50" s="799"/>
      <c r="L50" s="2421"/>
      <c r="M50" s="785"/>
      <c r="N50" s="795"/>
      <c r="O50" s="2250">
        <v>11</v>
      </c>
      <c r="P50" s="2250">
        <v>33</v>
      </c>
      <c r="Q50" s="785"/>
      <c r="R50" s="795"/>
      <c r="S50" s="785"/>
      <c r="T50" s="795"/>
      <c r="U50" s="799"/>
      <c r="V50" s="2421"/>
      <c r="W50" s="785"/>
      <c r="X50" s="795"/>
      <c r="Y50" s="799"/>
      <c r="Z50" s="2421"/>
      <c r="AA50" s="2250">
        <v>10</v>
      </c>
      <c r="AB50" s="2457">
        <v>31</v>
      </c>
      <c r="AC50" s="2250"/>
      <c r="AD50" s="2457"/>
      <c r="AE50" s="799"/>
      <c r="AF50" s="2421"/>
      <c r="AG50" s="785"/>
      <c r="AH50" s="795"/>
      <c r="AI50" s="799"/>
      <c r="AJ50" s="2421"/>
      <c r="AK50" s="785"/>
      <c r="AL50" s="795"/>
    </row>
    <row r="51" spans="1:42">
      <c r="A51" s="489" t="s">
        <v>1003</v>
      </c>
      <c r="B51" s="795"/>
      <c r="C51" s="2250"/>
      <c r="D51" s="2457"/>
      <c r="E51" s="785"/>
      <c r="F51" s="795"/>
      <c r="G51" s="799"/>
      <c r="H51" s="2421"/>
      <c r="I51" s="785"/>
      <c r="J51" s="795"/>
      <c r="K51" s="799"/>
      <c r="L51" s="2421"/>
      <c r="M51" s="785"/>
      <c r="N51" s="795"/>
      <c r="O51" s="2250"/>
      <c r="P51" s="2250"/>
      <c r="Q51" s="785"/>
      <c r="R51" s="795"/>
      <c r="S51" s="785"/>
      <c r="T51" s="795"/>
      <c r="U51" s="799"/>
      <c r="V51" s="2421"/>
      <c r="W51" s="785"/>
      <c r="X51" s="795"/>
      <c r="Y51" s="799"/>
      <c r="Z51" s="2421"/>
      <c r="AA51" s="2250"/>
      <c r="AB51" s="2457"/>
      <c r="AC51" s="785"/>
      <c r="AD51" s="795"/>
      <c r="AE51" s="799"/>
      <c r="AF51" s="2421"/>
      <c r="AG51" s="785"/>
      <c r="AH51" s="795"/>
      <c r="AI51" s="799"/>
      <c r="AJ51" s="2421"/>
      <c r="AK51" s="785"/>
      <c r="AL51" s="795"/>
    </row>
    <row r="52" spans="1:42" ht="15.75" thickBot="1">
      <c r="A52" s="1057" t="s">
        <v>1004</v>
      </c>
      <c r="B52" s="795"/>
      <c r="C52" s="2250"/>
      <c r="D52" s="2457"/>
      <c r="E52" s="785"/>
      <c r="F52" s="795"/>
      <c r="G52" s="799"/>
      <c r="H52" s="2421"/>
      <c r="I52" s="785"/>
      <c r="J52" s="795"/>
      <c r="K52" s="799"/>
      <c r="L52" s="2421"/>
      <c r="M52" s="785"/>
      <c r="N52" s="795"/>
      <c r="O52" s="2250"/>
      <c r="P52" s="2250"/>
      <c r="Q52" s="785"/>
      <c r="R52" s="795"/>
      <c r="S52" s="785"/>
      <c r="T52" s="795"/>
      <c r="U52" s="799"/>
      <c r="V52" s="2421"/>
      <c r="W52" s="785"/>
      <c r="X52" s="795"/>
      <c r="Y52" s="799"/>
      <c r="Z52" s="2421"/>
      <c r="AA52" s="2250"/>
      <c r="AB52" s="2457"/>
      <c r="AC52" s="785"/>
      <c r="AD52" s="795"/>
      <c r="AE52" s="799"/>
      <c r="AF52" s="2421"/>
      <c r="AG52" s="785"/>
      <c r="AH52" s="795"/>
      <c r="AI52" s="799"/>
      <c r="AJ52" s="2421"/>
      <c r="AK52" s="785"/>
      <c r="AL52" s="795"/>
    </row>
    <row r="53" spans="1:42" ht="15.75" thickBot="1">
      <c r="A53" s="1058">
        <v>3</v>
      </c>
      <c r="B53" s="1059" t="s">
        <v>622</v>
      </c>
      <c r="C53" s="1051">
        <f>SUM(C54:C56)</f>
        <v>0</v>
      </c>
      <c r="D53" s="1079">
        <f>SUM(D54:D56)</f>
        <v>0</v>
      </c>
      <c r="E53" s="1052">
        <f t="shared" ref="E53:N53" si="17">SUM(E54:E56)</f>
        <v>0</v>
      </c>
      <c r="F53" s="1053">
        <f t="shared" si="17"/>
        <v>0</v>
      </c>
      <c r="G53" s="1052">
        <f t="shared" si="17"/>
        <v>0</v>
      </c>
      <c r="H53" s="1053">
        <f t="shared" si="17"/>
        <v>0</v>
      </c>
      <c r="I53" s="1052">
        <f t="shared" si="17"/>
        <v>0</v>
      </c>
      <c r="J53" s="1053">
        <f t="shared" si="17"/>
        <v>0</v>
      </c>
      <c r="K53" s="1052">
        <f t="shared" si="17"/>
        <v>0</v>
      </c>
      <c r="L53" s="1053">
        <f t="shared" si="17"/>
        <v>0</v>
      </c>
      <c r="M53" s="1052">
        <f t="shared" si="17"/>
        <v>0</v>
      </c>
      <c r="N53" s="1053">
        <f t="shared" si="17"/>
        <v>0</v>
      </c>
      <c r="O53" s="1051">
        <f>SUM(O54:O56)</f>
        <v>0</v>
      </c>
      <c r="P53" s="1079">
        <f>SUM(P54:P56)</f>
        <v>0</v>
      </c>
      <c r="Q53" s="1052">
        <f t="shared" ref="Q53:Z53" si="18">SUM(Q54:Q56)</f>
        <v>0</v>
      </c>
      <c r="R53" s="1053">
        <f t="shared" si="18"/>
        <v>0</v>
      </c>
      <c r="S53" s="1052">
        <f t="shared" si="18"/>
        <v>0</v>
      </c>
      <c r="T53" s="1053">
        <f t="shared" si="18"/>
        <v>0</v>
      </c>
      <c r="U53" s="1052">
        <f t="shared" si="18"/>
        <v>0</v>
      </c>
      <c r="V53" s="1053">
        <f t="shared" si="18"/>
        <v>0</v>
      </c>
      <c r="W53" s="1052">
        <f t="shared" si="18"/>
        <v>0</v>
      </c>
      <c r="X53" s="1053">
        <f t="shared" si="18"/>
        <v>0</v>
      </c>
      <c r="Y53" s="1052">
        <f t="shared" si="18"/>
        <v>0</v>
      </c>
      <c r="Z53" s="1053">
        <f t="shared" si="18"/>
        <v>0</v>
      </c>
      <c r="AA53" s="1051">
        <f>SUM(AA54:AA56)</f>
        <v>0</v>
      </c>
      <c r="AB53" s="1079">
        <f>SUM(AB54:AB56)</f>
        <v>0</v>
      </c>
      <c r="AC53" s="1052">
        <f t="shared" ref="AC53:AL53" si="19">SUM(AC54:AC56)</f>
        <v>0</v>
      </c>
      <c r="AD53" s="1053">
        <f t="shared" si="19"/>
        <v>0</v>
      </c>
      <c r="AE53" s="1052">
        <f t="shared" si="19"/>
        <v>0</v>
      </c>
      <c r="AF53" s="1053">
        <f t="shared" si="19"/>
        <v>0</v>
      </c>
      <c r="AG53" s="1052">
        <f t="shared" si="19"/>
        <v>0</v>
      </c>
      <c r="AH53" s="1053">
        <f t="shared" si="19"/>
        <v>0</v>
      </c>
      <c r="AI53" s="1052">
        <f t="shared" si="19"/>
        <v>0</v>
      </c>
      <c r="AJ53" s="1053">
        <f t="shared" si="19"/>
        <v>0</v>
      </c>
      <c r="AK53" s="1052">
        <f t="shared" si="19"/>
        <v>0</v>
      </c>
      <c r="AL53" s="1053">
        <f t="shared" si="19"/>
        <v>0</v>
      </c>
      <c r="AM53" s="491"/>
      <c r="AN53" s="358"/>
      <c r="AO53" s="358"/>
      <c r="AP53" s="358"/>
    </row>
    <row r="54" spans="1:42">
      <c r="A54" s="1060" t="s">
        <v>327</v>
      </c>
      <c r="B54" s="1061" t="s">
        <v>623</v>
      </c>
      <c r="C54" s="3048"/>
      <c r="D54" s="3049"/>
      <c r="E54" s="3049"/>
      <c r="F54" s="3050"/>
      <c r="G54" s="3049"/>
      <c r="H54" s="3050"/>
      <c r="I54" s="3049"/>
      <c r="J54" s="3050"/>
      <c r="K54" s="3049"/>
      <c r="L54" s="3050"/>
      <c r="M54" s="3049"/>
      <c r="N54" s="3050"/>
      <c r="O54" s="3048"/>
      <c r="P54" s="3049"/>
      <c r="Q54" s="3049"/>
      <c r="R54" s="3050"/>
      <c r="S54" s="3049"/>
      <c r="T54" s="3050"/>
      <c r="U54" s="3049"/>
      <c r="V54" s="3050"/>
      <c r="W54" s="3049"/>
      <c r="X54" s="3050"/>
      <c r="Y54" s="3049"/>
      <c r="Z54" s="3050"/>
      <c r="AA54" s="3048"/>
      <c r="AB54" s="3049"/>
      <c r="AC54" s="3049"/>
      <c r="AD54" s="3050"/>
      <c r="AE54" s="3049"/>
      <c r="AF54" s="3050"/>
      <c r="AG54" s="3049"/>
      <c r="AH54" s="3050"/>
      <c r="AI54" s="3049"/>
      <c r="AJ54" s="3050"/>
      <c r="AK54" s="3049"/>
      <c r="AL54" s="3050"/>
      <c r="AM54" s="494"/>
      <c r="AN54" s="351"/>
      <c r="AO54" s="351"/>
      <c r="AP54" s="351"/>
    </row>
    <row r="55" spans="1:42" ht="24">
      <c r="A55" s="1062" t="s">
        <v>328</v>
      </c>
      <c r="B55" s="1061" t="s">
        <v>1005</v>
      </c>
      <c r="C55" s="3051"/>
      <c r="D55" s="3052"/>
      <c r="E55" s="3052"/>
      <c r="F55" s="3053"/>
      <c r="G55" s="3052"/>
      <c r="H55" s="3053"/>
      <c r="I55" s="3052"/>
      <c r="J55" s="3053"/>
      <c r="K55" s="3052"/>
      <c r="L55" s="3053"/>
      <c r="M55" s="3052"/>
      <c r="N55" s="3053"/>
      <c r="O55" s="3051"/>
      <c r="P55" s="3052"/>
      <c r="Q55" s="3052"/>
      <c r="R55" s="3053"/>
      <c r="S55" s="3052"/>
      <c r="T55" s="3053"/>
      <c r="U55" s="3052"/>
      <c r="V55" s="3053"/>
      <c r="W55" s="3052"/>
      <c r="X55" s="3053"/>
      <c r="Y55" s="3052"/>
      <c r="Z55" s="3053"/>
      <c r="AA55" s="3051"/>
      <c r="AB55" s="3052"/>
      <c r="AC55" s="3052"/>
      <c r="AD55" s="3053"/>
      <c r="AE55" s="3052"/>
      <c r="AF55" s="3053"/>
      <c r="AG55" s="3052"/>
      <c r="AH55" s="3053"/>
      <c r="AI55" s="3052"/>
      <c r="AJ55" s="3053"/>
      <c r="AK55" s="3052"/>
      <c r="AL55" s="3053"/>
      <c r="AM55" s="494"/>
      <c r="AN55" s="351"/>
      <c r="AO55" s="351"/>
      <c r="AP55" s="351"/>
    </row>
    <row r="56" spans="1:42" ht="24.75" thickBot="1">
      <c r="A56" s="1063" t="s">
        <v>675</v>
      </c>
      <c r="B56" s="1064" t="s">
        <v>1006</v>
      </c>
      <c r="C56" s="3054"/>
      <c r="D56" s="3055"/>
      <c r="E56" s="3055"/>
      <c r="F56" s="3056"/>
      <c r="G56" s="3055"/>
      <c r="H56" s="3056"/>
      <c r="I56" s="3055"/>
      <c r="J56" s="3056"/>
      <c r="K56" s="3055"/>
      <c r="L56" s="3056"/>
      <c r="M56" s="3055"/>
      <c r="N56" s="3056"/>
      <c r="O56" s="3054"/>
      <c r="P56" s="3055"/>
      <c r="Q56" s="3055"/>
      <c r="R56" s="3056"/>
      <c r="S56" s="3055"/>
      <c r="T56" s="3056"/>
      <c r="U56" s="3055"/>
      <c r="V56" s="3056"/>
      <c r="W56" s="3055"/>
      <c r="X56" s="3056"/>
      <c r="Y56" s="3055"/>
      <c r="Z56" s="3056"/>
      <c r="AA56" s="3054"/>
      <c r="AB56" s="3055"/>
      <c r="AC56" s="3055"/>
      <c r="AD56" s="3056"/>
      <c r="AE56" s="3055"/>
      <c r="AF56" s="3056"/>
      <c r="AG56" s="3055"/>
      <c r="AH56" s="3056"/>
      <c r="AI56" s="3055"/>
      <c r="AJ56" s="3056"/>
      <c r="AK56" s="3055"/>
      <c r="AL56" s="3056"/>
      <c r="AM56" s="491"/>
      <c r="AN56" s="358"/>
      <c r="AO56" s="358"/>
      <c r="AP56" s="358"/>
    </row>
    <row r="57" spans="1:42" ht="15.75" thickBot="1">
      <c r="A57" s="1058">
        <v>4</v>
      </c>
      <c r="B57" s="1059" t="s">
        <v>624</v>
      </c>
      <c r="C57" s="1051">
        <f>SUM(C58:C60)</f>
        <v>3413</v>
      </c>
      <c r="D57" s="1079">
        <f>SUM(D58:D60)</f>
        <v>3507</v>
      </c>
      <c r="E57" s="1052">
        <f t="shared" ref="E57:N57" si="20">SUM(E58:E60)</f>
        <v>1813.7639999999994</v>
      </c>
      <c r="F57" s="1053">
        <f t="shared" si="20"/>
        <v>-1808.3240529801328</v>
      </c>
      <c r="G57" s="1052">
        <f t="shared" si="20"/>
        <v>1952.5099759999994</v>
      </c>
      <c r="H57" s="1053">
        <f t="shared" si="20"/>
        <v>-1849.206086366446</v>
      </c>
      <c r="I57" s="1052">
        <f t="shared" si="20"/>
        <v>2095.9733151839996</v>
      </c>
      <c r="J57" s="1053">
        <f t="shared" si="20"/>
        <v>-1864.5170059029049</v>
      </c>
      <c r="K57" s="1052">
        <f t="shared" si="20"/>
        <v>2244.3144079002554</v>
      </c>
      <c r="L57" s="1053">
        <f t="shared" si="20"/>
        <v>-1909.1324356867883</v>
      </c>
      <c r="M57" s="1052">
        <f t="shared" si="20"/>
        <v>2397.6990977688647</v>
      </c>
      <c r="N57" s="1053">
        <f t="shared" si="20"/>
        <v>-1946.979591100139</v>
      </c>
      <c r="O57" s="1051">
        <f>SUM(O58:O60)</f>
        <v>443</v>
      </c>
      <c r="P57" s="1079">
        <f>SUM(P58:P60)</f>
        <v>479</v>
      </c>
      <c r="Q57" s="1052">
        <f t="shared" ref="Q57:Z57" si="21">SUM(Q58:Q60)</f>
        <v>168.89468965517239</v>
      </c>
      <c r="R57" s="1053">
        <f t="shared" si="21"/>
        <v>-110</v>
      </c>
      <c r="S57" s="1052">
        <f t="shared" si="21"/>
        <v>211.26090910344828</v>
      </c>
      <c r="T57" s="1053">
        <f t="shared" si="21"/>
        <v>-135</v>
      </c>
      <c r="U57" s="1052">
        <f t="shared" si="21"/>
        <v>224.52778001296559</v>
      </c>
      <c r="V57" s="1053">
        <f t="shared" si="21"/>
        <v>-130</v>
      </c>
      <c r="W57" s="1052">
        <f t="shared" si="21"/>
        <v>236.41572453340643</v>
      </c>
      <c r="X57" s="1053">
        <f t="shared" si="21"/>
        <v>-123</v>
      </c>
      <c r="Y57" s="1052">
        <f t="shared" si="21"/>
        <v>242.94585916754227</v>
      </c>
      <c r="Z57" s="1053">
        <f t="shared" si="21"/>
        <v>-110</v>
      </c>
      <c r="AA57" s="1051">
        <f>SUM(AA58:AA60)</f>
        <v>524</v>
      </c>
      <c r="AB57" s="1079">
        <f>SUM(AB58:AB60)</f>
        <v>663</v>
      </c>
      <c r="AC57" s="1052">
        <f t="shared" ref="AC57:AL57" si="22">SUM(AC58:AC60)</f>
        <v>177.016103896104</v>
      </c>
      <c r="AD57" s="1053">
        <f t="shared" si="22"/>
        <v>0</v>
      </c>
      <c r="AE57" s="1052">
        <f t="shared" si="22"/>
        <v>200.74068571428603</v>
      </c>
      <c r="AF57" s="1053">
        <f t="shared" si="22"/>
        <v>0</v>
      </c>
      <c r="AG57" s="1052">
        <f t="shared" si="22"/>
        <v>225.30766902857101</v>
      </c>
      <c r="AH57" s="1053">
        <f t="shared" si="22"/>
        <v>0</v>
      </c>
      <c r="AI57" s="1052">
        <f t="shared" si="22"/>
        <v>250.74792977554299</v>
      </c>
      <c r="AJ57" s="1053">
        <f t="shared" si="22"/>
        <v>0</v>
      </c>
      <c r="AK57" s="1052">
        <f t="shared" si="22"/>
        <v>276.99795938791203</v>
      </c>
      <c r="AL57" s="1053">
        <f t="shared" si="22"/>
        <v>0</v>
      </c>
      <c r="AM57" s="491"/>
      <c r="AN57" s="358"/>
      <c r="AO57" s="358"/>
      <c r="AP57" s="358"/>
    </row>
    <row r="58" spans="1:42">
      <c r="A58" s="1035" t="s">
        <v>113</v>
      </c>
      <c r="B58" s="1501" t="s">
        <v>329</v>
      </c>
      <c r="C58" s="2250">
        <f>2432-87-78-274+1416</f>
        <v>3409</v>
      </c>
      <c r="D58" s="2457">
        <v>2087</v>
      </c>
      <c r="E58" s="785">
        <v>244.83599999999956</v>
      </c>
      <c r="F58" s="795">
        <f>-216.250781456954-41-1416</f>
        <v>-1673.250781456954</v>
      </c>
      <c r="G58" s="799">
        <v>330.23842399999944</v>
      </c>
      <c r="H58" s="2421">
        <f>-280.937489571744-42+65.2089-1416</f>
        <v>-1673.7285895717441</v>
      </c>
      <c r="I58" s="785">
        <v>418.54453041599947</v>
      </c>
      <c r="J58" s="795">
        <f>-290.489364217183-44+67.41609-1416</f>
        <v>-1683.0732742171831</v>
      </c>
      <c r="K58" s="799">
        <v>509.85304445014344</v>
      </c>
      <c r="L58" s="2421">
        <f>-361.665186804765-45+139.4339-1416</f>
        <v>-1683.231286804765</v>
      </c>
      <c r="M58" s="785">
        <v>604.26604796144863</v>
      </c>
      <c r="N58" s="795">
        <f>-373.961803156127-47+123.564-1416</f>
        <v>-1713.3978031561269</v>
      </c>
      <c r="O58" s="2250">
        <f>333+128-18</f>
        <v>443</v>
      </c>
      <c r="P58" s="2250">
        <v>351</v>
      </c>
      <c r="Q58" s="785">
        <f>42.6254482758621</f>
        <v>42.625448275862098</v>
      </c>
      <c r="R58" s="795">
        <f>-128+18</f>
        <v>-110</v>
      </c>
      <c r="S58" s="785">
        <v>55.086513517241379</v>
      </c>
      <c r="T58" s="795">
        <f>-128-7</f>
        <v>-135</v>
      </c>
      <c r="U58" s="799">
        <v>68.281454976827689</v>
      </c>
      <c r="V58" s="2421">
        <f>-128-2</f>
        <v>-130</v>
      </c>
      <c r="W58" s="785">
        <v>81.925024446039828</v>
      </c>
      <c r="X58" s="795">
        <f>-128+5</f>
        <v>-123</v>
      </c>
      <c r="Y58" s="799">
        <v>96.032475277205165</v>
      </c>
      <c r="Z58" s="2421">
        <f>-128+18</f>
        <v>-110</v>
      </c>
      <c r="AA58" s="2250">
        <f>624+15-115</f>
        <v>524</v>
      </c>
      <c r="AB58" s="2457">
        <v>663</v>
      </c>
      <c r="AC58" s="785">
        <f>234.016103896104-57</f>
        <v>177.016103896104</v>
      </c>
      <c r="AD58" s="795"/>
      <c r="AE58" s="799">
        <f>263.440685714286-62.7</f>
        <v>200.74068571428603</v>
      </c>
      <c r="AF58" s="2421"/>
      <c r="AG58" s="785">
        <f>290.007669028571-57-7.7</f>
        <v>225.30766902857101</v>
      </c>
      <c r="AH58" s="795"/>
      <c r="AI58" s="799">
        <f>318.647929775543-60-7.9</f>
        <v>250.74792977554299</v>
      </c>
      <c r="AJ58" s="2421"/>
      <c r="AK58" s="785">
        <f>346.397959387912-61-8.4</f>
        <v>276.99795938791203</v>
      </c>
      <c r="AL58" s="795"/>
    </row>
    <row r="59" spans="1:42" ht="19.5" customHeight="1">
      <c r="A59" s="1035" t="s">
        <v>115</v>
      </c>
      <c r="B59" s="1065" t="s">
        <v>858</v>
      </c>
      <c r="C59" s="2250">
        <f>1416-1416</f>
        <v>0</v>
      </c>
      <c r="D59" s="2457">
        <v>1416</v>
      </c>
      <c r="E59" s="785">
        <f>152.928+1416</f>
        <v>1568.9279999999999</v>
      </c>
      <c r="F59" s="795">
        <v>-135.07327152317879</v>
      </c>
      <c r="G59" s="799">
        <f>206.271552+1416</f>
        <v>1622.2715519999999</v>
      </c>
      <c r="H59" s="2421">
        <v>-175.47749679470198</v>
      </c>
      <c r="I59" s="785">
        <f>261.428784768+1416</f>
        <v>1677.428784768</v>
      </c>
      <c r="J59" s="795">
        <v>-181.44373168572184</v>
      </c>
      <c r="K59" s="799">
        <f>318.461363450112+1416</f>
        <v>1734.461363450112</v>
      </c>
      <c r="L59" s="2421">
        <v>-225.90114888202336</v>
      </c>
      <c r="M59" s="785">
        <f>377.433049807416+1416</f>
        <v>1793.433049807416</v>
      </c>
      <c r="N59" s="795">
        <v>-233.58178794401218</v>
      </c>
      <c r="O59" s="2250"/>
      <c r="P59" s="2250">
        <v>128</v>
      </c>
      <c r="Q59" s="785">
        <f>16.2692413793103+128-18</f>
        <v>126.2692413793103</v>
      </c>
      <c r="R59" s="795"/>
      <c r="S59" s="785">
        <f>21.1743955862069+128+7</f>
        <v>156.17439558620691</v>
      </c>
      <c r="T59" s="795"/>
      <c r="U59" s="799">
        <f>26.2463250361379+128+2</f>
        <v>156.2463250361379</v>
      </c>
      <c r="V59" s="2421"/>
      <c r="W59" s="785">
        <f>31.4907000873666+128-5</f>
        <v>154.4907000873666</v>
      </c>
      <c r="X59" s="795"/>
      <c r="Y59" s="799">
        <f>36.9133838903371+128-18</f>
        <v>146.91338389033712</v>
      </c>
      <c r="Z59" s="2421"/>
      <c r="AA59" s="2250"/>
      <c r="AB59" s="2457"/>
      <c r="AC59" s="785"/>
      <c r="AD59" s="795"/>
      <c r="AE59" s="799"/>
      <c r="AF59" s="2421"/>
      <c r="AG59" s="785"/>
      <c r="AH59" s="795"/>
      <c r="AI59" s="799"/>
      <c r="AJ59" s="2421"/>
      <c r="AK59" s="785"/>
      <c r="AL59" s="795"/>
    </row>
    <row r="60" spans="1:42" ht="15.75" thickBot="1">
      <c r="A60" s="1035" t="s">
        <v>116</v>
      </c>
      <c r="B60" s="1502" t="s">
        <v>330</v>
      </c>
      <c r="C60" s="2250">
        <v>4</v>
      </c>
      <c r="D60" s="2457">
        <v>4</v>
      </c>
      <c r="E60" s="785"/>
      <c r="F60" s="795"/>
      <c r="G60" s="799"/>
      <c r="H60" s="2421"/>
      <c r="I60" s="785"/>
      <c r="J60" s="795"/>
      <c r="K60" s="799"/>
      <c r="L60" s="2421"/>
      <c r="M60" s="785"/>
      <c r="N60" s="795"/>
      <c r="O60" s="2250"/>
      <c r="P60" s="2250"/>
      <c r="Q60" s="785"/>
      <c r="R60" s="795"/>
      <c r="S60" s="785"/>
      <c r="T60" s="795"/>
      <c r="U60" s="799"/>
      <c r="V60" s="2421"/>
      <c r="W60" s="785"/>
      <c r="X60" s="795"/>
      <c r="Y60" s="799"/>
      <c r="Z60" s="2421"/>
      <c r="AA60" s="2250"/>
      <c r="AB60" s="2457"/>
      <c r="AC60" s="785"/>
      <c r="AD60" s="795"/>
      <c r="AE60" s="799"/>
      <c r="AF60" s="2421"/>
      <c r="AG60" s="785"/>
      <c r="AH60" s="795"/>
      <c r="AI60" s="799"/>
      <c r="AJ60" s="2421"/>
      <c r="AK60" s="785"/>
      <c r="AL60" s="795"/>
    </row>
    <row r="61" spans="1:42" ht="15.75" thickBot="1">
      <c r="A61" s="1058">
        <v>5</v>
      </c>
      <c r="B61" s="1050" t="s">
        <v>625</v>
      </c>
      <c r="C61" s="1051">
        <f>SUM(C62:C65)</f>
        <v>617</v>
      </c>
      <c r="D61" s="1079">
        <f>SUM(D62:D65)</f>
        <v>644</v>
      </c>
      <c r="E61" s="1052">
        <f t="shared" ref="E61:N61" si="23">SUM(E62:E65)</f>
        <v>332.06365679999993</v>
      </c>
      <c r="F61" s="1053">
        <f t="shared" si="23"/>
        <v>-331.41653866490071</v>
      </c>
      <c r="G61" s="1052">
        <f t="shared" si="23"/>
        <v>361.00991539199981</v>
      </c>
      <c r="H61" s="1053">
        <f t="shared" si="23"/>
        <v>-341.77123738235758</v>
      </c>
      <c r="I61" s="1052">
        <f t="shared" si="23"/>
        <v>388.55487651532781</v>
      </c>
      <c r="J61" s="1053">
        <f t="shared" si="23"/>
        <v>-344.32027441335782</v>
      </c>
      <c r="K61" s="1052">
        <f t="shared" si="23"/>
        <v>417.0363663168489</v>
      </c>
      <c r="L61" s="1053">
        <f t="shared" si="23"/>
        <v>-354.40929645186333</v>
      </c>
      <c r="M61" s="1052">
        <f t="shared" si="23"/>
        <v>446.48622677162194</v>
      </c>
      <c r="N61" s="1053">
        <f t="shared" si="23"/>
        <v>-361.08484949122663</v>
      </c>
      <c r="O61" s="1051">
        <f>SUM(O62:O65)</f>
        <v>85</v>
      </c>
      <c r="P61" s="1079">
        <f>SUM(P62:P65)</f>
        <v>91</v>
      </c>
      <c r="Q61" s="1052">
        <f t="shared" ref="Q61:Z61" si="24">SUM(Q62:Q65)</f>
        <v>41.067465649742552</v>
      </c>
      <c r="R61" s="1053">
        <f t="shared" si="24"/>
        <v>-29</v>
      </c>
      <c r="S61" s="1052">
        <f t="shared" si="24"/>
        <v>16.178030227538795</v>
      </c>
      <c r="T61" s="1053">
        <f t="shared" si="24"/>
        <v>0</v>
      </c>
      <c r="U61" s="1052">
        <f t="shared" si="24"/>
        <v>20.053174035958929</v>
      </c>
      <c r="V61" s="1053">
        <f t="shared" si="24"/>
        <v>0</v>
      </c>
      <c r="W61" s="1052">
        <f t="shared" si="24"/>
        <v>24.060072733865404</v>
      </c>
      <c r="X61" s="1053">
        <f t="shared" si="24"/>
        <v>0</v>
      </c>
      <c r="Y61" s="1052">
        <f t="shared" si="24"/>
        <v>28.203205987500652</v>
      </c>
      <c r="Z61" s="1053">
        <f t="shared" si="24"/>
        <v>0</v>
      </c>
      <c r="AA61" s="1051">
        <f>SUM(AA62:AA65)</f>
        <v>94</v>
      </c>
      <c r="AB61" s="1079">
        <f>SUM(AB62:AB65)</f>
        <v>121</v>
      </c>
      <c r="AC61" s="1052">
        <f t="shared" ref="AC61:AL61" si="25">SUM(AC62:AC65)</f>
        <v>41.417617870129902</v>
      </c>
      <c r="AD61" s="1053">
        <f t="shared" si="25"/>
        <v>0</v>
      </c>
      <c r="AE61" s="1052">
        <f t="shared" si="25"/>
        <v>47.439716754285698</v>
      </c>
      <c r="AF61" s="1053">
        <f t="shared" si="25"/>
        <v>0</v>
      </c>
      <c r="AG61" s="1052">
        <f t="shared" si="25"/>
        <v>53.251084723931406</v>
      </c>
      <c r="AH61" s="1053">
        <f t="shared" si="25"/>
        <v>0</v>
      </c>
      <c r="AI61" s="1052">
        <f t="shared" si="25"/>
        <v>58.570239204545103</v>
      </c>
      <c r="AJ61" s="1053">
        <f t="shared" si="25"/>
        <v>0</v>
      </c>
      <c r="AK61" s="1052">
        <f t="shared" si="25"/>
        <v>64.204244937499595</v>
      </c>
      <c r="AL61" s="1053">
        <f t="shared" si="25"/>
        <v>0</v>
      </c>
    </row>
    <row r="62" spans="1:42">
      <c r="A62" s="1035" t="s">
        <v>119</v>
      </c>
      <c r="B62" s="1501" t="s">
        <v>848</v>
      </c>
      <c r="C62" s="2250">
        <f>432-11-10-52+258</f>
        <v>617</v>
      </c>
      <c r="D62" s="2457">
        <v>385</v>
      </c>
      <c r="E62" s="785">
        <v>45.588463199999914</v>
      </c>
      <c r="F62" s="795">
        <f>-40.2658955072848-8-258</f>
        <v>-306.26589550728482</v>
      </c>
      <c r="G62" s="799">
        <v>63.405777407999899</v>
      </c>
      <c r="H62" s="2421">
        <f>-53.9399979977748-8+11.86044-258</f>
        <v>-308.07955799777483</v>
      </c>
      <c r="I62" s="785">
        <v>80.360549839871908</v>
      </c>
      <c r="J62" s="795">
        <f>-55.7739579296992-8+12.29088-258</f>
        <v>-309.48307792969922</v>
      </c>
      <c r="K62" s="799">
        <v>97.891784534427543</v>
      </c>
      <c r="L62" s="2421">
        <f>-69.4397158665148-9+25.40344-258</f>
        <v>-311.03627586651481</v>
      </c>
      <c r="M62" s="785">
        <v>116.01908120859814</v>
      </c>
      <c r="N62" s="795">
        <f>-71.8006662059763-9+22.56352-258</f>
        <v>-316.23714620597627</v>
      </c>
      <c r="O62" s="2250">
        <f>60+29-4</f>
        <v>85</v>
      </c>
      <c r="P62" s="2250">
        <v>62</v>
      </c>
      <c r="Q62" s="785">
        <v>8.7168461200960294</v>
      </c>
      <c r="R62" s="795">
        <v>-29</v>
      </c>
      <c r="S62" s="785">
        <v>11.686082572170104</v>
      </c>
      <c r="T62" s="795"/>
      <c r="U62" s="799">
        <v>14.485264542243641</v>
      </c>
      <c r="V62" s="2421"/>
      <c r="W62" s="785">
        <v>17.379618699299737</v>
      </c>
      <c r="X62" s="795"/>
      <c r="Y62" s="799">
        <v>20.372380897695695</v>
      </c>
      <c r="Z62" s="2421"/>
      <c r="AA62" s="2250">
        <f>100+13+3-22</f>
        <v>94</v>
      </c>
      <c r="AB62" s="2457">
        <v>121</v>
      </c>
      <c r="AC62" s="785">
        <f>44.9176178701299-3.5</f>
        <v>41.417617870129902</v>
      </c>
      <c r="AD62" s="795"/>
      <c r="AE62" s="799">
        <f>52.9397167542857-5.5</f>
        <v>47.439716754285698</v>
      </c>
      <c r="AF62" s="2421"/>
      <c r="AG62" s="785">
        <f>57.0510847239314-3.8</f>
        <v>53.251084723931406</v>
      </c>
      <c r="AH62" s="795"/>
      <c r="AI62" s="799">
        <f>63.3702392045451-4.8</f>
        <v>58.570239204545103</v>
      </c>
      <c r="AJ62" s="2421"/>
      <c r="AK62" s="785">
        <f>67.9042449374996-3.7</f>
        <v>64.204244937499595</v>
      </c>
      <c r="AL62" s="795"/>
    </row>
    <row r="63" spans="1:42">
      <c r="A63" s="1035" t="s">
        <v>124</v>
      </c>
      <c r="B63" s="1503" t="s">
        <v>857</v>
      </c>
      <c r="C63" s="2250">
        <f>258-258</f>
        <v>0</v>
      </c>
      <c r="D63" s="2457">
        <v>259</v>
      </c>
      <c r="E63" s="785">
        <f>28.4751936+258</f>
        <v>286.47519360000001</v>
      </c>
      <c r="F63" s="795">
        <v>-25.150643157615896</v>
      </c>
      <c r="G63" s="799">
        <f>39.6041379839999+258</f>
        <v>297.60413798399992</v>
      </c>
      <c r="H63" s="2421">
        <v>-33.691679384582777</v>
      </c>
      <c r="I63" s="785">
        <f>50.1943266754559+258</f>
        <v>308.1943266754559</v>
      </c>
      <c r="J63" s="795">
        <v>-34.837196483658595</v>
      </c>
      <c r="K63" s="799">
        <f>61.1445817824214+258</f>
        <v>319.14458178242137</v>
      </c>
      <c r="L63" s="2421">
        <v>-43.373020585348492</v>
      </c>
      <c r="M63" s="785">
        <f>72.4671455630238+258</f>
        <v>330.46714556302379</v>
      </c>
      <c r="N63" s="795">
        <v>-44.84770328525034</v>
      </c>
      <c r="O63" s="2250"/>
      <c r="P63" s="2250">
        <v>29</v>
      </c>
      <c r="Q63" s="785">
        <f>3.35061952964652+29</f>
        <v>32.350619529646522</v>
      </c>
      <c r="R63" s="795"/>
      <c r="S63" s="785">
        <v>4.4919476553686897</v>
      </c>
      <c r="T63" s="795"/>
      <c r="U63" s="799">
        <v>5.5679094937152884</v>
      </c>
      <c r="V63" s="2421"/>
      <c r="W63" s="785">
        <v>6.6804540345656651</v>
      </c>
      <c r="X63" s="795"/>
      <c r="Y63" s="799">
        <v>7.8308250898049572</v>
      </c>
      <c r="Z63" s="2421"/>
      <c r="AA63" s="2250"/>
      <c r="AB63" s="2457"/>
      <c r="AC63" s="785"/>
      <c r="AD63" s="795"/>
      <c r="AE63" s="799"/>
      <c r="AF63" s="2421"/>
      <c r="AG63" s="785"/>
      <c r="AH63" s="795"/>
      <c r="AI63" s="799"/>
      <c r="AJ63" s="2421"/>
      <c r="AK63" s="785"/>
      <c r="AL63" s="795"/>
    </row>
    <row r="64" spans="1:42">
      <c r="A64" s="1035" t="s">
        <v>91</v>
      </c>
      <c r="B64" s="1503" t="s">
        <v>849</v>
      </c>
      <c r="C64" s="2250"/>
      <c r="D64" s="2457"/>
      <c r="E64" s="785"/>
      <c r="F64" s="795"/>
      <c r="G64" s="799"/>
      <c r="H64" s="2421"/>
      <c r="I64" s="785"/>
      <c r="J64" s="795"/>
      <c r="K64" s="799"/>
      <c r="L64" s="2421"/>
      <c r="M64" s="785"/>
      <c r="N64" s="795"/>
      <c r="O64" s="2250"/>
      <c r="P64" s="2250"/>
      <c r="Q64" s="785"/>
      <c r="R64" s="795"/>
      <c r="S64" s="785"/>
      <c r="T64" s="795"/>
      <c r="U64" s="799"/>
      <c r="V64" s="2421"/>
      <c r="W64" s="785"/>
      <c r="X64" s="795"/>
      <c r="Y64" s="799"/>
      <c r="Z64" s="2421"/>
      <c r="AA64" s="2250"/>
      <c r="AB64" s="2457"/>
      <c r="AC64" s="785"/>
      <c r="AD64" s="795"/>
      <c r="AE64" s="799"/>
      <c r="AF64" s="2421"/>
      <c r="AG64" s="785"/>
      <c r="AH64" s="795"/>
      <c r="AI64" s="799"/>
      <c r="AJ64" s="2421"/>
      <c r="AK64" s="785"/>
      <c r="AL64" s="795"/>
    </row>
    <row r="65" spans="1:38" ht="24.75" thickBot="1">
      <c r="A65" s="1035" t="s">
        <v>92</v>
      </c>
      <c r="B65" s="1504" t="s">
        <v>856</v>
      </c>
      <c r="C65" s="2250"/>
      <c r="D65" s="2457"/>
      <c r="E65" s="785"/>
      <c r="F65" s="795"/>
      <c r="G65" s="799"/>
      <c r="H65" s="2421"/>
      <c r="I65" s="785"/>
      <c r="J65" s="795"/>
      <c r="K65" s="799"/>
      <c r="L65" s="2421"/>
      <c r="M65" s="785"/>
      <c r="N65" s="795"/>
      <c r="O65" s="2250"/>
      <c r="P65" s="2250"/>
      <c r="Q65" s="785"/>
      <c r="R65" s="795"/>
      <c r="S65" s="785"/>
      <c r="T65" s="795"/>
      <c r="U65" s="799"/>
      <c r="V65" s="2421"/>
      <c r="W65" s="785"/>
      <c r="X65" s="795"/>
      <c r="Y65" s="799"/>
      <c r="Z65" s="2421"/>
      <c r="AA65" s="2250"/>
      <c r="AB65" s="2457"/>
      <c r="AC65" s="785"/>
      <c r="AD65" s="795"/>
      <c r="AE65" s="799"/>
      <c r="AF65" s="2421"/>
      <c r="AG65" s="785"/>
      <c r="AH65" s="795"/>
      <c r="AI65" s="799"/>
      <c r="AJ65" s="2421"/>
      <c r="AK65" s="785"/>
      <c r="AL65" s="795"/>
    </row>
    <row r="66" spans="1:38" ht="15.75" thickBot="1">
      <c r="A66" s="1058">
        <v>6</v>
      </c>
      <c r="B66" s="1050" t="s">
        <v>626</v>
      </c>
      <c r="C66" s="1051">
        <f>SUM(C67:C71)</f>
        <v>747</v>
      </c>
      <c r="D66" s="1079">
        <f>SUM(D67:D71)</f>
        <v>787</v>
      </c>
      <c r="E66" s="1052">
        <f t="shared" ref="E66:N66" si="26">SUM(E67:E71)</f>
        <v>188.89119800000003</v>
      </c>
      <c r="F66" s="1053">
        <f t="shared" si="26"/>
        <v>0</v>
      </c>
      <c r="G66" s="1052">
        <f t="shared" si="26"/>
        <v>169.73563194171595</v>
      </c>
      <c r="H66" s="1053">
        <f t="shared" si="26"/>
        <v>0</v>
      </c>
      <c r="I66" s="1052">
        <f t="shared" si="26"/>
        <v>143.91462982557994</v>
      </c>
      <c r="J66" s="1053">
        <f t="shared" si="26"/>
        <v>0</v>
      </c>
      <c r="K66" s="1052">
        <f t="shared" si="26"/>
        <v>128.58688846915595</v>
      </c>
      <c r="L66" s="1053">
        <f t="shared" si="26"/>
        <v>0</v>
      </c>
      <c r="M66" s="1052">
        <f t="shared" si="26"/>
        <v>116.38460757982</v>
      </c>
      <c r="N66" s="1053">
        <f t="shared" si="26"/>
        <v>0</v>
      </c>
      <c r="O66" s="1051">
        <f>SUM(O67:O71)</f>
        <v>48</v>
      </c>
      <c r="P66" s="1079">
        <f>SUM(P67:P71)</f>
        <v>39</v>
      </c>
      <c r="Q66" s="1052">
        <f t="shared" ref="Q66:Z66" si="27">SUM(Q67:Q71)</f>
        <v>0</v>
      </c>
      <c r="R66" s="1053">
        <f t="shared" si="27"/>
        <v>0</v>
      </c>
      <c r="S66" s="1052">
        <f t="shared" si="27"/>
        <v>0</v>
      </c>
      <c r="T66" s="1053">
        <f t="shared" si="27"/>
        <v>0</v>
      </c>
      <c r="U66" s="1052">
        <f t="shared" si="27"/>
        <v>0</v>
      </c>
      <c r="V66" s="1053">
        <f t="shared" si="27"/>
        <v>0</v>
      </c>
      <c r="W66" s="1052">
        <f t="shared" si="27"/>
        <v>0</v>
      </c>
      <c r="X66" s="1053">
        <f t="shared" si="27"/>
        <v>0</v>
      </c>
      <c r="Y66" s="1052">
        <f t="shared" si="27"/>
        <v>0</v>
      </c>
      <c r="Z66" s="1053">
        <f t="shared" si="27"/>
        <v>0</v>
      </c>
      <c r="AA66" s="1051">
        <f>SUM(AA67:AA71)</f>
        <v>16</v>
      </c>
      <c r="AB66" s="1079">
        <f>SUM(AB67:AB71)</f>
        <v>7</v>
      </c>
      <c r="AC66" s="1052">
        <f t="shared" ref="AC66:AL66" si="28">SUM(AC67:AC71)</f>
        <v>0</v>
      </c>
      <c r="AD66" s="1053">
        <f t="shared" si="28"/>
        <v>0</v>
      </c>
      <c r="AE66" s="1052">
        <f t="shared" si="28"/>
        <v>0</v>
      </c>
      <c r="AF66" s="1053">
        <f t="shared" si="28"/>
        <v>0</v>
      </c>
      <c r="AG66" s="1052">
        <f t="shared" si="28"/>
        <v>0</v>
      </c>
      <c r="AH66" s="1053">
        <f t="shared" si="28"/>
        <v>0</v>
      </c>
      <c r="AI66" s="1052">
        <f t="shared" si="28"/>
        <v>0</v>
      </c>
      <c r="AJ66" s="1053">
        <f t="shared" si="28"/>
        <v>0</v>
      </c>
      <c r="AK66" s="1052">
        <f t="shared" si="28"/>
        <v>0</v>
      </c>
      <c r="AL66" s="1053">
        <f t="shared" si="28"/>
        <v>0</v>
      </c>
    </row>
    <row r="67" spans="1:38">
      <c r="A67" s="1035" t="s">
        <v>333</v>
      </c>
      <c r="B67" s="1036" t="s">
        <v>627</v>
      </c>
      <c r="C67" s="2250">
        <v>60</v>
      </c>
      <c r="D67" s="2457">
        <v>70</v>
      </c>
      <c r="E67" s="785"/>
      <c r="F67" s="795"/>
      <c r="G67" s="799"/>
      <c r="H67" s="2421"/>
      <c r="I67" s="785"/>
      <c r="J67" s="795"/>
      <c r="K67" s="799"/>
      <c r="L67" s="2421"/>
      <c r="M67" s="785"/>
      <c r="N67" s="795"/>
      <c r="O67" s="2250">
        <v>7</v>
      </c>
      <c r="P67" s="2250">
        <v>4</v>
      </c>
      <c r="Q67" s="785"/>
      <c r="R67" s="795"/>
      <c r="S67" s="785"/>
      <c r="T67" s="795"/>
      <c r="U67" s="799"/>
      <c r="V67" s="2421"/>
      <c r="W67" s="785"/>
      <c r="X67" s="795"/>
      <c r="Y67" s="799"/>
      <c r="Z67" s="2421"/>
      <c r="AA67" s="2250">
        <v>5</v>
      </c>
      <c r="AB67" s="2457">
        <v>3</v>
      </c>
      <c r="AC67" s="785"/>
      <c r="AD67" s="795"/>
      <c r="AE67" s="799"/>
      <c r="AF67" s="2421"/>
      <c r="AG67" s="785"/>
      <c r="AH67" s="795"/>
      <c r="AI67" s="799"/>
      <c r="AJ67" s="2421"/>
      <c r="AK67" s="785"/>
      <c r="AL67" s="795"/>
    </row>
    <row r="68" spans="1:38">
      <c r="A68" s="1035" t="s">
        <v>335</v>
      </c>
      <c r="B68" s="1067" t="s">
        <v>628</v>
      </c>
      <c r="C68" s="2250">
        <v>18</v>
      </c>
      <c r="D68" s="2457">
        <v>35</v>
      </c>
      <c r="E68" s="785"/>
      <c r="F68" s="795"/>
      <c r="G68" s="799"/>
      <c r="H68" s="2421"/>
      <c r="I68" s="785"/>
      <c r="J68" s="795"/>
      <c r="K68" s="799"/>
      <c r="L68" s="2421"/>
      <c r="M68" s="785"/>
      <c r="N68" s="795"/>
      <c r="O68" s="2250">
        <v>13</v>
      </c>
      <c r="P68" s="2250">
        <v>3</v>
      </c>
      <c r="Q68" s="785"/>
      <c r="R68" s="795"/>
      <c r="S68" s="785"/>
      <c r="T68" s="795"/>
      <c r="U68" s="799"/>
      <c r="V68" s="2421"/>
      <c r="W68" s="785"/>
      <c r="X68" s="795"/>
      <c r="Y68" s="799"/>
      <c r="Z68" s="2421"/>
      <c r="AA68" s="2250">
        <v>11</v>
      </c>
      <c r="AB68" s="2457">
        <v>4</v>
      </c>
      <c r="AC68" s="785"/>
      <c r="AD68" s="795"/>
      <c r="AE68" s="799"/>
      <c r="AF68" s="2421"/>
      <c r="AG68" s="785"/>
      <c r="AH68" s="795"/>
      <c r="AI68" s="799"/>
      <c r="AJ68" s="2421"/>
      <c r="AK68" s="785"/>
      <c r="AL68" s="795"/>
    </row>
    <row r="69" spans="1:38">
      <c r="A69" s="1035" t="s">
        <v>337</v>
      </c>
      <c r="B69" s="1042" t="s">
        <v>629</v>
      </c>
      <c r="C69" s="2250">
        <v>667</v>
      </c>
      <c r="D69" s="2457">
        <v>680</v>
      </c>
      <c r="E69" s="785">
        <f>'4. Отчет и прогн. потребление'!F10/1000*0.02-'12.1.Разходи-увелич.и нам.'!C69</f>
        <v>188.89119800000003</v>
      </c>
      <c r="F69" s="795"/>
      <c r="G69" s="799">
        <f>'4. Отчет и прогн. потребление'!G10/1000*0.02-'12.1.Разходи-увелич.и нам.'!C69</f>
        <v>169.73563194171595</v>
      </c>
      <c r="H69" s="2421"/>
      <c r="I69" s="785">
        <f>'4. Отчет и прогн. потребление'!H10/1000*0.02-'12.1.Разходи-увелич.и нам.'!C69</f>
        <v>143.91462982557994</v>
      </c>
      <c r="J69" s="795"/>
      <c r="K69" s="799">
        <f>'4. Отчет и прогн. потребление'!I10/1000*0.02-'12.1.Разходи-увелич.и нам.'!C69</f>
        <v>128.58688846915595</v>
      </c>
      <c r="L69" s="2421"/>
      <c r="M69" s="785">
        <f>'4. Отчет и прогн. потребление'!J10/1000*0.02-'12.1.Разходи-увелич.и нам.'!C69</f>
        <v>116.38460757982</v>
      </c>
      <c r="N69" s="795"/>
      <c r="O69" s="2250"/>
      <c r="P69" s="2250"/>
      <c r="Q69" s="785"/>
      <c r="R69" s="795"/>
      <c r="S69" s="785"/>
      <c r="T69" s="795"/>
      <c r="U69" s="799"/>
      <c r="V69" s="2421"/>
      <c r="W69" s="785"/>
      <c r="X69" s="795"/>
      <c r="Y69" s="799"/>
      <c r="Z69" s="2421"/>
      <c r="AA69" s="2250"/>
      <c r="AB69" s="2457"/>
      <c r="AC69" s="785"/>
      <c r="AD69" s="795"/>
      <c r="AE69" s="799"/>
      <c r="AF69" s="2421"/>
      <c r="AG69" s="785"/>
      <c r="AH69" s="795"/>
      <c r="AI69" s="799"/>
      <c r="AJ69" s="2421"/>
      <c r="AK69" s="785"/>
      <c r="AL69" s="795"/>
    </row>
    <row r="70" spans="1:38">
      <c r="A70" s="1035" t="s">
        <v>339</v>
      </c>
      <c r="B70" s="1042" t="s">
        <v>630</v>
      </c>
      <c r="C70" s="2250"/>
      <c r="D70" s="2457"/>
      <c r="E70" s="785"/>
      <c r="F70" s="795"/>
      <c r="G70" s="799"/>
      <c r="H70" s="2421"/>
      <c r="I70" s="785"/>
      <c r="J70" s="795"/>
      <c r="K70" s="799"/>
      <c r="L70" s="2421"/>
      <c r="M70" s="785"/>
      <c r="N70" s="795"/>
      <c r="O70" s="2250">
        <v>25</v>
      </c>
      <c r="P70" s="2250">
        <v>29</v>
      </c>
      <c r="Q70" s="785"/>
      <c r="R70" s="795"/>
      <c r="S70" s="785"/>
      <c r="T70" s="795"/>
      <c r="U70" s="799"/>
      <c r="V70" s="2421"/>
      <c r="W70" s="785"/>
      <c r="X70" s="795"/>
      <c r="Y70" s="799"/>
      <c r="Z70" s="2421"/>
      <c r="AA70" s="2250"/>
      <c r="AB70" s="2457"/>
      <c r="AC70" s="785"/>
      <c r="AD70" s="795"/>
      <c r="AE70" s="799"/>
      <c r="AF70" s="2421"/>
      <c r="AG70" s="785"/>
      <c r="AH70" s="795"/>
      <c r="AI70" s="799"/>
      <c r="AJ70" s="2421"/>
      <c r="AK70" s="785"/>
      <c r="AL70" s="795"/>
    </row>
    <row r="71" spans="1:38" ht="15.75" thickBot="1">
      <c r="A71" s="1035" t="s">
        <v>341</v>
      </c>
      <c r="B71" s="1042" t="s">
        <v>631</v>
      </c>
      <c r="C71" s="2250">
        <v>2</v>
      </c>
      <c r="D71" s="2457">
        <v>2</v>
      </c>
      <c r="E71" s="785"/>
      <c r="F71" s="795"/>
      <c r="G71" s="799"/>
      <c r="H71" s="2421"/>
      <c r="I71" s="785"/>
      <c r="J71" s="795"/>
      <c r="K71" s="799"/>
      <c r="L71" s="2421"/>
      <c r="M71" s="785"/>
      <c r="N71" s="795"/>
      <c r="O71" s="2250">
        <v>3</v>
      </c>
      <c r="P71" s="2250">
        <v>3</v>
      </c>
      <c r="Q71" s="785"/>
      <c r="R71" s="795"/>
      <c r="S71" s="785"/>
      <c r="T71" s="795"/>
      <c r="U71" s="799"/>
      <c r="V71" s="2421"/>
      <c r="W71" s="785"/>
      <c r="X71" s="795"/>
      <c r="Y71" s="799"/>
      <c r="Z71" s="2421"/>
      <c r="AA71" s="2250"/>
      <c r="AB71" s="2457"/>
      <c r="AC71" s="785"/>
      <c r="AD71" s="795"/>
      <c r="AE71" s="799"/>
      <c r="AF71" s="2421"/>
      <c r="AG71" s="785"/>
      <c r="AH71" s="795"/>
      <c r="AI71" s="799"/>
      <c r="AJ71" s="2421"/>
      <c r="AK71" s="785"/>
      <c r="AL71" s="795"/>
    </row>
    <row r="72" spans="1:38" ht="15.75" thickBot="1">
      <c r="A72" s="1058">
        <v>7</v>
      </c>
      <c r="B72" s="1050" t="s">
        <v>332</v>
      </c>
      <c r="C72" s="1051">
        <f t="shared" ref="C72:AL72" si="29">SUM(C73:C79)</f>
        <v>65</v>
      </c>
      <c r="D72" s="1079">
        <f t="shared" si="29"/>
        <v>118</v>
      </c>
      <c r="E72" s="1052">
        <f t="shared" si="29"/>
        <v>0</v>
      </c>
      <c r="F72" s="1053">
        <f t="shared" si="29"/>
        <v>0</v>
      </c>
      <c r="G72" s="1052">
        <f t="shared" si="29"/>
        <v>0</v>
      </c>
      <c r="H72" s="1053">
        <f t="shared" si="29"/>
        <v>0</v>
      </c>
      <c r="I72" s="1052">
        <f t="shared" si="29"/>
        <v>0</v>
      </c>
      <c r="J72" s="1053">
        <f t="shared" si="29"/>
        <v>0</v>
      </c>
      <c r="K72" s="1052">
        <f t="shared" si="29"/>
        <v>0</v>
      </c>
      <c r="L72" s="1053">
        <f t="shared" si="29"/>
        <v>0</v>
      </c>
      <c r="M72" s="1052">
        <f t="shared" si="29"/>
        <v>0</v>
      </c>
      <c r="N72" s="1053">
        <f t="shared" si="29"/>
        <v>0</v>
      </c>
      <c r="O72" s="1051">
        <f t="shared" si="29"/>
        <v>36</v>
      </c>
      <c r="P72" s="1079">
        <f t="shared" si="29"/>
        <v>54</v>
      </c>
      <c r="Q72" s="1052">
        <f t="shared" si="29"/>
        <v>0</v>
      </c>
      <c r="R72" s="1053">
        <f t="shared" si="29"/>
        <v>0</v>
      </c>
      <c r="S72" s="1052">
        <f t="shared" si="29"/>
        <v>0</v>
      </c>
      <c r="T72" s="1053">
        <f t="shared" si="29"/>
        <v>0</v>
      </c>
      <c r="U72" s="1052">
        <f t="shared" si="29"/>
        <v>0</v>
      </c>
      <c r="V72" s="1053">
        <f t="shared" si="29"/>
        <v>0</v>
      </c>
      <c r="W72" s="1052">
        <f t="shared" si="29"/>
        <v>0</v>
      </c>
      <c r="X72" s="1053">
        <f t="shared" si="29"/>
        <v>0</v>
      </c>
      <c r="Y72" s="1052">
        <f t="shared" si="29"/>
        <v>0</v>
      </c>
      <c r="Z72" s="1053">
        <f t="shared" si="29"/>
        <v>0</v>
      </c>
      <c r="AA72" s="1051">
        <f t="shared" si="29"/>
        <v>29</v>
      </c>
      <c r="AB72" s="1079">
        <f t="shared" si="29"/>
        <v>49</v>
      </c>
      <c r="AC72" s="1052">
        <f t="shared" si="29"/>
        <v>0</v>
      </c>
      <c r="AD72" s="1053">
        <f t="shared" si="29"/>
        <v>0</v>
      </c>
      <c r="AE72" s="1052">
        <f t="shared" si="29"/>
        <v>0</v>
      </c>
      <c r="AF72" s="1053">
        <f t="shared" si="29"/>
        <v>0</v>
      </c>
      <c r="AG72" s="1052">
        <f t="shared" si="29"/>
        <v>0</v>
      </c>
      <c r="AH72" s="1053">
        <f t="shared" si="29"/>
        <v>0</v>
      </c>
      <c r="AI72" s="1052">
        <f t="shared" si="29"/>
        <v>0</v>
      </c>
      <c r="AJ72" s="1053">
        <f t="shared" si="29"/>
        <v>0</v>
      </c>
      <c r="AK72" s="1052">
        <f t="shared" si="29"/>
        <v>0</v>
      </c>
      <c r="AL72" s="1053">
        <f t="shared" si="29"/>
        <v>0</v>
      </c>
    </row>
    <row r="73" spans="1:38">
      <c r="A73" s="487" t="s">
        <v>232</v>
      </c>
      <c r="B73" s="1036" t="s">
        <v>334</v>
      </c>
      <c r="C73" s="2250"/>
      <c r="D73" s="2457"/>
      <c r="E73" s="785"/>
      <c r="F73" s="795"/>
      <c r="G73" s="799"/>
      <c r="H73" s="2421"/>
      <c r="I73" s="785"/>
      <c r="J73" s="795"/>
      <c r="K73" s="799"/>
      <c r="L73" s="2421"/>
      <c r="M73" s="785"/>
      <c r="N73" s="795"/>
      <c r="O73" s="2250"/>
      <c r="P73" s="2250"/>
      <c r="Q73" s="785"/>
      <c r="R73" s="795"/>
      <c r="S73" s="785"/>
      <c r="T73" s="795"/>
      <c r="U73" s="799"/>
      <c r="V73" s="2421"/>
      <c r="W73" s="785"/>
      <c r="X73" s="795"/>
      <c r="Y73" s="799"/>
      <c r="Z73" s="2421"/>
      <c r="AA73" s="2250"/>
      <c r="AB73" s="2457"/>
      <c r="AC73" s="785"/>
      <c r="AD73" s="795"/>
      <c r="AE73" s="799"/>
      <c r="AF73" s="2421"/>
      <c r="AG73" s="785"/>
      <c r="AH73" s="795"/>
      <c r="AI73" s="799"/>
      <c r="AJ73" s="2421"/>
      <c r="AK73" s="785"/>
      <c r="AL73" s="795"/>
    </row>
    <row r="74" spans="1:38">
      <c r="A74" s="487" t="s">
        <v>235</v>
      </c>
      <c r="B74" s="1067" t="s">
        <v>336</v>
      </c>
      <c r="C74" s="2250">
        <v>8</v>
      </c>
      <c r="D74" s="2457">
        <v>16</v>
      </c>
      <c r="E74" s="785"/>
      <c r="F74" s="795"/>
      <c r="G74" s="799"/>
      <c r="H74" s="2421"/>
      <c r="I74" s="785"/>
      <c r="J74" s="795"/>
      <c r="K74" s="799"/>
      <c r="L74" s="2421"/>
      <c r="M74" s="785"/>
      <c r="N74" s="795"/>
      <c r="O74" s="2250">
        <v>7</v>
      </c>
      <c r="P74" s="2250">
        <v>8</v>
      </c>
      <c r="Q74" s="785"/>
      <c r="R74" s="795"/>
      <c r="S74" s="785"/>
      <c r="T74" s="795"/>
      <c r="U74" s="799"/>
      <c r="V74" s="2421"/>
      <c r="W74" s="785"/>
      <c r="X74" s="795"/>
      <c r="Y74" s="799"/>
      <c r="Z74" s="2421"/>
      <c r="AA74" s="2250">
        <v>7</v>
      </c>
      <c r="AB74" s="2457">
        <v>10</v>
      </c>
      <c r="AC74" s="785"/>
      <c r="AD74" s="795"/>
      <c r="AE74" s="799"/>
      <c r="AF74" s="2421"/>
      <c r="AG74" s="785"/>
      <c r="AH74" s="795"/>
      <c r="AI74" s="799"/>
      <c r="AJ74" s="2421"/>
      <c r="AK74" s="785"/>
      <c r="AL74" s="795"/>
    </row>
    <row r="75" spans="1:38">
      <c r="A75" s="487" t="s">
        <v>632</v>
      </c>
      <c r="B75" s="1042" t="s">
        <v>331</v>
      </c>
      <c r="C75" s="2250"/>
      <c r="D75" s="2457"/>
      <c r="E75" s="785"/>
      <c r="F75" s="795"/>
      <c r="G75" s="799"/>
      <c r="H75" s="2421"/>
      <c r="I75" s="785"/>
      <c r="J75" s="795"/>
      <c r="K75" s="799"/>
      <c r="L75" s="2421"/>
      <c r="M75" s="785"/>
      <c r="N75" s="795"/>
      <c r="O75" s="2250"/>
      <c r="P75" s="2250"/>
      <c r="Q75" s="785"/>
      <c r="R75" s="795"/>
      <c r="S75" s="785"/>
      <c r="T75" s="795"/>
      <c r="U75" s="799"/>
      <c r="V75" s="2421"/>
      <c r="W75" s="785"/>
      <c r="X75" s="795"/>
      <c r="Y75" s="799"/>
      <c r="Z75" s="2421"/>
      <c r="AA75" s="2250"/>
      <c r="AB75" s="2457"/>
      <c r="AC75" s="785"/>
      <c r="AD75" s="795"/>
      <c r="AE75" s="799"/>
      <c r="AF75" s="2421"/>
      <c r="AG75" s="785"/>
      <c r="AH75" s="795"/>
      <c r="AI75" s="799"/>
      <c r="AJ75" s="2421"/>
      <c r="AK75" s="785"/>
      <c r="AL75" s="795"/>
    </row>
    <row r="76" spans="1:38">
      <c r="A76" s="487" t="s">
        <v>633</v>
      </c>
      <c r="B76" s="1036" t="s">
        <v>338</v>
      </c>
      <c r="C76" s="2250">
        <v>16</v>
      </c>
      <c r="D76" s="2457">
        <v>26</v>
      </c>
      <c r="E76" s="785"/>
      <c r="F76" s="795"/>
      <c r="G76" s="799"/>
      <c r="H76" s="2421"/>
      <c r="I76" s="785"/>
      <c r="J76" s="795"/>
      <c r="K76" s="799"/>
      <c r="L76" s="2421"/>
      <c r="M76" s="785"/>
      <c r="N76" s="795"/>
      <c r="O76" s="2250">
        <v>11</v>
      </c>
      <c r="P76" s="2250">
        <v>12</v>
      </c>
      <c r="Q76" s="785"/>
      <c r="R76" s="795"/>
      <c r="S76" s="785"/>
      <c r="T76" s="795"/>
      <c r="U76" s="799"/>
      <c r="V76" s="2421"/>
      <c r="W76" s="785"/>
      <c r="X76" s="795"/>
      <c r="Y76" s="799"/>
      <c r="Z76" s="2421"/>
      <c r="AA76" s="2250">
        <v>6</v>
      </c>
      <c r="AB76" s="2457">
        <v>6</v>
      </c>
      <c r="AC76" s="785"/>
      <c r="AD76" s="795"/>
      <c r="AE76" s="799"/>
      <c r="AF76" s="2421"/>
      <c r="AG76" s="785"/>
      <c r="AH76" s="795"/>
      <c r="AI76" s="799"/>
      <c r="AJ76" s="2421"/>
      <c r="AK76" s="785"/>
      <c r="AL76" s="795"/>
    </row>
    <row r="77" spans="1:38">
      <c r="A77" s="487" t="s">
        <v>634</v>
      </c>
      <c r="B77" s="1042" t="s">
        <v>340</v>
      </c>
      <c r="C77" s="2250">
        <v>7</v>
      </c>
      <c r="D77" s="2457">
        <v>11</v>
      </c>
      <c r="E77" s="785"/>
      <c r="F77" s="795"/>
      <c r="G77" s="799"/>
      <c r="H77" s="2421"/>
      <c r="I77" s="785"/>
      <c r="J77" s="795"/>
      <c r="K77" s="799"/>
      <c r="L77" s="2421"/>
      <c r="M77" s="785"/>
      <c r="N77" s="795"/>
      <c r="O77" s="2250">
        <v>4</v>
      </c>
      <c r="P77" s="2250">
        <v>5</v>
      </c>
      <c r="Q77" s="785"/>
      <c r="R77" s="795"/>
      <c r="S77" s="785"/>
      <c r="T77" s="795"/>
      <c r="U77" s="799"/>
      <c r="V77" s="2421"/>
      <c r="W77" s="785"/>
      <c r="X77" s="795"/>
      <c r="Y77" s="799"/>
      <c r="Z77" s="2421"/>
      <c r="AA77" s="2250">
        <v>3</v>
      </c>
      <c r="AB77" s="2457">
        <v>7</v>
      </c>
      <c r="AC77" s="785"/>
      <c r="AD77" s="795"/>
      <c r="AE77" s="799"/>
      <c r="AF77" s="2421"/>
      <c r="AG77" s="785"/>
      <c r="AH77" s="795"/>
      <c r="AI77" s="799"/>
      <c r="AJ77" s="2421"/>
      <c r="AK77" s="785"/>
      <c r="AL77" s="795"/>
    </row>
    <row r="78" spans="1:38">
      <c r="A78" s="487" t="s">
        <v>635</v>
      </c>
      <c r="B78" s="1068" t="s">
        <v>325</v>
      </c>
      <c r="C78" s="2250">
        <v>31</v>
      </c>
      <c r="D78" s="2457">
        <v>35</v>
      </c>
      <c r="E78" s="785"/>
      <c r="F78" s="795"/>
      <c r="G78" s="799"/>
      <c r="H78" s="2421"/>
      <c r="I78" s="785"/>
      <c r="J78" s="795"/>
      <c r="K78" s="799"/>
      <c r="L78" s="2421"/>
      <c r="M78" s="785"/>
      <c r="N78" s="795"/>
      <c r="O78" s="2250">
        <v>13</v>
      </c>
      <c r="P78" s="2250">
        <v>18</v>
      </c>
      <c r="Q78" s="785"/>
      <c r="R78" s="795"/>
      <c r="S78" s="785"/>
      <c r="T78" s="795"/>
      <c r="U78" s="799"/>
      <c r="V78" s="2421"/>
      <c r="W78" s="785"/>
      <c r="X78" s="795"/>
      <c r="Y78" s="799"/>
      <c r="Z78" s="2421"/>
      <c r="AA78" s="2250">
        <v>12</v>
      </c>
      <c r="AB78" s="2457">
        <v>17</v>
      </c>
      <c r="AC78" s="785"/>
      <c r="AD78" s="795"/>
      <c r="AE78" s="799"/>
      <c r="AF78" s="2421"/>
      <c r="AG78" s="785"/>
      <c r="AH78" s="795"/>
      <c r="AI78" s="799"/>
      <c r="AJ78" s="2421"/>
      <c r="AK78" s="785"/>
      <c r="AL78" s="795"/>
    </row>
    <row r="79" spans="1:38">
      <c r="A79" s="487" t="s">
        <v>636</v>
      </c>
      <c r="B79" s="1042" t="s">
        <v>302</v>
      </c>
      <c r="C79" s="1043">
        <f>SUM(C80:C83)</f>
        <v>3</v>
      </c>
      <c r="D79" s="1188">
        <f>SUM(D80:D83)</f>
        <v>30</v>
      </c>
      <c r="E79" s="1044">
        <f t="shared" ref="E79:N79" si="30">SUM(E80:E83)</f>
        <v>0</v>
      </c>
      <c r="F79" s="1045">
        <f t="shared" si="30"/>
        <v>0</v>
      </c>
      <c r="G79" s="1044">
        <f t="shared" si="30"/>
        <v>0</v>
      </c>
      <c r="H79" s="1045">
        <f t="shared" si="30"/>
        <v>0</v>
      </c>
      <c r="I79" s="1044">
        <f t="shared" si="30"/>
        <v>0</v>
      </c>
      <c r="J79" s="1045">
        <f t="shared" si="30"/>
        <v>0</v>
      </c>
      <c r="K79" s="1044">
        <f t="shared" si="30"/>
        <v>0</v>
      </c>
      <c r="L79" s="1045">
        <f t="shared" si="30"/>
        <v>0</v>
      </c>
      <c r="M79" s="1044">
        <f t="shared" si="30"/>
        <v>0</v>
      </c>
      <c r="N79" s="1045">
        <f t="shared" si="30"/>
        <v>0</v>
      </c>
      <c r="O79" s="1043">
        <f>SUM(O80:O83)</f>
        <v>1</v>
      </c>
      <c r="P79" s="1188">
        <f>SUM(P80:P83)</f>
        <v>11</v>
      </c>
      <c r="Q79" s="1044">
        <f t="shared" ref="Q79:Z79" si="31">SUM(Q80:Q83)</f>
        <v>0</v>
      </c>
      <c r="R79" s="1045">
        <f t="shared" si="31"/>
        <v>0</v>
      </c>
      <c r="S79" s="1044">
        <f t="shared" si="31"/>
        <v>0</v>
      </c>
      <c r="T79" s="1045">
        <f t="shared" si="31"/>
        <v>0</v>
      </c>
      <c r="U79" s="1044">
        <f t="shared" si="31"/>
        <v>0</v>
      </c>
      <c r="V79" s="1045">
        <f t="shared" si="31"/>
        <v>0</v>
      </c>
      <c r="W79" s="1044">
        <f t="shared" si="31"/>
        <v>0</v>
      </c>
      <c r="X79" s="1045">
        <f t="shared" si="31"/>
        <v>0</v>
      </c>
      <c r="Y79" s="1044">
        <f t="shared" si="31"/>
        <v>0</v>
      </c>
      <c r="Z79" s="1045">
        <f t="shared" si="31"/>
        <v>0</v>
      </c>
      <c r="AA79" s="1043">
        <f>SUM(AA80:AA83)</f>
        <v>1</v>
      </c>
      <c r="AB79" s="1188">
        <f>SUM(AB80:AB83)</f>
        <v>9</v>
      </c>
      <c r="AC79" s="1044">
        <f t="shared" ref="AC79:AL79" si="32">SUM(AC80:AC83)</f>
        <v>0</v>
      </c>
      <c r="AD79" s="1045">
        <f t="shared" si="32"/>
        <v>0</v>
      </c>
      <c r="AE79" s="1044">
        <f t="shared" si="32"/>
        <v>0</v>
      </c>
      <c r="AF79" s="1045">
        <f t="shared" si="32"/>
        <v>0</v>
      </c>
      <c r="AG79" s="1044">
        <f t="shared" si="32"/>
        <v>0</v>
      </c>
      <c r="AH79" s="1045">
        <f t="shared" si="32"/>
        <v>0</v>
      </c>
      <c r="AI79" s="1044">
        <f t="shared" si="32"/>
        <v>0</v>
      </c>
      <c r="AJ79" s="1045">
        <f t="shared" si="32"/>
        <v>0</v>
      </c>
      <c r="AK79" s="1044">
        <f t="shared" si="32"/>
        <v>0</v>
      </c>
      <c r="AL79" s="1045">
        <f t="shared" si="32"/>
        <v>0</v>
      </c>
    </row>
    <row r="80" spans="1:38">
      <c r="A80" s="488" t="s">
        <v>850</v>
      </c>
      <c r="B80" s="795"/>
      <c r="C80" s="2250">
        <v>3</v>
      </c>
      <c r="D80" s="2457">
        <v>30</v>
      </c>
      <c r="E80" s="785"/>
      <c r="F80" s="795"/>
      <c r="G80" s="799"/>
      <c r="H80" s="2421"/>
      <c r="I80" s="785"/>
      <c r="J80" s="795"/>
      <c r="K80" s="799"/>
      <c r="L80" s="2421"/>
      <c r="M80" s="785"/>
      <c r="N80" s="795"/>
      <c r="O80" s="2250">
        <v>1</v>
      </c>
      <c r="P80" s="2250">
        <v>11</v>
      </c>
      <c r="Q80" s="785"/>
      <c r="R80" s="795"/>
      <c r="S80" s="785"/>
      <c r="T80" s="795"/>
      <c r="U80" s="799"/>
      <c r="V80" s="2421"/>
      <c r="W80" s="785"/>
      <c r="X80" s="795"/>
      <c r="Y80" s="799"/>
      <c r="Z80" s="2421"/>
      <c r="AA80" s="2250">
        <v>1</v>
      </c>
      <c r="AB80" s="2457">
        <v>9</v>
      </c>
      <c r="AC80" s="785"/>
      <c r="AD80" s="795"/>
      <c r="AE80" s="799"/>
      <c r="AF80" s="2421"/>
      <c r="AG80" s="785"/>
      <c r="AH80" s="795"/>
      <c r="AI80" s="799"/>
      <c r="AJ80" s="2421"/>
      <c r="AK80" s="785"/>
      <c r="AL80" s="795"/>
    </row>
    <row r="81" spans="1:42">
      <c r="A81" s="488" t="s">
        <v>851</v>
      </c>
      <c r="B81" s="795"/>
      <c r="C81" s="2250"/>
      <c r="D81" s="2457"/>
      <c r="E81" s="785"/>
      <c r="F81" s="795"/>
      <c r="G81" s="799"/>
      <c r="H81" s="2421"/>
      <c r="I81" s="785"/>
      <c r="J81" s="795"/>
      <c r="K81" s="799"/>
      <c r="L81" s="2421"/>
      <c r="M81" s="785"/>
      <c r="N81" s="795"/>
      <c r="O81" s="2250"/>
      <c r="P81" s="2250"/>
      <c r="Q81" s="785"/>
      <c r="R81" s="795"/>
      <c r="S81" s="785"/>
      <c r="T81" s="795"/>
      <c r="U81" s="799"/>
      <c r="V81" s="2421"/>
      <c r="W81" s="785"/>
      <c r="X81" s="795"/>
      <c r="Y81" s="799"/>
      <c r="Z81" s="2421"/>
      <c r="AA81" s="2250"/>
      <c r="AB81" s="2457"/>
      <c r="AC81" s="785"/>
      <c r="AD81" s="795"/>
      <c r="AE81" s="799"/>
      <c r="AF81" s="2421"/>
      <c r="AG81" s="785"/>
      <c r="AH81" s="795"/>
      <c r="AI81" s="799"/>
      <c r="AJ81" s="2421"/>
      <c r="AK81" s="785"/>
      <c r="AL81" s="795"/>
    </row>
    <row r="82" spans="1:42" s="352" customFormat="1">
      <c r="A82" s="488" t="s">
        <v>852</v>
      </c>
      <c r="B82" s="795"/>
      <c r="C82" s="2250"/>
      <c r="D82" s="2457"/>
      <c r="E82" s="785"/>
      <c r="F82" s="795"/>
      <c r="G82" s="799"/>
      <c r="H82" s="2421"/>
      <c r="I82" s="785"/>
      <c r="J82" s="795"/>
      <c r="K82" s="799"/>
      <c r="L82" s="2421"/>
      <c r="M82" s="785"/>
      <c r="N82" s="795"/>
      <c r="O82" s="2250"/>
      <c r="P82" s="2250"/>
      <c r="Q82" s="785"/>
      <c r="R82" s="795"/>
      <c r="S82" s="785"/>
      <c r="T82" s="795"/>
      <c r="U82" s="799"/>
      <c r="V82" s="2421"/>
      <c r="W82" s="785"/>
      <c r="X82" s="795"/>
      <c r="Y82" s="799"/>
      <c r="Z82" s="2421"/>
      <c r="AA82" s="2250"/>
      <c r="AB82" s="2457"/>
      <c r="AC82" s="785"/>
      <c r="AD82" s="795"/>
      <c r="AE82" s="799"/>
      <c r="AF82" s="2421"/>
      <c r="AG82" s="785"/>
      <c r="AH82" s="795"/>
      <c r="AI82" s="799"/>
      <c r="AJ82" s="2421"/>
      <c r="AK82" s="785"/>
      <c r="AL82" s="795"/>
      <c r="AM82" s="353"/>
    </row>
    <row r="83" spans="1:42" s="352" customFormat="1" ht="15.75" thickBot="1">
      <c r="A83" s="489" t="s">
        <v>853</v>
      </c>
      <c r="B83" s="795"/>
      <c r="C83" s="2250"/>
      <c r="D83" s="2457"/>
      <c r="E83" s="785"/>
      <c r="F83" s="795"/>
      <c r="G83" s="799"/>
      <c r="H83" s="2421"/>
      <c r="I83" s="785"/>
      <c r="J83" s="795"/>
      <c r="K83" s="799"/>
      <c r="L83" s="2421"/>
      <c r="M83" s="785"/>
      <c r="N83" s="795"/>
      <c r="O83" s="2250"/>
      <c r="P83" s="2250"/>
      <c r="Q83" s="785"/>
      <c r="R83" s="795"/>
      <c r="S83" s="785"/>
      <c r="T83" s="795"/>
      <c r="U83" s="799"/>
      <c r="V83" s="2421"/>
      <c r="W83" s="785"/>
      <c r="X83" s="795"/>
      <c r="Y83" s="799"/>
      <c r="Z83" s="2421"/>
      <c r="AA83" s="2250"/>
      <c r="AB83" s="2457"/>
      <c r="AC83" s="785"/>
      <c r="AD83" s="795"/>
      <c r="AE83" s="799"/>
      <c r="AF83" s="2421"/>
      <c r="AG83" s="785"/>
      <c r="AH83" s="795"/>
      <c r="AI83" s="799"/>
      <c r="AJ83" s="2421"/>
      <c r="AK83" s="785"/>
      <c r="AL83" s="795"/>
      <c r="AM83" s="353"/>
    </row>
    <row r="84" spans="1:42" s="505" customFormat="1" ht="15.75" thickBot="1">
      <c r="A84" s="3638" t="s">
        <v>638</v>
      </c>
      <c r="B84" s="3639"/>
      <c r="C84" s="1069"/>
      <c r="D84" s="1069"/>
      <c r="E84" s="1070">
        <f t="shared" ref="E84:N84" si="33">E11+E28+E53+E57+E61+E66+E72</f>
        <v>2337.7188547999995</v>
      </c>
      <c r="F84" s="1071">
        <f t="shared" si="33"/>
        <v>-4159.2217809892645</v>
      </c>
      <c r="G84" s="1070">
        <f t="shared" si="33"/>
        <v>2486.2555233337152</v>
      </c>
      <c r="H84" s="1071">
        <f t="shared" si="33"/>
        <v>-4430.4585130930354</v>
      </c>
      <c r="I84" s="1070">
        <f t="shared" si="33"/>
        <v>2631.4428215249072</v>
      </c>
      <c r="J84" s="1071">
        <f t="shared" si="33"/>
        <v>-4937.318469660494</v>
      </c>
      <c r="K84" s="1070">
        <f t="shared" si="33"/>
        <v>2792.93766268626</v>
      </c>
      <c r="L84" s="1071">
        <f t="shared" si="33"/>
        <v>-5386.0229214828823</v>
      </c>
      <c r="M84" s="1070">
        <f t="shared" si="33"/>
        <v>2963.5699321203069</v>
      </c>
      <c r="N84" s="1071">
        <f t="shared" si="33"/>
        <v>-5826.5456299355974</v>
      </c>
      <c r="O84" s="1069"/>
      <c r="P84" s="1069"/>
      <c r="Q84" s="1070">
        <f t="shared" ref="Q84:Z84" si="34">Q11+Q28+Q53+Q57+Q61+Q66+Q72</f>
        <v>210.96215530491494</v>
      </c>
      <c r="R84" s="1071">
        <f t="shared" si="34"/>
        <v>-153.00723980673087</v>
      </c>
      <c r="S84" s="1070">
        <f t="shared" si="34"/>
        <v>228.43893933098707</v>
      </c>
      <c r="T84" s="1071">
        <f t="shared" si="34"/>
        <v>-149.00723980673089</v>
      </c>
      <c r="U84" s="1070">
        <f t="shared" si="34"/>
        <v>245.58095404892453</v>
      </c>
      <c r="V84" s="1071">
        <f t="shared" si="34"/>
        <v>-144.00723980673089</v>
      </c>
      <c r="W84" s="1070">
        <f t="shared" si="34"/>
        <v>261.47579726727184</v>
      </c>
      <c r="X84" s="1071">
        <f t="shared" si="34"/>
        <v>-137.00723980673089</v>
      </c>
      <c r="Y84" s="1070">
        <f t="shared" si="34"/>
        <v>272.14906515504293</v>
      </c>
      <c r="Z84" s="1071">
        <f t="shared" si="34"/>
        <v>-124.00723980673088</v>
      </c>
      <c r="AA84" s="1069"/>
      <c r="AB84" s="1069"/>
      <c r="AC84" s="1070">
        <f t="shared" ref="AC84:AL84" si="35">AC11+AC28+AC53+AC57+AC61+AC66+AC72</f>
        <v>239.4337217662339</v>
      </c>
      <c r="AD84" s="1071">
        <f t="shared" si="35"/>
        <v>-125.35669035192323</v>
      </c>
      <c r="AE84" s="1070">
        <f t="shared" si="35"/>
        <v>283.18040246857174</v>
      </c>
      <c r="AF84" s="1071">
        <f t="shared" si="35"/>
        <v>-134.35669035192322</v>
      </c>
      <c r="AG84" s="1070">
        <f t="shared" si="35"/>
        <v>316.55875375250241</v>
      </c>
      <c r="AH84" s="1071">
        <f t="shared" si="35"/>
        <v>-142.35669035192322</v>
      </c>
      <c r="AI84" s="1070">
        <f t="shared" si="35"/>
        <v>350.31816898008805</v>
      </c>
      <c r="AJ84" s="1071">
        <f t="shared" si="35"/>
        <v>-148.35669035192322</v>
      </c>
      <c r="AK84" s="1070">
        <f t="shared" si="35"/>
        <v>382.20220432541163</v>
      </c>
      <c r="AL84" s="1071">
        <f t="shared" si="35"/>
        <v>-154.35669035192322</v>
      </c>
      <c r="AM84" s="503"/>
      <c r="AN84" s="504"/>
      <c r="AO84" s="504"/>
      <c r="AP84" s="504"/>
    </row>
    <row r="85" spans="1:42" s="1192" customFormat="1" ht="15.75" thickBot="1">
      <c r="A85" s="1189"/>
      <c r="B85" s="1189"/>
      <c r="C85" s="1189"/>
      <c r="D85" s="1189"/>
      <c r="E85" s="1189"/>
      <c r="F85" s="1189"/>
      <c r="G85" s="1189"/>
      <c r="H85" s="1189"/>
      <c r="I85" s="1189"/>
      <c r="J85" s="1189"/>
      <c r="K85" s="1189"/>
      <c r="L85" s="1189"/>
      <c r="M85" s="1189"/>
      <c r="N85" s="1189"/>
      <c r="O85" s="1189"/>
      <c r="P85" s="1189"/>
      <c r="Q85" s="1189"/>
      <c r="R85" s="1189"/>
      <c r="S85" s="1189"/>
      <c r="T85" s="1189"/>
      <c r="U85" s="1189"/>
      <c r="V85" s="1189"/>
      <c r="W85" s="1189"/>
      <c r="X85" s="1189"/>
      <c r="Y85" s="1189"/>
      <c r="Z85" s="1189"/>
      <c r="AA85" s="1189"/>
      <c r="AB85" s="1189"/>
      <c r="AC85" s="1189"/>
      <c r="AD85" s="1189"/>
      <c r="AE85" s="1189"/>
      <c r="AF85" s="1189"/>
      <c r="AG85" s="1189"/>
      <c r="AH85" s="1189"/>
      <c r="AI85" s="1189"/>
      <c r="AJ85" s="1189"/>
      <c r="AK85" s="1189"/>
      <c r="AL85" s="1189"/>
      <c r="AM85" s="1190"/>
      <c r="AN85" s="1191"/>
      <c r="AO85" s="1191"/>
      <c r="AP85" s="1191"/>
    </row>
    <row r="86" spans="1:42" s="352" customFormat="1" ht="29.25" customHeight="1" thickBot="1">
      <c r="A86" s="3628" t="s">
        <v>1262</v>
      </c>
      <c r="B86" s="3629"/>
      <c r="C86" s="3623" t="s">
        <v>270</v>
      </c>
      <c r="D86" s="3624"/>
      <c r="E86" s="3624"/>
      <c r="F86" s="3624"/>
      <c r="G86" s="3624"/>
      <c r="H86" s="3624"/>
      <c r="I86" s="3624"/>
      <c r="J86" s="3624"/>
      <c r="K86" s="3624"/>
      <c r="L86" s="3624"/>
      <c r="M86" s="3624"/>
      <c r="N86" s="3625"/>
      <c r="O86" s="3623" t="s">
        <v>271</v>
      </c>
      <c r="P86" s="3624"/>
      <c r="Q86" s="3624"/>
      <c r="R86" s="3624"/>
      <c r="S86" s="3624"/>
      <c r="T86" s="3624"/>
      <c r="U86" s="3624"/>
      <c r="V86" s="3624"/>
      <c r="W86" s="3624"/>
      <c r="X86" s="3624"/>
      <c r="Y86" s="3624"/>
      <c r="Z86" s="3625"/>
      <c r="AA86" s="3623" t="s">
        <v>272</v>
      </c>
      <c r="AB86" s="3624"/>
      <c r="AC86" s="3624"/>
      <c r="AD86" s="3624"/>
      <c r="AE86" s="3624"/>
      <c r="AF86" s="3624"/>
      <c r="AG86" s="3624"/>
      <c r="AH86" s="3624"/>
      <c r="AI86" s="3624"/>
      <c r="AJ86" s="3624"/>
      <c r="AK86" s="3624"/>
      <c r="AL86" s="3625"/>
      <c r="AM86" s="353"/>
    </row>
    <row r="87" spans="1:42" s="352" customFormat="1" ht="29.25" customHeight="1">
      <c r="A87" s="3630"/>
      <c r="B87" s="3631"/>
      <c r="C87" s="2091" t="str">
        <f>C9</f>
        <v>2015 г.</v>
      </c>
      <c r="D87" s="2634" t="str">
        <f t="shared" ref="D87:M87" si="36">D9</f>
        <v>2016 г.</v>
      </c>
      <c r="E87" s="3621" t="str">
        <f t="shared" si="36"/>
        <v>2017 г.</v>
      </c>
      <c r="F87" s="3634"/>
      <c r="G87" s="3621" t="str">
        <f t="shared" si="36"/>
        <v>2018 г.</v>
      </c>
      <c r="H87" s="3622"/>
      <c r="I87" s="3621" t="str">
        <f t="shared" si="36"/>
        <v>2019 г.</v>
      </c>
      <c r="J87" s="3622"/>
      <c r="K87" s="3621" t="str">
        <f t="shared" si="36"/>
        <v>2020 г.</v>
      </c>
      <c r="L87" s="3622"/>
      <c r="M87" s="3621" t="str">
        <f t="shared" si="36"/>
        <v>2021 г.</v>
      </c>
      <c r="N87" s="3622"/>
      <c r="O87" s="2635" t="str">
        <f>O9</f>
        <v>2015 г.</v>
      </c>
      <c r="P87" s="2091" t="str">
        <f>P9</f>
        <v>2016 г.</v>
      </c>
      <c r="Q87" s="3621" t="str">
        <f>Q9</f>
        <v>2017 г.</v>
      </c>
      <c r="R87" s="3634"/>
      <c r="S87" s="3621" t="str">
        <f>S9</f>
        <v>2018 г.</v>
      </c>
      <c r="T87" s="3622"/>
      <c r="U87" s="3621" t="str">
        <f>U9</f>
        <v>2019 г.</v>
      </c>
      <c r="V87" s="3622"/>
      <c r="W87" s="3621" t="str">
        <f>W9</f>
        <v>2020 г.</v>
      </c>
      <c r="X87" s="3622"/>
      <c r="Y87" s="3621" t="str">
        <f>Y9</f>
        <v>2021 г.</v>
      </c>
      <c r="Z87" s="3622"/>
      <c r="AA87" s="2091" t="str">
        <f>AA9</f>
        <v>2015 г.</v>
      </c>
      <c r="AB87" s="2091" t="str">
        <f>AB9</f>
        <v>2016 г.</v>
      </c>
      <c r="AC87" s="3621" t="str">
        <f>AC9</f>
        <v>2017 г.</v>
      </c>
      <c r="AD87" s="3634"/>
      <c r="AE87" s="3621" t="str">
        <f>AE9</f>
        <v>2018 г.</v>
      </c>
      <c r="AF87" s="3622"/>
      <c r="AG87" s="3621" t="str">
        <f>AG9</f>
        <v>2019 г.</v>
      </c>
      <c r="AH87" s="3622"/>
      <c r="AI87" s="3621" t="str">
        <f>AI9</f>
        <v>2020 г.</v>
      </c>
      <c r="AJ87" s="3622"/>
      <c r="AK87" s="3621" t="str">
        <f>AK9</f>
        <v>2021 г.</v>
      </c>
      <c r="AL87" s="3622"/>
      <c r="AM87" s="353"/>
    </row>
    <row r="88" spans="1:42" s="352" customFormat="1" ht="29.25" customHeight="1" thickBot="1">
      <c r="A88" s="3632"/>
      <c r="B88" s="3633"/>
      <c r="C88" s="2092"/>
      <c r="D88" s="2800" t="s">
        <v>263</v>
      </c>
      <c r="E88" s="2089" t="s">
        <v>1212</v>
      </c>
      <c r="F88" s="2463" t="s">
        <v>1213</v>
      </c>
      <c r="G88" s="2089" t="s">
        <v>1212</v>
      </c>
      <c r="H88" s="2084" t="s">
        <v>1213</v>
      </c>
      <c r="I88" s="2089" t="s">
        <v>1212</v>
      </c>
      <c r="J88" s="2084" t="s">
        <v>1213</v>
      </c>
      <c r="K88" s="2089" t="s">
        <v>1212</v>
      </c>
      <c r="L88" s="2084" t="s">
        <v>1213</v>
      </c>
      <c r="M88" s="2089" t="s">
        <v>1212</v>
      </c>
      <c r="N88" s="2084" t="s">
        <v>1213</v>
      </c>
      <c r="O88" s="2801"/>
      <c r="P88" s="2092" t="s">
        <v>263</v>
      </c>
      <c r="Q88" s="2089" t="s">
        <v>1212</v>
      </c>
      <c r="R88" s="2463" t="s">
        <v>1213</v>
      </c>
      <c r="S88" s="2089" t="s">
        <v>1212</v>
      </c>
      <c r="T88" s="2084" t="s">
        <v>1213</v>
      </c>
      <c r="U88" s="2089" t="s">
        <v>1212</v>
      </c>
      <c r="V88" s="2084" t="s">
        <v>1213</v>
      </c>
      <c r="W88" s="2089" t="s">
        <v>1212</v>
      </c>
      <c r="X88" s="2084" t="s">
        <v>1213</v>
      </c>
      <c r="Y88" s="2089" t="s">
        <v>1212</v>
      </c>
      <c r="Z88" s="2084" t="s">
        <v>1213</v>
      </c>
      <c r="AA88" s="2092"/>
      <c r="AB88" s="2092" t="s">
        <v>263</v>
      </c>
      <c r="AC88" s="2089" t="s">
        <v>1212</v>
      </c>
      <c r="AD88" s="2463" t="s">
        <v>1213</v>
      </c>
      <c r="AE88" s="2089" t="s">
        <v>1212</v>
      </c>
      <c r="AF88" s="2084" t="s">
        <v>1213</v>
      </c>
      <c r="AG88" s="2089" t="s">
        <v>1212</v>
      </c>
      <c r="AH88" s="2084" t="s">
        <v>1213</v>
      </c>
      <c r="AI88" s="2089" t="s">
        <v>1212</v>
      </c>
      <c r="AJ88" s="2084" t="s">
        <v>1213</v>
      </c>
      <c r="AK88" s="2089" t="s">
        <v>1212</v>
      </c>
      <c r="AL88" s="2084" t="s">
        <v>1213</v>
      </c>
      <c r="AM88" s="353"/>
    </row>
    <row r="89" spans="1:42" s="352" customFormat="1" ht="15.75" thickBot="1">
      <c r="A89" s="3626" t="s">
        <v>1230</v>
      </c>
      <c r="B89" s="3627"/>
      <c r="C89" s="2093"/>
      <c r="D89" s="2093"/>
      <c r="E89" s="2448"/>
      <c r="F89" s="2449"/>
      <c r="G89" s="2802"/>
      <c r="H89" s="2803"/>
      <c r="I89" s="2802"/>
      <c r="J89" s="2803"/>
      <c r="K89" s="2802"/>
      <c r="L89" s="2803"/>
      <c r="M89" s="2802"/>
      <c r="N89" s="2803"/>
      <c r="O89" s="2093"/>
      <c r="P89" s="2093"/>
      <c r="Q89" s="2097"/>
      <c r="R89" s="2090"/>
      <c r="S89" s="2097"/>
      <c r="T89" s="2090"/>
      <c r="U89" s="2097"/>
      <c r="V89" s="2090"/>
      <c r="W89" s="2097"/>
      <c r="X89" s="2090"/>
      <c r="Y89" s="2097"/>
      <c r="Z89" s="2090"/>
      <c r="AA89" s="2093"/>
      <c r="AB89" s="2093"/>
      <c r="AC89" s="2097"/>
      <c r="AD89" s="2090"/>
      <c r="AE89" s="2097"/>
      <c r="AF89" s="2090"/>
      <c r="AG89" s="2097"/>
      <c r="AH89" s="2090"/>
      <c r="AI89" s="2097"/>
      <c r="AJ89" s="2090"/>
      <c r="AK89" s="2097"/>
      <c r="AL89" s="2090"/>
      <c r="AM89" s="353"/>
    </row>
    <row r="90" spans="1:42" s="352" customFormat="1">
      <c r="A90" s="1035" t="s">
        <v>98</v>
      </c>
      <c r="B90" s="2250"/>
      <c r="C90" s="2094"/>
      <c r="D90" s="2445"/>
      <c r="E90" s="809"/>
      <c r="F90" s="807"/>
      <c r="G90" s="809"/>
      <c r="H90" s="807"/>
      <c r="I90" s="809"/>
      <c r="J90" s="807"/>
      <c r="K90" s="809"/>
      <c r="L90" s="807"/>
      <c r="M90" s="809"/>
      <c r="N90" s="807"/>
      <c r="O90" s="2094"/>
      <c r="P90" s="2094"/>
      <c r="Q90" s="809"/>
      <c r="R90" s="807"/>
      <c r="S90" s="809"/>
      <c r="T90" s="807"/>
      <c r="U90" s="809"/>
      <c r="V90" s="807"/>
      <c r="W90" s="809"/>
      <c r="X90" s="807"/>
      <c r="Y90" s="809"/>
      <c r="Z90" s="807"/>
      <c r="AA90" s="2094"/>
      <c r="AB90" s="2094"/>
      <c r="AC90" s="809"/>
      <c r="AD90" s="807"/>
      <c r="AE90" s="809"/>
      <c r="AF90" s="807"/>
      <c r="AG90" s="809"/>
      <c r="AH90" s="807"/>
      <c r="AI90" s="809"/>
      <c r="AJ90" s="807"/>
      <c r="AK90" s="809"/>
      <c r="AL90" s="807"/>
      <c r="AM90" s="353"/>
    </row>
    <row r="91" spans="1:42" s="352" customFormat="1">
      <c r="A91" s="1035" t="s">
        <v>99</v>
      </c>
      <c r="B91" s="2250"/>
      <c r="C91" s="2095"/>
      <c r="D91" s="2446"/>
      <c r="E91" s="785"/>
      <c r="F91" s="795"/>
      <c r="G91" s="785"/>
      <c r="H91" s="795"/>
      <c r="I91" s="785"/>
      <c r="J91" s="795"/>
      <c r="K91" s="785"/>
      <c r="L91" s="795"/>
      <c r="M91" s="785"/>
      <c r="N91" s="795"/>
      <c r="O91" s="2095"/>
      <c r="P91" s="2095"/>
      <c r="Q91" s="785"/>
      <c r="R91" s="795"/>
      <c r="S91" s="785"/>
      <c r="T91" s="795"/>
      <c r="U91" s="785"/>
      <c r="V91" s="795"/>
      <c r="W91" s="785"/>
      <c r="X91" s="795"/>
      <c r="Y91" s="785"/>
      <c r="Z91" s="795"/>
      <c r="AA91" s="2095"/>
      <c r="AB91" s="2095"/>
      <c r="AC91" s="785"/>
      <c r="AD91" s="795"/>
      <c r="AE91" s="785"/>
      <c r="AF91" s="795"/>
      <c r="AG91" s="785"/>
      <c r="AH91" s="795"/>
      <c r="AI91" s="785"/>
      <c r="AJ91" s="795"/>
      <c r="AK91" s="785"/>
      <c r="AL91" s="795"/>
      <c r="AM91" s="353"/>
    </row>
    <row r="92" spans="1:42" s="352" customFormat="1">
      <c r="A92" s="1035" t="s">
        <v>101</v>
      </c>
      <c r="B92" s="2250"/>
      <c r="C92" s="2095"/>
      <c r="D92" s="2446"/>
      <c r="E92" s="785"/>
      <c r="F92" s="795"/>
      <c r="G92" s="785"/>
      <c r="H92" s="795"/>
      <c r="I92" s="785"/>
      <c r="J92" s="795"/>
      <c r="K92" s="785"/>
      <c r="L92" s="795"/>
      <c r="M92" s="785"/>
      <c r="N92" s="795"/>
      <c r="O92" s="2095"/>
      <c r="P92" s="2095"/>
      <c r="Q92" s="785"/>
      <c r="R92" s="795"/>
      <c r="S92" s="785"/>
      <c r="T92" s="795"/>
      <c r="U92" s="785"/>
      <c r="V92" s="795"/>
      <c r="W92" s="785"/>
      <c r="X92" s="795"/>
      <c r="Y92" s="785"/>
      <c r="Z92" s="795"/>
      <c r="AA92" s="2095"/>
      <c r="AB92" s="2095"/>
      <c r="AC92" s="785"/>
      <c r="AD92" s="795"/>
      <c r="AE92" s="785"/>
      <c r="AF92" s="795"/>
      <c r="AG92" s="785"/>
      <c r="AH92" s="795"/>
      <c r="AI92" s="785"/>
      <c r="AJ92" s="795"/>
      <c r="AK92" s="785"/>
      <c r="AL92" s="795"/>
      <c r="AM92" s="353"/>
    </row>
    <row r="93" spans="1:42" s="352" customFormat="1">
      <c r="A93" s="1035" t="s">
        <v>197</v>
      </c>
      <c r="B93" s="2250"/>
      <c r="C93" s="2095"/>
      <c r="D93" s="2446"/>
      <c r="E93" s="785"/>
      <c r="F93" s="795"/>
      <c r="G93" s="785"/>
      <c r="H93" s="795"/>
      <c r="I93" s="785"/>
      <c r="J93" s="795"/>
      <c r="K93" s="785"/>
      <c r="L93" s="795"/>
      <c r="M93" s="785"/>
      <c r="N93" s="795"/>
      <c r="O93" s="2095"/>
      <c r="P93" s="2095"/>
      <c r="Q93" s="785"/>
      <c r="R93" s="795"/>
      <c r="S93" s="785"/>
      <c r="T93" s="795"/>
      <c r="U93" s="785"/>
      <c r="V93" s="795"/>
      <c r="W93" s="785"/>
      <c r="X93" s="795"/>
      <c r="Y93" s="785"/>
      <c r="Z93" s="795"/>
      <c r="AA93" s="2095"/>
      <c r="AB93" s="2095"/>
      <c r="AC93" s="785"/>
      <c r="AD93" s="795"/>
      <c r="AE93" s="785"/>
      <c r="AF93" s="795"/>
      <c r="AG93" s="785"/>
      <c r="AH93" s="795"/>
      <c r="AI93" s="785"/>
      <c r="AJ93" s="795"/>
      <c r="AK93" s="785"/>
      <c r="AL93" s="795"/>
      <c r="AM93" s="353"/>
    </row>
    <row r="94" spans="1:42" s="352" customFormat="1">
      <c r="A94" s="1035" t="s">
        <v>199</v>
      </c>
      <c r="B94" s="2250"/>
      <c r="C94" s="2095"/>
      <c r="D94" s="2446"/>
      <c r="E94" s="785"/>
      <c r="F94" s="795"/>
      <c r="G94" s="785"/>
      <c r="H94" s="795"/>
      <c r="I94" s="785"/>
      <c r="J94" s="795"/>
      <c r="K94" s="785"/>
      <c r="L94" s="795"/>
      <c r="M94" s="785"/>
      <c r="N94" s="795"/>
      <c r="O94" s="2095"/>
      <c r="P94" s="2095"/>
      <c r="Q94" s="785"/>
      <c r="R94" s="795"/>
      <c r="S94" s="785"/>
      <c r="T94" s="795"/>
      <c r="U94" s="785"/>
      <c r="V94" s="795"/>
      <c r="W94" s="785"/>
      <c r="X94" s="795"/>
      <c r="Y94" s="785"/>
      <c r="Z94" s="795"/>
      <c r="AA94" s="2095"/>
      <c r="AB94" s="2095"/>
      <c r="AC94" s="785"/>
      <c r="AD94" s="795"/>
      <c r="AE94" s="785"/>
      <c r="AF94" s="795"/>
      <c r="AG94" s="785"/>
      <c r="AH94" s="795"/>
      <c r="AI94" s="785"/>
      <c r="AJ94" s="795"/>
      <c r="AK94" s="785"/>
      <c r="AL94" s="795"/>
      <c r="AM94" s="353"/>
    </row>
    <row r="95" spans="1:42" s="352" customFormat="1">
      <c r="A95" s="1035" t="s">
        <v>201</v>
      </c>
      <c r="B95" s="2250"/>
      <c r="C95" s="2095"/>
      <c r="D95" s="2446"/>
      <c r="E95" s="785"/>
      <c r="F95" s="795"/>
      <c r="G95" s="785"/>
      <c r="H95" s="795"/>
      <c r="I95" s="785"/>
      <c r="J95" s="795"/>
      <c r="K95" s="785"/>
      <c r="L95" s="795"/>
      <c r="M95" s="785"/>
      <c r="N95" s="795"/>
      <c r="O95" s="2095"/>
      <c r="P95" s="2095"/>
      <c r="Q95" s="785"/>
      <c r="R95" s="795"/>
      <c r="S95" s="785"/>
      <c r="T95" s="795"/>
      <c r="U95" s="785"/>
      <c r="V95" s="795"/>
      <c r="W95" s="785"/>
      <c r="X95" s="795"/>
      <c r="Y95" s="785"/>
      <c r="Z95" s="795"/>
      <c r="AA95" s="2095"/>
      <c r="AB95" s="2095"/>
      <c r="AC95" s="785"/>
      <c r="AD95" s="795"/>
      <c r="AE95" s="785"/>
      <c r="AF95" s="795"/>
      <c r="AG95" s="785"/>
      <c r="AH95" s="795"/>
      <c r="AI95" s="785"/>
      <c r="AJ95" s="795"/>
      <c r="AK95" s="785"/>
      <c r="AL95" s="795"/>
      <c r="AM95" s="353"/>
    </row>
    <row r="96" spans="1:42" s="352" customFormat="1">
      <c r="A96" s="1035" t="s">
        <v>203</v>
      </c>
      <c r="B96" s="2250"/>
      <c r="C96" s="2095"/>
      <c r="D96" s="2446"/>
      <c r="E96" s="785"/>
      <c r="F96" s="795"/>
      <c r="G96" s="785"/>
      <c r="H96" s="795"/>
      <c r="I96" s="785"/>
      <c r="J96" s="795"/>
      <c r="K96" s="785"/>
      <c r="L96" s="795"/>
      <c r="M96" s="785"/>
      <c r="N96" s="795"/>
      <c r="O96" s="2095"/>
      <c r="P96" s="2095"/>
      <c r="Q96" s="785"/>
      <c r="R96" s="795"/>
      <c r="S96" s="785"/>
      <c r="T96" s="795"/>
      <c r="U96" s="785"/>
      <c r="V96" s="795"/>
      <c r="W96" s="785"/>
      <c r="X96" s="795"/>
      <c r="Y96" s="785"/>
      <c r="Z96" s="795"/>
      <c r="AA96" s="2095"/>
      <c r="AB96" s="2095"/>
      <c r="AC96" s="785"/>
      <c r="AD96" s="795"/>
      <c r="AE96" s="785"/>
      <c r="AF96" s="795"/>
      <c r="AG96" s="785"/>
      <c r="AH96" s="795"/>
      <c r="AI96" s="785"/>
      <c r="AJ96" s="795"/>
      <c r="AK96" s="785"/>
      <c r="AL96" s="795"/>
      <c r="AM96" s="353"/>
    </row>
    <row r="97" spans="1:39" s="352" customFormat="1">
      <c r="A97" s="1035" t="s">
        <v>205</v>
      </c>
      <c r="B97" s="2250"/>
      <c r="C97" s="2095"/>
      <c r="D97" s="2446"/>
      <c r="E97" s="785"/>
      <c r="F97" s="795"/>
      <c r="G97" s="785"/>
      <c r="H97" s="795"/>
      <c r="I97" s="785"/>
      <c r="J97" s="795"/>
      <c r="K97" s="785"/>
      <c r="L97" s="795"/>
      <c r="M97" s="785"/>
      <c r="N97" s="795"/>
      <c r="O97" s="2095"/>
      <c r="P97" s="2095"/>
      <c r="Q97" s="785"/>
      <c r="R97" s="795"/>
      <c r="S97" s="785"/>
      <c r="T97" s="795"/>
      <c r="U97" s="785"/>
      <c r="V97" s="795"/>
      <c r="W97" s="785"/>
      <c r="X97" s="795"/>
      <c r="Y97" s="785"/>
      <c r="Z97" s="795"/>
      <c r="AA97" s="2095"/>
      <c r="AB97" s="2095"/>
      <c r="AC97" s="785"/>
      <c r="AD97" s="795"/>
      <c r="AE97" s="785"/>
      <c r="AF97" s="795"/>
      <c r="AG97" s="785"/>
      <c r="AH97" s="795"/>
      <c r="AI97" s="785"/>
      <c r="AJ97" s="795"/>
      <c r="AK97" s="785"/>
      <c r="AL97" s="795"/>
      <c r="AM97" s="353"/>
    </row>
    <row r="98" spans="1:39" s="352" customFormat="1">
      <c r="A98" s="1035" t="s">
        <v>207</v>
      </c>
      <c r="B98" s="2250"/>
      <c r="C98" s="2095"/>
      <c r="D98" s="2446"/>
      <c r="E98" s="785"/>
      <c r="F98" s="795"/>
      <c r="G98" s="785"/>
      <c r="H98" s="795"/>
      <c r="I98" s="785"/>
      <c r="J98" s="795"/>
      <c r="K98" s="785"/>
      <c r="L98" s="795"/>
      <c r="M98" s="785"/>
      <c r="N98" s="795"/>
      <c r="O98" s="2095"/>
      <c r="P98" s="2095"/>
      <c r="Q98" s="785"/>
      <c r="R98" s="795"/>
      <c r="S98" s="785"/>
      <c r="T98" s="795"/>
      <c r="U98" s="785"/>
      <c r="V98" s="795"/>
      <c r="W98" s="785"/>
      <c r="X98" s="795"/>
      <c r="Y98" s="785"/>
      <c r="Z98" s="795"/>
      <c r="AA98" s="2095"/>
      <c r="AB98" s="2095"/>
      <c r="AC98" s="785"/>
      <c r="AD98" s="795"/>
      <c r="AE98" s="785"/>
      <c r="AF98" s="795"/>
      <c r="AG98" s="785"/>
      <c r="AH98" s="795"/>
      <c r="AI98" s="785"/>
      <c r="AJ98" s="795"/>
      <c r="AK98" s="785"/>
      <c r="AL98" s="795"/>
      <c r="AM98" s="353"/>
    </row>
    <row r="99" spans="1:39" s="352" customFormat="1" ht="15.75" thickBot="1">
      <c r="A99" s="1249" t="s">
        <v>1261</v>
      </c>
      <c r="B99" s="2250"/>
      <c r="C99" s="2096"/>
      <c r="D99" s="2447"/>
      <c r="E99" s="2246"/>
      <c r="F99" s="2247"/>
      <c r="G99" s="2246"/>
      <c r="H99" s="2247"/>
      <c r="I99" s="2246"/>
      <c r="J99" s="2247"/>
      <c r="K99" s="2246"/>
      <c r="L99" s="2247"/>
      <c r="M99" s="2246"/>
      <c r="N99" s="2247"/>
      <c r="O99" s="2096"/>
      <c r="P99" s="2096"/>
      <c r="Q99" s="2246"/>
      <c r="R99" s="2247"/>
      <c r="S99" s="2246"/>
      <c r="T99" s="2247"/>
      <c r="U99" s="2246"/>
      <c r="V99" s="2247"/>
      <c r="W99" s="2246"/>
      <c r="X99" s="2247"/>
      <c r="Y99" s="2246"/>
      <c r="Z99" s="2247"/>
      <c r="AA99" s="2096"/>
      <c r="AB99" s="2096"/>
      <c r="AC99" s="2246"/>
      <c r="AD99" s="2247"/>
      <c r="AE99" s="2246"/>
      <c r="AF99" s="2247"/>
      <c r="AG99" s="2246"/>
      <c r="AH99" s="2247"/>
      <c r="AI99" s="2246"/>
      <c r="AJ99" s="2247"/>
      <c r="AK99" s="2246"/>
      <c r="AL99" s="2247"/>
      <c r="AM99" s="353"/>
    </row>
    <row r="100" spans="1:39" s="352" customFormat="1" ht="15.75" thickBot="1">
      <c r="A100" s="3626" t="s">
        <v>1231</v>
      </c>
      <c r="B100" s="3627"/>
      <c r="C100" s="2093"/>
      <c r="D100" s="2093"/>
      <c r="E100" s="2448"/>
      <c r="F100" s="2449"/>
      <c r="G100" s="2448"/>
      <c r="H100" s="2449"/>
      <c r="I100" s="2448"/>
      <c r="J100" s="2449"/>
      <c r="K100" s="2448"/>
      <c r="L100" s="2449"/>
      <c r="M100" s="2448"/>
      <c r="N100" s="2449"/>
      <c r="O100" s="2093"/>
      <c r="P100" s="2093"/>
      <c r="Q100" s="2448"/>
      <c r="R100" s="2449"/>
      <c r="S100" s="2448"/>
      <c r="T100" s="2449"/>
      <c r="U100" s="2448"/>
      <c r="V100" s="2449"/>
      <c r="W100" s="2448"/>
      <c r="X100" s="2449"/>
      <c r="Y100" s="2448"/>
      <c r="Z100" s="2449"/>
      <c r="AA100" s="2093"/>
      <c r="AB100" s="2093"/>
      <c r="AC100" s="2448"/>
      <c r="AD100" s="2449"/>
      <c r="AE100" s="2448"/>
      <c r="AF100" s="2449"/>
      <c r="AG100" s="2448"/>
      <c r="AH100" s="2449"/>
      <c r="AI100" s="2448"/>
      <c r="AJ100" s="2449"/>
      <c r="AK100" s="2448"/>
      <c r="AL100" s="2449"/>
      <c r="AM100" s="353"/>
    </row>
    <row r="101" spans="1:39" s="352" customFormat="1">
      <c r="A101" s="1035" t="s">
        <v>105</v>
      </c>
      <c r="B101" s="2250" t="s">
        <v>1594</v>
      </c>
      <c r="C101" s="2094"/>
      <c r="D101" s="2445"/>
      <c r="E101" s="809"/>
      <c r="F101" s="807"/>
      <c r="G101" s="809"/>
      <c r="H101" s="807"/>
      <c r="I101" s="809"/>
      <c r="J101" s="807"/>
      <c r="K101" s="809"/>
      <c r="L101" s="807"/>
      <c r="M101" s="809"/>
      <c r="N101" s="807"/>
      <c r="O101" s="2094"/>
      <c r="P101" s="2094"/>
      <c r="Q101" s="809"/>
      <c r="R101" s="807"/>
      <c r="S101" s="809"/>
      <c r="T101" s="807"/>
      <c r="U101" s="809"/>
      <c r="V101" s="807"/>
      <c r="W101" s="809"/>
      <c r="X101" s="807"/>
      <c r="Y101" s="809"/>
      <c r="Z101" s="807"/>
      <c r="AA101" s="2094"/>
      <c r="AB101" s="2094"/>
      <c r="AC101" s="809"/>
      <c r="AD101" s="807"/>
      <c r="AE101" s="809">
        <f>57+7</f>
        <v>64</v>
      </c>
      <c r="AF101" s="807"/>
      <c r="AG101" s="809">
        <f>59+7</f>
        <v>66</v>
      </c>
      <c r="AH101" s="807"/>
      <c r="AI101" s="809">
        <f>60+7</f>
        <v>67</v>
      </c>
      <c r="AJ101" s="807"/>
      <c r="AK101" s="809">
        <f>62+7</f>
        <v>69</v>
      </c>
      <c r="AL101" s="807"/>
      <c r="AM101" s="353"/>
    </row>
    <row r="102" spans="1:39" s="352" customFormat="1">
      <c r="A102" s="1035" t="s">
        <v>107</v>
      </c>
      <c r="B102" s="2250" t="s">
        <v>1630</v>
      </c>
      <c r="C102" s="2095"/>
      <c r="D102" s="2446"/>
      <c r="E102" s="785"/>
      <c r="F102" s="795"/>
      <c r="G102" s="785"/>
      <c r="H102" s="795"/>
      <c r="I102" s="785"/>
      <c r="J102" s="795"/>
      <c r="K102" s="785"/>
      <c r="L102" s="795"/>
      <c r="M102" s="785"/>
      <c r="N102" s="795"/>
      <c r="O102" s="2095"/>
      <c r="P102" s="2095"/>
      <c r="Q102" s="785"/>
      <c r="R102" s="795"/>
      <c r="S102" s="785"/>
      <c r="T102" s="795"/>
      <c r="U102" s="785"/>
      <c r="V102" s="795"/>
      <c r="W102" s="785"/>
      <c r="X102" s="795"/>
      <c r="Y102" s="785"/>
      <c r="Z102" s="795"/>
      <c r="AA102" s="2095"/>
      <c r="AB102" s="2095"/>
      <c r="AC102" s="785">
        <v>20</v>
      </c>
      <c r="AD102" s="795"/>
      <c r="AE102" s="785">
        <v>20</v>
      </c>
      <c r="AF102" s="795"/>
      <c r="AG102" s="785">
        <v>20</v>
      </c>
      <c r="AH102" s="795"/>
      <c r="AI102" s="785">
        <v>20</v>
      </c>
      <c r="AJ102" s="795"/>
      <c r="AK102" s="785">
        <v>20</v>
      </c>
      <c r="AL102" s="795"/>
      <c r="AM102" s="353"/>
    </row>
    <row r="103" spans="1:39" s="352" customFormat="1">
      <c r="A103" s="1035" t="s">
        <v>225</v>
      </c>
      <c r="B103" s="2250"/>
      <c r="C103" s="2095"/>
      <c r="D103" s="2446"/>
      <c r="E103" s="785"/>
      <c r="F103" s="795"/>
      <c r="G103" s="785"/>
      <c r="H103" s="795"/>
      <c r="I103" s="785"/>
      <c r="J103" s="795"/>
      <c r="K103" s="785"/>
      <c r="L103" s="795"/>
      <c r="M103" s="785"/>
      <c r="N103" s="795"/>
      <c r="O103" s="2095"/>
      <c r="P103" s="2095"/>
      <c r="Q103" s="785"/>
      <c r="R103" s="795"/>
      <c r="S103" s="785"/>
      <c r="T103" s="795"/>
      <c r="U103" s="785"/>
      <c r="V103" s="795"/>
      <c r="W103" s="785"/>
      <c r="X103" s="795"/>
      <c r="Y103" s="785"/>
      <c r="Z103" s="795"/>
      <c r="AA103" s="2095"/>
      <c r="AB103" s="2095"/>
      <c r="AC103" s="785"/>
      <c r="AD103" s="795"/>
      <c r="AE103" s="785"/>
      <c r="AF103" s="795"/>
      <c r="AG103" s="785"/>
      <c r="AH103" s="795"/>
      <c r="AI103" s="785"/>
      <c r="AJ103" s="795"/>
      <c r="AK103" s="785"/>
      <c r="AL103" s="795"/>
      <c r="AM103" s="353"/>
    </row>
    <row r="104" spans="1:39" s="352" customFormat="1">
      <c r="A104" s="1035" t="s">
        <v>306</v>
      </c>
      <c r="B104" s="2250"/>
      <c r="C104" s="2095"/>
      <c r="D104" s="2446"/>
      <c r="E104" s="785"/>
      <c r="F104" s="795"/>
      <c r="G104" s="785"/>
      <c r="H104" s="795"/>
      <c r="I104" s="785"/>
      <c r="J104" s="795"/>
      <c r="K104" s="785"/>
      <c r="L104" s="795"/>
      <c r="M104" s="785"/>
      <c r="N104" s="795"/>
      <c r="O104" s="2095"/>
      <c r="P104" s="2095"/>
      <c r="Q104" s="785"/>
      <c r="R104" s="795"/>
      <c r="S104" s="785"/>
      <c r="T104" s="795"/>
      <c r="U104" s="785"/>
      <c r="V104" s="795"/>
      <c r="W104" s="785"/>
      <c r="X104" s="795"/>
      <c r="Y104" s="785"/>
      <c r="Z104" s="795"/>
      <c r="AA104" s="2095"/>
      <c r="AB104" s="2095"/>
      <c r="AC104" s="785"/>
      <c r="AD104" s="795"/>
      <c r="AE104" s="785"/>
      <c r="AF104" s="795"/>
      <c r="AG104" s="785"/>
      <c r="AH104" s="795"/>
      <c r="AI104" s="785"/>
      <c r="AJ104" s="795"/>
      <c r="AK104" s="785"/>
      <c r="AL104" s="795"/>
      <c r="AM104" s="353"/>
    </row>
    <row r="105" spans="1:39" s="352" customFormat="1">
      <c r="A105" s="1035" t="s">
        <v>308</v>
      </c>
      <c r="B105" s="2250"/>
      <c r="C105" s="2095"/>
      <c r="D105" s="2446"/>
      <c r="E105" s="785"/>
      <c r="F105" s="795"/>
      <c r="G105" s="785"/>
      <c r="H105" s="795"/>
      <c r="I105" s="785"/>
      <c r="J105" s="795"/>
      <c r="K105" s="785"/>
      <c r="L105" s="795"/>
      <c r="M105" s="785"/>
      <c r="N105" s="795"/>
      <c r="O105" s="2095"/>
      <c r="P105" s="2095"/>
      <c r="Q105" s="785"/>
      <c r="R105" s="795"/>
      <c r="S105" s="785"/>
      <c r="T105" s="795"/>
      <c r="U105" s="785"/>
      <c r="V105" s="795"/>
      <c r="W105" s="785"/>
      <c r="X105" s="795"/>
      <c r="Y105" s="785"/>
      <c r="Z105" s="795"/>
      <c r="AA105" s="2095"/>
      <c r="AB105" s="2095"/>
      <c r="AC105" s="785"/>
      <c r="AD105" s="795"/>
      <c r="AE105" s="785"/>
      <c r="AF105" s="795"/>
      <c r="AG105" s="785"/>
      <c r="AH105" s="795"/>
      <c r="AI105" s="785"/>
      <c r="AJ105" s="795"/>
      <c r="AK105" s="785"/>
      <c r="AL105" s="795"/>
      <c r="AM105" s="353"/>
    </row>
    <row r="106" spans="1:39" s="352" customFormat="1">
      <c r="A106" s="1035" t="s">
        <v>310</v>
      </c>
      <c r="B106" s="2250"/>
      <c r="C106" s="2095"/>
      <c r="D106" s="2446"/>
      <c r="E106" s="785"/>
      <c r="F106" s="795"/>
      <c r="G106" s="785"/>
      <c r="H106" s="795"/>
      <c r="I106" s="785"/>
      <c r="J106" s="795"/>
      <c r="K106" s="785"/>
      <c r="L106" s="795"/>
      <c r="M106" s="785"/>
      <c r="N106" s="795"/>
      <c r="O106" s="2095"/>
      <c r="P106" s="2095"/>
      <c r="Q106" s="785"/>
      <c r="R106" s="795"/>
      <c r="S106" s="785"/>
      <c r="T106" s="795"/>
      <c r="U106" s="785"/>
      <c r="V106" s="795"/>
      <c r="W106" s="785"/>
      <c r="X106" s="795"/>
      <c r="Y106" s="785"/>
      <c r="Z106" s="795"/>
      <c r="AA106" s="2095"/>
      <c r="AB106" s="2095"/>
      <c r="AC106" s="785"/>
      <c r="AD106" s="795"/>
      <c r="AE106" s="785"/>
      <c r="AF106" s="795"/>
      <c r="AG106" s="785"/>
      <c r="AH106" s="795"/>
      <c r="AI106" s="785"/>
      <c r="AJ106" s="795"/>
      <c r="AK106" s="785"/>
      <c r="AL106" s="795"/>
      <c r="AM106" s="353"/>
    </row>
    <row r="107" spans="1:39" s="352" customFormat="1">
      <c r="A107" s="1035" t="s">
        <v>312</v>
      </c>
      <c r="B107" s="2250"/>
      <c r="C107" s="2095"/>
      <c r="D107" s="2446"/>
      <c r="E107" s="785"/>
      <c r="F107" s="795"/>
      <c r="G107" s="785"/>
      <c r="H107" s="795"/>
      <c r="I107" s="785"/>
      <c r="J107" s="795"/>
      <c r="K107" s="785"/>
      <c r="L107" s="795"/>
      <c r="M107" s="785"/>
      <c r="N107" s="795"/>
      <c r="O107" s="2095"/>
      <c r="P107" s="2095"/>
      <c r="Q107" s="785"/>
      <c r="R107" s="795"/>
      <c r="S107" s="785"/>
      <c r="T107" s="795"/>
      <c r="U107" s="785"/>
      <c r="V107" s="795"/>
      <c r="W107" s="785"/>
      <c r="X107" s="795"/>
      <c r="Y107" s="785"/>
      <c r="Z107" s="795"/>
      <c r="AA107" s="2095"/>
      <c r="AB107" s="2095"/>
      <c r="AC107" s="785"/>
      <c r="AD107" s="795"/>
      <c r="AE107" s="785"/>
      <c r="AF107" s="795"/>
      <c r="AG107" s="785"/>
      <c r="AH107" s="795"/>
      <c r="AI107" s="785"/>
      <c r="AJ107" s="795"/>
      <c r="AK107" s="785"/>
      <c r="AL107" s="795"/>
      <c r="AM107" s="353"/>
    </row>
    <row r="108" spans="1:39" s="352" customFormat="1">
      <c r="A108" s="1035" t="s">
        <v>314</v>
      </c>
      <c r="B108" s="2250"/>
      <c r="C108" s="2095"/>
      <c r="D108" s="2446"/>
      <c r="E108" s="785"/>
      <c r="F108" s="795"/>
      <c r="G108" s="785"/>
      <c r="H108" s="795"/>
      <c r="I108" s="785"/>
      <c r="J108" s="795"/>
      <c r="K108" s="785"/>
      <c r="L108" s="795"/>
      <c r="M108" s="785"/>
      <c r="N108" s="795"/>
      <c r="O108" s="2095"/>
      <c r="P108" s="2095"/>
      <c r="Q108" s="785"/>
      <c r="R108" s="795"/>
      <c r="S108" s="785"/>
      <c r="T108" s="795"/>
      <c r="U108" s="785"/>
      <c r="V108" s="795"/>
      <c r="W108" s="785"/>
      <c r="X108" s="795"/>
      <c r="Y108" s="785"/>
      <c r="Z108" s="795"/>
      <c r="AA108" s="2095"/>
      <c r="AB108" s="2095"/>
      <c r="AC108" s="785"/>
      <c r="AD108" s="795"/>
      <c r="AE108" s="785"/>
      <c r="AF108" s="795"/>
      <c r="AG108" s="785"/>
      <c r="AH108" s="795"/>
      <c r="AI108" s="785"/>
      <c r="AJ108" s="795"/>
      <c r="AK108" s="785"/>
      <c r="AL108" s="795"/>
      <c r="AM108" s="353"/>
    </row>
    <row r="109" spans="1:39" s="352" customFormat="1">
      <c r="A109" s="1035" t="s">
        <v>316</v>
      </c>
      <c r="B109" s="2250"/>
      <c r="C109" s="2095"/>
      <c r="D109" s="2446"/>
      <c r="E109" s="785"/>
      <c r="F109" s="795"/>
      <c r="G109" s="785"/>
      <c r="H109" s="795"/>
      <c r="I109" s="785"/>
      <c r="J109" s="795"/>
      <c r="K109" s="785"/>
      <c r="L109" s="795"/>
      <c r="M109" s="785"/>
      <c r="N109" s="795"/>
      <c r="O109" s="2095"/>
      <c r="P109" s="2095"/>
      <c r="Q109" s="785"/>
      <c r="R109" s="795"/>
      <c r="S109" s="785"/>
      <c r="T109" s="795"/>
      <c r="U109" s="785"/>
      <c r="V109" s="795"/>
      <c r="W109" s="785"/>
      <c r="X109" s="795"/>
      <c r="Y109" s="785"/>
      <c r="Z109" s="795"/>
      <c r="AA109" s="2095"/>
      <c r="AB109" s="2095"/>
      <c r="AC109" s="785"/>
      <c r="AD109" s="795"/>
      <c r="AE109" s="785"/>
      <c r="AF109" s="795"/>
      <c r="AG109" s="785"/>
      <c r="AH109" s="795"/>
      <c r="AI109" s="785"/>
      <c r="AJ109" s="795"/>
      <c r="AK109" s="785"/>
      <c r="AL109" s="795"/>
      <c r="AM109" s="353"/>
    </row>
    <row r="110" spans="1:39" s="352" customFormat="1">
      <c r="A110" s="1035" t="s">
        <v>320</v>
      </c>
      <c r="B110" s="2250"/>
      <c r="C110" s="2095"/>
      <c r="D110" s="2446"/>
      <c r="E110" s="785"/>
      <c r="F110" s="795"/>
      <c r="G110" s="785"/>
      <c r="H110" s="795"/>
      <c r="I110" s="785"/>
      <c r="J110" s="795"/>
      <c r="K110" s="785"/>
      <c r="L110" s="795"/>
      <c r="M110" s="785"/>
      <c r="N110" s="795"/>
      <c r="O110" s="2095"/>
      <c r="P110" s="2095"/>
      <c r="Q110" s="785"/>
      <c r="R110" s="795"/>
      <c r="S110" s="785"/>
      <c r="T110" s="795"/>
      <c r="U110" s="785"/>
      <c r="V110" s="795"/>
      <c r="W110" s="785"/>
      <c r="X110" s="795"/>
      <c r="Y110" s="785"/>
      <c r="Z110" s="795"/>
      <c r="AA110" s="2095"/>
      <c r="AB110" s="2095"/>
      <c r="AC110" s="785"/>
      <c r="AD110" s="795"/>
      <c r="AE110" s="785"/>
      <c r="AF110" s="795"/>
      <c r="AG110" s="785"/>
      <c r="AH110" s="795"/>
      <c r="AI110" s="785"/>
      <c r="AJ110" s="795"/>
      <c r="AK110" s="785"/>
      <c r="AL110" s="795"/>
      <c r="AM110" s="353"/>
    </row>
    <row r="111" spans="1:39" s="352" customFormat="1">
      <c r="A111" s="1035" t="s">
        <v>322</v>
      </c>
      <c r="B111" s="2250"/>
      <c r="C111" s="2095"/>
      <c r="D111" s="2446"/>
      <c r="E111" s="785"/>
      <c r="F111" s="795"/>
      <c r="G111" s="785"/>
      <c r="H111" s="795"/>
      <c r="I111" s="785"/>
      <c r="J111" s="795"/>
      <c r="K111" s="785"/>
      <c r="L111" s="795"/>
      <c r="M111" s="785"/>
      <c r="N111" s="795"/>
      <c r="O111" s="2095"/>
      <c r="P111" s="2095"/>
      <c r="Q111" s="785"/>
      <c r="R111" s="795"/>
      <c r="S111" s="785"/>
      <c r="T111" s="795"/>
      <c r="U111" s="785"/>
      <c r="V111" s="795"/>
      <c r="W111" s="785"/>
      <c r="X111" s="795"/>
      <c r="Y111" s="785"/>
      <c r="Z111" s="795"/>
      <c r="AA111" s="2095"/>
      <c r="AB111" s="2095"/>
      <c r="AC111" s="785"/>
      <c r="AD111" s="795"/>
      <c r="AE111" s="785"/>
      <c r="AF111" s="795"/>
      <c r="AG111" s="785"/>
      <c r="AH111" s="795"/>
      <c r="AI111" s="785"/>
      <c r="AJ111" s="795"/>
      <c r="AK111" s="785"/>
      <c r="AL111" s="795"/>
      <c r="AM111" s="353"/>
    </row>
    <row r="112" spans="1:39" s="352" customFormat="1">
      <c r="A112" s="1035" t="s">
        <v>324</v>
      </c>
      <c r="B112" s="2250"/>
      <c r="C112" s="2095"/>
      <c r="D112" s="2446"/>
      <c r="E112" s="785"/>
      <c r="F112" s="795"/>
      <c r="G112" s="785"/>
      <c r="H112" s="795"/>
      <c r="I112" s="785"/>
      <c r="J112" s="795"/>
      <c r="K112" s="785"/>
      <c r="L112" s="795"/>
      <c r="M112" s="785"/>
      <c r="N112" s="795"/>
      <c r="O112" s="2095"/>
      <c r="P112" s="2095"/>
      <c r="Q112" s="785"/>
      <c r="R112" s="795"/>
      <c r="S112" s="785"/>
      <c r="T112" s="795"/>
      <c r="U112" s="785"/>
      <c r="V112" s="795"/>
      <c r="W112" s="785"/>
      <c r="X112" s="795"/>
      <c r="Y112" s="785"/>
      <c r="Z112" s="795"/>
      <c r="AA112" s="2095"/>
      <c r="AB112" s="2095"/>
      <c r="AC112" s="785"/>
      <c r="AD112" s="795"/>
      <c r="AE112" s="785"/>
      <c r="AF112" s="795"/>
      <c r="AG112" s="785"/>
      <c r="AH112" s="795"/>
      <c r="AI112" s="785"/>
      <c r="AJ112" s="795"/>
      <c r="AK112" s="785"/>
      <c r="AL112" s="795"/>
      <c r="AM112" s="353"/>
    </row>
    <row r="113" spans="1:39" s="352" customFormat="1">
      <c r="A113" s="1035" t="s">
        <v>326</v>
      </c>
      <c r="B113" s="2250"/>
      <c r="C113" s="2095"/>
      <c r="D113" s="2446"/>
      <c r="E113" s="785"/>
      <c r="F113" s="795"/>
      <c r="G113" s="785"/>
      <c r="H113" s="795"/>
      <c r="I113" s="785"/>
      <c r="J113" s="795"/>
      <c r="K113" s="785"/>
      <c r="L113" s="795"/>
      <c r="M113" s="785"/>
      <c r="N113" s="795"/>
      <c r="O113" s="2095"/>
      <c r="P113" s="2095"/>
      <c r="Q113" s="785"/>
      <c r="R113" s="795"/>
      <c r="S113" s="785"/>
      <c r="T113" s="795"/>
      <c r="U113" s="785"/>
      <c r="V113" s="795"/>
      <c r="W113" s="785"/>
      <c r="X113" s="795"/>
      <c r="Y113" s="785"/>
      <c r="Z113" s="795"/>
      <c r="AA113" s="2095"/>
      <c r="AB113" s="2095"/>
      <c r="AC113" s="785"/>
      <c r="AD113" s="795"/>
      <c r="AE113" s="785"/>
      <c r="AF113" s="795"/>
      <c r="AG113" s="785"/>
      <c r="AH113" s="795"/>
      <c r="AI113" s="785"/>
      <c r="AJ113" s="795"/>
      <c r="AK113" s="785"/>
      <c r="AL113" s="795"/>
      <c r="AM113" s="353"/>
    </row>
    <row r="114" spans="1:39" s="352" customFormat="1">
      <c r="A114" s="1035" t="s">
        <v>620</v>
      </c>
      <c r="B114" s="2250"/>
      <c r="C114" s="2095"/>
      <c r="D114" s="2446"/>
      <c r="E114" s="785"/>
      <c r="F114" s="795"/>
      <c r="G114" s="785"/>
      <c r="H114" s="795"/>
      <c r="I114" s="785"/>
      <c r="J114" s="795"/>
      <c r="K114" s="785"/>
      <c r="L114" s="795"/>
      <c r="M114" s="785"/>
      <c r="N114" s="795"/>
      <c r="O114" s="2095"/>
      <c r="P114" s="2095"/>
      <c r="Q114" s="785"/>
      <c r="R114" s="795"/>
      <c r="S114" s="785"/>
      <c r="T114" s="795"/>
      <c r="U114" s="785"/>
      <c r="V114" s="795"/>
      <c r="W114" s="785"/>
      <c r="X114" s="795"/>
      <c r="Y114" s="785"/>
      <c r="Z114" s="795"/>
      <c r="AA114" s="2095"/>
      <c r="AB114" s="2095"/>
      <c r="AC114" s="785"/>
      <c r="AD114" s="795"/>
      <c r="AE114" s="785"/>
      <c r="AF114" s="795"/>
      <c r="AG114" s="785"/>
      <c r="AH114" s="795"/>
      <c r="AI114" s="785"/>
      <c r="AJ114" s="795"/>
      <c r="AK114" s="785"/>
      <c r="AL114" s="795"/>
      <c r="AM114" s="353"/>
    </row>
    <row r="115" spans="1:39" s="352" customFormat="1" ht="15.75" thickBot="1">
      <c r="A115" s="1035" t="s">
        <v>811</v>
      </c>
      <c r="B115" s="2250"/>
      <c r="C115" s="2096"/>
      <c r="D115" s="2447"/>
      <c r="E115" s="2246"/>
      <c r="F115" s="2247"/>
      <c r="G115" s="2246"/>
      <c r="H115" s="2247"/>
      <c r="I115" s="2246"/>
      <c r="J115" s="2247"/>
      <c r="K115" s="2246"/>
      <c r="L115" s="2247"/>
      <c r="M115" s="2246"/>
      <c r="N115" s="2247"/>
      <c r="O115" s="2096"/>
      <c r="P115" s="2096"/>
      <c r="Q115" s="2246"/>
      <c r="R115" s="2247"/>
      <c r="S115" s="2246"/>
      <c r="T115" s="2247"/>
      <c r="U115" s="2246"/>
      <c r="V115" s="2247"/>
      <c r="W115" s="2246"/>
      <c r="X115" s="2247"/>
      <c r="Y115" s="2246"/>
      <c r="Z115" s="2247"/>
      <c r="AA115" s="2096"/>
      <c r="AB115" s="2096"/>
      <c r="AC115" s="2246"/>
      <c r="AD115" s="2247"/>
      <c r="AE115" s="2246"/>
      <c r="AF115" s="2247"/>
      <c r="AG115" s="2246"/>
      <c r="AH115" s="2247"/>
      <c r="AI115" s="2246"/>
      <c r="AJ115" s="2247"/>
      <c r="AK115" s="2246"/>
      <c r="AL115" s="2247"/>
      <c r="AM115" s="353"/>
    </row>
    <row r="116" spans="1:39" s="352" customFormat="1">
      <c r="A116" s="367"/>
      <c r="B116" s="368" t="str">
        <f>'Приложение '!B56</f>
        <v>Дата: 10.11.2017 г.</v>
      </c>
      <c r="C116" s="353"/>
      <c r="D116" s="353"/>
      <c r="E116" s="353"/>
      <c r="F116" s="353"/>
      <c r="G116" s="353"/>
      <c r="H116" s="382"/>
      <c r="I116" s="353"/>
      <c r="J116" s="382"/>
      <c r="K116" s="353"/>
      <c r="L116" s="353"/>
      <c r="M116" s="353"/>
      <c r="N116" s="382"/>
      <c r="O116" s="353"/>
      <c r="P116" s="353"/>
      <c r="Q116" s="353"/>
      <c r="R116" s="382"/>
      <c r="S116" s="353"/>
      <c r="T116" s="382"/>
      <c r="U116" s="353"/>
      <c r="V116" s="382"/>
      <c r="W116" s="353"/>
      <c r="X116" s="382"/>
      <c r="Y116" s="353"/>
      <c r="Z116" s="382"/>
      <c r="AA116" s="353"/>
      <c r="AB116" s="353"/>
      <c r="AC116" s="353"/>
      <c r="AD116" s="382"/>
      <c r="AE116" s="353"/>
      <c r="AF116" s="382"/>
      <c r="AG116" s="353"/>
      <c r="AH116" s="382"/>
      <c r="AI116" s="353"/>
      <c r="AJ116" s="382"/>
      <c r="AK116" s="353"/>
      <c r="AL116" s="382"/>
      <c r="AM116" s="353"/>
    </row>
    <row r="117" spans="1:39" s="352" customFormat="1">
      <c r="A117" s="367"/>
      <c r="B117" s="367"/>
      <c r="C117" s="369"/>
      <c r="D117" s="369"/>
      <c r="E117" s="369"/>
      <c r="F117" s="369"/>
      <c r="G117" s="369"/>
      <c r="H117" s="384"/>
      <c r="I117" s="369"/>
      <c r="J117" s="384"/>
      <c r="K117" s="369"/>
      <c r="L117" s="369"/>
      <c r="M117" s="369"/>
      <c r="N117" s="384"/>
      <c r="O117" s="369"/>
      <c r="P117" s="369"/>
      <c r="Q117" s="369"/>
      <c r="R117" s="384"/>
      <c r="S117" s="369"/>
      <c r="T117" s="384"/>
      <c r="U117" s="369"/>
      <c r="V117" s="384"/>
      <c r="W117" s="369"/>
      <c r="X117" s="384"/>
      <c r="Y117" s="369"/>
      <c r="Z117" s="384"/>
      <c r="AA117" s="369"/>
      <c r="AB117" s="369"/>
      <c r="AC117" s="369"/>
      <c r="AD117" s="384"/>
      <c r="AE117" s="369"/>
      <c r="AF117" s="384"/>
      <c r="AG117" s="369"/>
      <c r="AH117" s="384"/>
      <c r="AI117" s="369"/>
      <c r="AJ117" s="384"/>
      <c r="AK117" s="369"/>
      <c r="AL117" s="384"/>
      <c r="AM117" s="353"/>
    </row>
    <row r="118" spans="1:39" s="352" customFormat="1">
      <c r="A118" s="367"/>
      <c r="B118" s="367"/>
      <c r="C118" s="369"/>
      <c r="D118" s="369"/>
      <c r="E118" s="369"/>
      <c r="F118" s="369"/>
      <c r="G118" s="369"/>
      <c r="H118" s="384"/>
      <c r="I118" s="369"/>
      <c r="J118" s="384"/>
      <c r="K118" s="369"/>
      <c r="L118" s="369"/>
      <c r="M118" s="369"/>
      <c r="N118" s="384"/>
      <c r="O118" s="369"/>
      <c r="P118" s="369"/>
      <c r="Q118" s="369"/>
      <c r="R118" s="384"/>
      <c r="S118" s="369"/>
      <c r="T118" s="384"/>
      <c r="U118" s="369"/>
      <c r="V118" s="384"/>
      <c r="W118" s="369"/>
      <c r="X118" s="384"/>
      <c r="Y118" s="369"/>
      <c r="Z118" s="384"/>
      <c r="AA118" s="369"/>
      <c r="AB118" s="369"/>
      <c r="AC118" s="369"/>
      <c r="AD118" s="384"/>
      <c r="AE118" s="495" t="str">
        <f>'12. Разходи'!X109</f>
        <v>Главен счетоводител:</v>
      </c>
      <c r="AF118" s="495"/>
      <c r="AG118" s="496" t="s">
        <v>262</v>
      </c>
      <c r="AH118" s="497"/>
      <c r="AI118" s="496"/>
      <c r="AJ118" s="384"/>
      <c r="AK118" s="369"/>
      <c r="AL118" s="384"/>
      <c r="AM118" s="353"/>
    </row>
    <row r="119" spans="1:39" s="352" customFormat="1">
      <c r="C119" s="370"/>
      <c r="D119" s="370"/>
      <c r="E119" s="370"/>
      <c r="F119" s="370"/>
      <c r="G119" s="370"/>
      <c r="H119" s="382"/>
      <c r="I119" s="370"/>
      <c r="J119" s="382"/>
      <c r="K119" s="370"/>
      <c r="L119" s="370"/>
      <c r="M119" s="370"/>
      <c r="N119" s="382"/>
      <c r="O119" s="370"/>
      <c r="P119" s="370"/>
      <c r="Q119" s="370"/>
      <c r="R119" s="382"/>
      <c r="S119" s="370"/>
      <c r="T119" s="382"/>
      <c r="U119" s="370"/>
      <c r="V119" s="382"/>
      <c r="W119" s="370"/>
      <c r="X119" s="382"/>
      <c r="Y119" s="370"/>
      <c r="Z119" s="382"/>
      <c r="AA119" s="370"/>
      <c r="AB119" s="370"/>
      <c r="AC119" s="370"/>
      <c r="AD119" s="498"/>
      <c r="AE119" s="499"/>
      <c r="AF119" s="500"/>
      <c r="AG119" s="501"/>
      <c r="AH119" s="486" t="s">
        <v>5</v>
      </c>
      <c r="AI119" s="496"/>
      <c r="AJ119" s="498"/>
      <c r="AK119" s="369"/>
      <c r="AL119" s="382"/>
      <c r="AM119" s="353"/>
    </row>
    <row r="120" spans="1:39" s="352" customFormat="1">
      <c r="A120" s="188"/>
      <c r="B120" s="371" t="s">
        <v>247</v>
      </c>
      <c r="C120" s="353"/>
      <c r="D120" s="353"/>
      <c r="E120" s="353"/>
      <c r="F120" s="353"/>
      <c r="G120" s="353"/>
      <c r="H120" s="382"/>
      <c r="I120" s="353"/>
      <c r="J120" s="382"/>
      <c r="K120" s="353"/>
      <c r="L120" s="353"/>
      <c r="M120" s="353"/>
      <c r="N120" s="382"/>
      <c r="O120" s="353"/>
      <c r="P120" s="353"/>
      <c r="Q120" s="353"/>
      <c r="R120" s="382"/>
      <c r="S120" s="353"/>
      <c r="T120" s="382"/>
      <c r="U120" s="353"/>
      <c r="V120" s="382"/>
      <c r="W120" s="353"/>
      <c r="X120" s="382"/>
      <c r="Y120" s="353"/>
      <c r="Z120" s="382"/>
      <c r="AA120" s="353"/>
      <c r="AB120" s="353"/>
      <c r="AC120" s="353"/>
      <c r="AD120" s="353"/>
      <c r="AE120" s="499"/>
      <c r="AF120" s="500"/>
      <c r="AG120" s="501"/>
      <c r="AH120" s="486"/>
      <c r="AI120" s="496"/>
      <c r="AJ120" s="353"/>
      <c r="AK120" s="353"/>
      <c r="AL120" s="382"/>
      <c r="AM120" s="353"/>
    </row>
    <row r="121" spans="1:39" s="352" customFormat="1">
      <c r="A121" s="189" t="s">
        <v>263</v>
      </c>
      <c r="B121" s="3636" t="s">
        <v>248</v>
      </c>
      <c r="C121" s="3636"/>
      <c r="D121" s="3636"/>
      <c r="E121" s="3636"/>
      <c r="F121" s="3636"/>
      <c r="G121" s="3636"/>
      <c r="H121" s="3636"/>
      <c r="I121" s="3636"/>
      <c r="J121" s="3636"/>
      <c r="K121" s="3636"/>
      <c r="L121" s="3636"/>
      <c r="M121" s="3636"/>
      <c r="N121" s="3636"/>
      <c r="O121" s="3636"/>
      <c r="P121" s="3636"/>
      <c r="Q121" s="353"/>
      <c r="R121" s="382"/>
      <c r="S121" s="353"/>
      <c r="T121" s="382"/>
      <c r="U121" s="353"/>
      <c r="V121" s="382"/>
      <c r="W121" s="353"/>
      <c r="X121" s="382"/>
      <c r="Y121" s="353"/>
      <c r="Z121" s="382"/>
      <c r="AA121" s="353"/>
      <c r="AB121" s="353"/>
      <c r="AC121" s="353"/>
      <c r="AD121" s="353"/>
      <c r="AE121" s="499"/>
      <c r="AF121" s="500"/>
      <c r="AG121" s="501"/>
      <c r="AH121" s="486"/>
      <c r="AI121" s="496"/>
      <c r="AJ121" s="353"/>
      <c r="AK121" s="353"/>
      <c r="AL121" s="382"/>
      <c r="AM121" s="353"/>
    </row>
    <row r="122" spans="1:39" s="352" customFormat="1">
      <c r="A122" s="189"/>
      <c r="B122" s="3636" t="s">
        <v>1312</v>
      </c>
      <c r="C122" s="3636"/>
      <c r="D122" s="3636"/>
      <c r="E122" s="3636"/>
      <c r="F122" s="3636"/>
      <c r="G122" s="3636"/>
      <c r="H122" s="3636"/>
      <c r="I122" s="3636"/>
      <c r="J122" s="3636"/>
      <c r="K122" s="3636"/>
      <c r="L122" s="3636"/>
      <c r="M122" s="3636"/>
      <c r="N122" s="3636"/>
      <c r="O122" s="3636"/>
      <c r="P122" s="3636"/>
      <c r="Q122" s="353"/>
      <c r="R122" s="382"/>
      <c r="S122" s="353"/>
      <c r="T122" s="382"/>
      <c r="U122" s="353"/>
      <c r="V122" s="382"/>
      <c r="W122" s="353"/>
      <c r="X122" s="382"/>
      <c r="Y122" s="353"/>
      <c r="Z122" s="382"/>
      <c r="AA122" s="353"/>
      <c r="AB122" s="353"/>
      <c r="AC122" s="353"/>
      <c r="AD122" s="353"/>
      <c r="AE122" s="499"/>
      <c r="AF122" s="500"/>
      <c r="AG122" s="501"/>
      <c r="AH122" s="486"/>
      <c r="AI122" s="496"/>
      <c r="AJ122" s="353"/>
      <c r="AK122" s="353"/>
      <c r="AL122" s="382"/>
      <c r="AM122" s="353"/>
    </row>
    <row r="123" spans="1:39" s="352" customFormat="1" ht="35.25" customHeight="1">
      <c r="A123" s="189"/>
      <c r="B123" s="3635" t="s">
        <v>1313</v>
      </c>
      <c r="C123" s="3635"/>
      <c r="D123" s="3635"/>
      <c r="E123" s="3635"/>
      <c r="F123" s="3635"/>
      <c r="G123" s="3635"/>
      <c r="H123" s="3635"/>
      <c r="I123" s="3635"/>
      <c r="J123" s="3635"/>
      <c r="K123" s="3635"/>
      <c r="L123" s="3635"/>
      <c r="M123" s="3635"/>
      <c r="N123" s="3635"/>
      <c r="O123" s="3635"/>
      <c r="P123" s="3635"/>
      <c r="Q123" s="373"/>
      <c r="R123" s="386"/>
      <c r="S123" s="373"/>
      <c r="T123" s="386"/>
      <c r="U123" s="373"/>
      <c r="V123" s="386"/>
      <c r="W123" s="373"/>
      <c r="X123" s="386"/>
      <c r="Y123" s="373"/>
      <c r="Z123" s="386"/>
      <c r="AA123" s="373"/>
      <c r="AB123" s="373"/>
      <c r="AC123" s="373"/>
      <c r="AD123" s="353"/>
      <c r="AE123" s="499"/>
      <c r="AF123" s="500"/>
      <c r="AG123" s="501"/>
      <c r="AH123" s="486"/>
      <c r="AI123" s="496"/>
      <c r="AJ123" s="353"/>
      <c r="AK123" s="365"/>
      <c r="AL123" s="383"/>
      <c r="AM123" s="353"/>
    </row>
    <row r="124" spans="1:39" s="352" customFormat="1">
      <c r="A124" s="189"/>
      <c r="B124" s="3637" t="s">
        <v>1314</v>
      </c>
      <c r="C124" s="3637"/>
      <c r="D124" s="3637"/>
      <c r="E124" s="3637"/>
      <c r="F124" s="3637"/>
      <c r="G124" s="3637"/>
      <c r="H124" s="3637"/>
      <c r="I124" s="3637"/>
      <c r="J124" s="3637"/>
      <c r="K124" s="3637"/>
      <c r="L124" s="3637"/>
      <c r="M124" s="3637"/>
      <c r="N124" s="3637"/>
      <c r="O124" s="3637"/>
      <c r="P124" s="3637"/>
      <c r="Q124" s="373"/>
      <c r="R124" s="386"/>
      <c r="S124" s="373"/>
      <c r="T124" s="386"/>
      <c r="U124" s="373"/>
      <c r="V124" s="386"/>
      <c r="W124" s="373"/>
      <c r="X124" s="386"/>
      <c r="Y124" s="373"/>
      <c r="Z124" s="386"/>
      <c r="AA124" s="373"/>
      <c r="AB124" s="373"/>
      <c r="AC124" s="373"/>
      <c r="AD124" s="353"/>
      <c r="AE124" s="353"/>
      <c r="AF124" s="495" t="str">
        <f>'12. Разходи'!X114</f>
        <v>Управител:</v>
      </c>
      <c r="AG124" s="496" t="s">
        <v>262</v>
      </c>
      <c r="AH124" s="496"/>
      <c r="AI124" s="496"/>
      <c r="AJ124" s="353"/>
      <c r="AK124" s="365"/>
      <c r="AL124" s="383"/>
      <c r="AM124" s="353"/>
    </row>
    <row r="125" spans="1:39" s="352" customFormat="1">
      <c r="A125" s="189"/>
      <c r="B125" s="3637" t="s">
        <v>1315</v>
      </c>
      <c r="C125" s="3637"/>
      <c r="D125" s="3637"/>
      <c r="E125" s="3637"/>
      <c r="F125" s="3637"/>
      <c r="G125" s="3637"/>
      <c r="H125" s="3637"/>
      <c r="I125" s="3637"/>
      <c r="J125" s="3637"/>
      <c r="K125" s="3637"/>
      <c r="L125" s="3637"/>
      <c r="M125" s="3637"/>
      <c r="N125" s="3637"/>
      <c r="O125" s="3637"/>
      <c r="P125" s="3637"/>
      <c r="Q125" s="365"/>
      <c r="R125" s="383"/>
      <c r="S125" s="365"/>
      <c r="T125" s="383"/>
      <c r="U125" s="365"/>
      <c r="V125" s="383"/>
      <c r="W125" s="365"/>
      <c r="X125" s="383"/>
      <c r="Y125" s="365"/>
      <c r="Z125" s="383"/>
      <c r="AA125" s="365"/>
      <c r="AB125" s="365"/>
      <c r="AC125" s="365"/>
      <c r="AD125" s="353"/>
      <c r="AE125" s="499"/>
      <c r="AF125" s="502"/>
      <c r="AG125" s="501"/>
      <c r="AH125" s="486" t="s">
        <v>6</v>
      </c>
      <c r="AI125" s="501"/>
      <c r="AJ125" s="353"/>
      <c r="AK125" s="365"/>
      <c r="AL125" s="383"/>
      <c r="AM125" s="353"/>
    </row>
    <row r="126" spans="1:39" s="352" customFormat="1" ht="33" customHeight="1">
      <c r="A126" s="364"/>
      <c r="B126" s="3635" t="s">
        <v>1316</v>
      </c>
      <c r="C126" s="3635"/>
      <c r="D126" s="3635"/>
      <c r="E126" s="3635"/>
      <c r="F126" s="3635"/>
      <c r="G126" s="3635"/>
      <c r="H126" s="3635"/>
      <c r="I126" s="3635"/>
      <c r="J126" s="3635"/>
      <c r="K126" s="3635"/>
      <c r="L126" s="3635"/>
      <c r="M126" s="3635"/>
      <c r="N126" s="3635"/>
      <c r="O126" s="3635"/>
      <c r="P126" s="3635"/>
      <c r="Q126" s="365"/>
      <c r="R126" s="383"/>
      <c r="S126" s="365"/>
      <c r="T126" s="383"/>
      <c r="U126" s="365"/>
      <c r="V126" s="383"/>
      <c r="W126" s="365"/>
      <c r="X126" s="383"/>
      <c r="Y126" s="365"/>
      <c r="Z126" s="383"/>
      <c r="AA126" s="365"/>
      <c r="AB126" s="365"/>
      <c r="AC126" s="365"/>
      <c r="AD126" s="353"/>
      <c r="AE126" s="353"/>
      <c r="AF126" s="353"/>
      <c r="AG126" s="353"/>
      <c r="AH126" s="353"/>
      <c r="AI126" s="353"/>
      <c r="AJ126" s="353"/>
      <c r="AK126" s="365"/>
      <c r="AL126" s="383"/>
      <c r="AM126" s="353"/>
    </row>
    <row r="127" spans="1:39" s="352" customFormat="1">
      <c r="A127" s="364"/>
      <c r="B127" s="3094" t="s">
        <v>1558</v>
      </c>
      <c r="C127" s="365"/>
      <c r="D127" s="365"/>
      <c r="E127" s="365"/>
      <c r="F127" s="365"/>
      <c r="G127" s="365"/>
      <c r="H127" s="383"/>
      <c r="I127" s="365"/>
      <c r="J127" s="383"/>
      <c r="K127" s="365"/>
      <c r="L127" s="365"/>
      <c r="M127" s="365"/>
      <c r="N127" s="383"/>
      <c r="O127" s="365"/>
      <c r="P127" s="365"/>
      <c r="Q127" s="365"/>
      <c r="R127" s="383"/>
      <c r="S127" s="365"/>
      <c r="T127" s="383"/>
      <c r="U127" s="365"/>
      <c r="V127" s="383"/>
      <c r="W127" s="365"/>
      <c r="X127" s="383"/>
      <c r="Y127" s="365"/>
      <c r="Z127" s="383"/>
      <c r="AA127" s="365"/>
      <c r="AB127" s="365"/>
      <c r="AC127" s="365"/>
      <c r="AD127" s="353"/>
      <c r="AE127" s="353"/>
      <c r="AF127" s="353"/>
      <c r="AG127" s="353"/>
      <c r="AH127" s="353"/>
      <c r="AI127" s="353"/>
      <c r="AJ127" s="353"/>
      <c r="AK127" s="365"/>
      <c r="AL127" s="383"/>
      <c r="AM127" s="353"/>
    </row>
    <row r="128" spans="1:39" s="352" customFormat="1">
      <c r="A128" s="364"/>
      <c r="B128" s="364"/>
      <c r="C128" s="365"/>
      <c r="D128" s="365"/>
      <c r="E128" s="365"/>
      <c r="F128" s="365"/>
      <c r="G128" s="365"/>
      <c r="H128" s="383"/>
      <c r="I128" s="365"/>
      <c r="J128" s="383"/>
      <c r="K128" s="365"/>
      <c r="L128" s="365"/>
      <c r="M128" s="365"/>
      <c r="N128" s="383"/>
      <c r="O128" s="365"/>
      <c r="P128" s="365"/>
      <c r="Q128" s="365"/>
      <c r="R128" s="383"/>
      <c r="S128" s="365"/>
      <c r="T128" s="383"/>
      <c r="U128" s="365"/>
      <c r="V128" s="383"/>
      <c r="W128" s="365"/>
      <c r="X128" s="383"/>
      <c r="Y128" s="365"/>
      <c r="Z128" s="383"/>
      <c r="AA128" s="365"/>
      <c r="AB128" s="365"/>
      <c r="AC128" s="365"/>
      <c r="AD128" s="353"/>
      <c r="AE128" s="353"/>
      <c r="AF128" s="365"/>
      <c r="AG128" s="365"/>
      <c r="AH128" s="365"/>
      <c r="AI128" s="365"/>
      <c r="AJ128" s="365"/>
      <c r="AK128" s="365"/>
      <c r="AL128" s="383"/>
      <c r="AM128" s="353"/>
    </row>
    <row r="129" spans="1:39" s="352" customFormat="1">
      <c r="A129" s="364"/>
      <c r="B129" s="364"/>
      <c r="C129" s="365"/>
      <c r="D129" s="365"/>
      <c r="E129" s="365"/>
      <c r="F129" s="365"/>
      <c r="G129" s="365"/>
      <c r="H129" s="383"/>
      <c r="I129" s="365"/>
      <c r="J129" s="383"/>
      <c r="K129" s="365"/>
      <c r="L129" s="365"/>
      <c r="M129" s="365"/>
      <c r="N129" s="383"/>
      <c r="O129" s="365"/>
      <c r="P129" s="365"/>
      <c r="Q129" s="365"/>
      <c r="R129" s="383"/>
      <c r="S129" s="365"/>
      <c r="T129" s="383"/>
      <c r="U129" s="365"/>
      <c r="V129" s="383"/>
      <c r="W129" s="365"/>
      <c r="X129" s="383"/>
      <c r="Y129" s="365"/>
      <c r="Z129" s="383"/>
      <c r="AA129" s="365"/>
      <c r="AB129" s="365"/>
      <c r="AC129" s="365"/>
      <c r="AD129" s="383"/>
      <c r="AE129" s="365"/>
      <c r="AF129" s="383"/>
      <c r="AG129" s="365"/>
      <c r="AH129" s="383"/>
      <c r="AI129" s="365"/>
      <c r="AJ129" s="383"/>
      <c r="AK129" s="365"/>
      <c r="AL129" s="383"/>
      <c r="AM129" s="353"/>
    </row>
    <row r="130" spans="1:39" s="352" customFormat="1">
      <c r="A130" s="364"/>
      <c r="B130" s="364"/>
      <c r="C130" s="365"/>
      <c r="D130" s="365"/>
      <c r="E130" s="365"/>
      <c r="F130" s="365"/>
      <c r="G130" s="365"/>
      <c r="H130" s="383"/>
      <c r="I130" s="365"/>
      <c r="J130" s="383"/>
      <c r="K130" s="365"/>
      <c r="L130" s="365"/>
      <c r="M130" s="365"/>
      <c r="N130" s="383"/>
      <c r="O130" s="365"/>
      <c r="P130" s="365"/>
      <c r="Q130" s="365"/>
      <c r="R130" s="383"/>
      <c r="S130" s="365"/>
      <c r="T130" s="383"/>
      <c r="U130" s="365"/>
      <c r="V130" s="383"/>
      <c r="W130" s="365"/>
      <c r="X130" s="383"/>
      <c r="Y130" s="365"/>
      <c r="Z130" s="383"/>
      <c r="AA130" s="365"/>
      <c r="AB130" s="365"/>
      <c r="AC130" s="365"/>
      <c r="AD130" s="383"/>
      <c r="AE130" s="365"/>
      <c r="AF130" s="383"/>
      <c r="AG130" s="365"/>
      <c r="AH130" s="383"/>
      <c r="AI130" s="365"/>
      <c r="AJ130" s="383"/>
      <c r="AK130" s="365"/>
      <c r="AL130" s="383"/>
      <c r="AM130" s="353"/>
    </row>
    <row r="131" spans="1:39" s="352" customFormat="1">
      <c r="A131" s="364"/>
      <c r="B131" s="364"/>
      <c r="C131" s="365"/>
      <c r="D131" s="365"/>
      <c r="E131" s="365"/>
      <c r="F131" s="365"/>
      <c r="G131" s="365"/>
      <c r="H131" s="383"/>
      <c r="I131" s="365"/>
      <c r="J131" s="383"/>
      <c r="K131" s="365"/>
      <c r="L131" s="365"/>
      <c r="M131" s="365"/>
      <c r="N131" s="383"/>
      <c r="O131" s="365"/>
      <c r="P131" s="365"/>
      <c r="Q131" s="365"/>
      <c r="R131" s="383"/>
      <c r="S131" s="365"/>
      <c r="T131" s="383"/>
      <c r="U131" s="365"/>
      <c r="V131" s="383"/>
      <c r="W131" s="365"/>
      <c r="X131" s="383"/>
      <c r="Y131" s="365"/>
      <c r="Z131" s="383"/>
      <c r="AA131" s="365"/>
      <c r="AB131" s="365"/>
      <c r="AC131" s="365"/>
      <c r="AD131" s="383"/>
      <c r="AE131" s="365"/>
      <c r="AF131" s="383"/>
      <c r="AG131" s="365"/>
      <c r="AH131" s="383"/>
      <c r="AI131" s="365"/>
      <c r="AJ131" s="383"/>
      <c r="AK131" s="365"/>
      <c r="AL131" s="383"/>
      <c r="AM131" s="353"/>
    </row>
    <row r="132" spans="1:39" s="352" customFormat="1">
      <c r="A132" s="364"/>
      <c r="B132" s="364"/>
      <c r="C132" s="365"/>
      <c r="D132" s="365"/>
      <c r="E132" s="365"/>
      <c r="F132" s="365"/>
      <c r="G132" s="365"/>
      <c r="H132" s="383"/>
      <c r="I132" s="365"/>
      <c r="J132" s="383"/>
      <c r="K132" s="365"/>
      <c r="L132" s="365"/>
      <c r="M132" s="365"/>
      <c r="N132" s="383"/>
      <c r="O132" s="365"/>
      <c r="P132" s="365"/>
      <c r="Q132" s="365"/>
      <c r="R132" s="383"/>
      <c r="S132" s="365"/>
      <c r="T132" s="383"/>
      <c r="U132" s="365"/>
      <c r="V132" s="383"/>
      <c r="W132" s="365"/>
      <c r="X132" s="383"/>
      <c r="Y132" s="365"/>
      <c r="Z132" s="383"/>
      <c r="AA132" s="365"/>
      <c r="AB132" s="365"/>
      <c r="AC132" s="365"/>
      <c r="AD132" s="383"/>
      <c r="AE132" s="365"/>
      <c r="AF132" s="383"/>
      <c r="AG132" s="365"/>
      <c r="AH132" s="383"/>
      <c r="AI132" s="365"/>
      <c r="AJ132" s="383"/>
      <c r="AK132" s="365"/>
      <c r="AL132" s="383"/>
      <c r="AM132" s="353"/>
    </row>
    <row r="133" spans="1:39" s="352" customFormat="1">
      <c r="A133" s="364"/>
      <c r="B133" s="364"/>
      <c r="C133" s="365"/>
      <c r="D133" s="365"/>
      <c r="E133" s="365"/>
      <c r="F133" s="365"/>
      <c r="G133" s="365"/>
      <c r="H133" s="383"/>
      <c r="I133" s="365"/>
      <c r="J133" s="383"/>
      <c r="K133" s="365"/>
      <c r="L133" s="365"/>
      <c r="M133" s="365"/>
      <c r="N133" s="383"/>
      <c r="O133" s="365"/>
      <c r="P133" s="365"/>
      <c r="Q133" s="365"/>
      <c r="R133" s="383"/>
      <c r="S133" s="365"/>
      <c r="T133" s="383"/>
      <c r="U133" s="365"/>
      <c r="V133" s="383"/>
      <c r="W133" s="365"/>
      <c r="X133" s="383"/>
      <c r="Y133" s="365"/>
      <c r="Z133" s="383"/>
      <c r="AA133" s="365"/>
      <c r="AB133" s="365"/>
      <c r="AC133" s="365"/>
      <c r="AD133" s="383"/>
      <c r="AE133" s="365"/>
      <c r="AF133" s="383"/>
      <c r="AG133" s="365"/>
      <c r="AH133" s="383"/>
      <c r="AI133" s="365"/>
      <c r="AJ133" s="383"/>
      <c r="AK133" s="365"/>
      <c r="AL133" s="383"/>
      <c r="AM133" s="353"/>
    </row>
    <row r="134" spans="1:39" s="352" customFormat="1">
      <c r="A134" s="364"/>
      <c r="B134" s="364"/>
      <c r="C134" s="365"/>
      <c r="D134" s="365"/>
      <c r="E134" s="365"/>
      <c r="F134" s="365"/>
      <c r="G134" s="365"/>
      <c r="H134" s="383"/>
      <c r="I134" s="365"/>
      <c r="J134" s="383"/>
      <c r="K134" s="365"/>
      <c r="L134" s="365"/>
      <c r="M134" s="365"/>
      <c r="N134" s="383"/>
      <c r="O134" s="365"/>
      <c r="P134" s="365"/>
      <c r="Q134" s="365"/>
      <c r="R134" s="383"/>
      <c r="S134" s="365"/>
      <c r="T134" s="383"/>
      <c r="U134" s="365"/>
      <c r="V134" s="383"/>
      <c r="W134" s="365"/>
      <c r="X134" s="383"/>
      <c r="Y134" s="365"/>
      <c r="Z134" s="383"/>
      <c r="AA134" s="365"/>
      <c r="AB134" s="365"/>
      <c r="AC134" s="365"/>
      <c r="AD134" s="383"/>
      <c r="AE134" s="365"/>
      <c r="AF134" s="383"/>
      <c r="AG134" s="365"/>
      <c r="AH134" s="383"/>
      <c r="AI134" s="365"/>
      <c r="AJ134" s="383"/>
      <c r="AK134" s="365"/>
      <c r="AL134" s="383"/>
      <c r="AM134" s="353"/>
    </row>
    <row r="135" spans="1:39" s="352" customFormat="1">
      <c r="A135" s="364"/>
      <c r="B135" s="364"/>
      <c r="C135" s="365"/>
      <c r="D135" s="365"/>
      <c r="E135" s="365"/>
      <c r="F135" s="365"/>
      <c r="G135" s="365"/>
      <c r="H135" s="383"/>
      <c r="I135" s="365"/>
      <c r="J135" s="383"/>
      <c r="K135" s="365"/>
      <c r="L135" s="365"/>
      <c r="M135" s="365"/>
      <c r="N135" s="383"/>
      <c r="O135" s="365"/>
      <c r="P135" s="365"/>
      <c r="Q135" s="365"/>
      <c r="R135" s="383"/>
      <c r="S135" s="365"/>
      <c r="T135" s="383"/>
      <c r="U135" s="365"/>
      <c r="V135" s="383"/>
      <c r="W135" s="365"/>
      <c r="X135" s="383"/>
      <c r="Y135" s="365"/>
      <c r="Z135" s="383"/>
      <c r="AA135" s="365"/>
      <c r="AB135" s="365"/>
      <c r="AC135" s="365"/>
      <c r="AD135" s="383"/>
      <c r="AE135" s="365"/>
      <c r="AF135" s="383"/>
      <c r="AG135" s="365"/>
      <c r="AH135" s="383"/>
      <c r="AI135" s="365"/>
      <c r="AJ135" s="383"/>
      <c r="AK135" s="365"/>
      <c r="AL135" s="383"/>
      <c r="AM135" s="353"/>
    </row>
    <row r="136" spans="1:39" s="352" customFormat="1">
      <c r="A136" s="364"/>
      <c r="B136" s="364"/>
      <c r="C136" s="365"/>
      <c r="D136" s="365"/>
      <c r="E136" s="365"/>
      <c r="F136" s="365"/>
      <c r="G136" s="365"/>
      <c r="H136" s="383"/>
      <c r="I136" s="365"/>
      <c r="J136" s="383"/>
      <c r="K136" s="365"/>
      <c r="L136" s="365"/>
      <c r="M136" s="365"/>
      <c r="N136" s="383"/>
      <c r="O136" s="365"/>
      <c r="P136" s="365"/>
      <c r="Q136" s="365"/>
      <c r="R136" s="383"/>
      <c r="S136" s="365"/>
      <c r="T136" s="383"/>
      <c r="U136" s="365"/>
      <c r="V136" s="383"/>
      <c r="W136" s="365"/>
      <c r="X136" s="383"/>
      <c r="Y136" s="365"/>
      <c r="Z136" s="383"/>
      <c r="AA136" s="365"/>
      <c r="AB136" s="365"/>
      <c r="AC136" s="365"/>
      <c r="AD136" s="383"/>
      <c r="AE136" s="365"/>
      <c r="AF136" s="383"/>
      <c r="AG136" s="365"/>
      <c r="AH136" s="383"/>
      <c r="AI136" s="365"/>
      <c r="AJ136" s="383"/>
      <c r="AK136" s="365"/>
      <c r="AL136" s="383"/>
      <c r="AM136" s="353"/>
    </row>
    <row r="137" spans="1:39" s="352" customFormat="1">
      <c r="A137" s="364"/>
      <c r="B137" s="364"/>
      <c r="C137" s="365"/>
      <c r="D137" s="365"/>
      <c r="E137" s="365"/>
      <c r="F137" s="365"/>
      <c r="G137" s="365"/>
      <c r="H137" s="383"/>
      <c r="I137" s="365"/>
      <c r="J137" s="383"/>
      <c r="K137" s="365"/>
      <c r="L137" s="365"/>
      <c r="M137" s="365"/>
      <c r="N137" s="383"/>
      <c r="O137" s="365"/>
      <c r="P137" s="365"/>
      <c r="Q137" s="365"/>
      <c r="R137" s="383"/>
      <c r="S137" s="365"/>
      <c r="T137" s="383"/>
      <c r="U137" s="365"/>
      <c r="V137" s="383"/>
      <c r="W137" s="365"/>
      <c r="X137" s="383"/>
      <c r="Y137" s="365"/>
      <c r="Z137" s="383"/>
      <c r="AA137" s="365"/>
      <c r="AB137" s="365"/>
      <c r="AC137" s="365"/>
      <c r="AD137" s="383"/>
      <c r="AE137" s="365"/>
      <c r="AF137" s="383"/>
      <c r="AG137" s="365"/>
      <c r="AH137" s="383"/>
      <c r="AI137" s="365"/>
      <c r="AJ137" s="383"/>
      <c r="AK137" s="365"/>
      <c r="AL137" s="383"/>
      <c r="AM137" s="353"/>
    </row>
    <row r="138" spans="1:39" s="352" customFormat="1">
      <c r="A138" s="364"/>
      <c r="B138" s="364"/>
      <c r="C138" s="365"/>
      <c r="D138" s="365"/>
      <c r="E138" s="365"/>
      <c r="F138" s="365"/>
      <c r="G138" s="365"/>
      <c r="H138" s="383"/>
      <c r="I138" s="365"/>
      <c r="J138" s="383"/>
      <c r="K138" s="365"/>
      <c r="L138" s="365"/>
      <c r="M138" s="365"/>
      <c r="N138" s="383"/>
      <c r="O138" s="365"/>
      <c r="P138" s="365"/>
      <c r="Q138" s="365"/>
      <c r="R138" s="383"/>
      <c r="S138" s="365"/>
      <c r="T138" s="383"/>
      <c r="U138" s="365"/>
      <c r="V138" s="383"/>
      <c r="W138" s="365"/>
      <c r="X138" s="383"/>
      <c r="Y138" s="365"/>
      <c r="Z138" s="383"/>
      <c r="AA138" s="365"/>
      <c r="AB138" s="365"/>
      <c r="AC138" s="365"/>
      <c r="AD138" s="383"/>
      <c r="AE138" s="365"/>
      <c r="AF138" s="383"/>
      <c r="AG138" s="365"/>
      <c r="AH138" s="383"/>
      <c r="AI138" s="365"/>
      <c r="AJ138" s="383"/>
      <c r="AK138" s="365"/>
      <c r="AL138" s="383"/>
      <c r="AM138" s="353"/>
    </row>
    <row r="139" spans="1:39" s="352" customFormat="1">
      <c r="A139" s="364"/>
      <c r="B139" s="364"/>
      <c r="C139" s="365"/>
      <c r="D139" s="365"/>
      <c r="E139" s="365"/>
      <c r="F139" s="365"/>
      <c r="G139" s="365"/>
      <c r="H139" s="383"/>
      <c r="I139" s="365"/>
      <c r="J139" s="383"/>
      <c r="K139" s="365"/>
      <c r="L139" s="365"/>
      <c r="M139" s="365"/>
      <c r="N139" s="383"/>
      <c r="O139" s="365"/>
      <c r="P139" s="365"/>
      <c r="Q139" s="365"/>
      <c r="R139" s="383"/>
      <c r="S139" s="365"/>
      <c r="T139" s="383"/>
      <c r="U139" s="365"/>
      <c r="V139" s="383"/>
      <c r="W139" s="365"/>
      <c r="X139" s="383"/>
      <c r="Y139" s="365"/>
      <c r="Z139" s="383"/>
      <c r="AA139" s="365"/>
      <c r="AB139" s="365"/>
      <c r="AC139" s="365"/>
      <c r="AD139" s="383"/>
      <c r="AE139" s="365"/>
      <c r="AF139" s="383"/>
      <c r="AG139" s="365"/>
      <c r="AH139" s="383"/>
      <c r="AI139" s="365"/>
      <c r="AJ139" s="383"/>
      <c r="AK139" s="365"/>
      <c r="AL139" s="383"/>
      <c r="AM139" s="353"/>
    </row>
    <row r="140" spans="1:39" s="352" customFormat="1">
      <c r="A140" s="364"/>
      <c r="B140" s="364"/>
      <c r="C140" s="365"/>
      <c r="D140" s="365"/>
      <c r="E140" s="365"/>
      <c r="F140" s="365"/>
      <c r="G140" s="365"/>
      <c r="H140" s="383"/>
      <c r="I140" s="365"/>
      <c r="J140" s="383"/>
      <c r="K140" s="365"/>
      <c r="L140" s="365"/>
      <c r="M140" s="365"/>
      <c r="N140" s="383"/>
      <c r="O140" s="365"/>
      <c r="P140" s="365"/>
      <c r="Q140" s="365"/>
      <c r="R140" s="383"/>
      <c r="S140" s="365"/>
      <c r="T140" s="383"/>
      <c r="U140" s="365"/>
      <c r="V140" s="383"/>
      <c r="W140" s="365"/>
      <c r="X140" s="383"/>
      <c r="Y140" s="365"/>
      <c r="Z140" s="383"/>
      <c r="AA140" s="365"/>
      <c r="AB140" s="365"/>
      <c r="AC140" s="365"/>
      <c r="AD140" s="383"/>
      <c r="AE140" s="365"/>
      <c r="AF140" s="383"/>
      <c r="AG140" s="365"/>
      <c r="AH140" s="383"/>
      <c r="AI140" s="365"/>
      <c r="AJ140" s="383"/>
      <c r="AK140" s="365"/>
      <c r="AL140" s="383"/>
      <c r="AM140" s="353"/>
    </row>
    <row r="141" spans="1:39" s="352" customFormat="1">
      <c r="A141" s="364"/>
      <c r="B141" s="364"/>
      <c r="C141" s="365"/>
      <c r="D141" s="365"/>
      <c r="E141" s="365"/>
      <c r="F141" s="365"/>
      <c r="G141" s="365"/>
      <c r="H141" s="383"/>
      <c r="I141" s="365"/>
      <c r="J141" s="383"/>
      <c r="K141" s="365"/>
      <c r="L141" s="365"/>
      <c r="M141" s="365"/>
      <c r="N141" s="383"/>
      <c r="O141" s="365"/>
      <c r="P141" s="365"/>
      <c r="Q141" s="365"/>
      <c r="R141" s="383"/>
      <c r="S141" s="365"/>
      <c r="T141" s="383"/>
      <c r="U141" s="365"/>
      <c r="V141" s="383"/>
      <c r="W141" s="365"/>
      <c r="X141" s="383"/>
      <c r="Y141" s="365"/>
      <c r="Z141" s="383"/>
      <c r="AA141" s="365"/>
      <c r="AB141" s="365"/>
      <c r="AC141" s="365"/>
      <c r="AD141" s="383"/>
      <c r="AE141" s="365"/>
      <c r="AF141" s="383"/>
      <c r="AG141" s="365"/>
      <c r="AH141" s="383"/>
      <c r="AI141" s="365"/>
      <c r="AJ141" s="383"/>
      <c r="AK141" s="365"/>
      <c r="AL141" s="383"/>
      <c r="AM141" s="353"/>
    </row>
    <row r="142" spans="1:39" s="352" customFormat="1">
      <c r="A142" s="364"/>
      <c r="B142" s="364"/>
      <c r="C142" s="365"/>
      <c r="D142" s="365"/>
      <c r="E142" s="365"/>
      <c r="F142" s="365"/>
      <c r="G142" s="365"/>
      <c r="H142" s="383"/>
      <c r="I142" s="365"/>
      <c r="J142" s="383"/>
      <c r="K142" s="365"/>
      <c r="L142" s="365"/>
      <c r="M142" s="365"/>
      <c r="N142" s="383"/>
      <c r="O142" s="365"/>
      <c r="P142" s="365"/>
      <c r="Q142" s="365"/>
      <c r="R142" s="383"/>
      <c r="S142" s="365"/>
      <c r="T142" s="383"/>
      <c r="U142" s="365"/>
      <c r="V142" s="383"/>
      <c r="W142" s="365"/>
      <c r="X142" s="383"/>
      <c r="Y142" s="365"/>
      <c r="Z142" s="383"/>
      <c r="AA142" s="365"/>
      <c r="AB142" s="365"/>
      <c r="AC142" s="365"/>
      <c r="AD142" s="383"/>
      <c r="AE142" s="365"/>
      <c r="AF142" s="383"/>
      <c r="AG142" s="365"/>
      <c r="AH142" s="383"/>
      <c r="AI142" s="365"/>
      <c r="AJ142" s="383"/>
      <c r="AK142" s="365"/>
      <c r="AL142" s="383"/>
      <c r="AM142" s="353"/>
    </row>
    <row r="143" spans="1:39" s="352" customFormat="1">
      <c r="A143" s="364"/>
      <c r="B143" s="364"/>
      <c r="C143" s="365"/>
      <c r="D143" s="365"/>
      <c r="E143" s="365"/>
      <c r="F143" s="365"/>
      <c r="G143" s="365"/>
      <c r="H143" s="383"/>
      <c r="I143" s="365"/>
      <c r="J143" s="383"/>
      <c r="K143" s="365"/>
      <c r="L143" s="365"/>
      <c r="M143" s="365"/>
      <c r="N143" s="383"/>
      <c r="O143" s="365"/>
      <c r="P143" s="365"/>
      <c r="Q143" s="365"/>
      <c r="R143" s="383"/>
      <c r="S143" s="365"/>
      <c r="T143" s="383"/>
      <c r="U143" s="365"/>
      <c r="V143" s="383"/>
      <c r="W143" s="365"/>
      <c r="X143" s="383"/>
      <c r="Y143" s="365"/>
      <c r="Z143" s="383"/>
      <c r="AA143" s="365"/>
      <c r="AB143" s="365"/>
      <c r="AC143" s="365"/>
      <c r="AD143" s="383"/>
      <c r="AE143" s="365"/>
      <c r="AF143" s="383"/>
      <c r="AG143" s="365"/>
      <c r="AH143" s="383"/>
      <c r="AI143" s="365"/>
      <c r="AJ143" s="383"/>
      <c r="AK143" s="365"/>
      <c r="AL143" s="383"/>
      <c r="AM143" s="353"/>
    </row>
    <row r="144" spans="1:39" s="352" customFormat="1">
      <c r="A144" s="364"/>
      <c r="B144" s="364"/>
      <c r="C144" s="365"/>
      <c r="D144" s="365"/>
      <c r="E144" s="365"/>
      <c r="F144" s="365"/>
      <c r="G144" s="365"/>
      <c r="H144" s="383"/>
      <c r="I144" s="365"/>
      <c r="J144" s="383"/>
      <c r="K144" s="365"/>
      <c r="L144" s="365"/>
      <c r="M144" s="365"/>
      <c r="N144" s="383"/>
      <c r="O144" s="365"/>
      <c r="P144" s="365"/>
      <c r="Q144" s="365"/>
      <c r="R144" s="383"/>
      <c r="S144" s="365"/>
      <c r="T144" s="383"/>
      <c r="U144" s="365"/>
      <c r="V144" s="383"/>
      <c r="W144" s="365"/>
      <c r="X144" s="383"/>
      <c r="Y144" s="365"/>
      <c r="Z144" s="383"/>
      <c r="AA144" s="365"/>
      <c r="AB144" s="365"/>
      <c r="AC144" s="365"/>
      <c r="AD144" s="383"/>
      <c r="AE144" s="365"/>
      <c r="AF144" s="383"/>
      <c r="AG144" s="365"/>
      <c r="AH144" s="383"/>
      <c r="AI144" s="365"/>
      <c r="AJ144" s="383"/>
      <c r="AK144" s="365"/>
      <c r="AL144" s="383"/>
      <c r="AM144" s="353"/>
    </row>
    <row r="145" spans="1:39" s="352" customFormat="1">
      <c r="A145" s="364"/>
      <c r="B145" s="364"/>
      <c r="C145" s="365"/>
      <c r="D145" s="365"/>
      <c r="E145" s="365"/>
      <c r="F145" s="365"/>
      <c r="G145" s="365"/>
      <c r="H145" s="383"/>
      <c r="I145" s="365"/>
      <c r="J145" s="383"/>
      <c r="K145" s="365"/>
      <c r="L145" s="365"/>
      <c r="M145" s="365"/>
      <c r="N145" s="383"/>
      <c r="O145" s="365"/>
      <c r="P145" s="365"/>
      <c r="Q145" s="365"/>
      <c r="R145" s="383"/>
      <c r="S145" s="365"/>
      <c r="T145" s="383"/>
      <c r="U145" s="365"/>
      <c r="V145" s="383"/>
      <c r="W145" s="365"/>
      <c r="X145" s="383"/>
      <c r="Y145" s="365"/>
      <c r="Z145" s="383"/>
      <c r="AA145" s="365"/>
      <c r="AB145" s="365"/>
      <c r="AC145" s="365"/>
      <c r="AD145" s="383"/>
      <c r="AE145" s="365"/>
      <c r="AF145" s="383"/>
      <c r="AG145" s="365"/>
      <c r="AH145" s="383"/>
      <c r="AI145" s="365"/>
      <c r="AJ145" s="383"/>
      <c r="AK145" s="365"/>
      <c r="AL145" s="383"/>
      <c r="AM145" s="353"/>
    </row>
    <row r="146" spans="1:39" s="352" customFormat="1">
      <c r="A146" s="364"/>
      <c r="B146" s="364"/>
      <c r="C146" s="365"/>
      <c r="D146" s="365"/>
      <c r="E146" s="365"/>
      <c r="F146" s="365"/>
      <c r="G146" s="365"/>
      <c r="H146" s="383"/>
      <c r="I146" s="365"/>
      <c r="J146" s="383"/>
      <c r="K146" s="365"/>
      <c r="L146" s="365"/>
      <c r="M146" s="365"/>
      <c r="N146" s="383"/>
      <c r="O146" s="365"/>
      <c r="P146" s="365"/>
      <c r="Q146" s="365"/>
      <c r="R146" s="383"/>
      <c r="S146" s="365"/>
      <c r="T146" s="383"/>
      <c r="U146" s="365"/>
      <c r="V146" s="383"/>
      <c r="W146" s="365"/>
      <c r="X146" s="383"/>
      <c r="Y146" s="365"/>
      <c r="Z146" s="383"/>
      <c r="AA146" s="365"/>
      <c r="AB146" s="365"/>
      <c r="AC146" s="365"/>
      <c r="AD146" s="383"/>
      <c r="AE146" s="365"/>
      <c r="AF146" s="383"/>
      <c r="AG146" s="365"/>
      <c r="AH146" s="383"/>
      <c r="AI146" s="365"/>
      <c r="AJ146" s="383"/>
      <c r="AK146" s="365"/>
      <c r="AL146" s="383"/>
      <c r="AM146" s="353"/>
    </row>
    <row r="147" spans="1:39" s="352" customFormat="1">
      <c r="A147" s="364"/>
      <c r="B147" s="364"/>
      <c r="C147" s="365"/>
      <c r="D147" s="365"/>
      <c r="E147" s="365"/>
      <c r="F147" s="365"/>
      <c r="G147" s="365"/>
      <c r="H147" s="383"/>
      <c r="I147" s="365"/>
      <c r="J147" s="383"/>
      <c r="K147" s="365"/>
      <c r="L147" s="365"/>
      <c r="M147" s="365"/>
      <c r="N147" s="383"/>
      <c r="O147" s="365"/>
      <c r="P147" s="365"/>
      <c r="Q147" s="365"/>
      <c r="R147" s="383"/>
      <c r="S147" s="365"/>
      <c r="T147" s="383"/>
      <c r="U147" s="365"/>
      <c r="V147" s="383"/>
      <c r="W147" s="365"/>
      <c r="X147" s="383"/>
      <c r="Y147" s="365"/>
      <c r="Z147" s="383"/>
      <c r="AA147" s="365"/>
      <c r="AB147" s="365"/>
      <c r="AC147" s="365"/>
      <c r="AD147" s="383"/>
      <c r="AE147" s="365"/>
      <c r="AF147" s="383"/>
      <c r="AG147" s="365"/>
      <c r="AH147" s="383"/>
      <c r="AI147" s="365"/>
      <c r="AJ147" s="383"/>
      <c r="AK147" s="365"/>
      <c r="AL147" s="383"/>
      <c r="AM147" s="353"/>
    </row>
    <row r="148" spans="1:39" s="352" customFormat="1">
      <c r="A148" s="364"/>
      <c r="B148" s="364"/>
      <c r="C148" s="365"/>
      <c r="D148" s="365"/>
      <c r="E148" s="365"/>
      <c r="F148" s="365"/>
      <c r="G148" s="365"/>
      <c r="H148" s="383"/>
      <c r="I148" s="365"/>
      <c r="J148" s="383"/>
      <c r="K148" s="365"/>
      <c r="L148" s="365"/>
      <c r="M148" s="365"/>
      <c r="N148" s="383"/>
      <c r="O148" s="365"/>
      <c r="P148" s="365"/>
      <c r="Q148" s="365"/>
      <c r="R148" s="383"/>
      <c r="S148" s="365"/>
      <c r="T148" s="383"/>
      <c r="U148" s="365"/>
      <c r="V148" s="383"/>
      <c r="W148" s="365"/>
      <c r="X148" s="383"/>
      <c r="Y148" s="365"/>
      <c r="Z148" s="383"/>
      <c r="AA148" s="365"/>
      <c r="AB148" s="365"/>
      <c r="AC148" s="365"/>
      <c r="AD148" s="383"/>
      <c r="AE148" s="365"/>
      <c r="AF148" s="383"/>
      <c r="AG148" s="365"/>
      <c r="AH148" s="383"/>
      <c r="AI148" s="365"/>
      <c r="AJ148" s="383"/>
      <c r="AK148" s="365"/>
      <c r="AL148" s="383"/>
      <c r="AM148" s="353"/>
    </row>
    <row r="149" spans="1:39" s="352" customFormat="1">
      <c r="A149" s="364"/>
      <c r="B149" s="364"/>
      <c r="C149" s="365"/>
      <c r="D149" s="365"/>
      <c r="E149" s="365"/>
      <c r="F149" s="365"/>
      <c r="G149" s="365"/>
      <c r="H149" s="383"/>
      <c r="I149" s="365"/>
      <c r="J149" s="383"/>
      <c r="K149" s="365"/>
      <c r="L149" s="365"/>
      <c r="M149" s="365"/>
      <c r="N149" s="383"/>
      <c r="O149" s="365"/>
      <c r="P149" s="365"/>
      <c r="Q149" s="365"/>
      <c r="R149" s="383"/>
      <c r="S149" s="365"/>
      <c r="T149" s="383"/>
      <c r="U149" s="365"/>
      <c r="V149" s="383"/>
      <c r="W149" s="365"/>
      <c r="X149" s="383"/>
      <c r="Y149" s="365"/>
      <c r="Z149" s="383"/>
      <c r="AA149" s="365"/>
      <c r="AB149" s="365"/>
      <c r="AC149" s="365"/>
      <c r="AD149" s="383"/>
      <c r="AE149" s="365"/>
      <c r="AF149" s="383"/>
      <c r="AG149" s="365"/>
      <c r="AH149" s="383"/>
      <c r="AI149" s="365"/>
      <c r="AJ149" s="383"/>
      <c r="AK149" s="365"/>
      <c r="AL149" s="383"/>
      <c r="AM149" s="353"/>
    </row>
    <row r="150" spans="1:39" s="352" customFormat="1">
      <c r="A150" s="364"/>
      <c r="B150" s="364"/>
      <c r="C150" s="365"/>
      <c r="D150" s="365"/>
      <c r="E150" s="365"/>
      <c r="F150" s="365"/>
      <c r="G150" s="365"/>
      <c r="H150" s="383"/>
      <c r="I150" s="365"/>
      <c r="J150" s="383"/>
      <c r="K150" s="365"/>
      <c r="L150" s="365"/>
      <c r="M150" s="365"/>
      <c r="N150" s="383"/>
      <c r="O150" s="365"/>
      <c r="P150" s="365"/>
      <c r="Q150" s="365"/>
      <c r="R150" s="383"/>
      <c r="S150" s="365"/>
      <c r="T150" s="383"/>
      <c r="U150" s="365"/>
      <c r="V150" s="383"/>
      <c r="W150" s="365"/>
      <c r="X150" s="383"/>
      <c r="Y150" s="365"/>
      <c r="Z150" s="383"/>
      <c r="AA150" s="365"/>
      <c r="AB150" s="365"/>
      <c r="AC150" s="365"/>
      <c r="AD150" s="383"/>
      <c r="AE150" s="365"/>
      <c r="AF150" s="383"/>
      <c r="AG150" s="365"/>
      <c r="AH150" s="383"/>
      <c r="AI150" s="365"/>
      <c r="AJ150" s="383"/>
      <c r="AK150" s="365"/>
      <c r="AL150" s="383"/>
      <c r="AM150" s="353"/>
    </row>
    <row r="151" spans="1:39" s="352" customFormat="1">
      <c r="A151" s="364"/>
      <c r="B151" s="364"/>
      <c r="C151" s="365"/>
      <c r="D151" s="365"/>
      <c r="E151" s="365"/>
      <c r="F151" s="365"/>
      <c r="G151" s="365"/>
      <c r="H151" s="383"/>
      <c r="I151" s="365"/>
      <c r="J151" s="383"/>
      <c r="K151" s="365"/>
      <c r="L151" s="365"/>
      <c r="M151" s="365"/>
      <c r="N151" s="383"/>
      <c r="O151" s="365"/>
      <c r="P151" s="365"/>
      <c r="Q151" s="365"/>
      <c r="R151" s="383"/>
      <c r="S151" s="365"/>
      <c r="T151" s="383"/>
      <c r="U151" s="365"/>
      <c r="V151" s="383"/>
      <c r="W151" s="365"/>
      <c r="X151" s="383"/>
      <c r="Y151" s="365"/>
      <c r="Z151" s="383"/>
      <c r="AA151" s="365"/>
      <c r="AB151" s="365"/>
      <c r="AC151" s="365"/>
      <c r="AD151" s="383"/>
      <c r="AE151" s="365"/>
      <c r="AF151" s="383"/>
      <c r="AG151" s="365"/>
      <c r="AH151" s="383"/>
      <c r="AI151" s="365"/>
      <c r="AJ151" s="383"/>
      <c r="AK151" s="365"/>
      <c r="AL151" s="383"/>
      <c r="AM151" s="353"/>
    </row>
    <row r="152" spans="1:39" s="352" customFormat="1">
      <c r="A152" s="364"/>
      <c r="B152" s="364"/>
      <c r="C152" s="365"/>
      <c r="D152" s="365"/>
      <c r="E152" s="365"/>
      <c r="F152" s="365"/>
      <c r="G152" s="365"/>
      <c r="H152" s="383"/>
      <c r="I152" s="365"/>
      <c r="J152" s="383"/>
      <c r="K152" s="365"/>
      <c r="L152" s="365"/>
      <c r="M152" s="365"/>
      <c r="N152" s="383"/>
      <c r="O152" s="365"/>
      <c r="P152" s="365"/>
      <c r="Q152" s="365"/>
      <c r="R152" s="383"/>
      <c r="S152" s="365"/>
      <c r="T152" s="383"/>
      <c r="U152" s="365"/>
      <c r="V152" s="383"/>
      <c r="W152" s="365"/>
      <c r="X152" s="383"/>
      <c r="Y152" s="365"/>
      <c r="Z152" s="383"/>
      <c r="AA152" s="365"/>
      <c r="AB152" s="365"/>
      <c r="AC152" s="365"/>
      <c r="AD152" s="383"/>
      <c r="AE152" s="365"/>
      <c r="AF152" s="383"/>
      <c r="AG152" s="365"/>
      <c r="AH152" s="383"/>
      <c r="AI152" s="365"/>
      <c r="AJ152" s="383"/>
      <c r="AK152" s="365"/>
      <c r="AL152" s="383"/>
      <c r="AM152" s="353"/>
    </row>
    <row r="153" spans="1:39" s="352" customFormat="1">
      <c r="A153" s="364"/>
      <c r="B153" s="364"/>
      <c r="C153" s="365"/>
      <c r="D153" s="365"/>
      <c r="E153" s="365"/>
      <c r="F153" s="365"/>
      <c r="G153" s="365"/>
      <c r="H153" s="383"/>
      <c r="I153" s="365"/>
      <c r="J153" s="383"/>
      <c r="K153" s="365"/>
      <c r="L153" s="365"/>
      <c r="M153" s="365"/>
      <c r="N153" s="383"/>
      <c r="O153" s="365"/>
      <c r="P153" s="365"/>
      <c r="Q153" s="365"/>
      <c r="R153" s="383"/>
      <c r="S153" s="365"/>
      <c r="T153" s="383"/>
      <c r="U153" s="365"/>
      <c r="V153" s="383"/>
      <c r="W153" s="365"/>
      <c r="X153" s="383"/>
      <c r="Y153" s="365"/>
      <c r="Z153" s="383"/>
      <c r="AA153" s="365"/>
      <c r="AB153" s="365"/>
      <c r="AC153" s="365"/>
      <c r="AD153" s="383"/>
      <c r="AE153" s="365"/>
      <c r="AF153" s="383"/>
      <c r="AG153" s="365"/>
      <c r="AH153" s="383"/>
      <c r="AI153" s="365"/>
      <c r="AJ153" s="383"/>
      <c r="AK153" s="365"/>
      <c r="AL153" s="383"/>
      <c r="AM153" s="353"/>
    </row>
    <row r="154" spans="1:39" s="352" customFormat="1">
      <c r="A154" s="364"/>
      <c r="B154" s="364"/>
      <c r="C154" s="365"/>
      <c r="D154" s="365"/>
      <c r="E154" s="365"/>
      <c r="F154" s="365"/>
      <c r="G154" s="365"/>
      <c r="H154" s="383"/>
      <c r="I154" s="365"/>
      <c r="J154" s="383"/>
      <c r="K154" s="365"/>
      <c r="L154" s="365"/>
      <c r="M154" s="365"/>
      <c r="N154" s="383"/>
      <c r="O154" s="365"/>
      <c r="P154" s="365"/>
      <c r="Q154" s="365"/>
      <c r="R154" s="383"/>
      <c r="S154" s="365"/>
      <c r="T154" s="383"/>
      <c r="U154" s="365"/>
      <c r="V154" s="383"/>
      <c r="W154" s="365"/>
      <c r="X154" s="383"/>
      <c r="Y154" s="365"/>
      <c r="Z154" s="383"/>
      <c r="AA154" s="365"/>
      <c r="AB154" s="365"/>
      <c r="AC154" s="365"/>
      <c r="AD154" s="383"/>
      <c r="AE154" s="365"/>
      <c r="AF154" s="383"/>
      <c r="AG154" s="365"/>
      <c r="AH154" s="383"/>
      <c r="AI154" s="365"/>
      <c r="AJ154" s="383"/>
      <c r="AK154" s="365"/>
      <c r="AL154" s="383"/>
      <c r="AM154" s="353"/>
    </row>
    <row r="155" spans="1:39" s="352" customFormat="1">
      <c r="A155" s="364"/>
      <c r="B155" s="364"/>
      <c r="C155" s="365"/>
      <c r="D155" s="365"/>
      <c r="E155" s="365"/>
      <c r="F155" s="365"/>
      <c r="G155" s="365"/>
      <c r="H155" s="383"/>
      <c r="I155" s="365"/>
      <c r="J155" s="383"/>
      <c r="K155" s="365"/>
      <c r="L155" s="365"/>
      <c r="M155" s="365"/>
      <c r="N155" s="383"/>
      <c r="O155" s="365"/>
      <c r="P155" s="365"/>
      <c r="Q155" s="365"/>
      <c r="R155" s="383"/>
      <c r="S155" s="365"/>
      <c r="T155" s="383"/>
      <c r="U155" s="365"/>
      <c r="V155" s="383"/>
      <c r="W155" s="365"/>
      <c r="X155" s="383"/>
      <c r="Y155" s="365"/>
      <c r="Z155" s="383"/>
      <c r="AA155" s="365"/>
      <c r="AB155" s="365"/>
      <c r="AC155" s="365"/>
      <c r="AD155" s="383"/>
      <c r="AE155" s="365"/>
      <c r="AF155" s="383"/>
      <c r="AG155" s="365"/>
      <c r="AH155" s="383"/>
      <c r="AI155" s="365"/>
      <c r="AJ155" s="383"/>
      <c r="AK155" s="365"/>
      <c r="AL155" s="383"/>
      <c r="AM155" s="353"/>
    </row>
    <row r="156" spans="1:39" s="352" customFormat="1">
      <c r="A156" s="364"/>
      <c r="B156" s="364"/>
      <c r="C156" s="365"/>
      <c r="D156" s="365"/>
      <c r="E156" s="365"/>
      <c r="F156" s="365"/>
      <c r="G156" s="365"/>
      <c r="H156" s="383"/>
      <c r="I156" s="365"/>
      <c r="J156" s="383"/>
      <c r="K156" s="365"/>
      <c r="L156" s="365"/>
      <c r="M156" s="365"/>
      <c r="N156" s="383"/>
      <c r="O156" s="365"/>
      <c r="P156" s="365"/>
      <c r="Q156" s="365"/>
      <c r="R156" s="383"/>
      <c r="S156" s="365"/>
      <c r="T156" s="383"/>
      <c r="U156" s="365"/>
      <c r="V156" s="383"/>
      <c r="W156" s="365"/>
      <c r="X156" s="383"/>
      <c r="Y156" s="365"/>
      <c r="Z156" s="383"/>
      <c r="AA156" s="365"/>
      <c r="AB156" s="365"/>
      <c r="AC156" s="365"/>
      <c r="AD156" s="383"/>
      <c r="AE156" s="365"/>
      <c r="AF156" s="383"/>
      <c r="AG156" s="365"/>
      <c r="AH156" s="383"/>
      <c r="AI156" s="365"/>
      <c r="AJ156" s="383"/>
      <c r="AK156" s="365"/>
      <c r="AL156" s="383"/>
      <c r="AM156" s="353"/>
    </row>
    <row r="157" spans="1:39" s="352" customFormat="1">
      <c r="A157" s="364"/>
      <c r="B157" s="364"/>
      <c r="C157" s="365"/>
      <c r="D157" s="365"/>
      <c r="E157" s="365"/>
      <c r="F157" s="365"/>
      <c r="G157" s="365"/>
      <c r="H157" s="383"/>
      <c r="I157" s="365"/>
      <c r="J157" s="383"/>
      <c r="K157" s="365"/>
      <c r="L157" s="365"/>
      <c r="M157" s="365"/>
      <c r="N157" s="383"/>
      <c r="O157" s="365"/>
      <c r="P157" s="365"/>
      <c r="Q157" s="365"/>
      <c r="R157" s="383"/>
      <c r="S157" s="365"/>
      <c r="T157" s="383"/>
      <c r="U157" s="365"/>
      <c r="V157" s="383"/>
      <c r="W157" s="365"/>
      <c r="X157" s="383"/>
      <c r="Y157" s="365"/>
      <c r="Z157" s="383"/>
      <c r="AA157" s="365"/>
      <c r="AB157" s="365"/>
      <c r="AC157" s="365"/>
      <c r="AD157" s="383"/>
      <c r="AE157" s="365"/>
      <c r="AF157" s="383"/>
      <c r="AG157" s="365"/>
      <c r="AH157" s="383"/>
      <c r="AI157" s="365"/>
      <c r="AJ157" s="383"/>
      <c r="AK157" s="365"/>
      <c r="AL157" s="383"/>
      <c r="AM157" s="353"/>
    </row>
    <row r="158" spans="1:39" s="352" customFormat="1">
      <c r="A158" s="364"/>
      <c r="B158" s="364"/>
      <c r="C158" s="365"/>
      <c r="D158" s="365"/>
      <c r="E158" s="365"/>
      <c r="F158" s="365"/>
      <c r="G158" s="365"/>
      <c r="H158" s="383"/>
      <c r="I158" s="365"/>
      <c r="J158" s="383"/>
      <c r="K158" s="365"/>
      <c r="L158" s="365"/>
      <c r="M158" s="365"/>
      <c r="N158" s="383"/>
      <c r="O158" s="365"/>
      <c r="P158" s="365"/>
      <c r="Q158" s="365"/>
      <c r="R158" s="383"/>
      <c r="S158" s="365"/>
      <c r="T158" s="383"/>
      <c r="U158" s="365"/>
      <c r="V158" s="383"/>
      <c r="W158" s="365"/>
      <c r="X158" s="383"/>
      <c r="Y158" s="365"/>
      <c r="Z158" s="383"/>
      <c r="AA158" s="365"/>
      <c r="AB158" s="365"/>
      <c r="AC158" s="365"/>
      <c r="AD158" s="383"/>
      <c r="AE158" s="365"/>
      <c r="AF158" s="383"/>
      <c r="AG158" s="365"/>
      <c r="AH158" s="383"/>
      <c r="AI158" s="365"/>
      <c r="AJ158" s="383"/>
      <c r="AK158" s="365"/>
      <c r="AL158" s="383"/>
      <c r="AM158" s="353"/>
    </row>
    <row r="159" spans="1:39" s="352" customFormat="1">
      <c r="A159" s="364"/>
      <c r="B159" s="364"/>
      <c r="C159" s="365"/>
      <c r="D159" s="365"/>
      <c r="E159" s="365"/>
      <c r="F159" s="365"/>
      <c r="G159" s="365"/>
      <c r="H159" s="383"/>
      <c r="I159" s="365"/>
      <c r="J159" s="383"/>
      <c r="K159" s="365"/>
      <c r="L159" s="365"/>
      <c r="M159" s="365"/>
      <c r="N159" s="383"/>
      <c r="O159" s="365"/>
      <c r="P159" s="365"/>
      <c r="Q159" s="365"/>
      <c r="R159" s="383"/>
      <c r="S159" s="365"/>
      <c r="T159" s="383"/>
      <c r="U159" s="365"/>
      <c r="V159" s="383"/>
      <c r="W159" s="365"/>
      <c r="X159" s="383"/>
      <c r="Y159" s="365"/>
      <c r="Z159" s="383"/>
      <c r="AA159" s="365"/>
      <c r="AB159" s="365"/>
      <c r="AC159" s="365"/>
      <c r="AD159" s="383"/>
      <c r="AE159" s="365"/>
      <c r="AF159" s="383"/>
      <c r="AG159" s="365"/>
      <c r="AH159" s="383"/>
      <c r="AI159" s="365"/>
      <c r="AJ159" s="383"/>
      <c r="AK159" s="365"/>
      <c r="AL159" s="383"/>
      <c r="AM159" s="353"/>
    </row>
    <row r="160" spans="1:39" s="352" customFormat="1">
      <c r="A160" s="364"/>
      <c r="B160" s="364"/>
      <c r="C160" s="365"/>
      <c r="D160" s="365"/>
      <c r="E160" s="365"/>
      <c r="F160" s="365"/>
      <c r="G160" s="365"/>
      <c r="H160" s="383"/>
      <c r="I160" s="365"/>
      <c r="J160" s="383"/>
      <c r="K160" s="365"/>
      <c r="L160" s="365"/>
      <c r="M160" s="365"/>
      <c r="N160" s="383"/>
      <c r="O160" s="365"/>
      <c r="P160" s="365"/>
      <c r="Q160" s="365"/>
      <c r="R160" s="383"/>
      <c r="S160" s="365"/>
      <c r="T160" s="383"/>
      <c r="U160" s="365"/>
      <c r="V160" s="383"/>
      <c r="W160" s="365"/>
      <c r="X160" s="383"/>
      <c r="Y160" s="365"/>
      <c r="Z160" s="383"/>
      <c r="AA160" s="365"/>
      <c r="AB160" s="365"/>
      <c r="AC160" s="365"/>
      <c r="AD160" s="383"/>
      <c r="AE160" s="365"/>
      <c r="AF160" s="383"/>
      <c r="AG160" s="365"/>
      <c r="AH160" s="383"/>
      <c r="AI160" s="365"/>
      <c r="AJ160" s="383"/>
      <c r="AK160" s="365"/>
      <c r="AL160" s="383"/>
      <c r="AM160" s="353"/>
    </row>
    <row r="161" spans="1:39" s="352" customFormat="1">
      <c r="A161" s="364"/>
      <c r="B161" s="364"/>
      <c r="C161" s="365"/>
      <c r="D161" s="365"/>
      <c r="E161" s="365"/>
      <c r="F161" s="365"/>
      <c r="G161" s="365"/>
      <c r="H161" s="383"/>
      <c r="I161" s="365"/>
      <c r="J161" s="383"/>
      <c r="K161" s="365"/>
      <c r="L161" s="365"/>
      <c r="M161" s="365"/>
      <c r="N161" s="383"/>
      <c r="O161" s="365"/>
      <c r="P161" s="365"/>
      <c r="Q161" s="365"/>
      <c r="R161" s="383"/>
      <c r="S161" s="365"/>
      <c r="T161" s="383"/>
      <c r="U161" s="365"/>
      <c r="V161" s="383"/>
      <c r="W161" s="365"/>
      <c r="X161" s="383"/>
      <c r="Y161" s="365"/>
      <c r="Z161" s="383"/>
      <c r="AA161" s="365"/>
      <c r="AB161" s="365"/>
      <c r="AC161" s="365"/>
      <c r="AD161" s="383"/>
      <c r="AE161" s="365"/>
      <c r="AF161" s="383"/>
      <c r="AG161" s="365"/>
      <c r="AH161" s="383"/>
      <c r="AI161" s="365"/>
      <c r="AJ161" s="383"/>
      <c r="AK161" s="365"/>
      <c r="AL161" s="383"/>
      <c r="AM161" s="353"/>
    </row>
    <row r="162" spans="1:39" s="352" customFormat="1">
      <c r="A162" s="364"/>
      <c r="B162" s="364"/>
      <c r="C162" s="365"/>
      <c r="D162" s="365"/>
      <c r="E162" s="365"/>
      <c r="F162" s="365"/>
      <c r="G162" s="365"/>
      <c r="H162" s="383"/>
      <c r="I162" s="365"/>
      <c r="J162" s="383"/>
      <c r="K162" s="365"/>
      <c r="L162" s="365"/>
      <c r="M162" s="365"/>
      <c r="N162" s="383"/>
      <c r="O162" s="365"/>
      <c r="P162" s="365"/>
      <c r="Q162" s="365"/>
      <c r="R162" s="383"/>
      <c r="S162" s="365"/>
      <c r="T162" s="383"/>
      <c r="U162" s="365"/>
      <c r="V162" s="383"/>
      <c r="W162" s="365"/>
      <c r="X162" s="383"/>
      <c r="Y162" s="365"/>
      <c r="Z162" s="383"/>
      <c r="AA162" s="365"/>
      <c r="AB162" s="365"/>
      <c r="AC162" s="365"/>
      <c r="AD162" s="383"/>
      <c r="AE162" s="365"/>
      <c r="AF162" s="383"/>
      <c r="AG162" s="365"/>
      <c r="AH162" s="383"/>
      <c r="AI162" s="365"/>
      <c r="AJ162" s="383"/>
      <c r="AK162" s="365"/>
      <c r="AL162" s="383"/>
      <c r="AM162" s="353"/>
    </row>
    <row r="163" spans="1:39" s="352" customFormat="1">
      <c r="A163" s="364"/>
      <c r="B163" s="364"/>
      <c r="C163" s="365"/>
      <c r="D163" s="365"/>
      <c r="E163" s="365"/>
      <c r="F163" s="365"/>
      <c r="G163" s="365"/>
      <c r="H163" s="383"/>
      <c r="I163" s="365"/>
      <c r="J163" s="383"/>
      <c r="K163" s="365"/>
      <c r="L163" s="365"/>
      <c r="M163" s="365"/>
      <c r="N163" s="383"/>
      <c r="O163" s="365"/>
      <c r="P163" s="365"/>
      <c r="Q163" s="365"/>
      <c r="R163" s="383"/>
      <c r="S163" s="365"/>
      <c r="T163" s="383"/>
      <c r="U163" s="365"/>
      <c r="V163" s="383"/>
      <c r="W163" s="365"/>
      <c r="X163" s="383"/>
      <c r="Y163" s="365"/>
      <c r="Z163" s="383"/>
      <c r="AA163" s="365"/>
      <c r="AB163" s="365"/>
      <c r="AC163" s="365"/>
      <c r="AD163" s="383"/>
      <c r="AE163" s="365"/>
      <c r="AF163" s="383"/>
      <c r="AG163" s="365"/>
      <c r="AH163" s="383"/>
      <c r="AI163" s="365"/>
      <c r="AJ163" s="383"/>
      <c r="AK163" s="365"/>
      <c r="AL163" s="383"/>
      <c r="AM163" s="353"/>
    </row>
    <row r="164" spans="1:39" s="352" customFormat="1">
      <c r="A164" s="364"/>
      <c r="B164" s="364"/>
      <c r="C164" s="365"/>
      <c r="D164" s="365"/>
      <c r="E164" s="365"/>
      <c r="F164" s="365"/>
      <c r="G164" s="365"/>
      <c r="H164" s="383"/>
      <c r="I164" s="365"/>
      <c r="J164" s="383"/>
      <c r="K164" s="365"/>
      <c r="L164" s="365"/>
      <c r="M164" s="365"/>
      <c r="N164" s="383"/>
      <c r="O164" s="365"/>
      <c r="P164" s="365"/>
      <c r="Q164" s="365"/>
      <c r="R164" s="383"/>
      <c r="S164" s="365"/>
      <c r="T164" s="383"/>
      <c r="U164" s="365"/>
      <c r="V164" s="383"/>
      <c r="W164" s="365"/>
      <c r="X164" s="383"/>
      <c r="Y164" s="365"/>
      <c r="Z164" s="383"/>
      <c r="AA164" s="365"/>
      <c r="AB164" s="365"/>
      <c r="AC164" s="365"/>
      <c r="AD164" s="383"/>
      <c r="AE164" s="365"/>
      <c r="AF164" s="383"/>
      <c r="AG164" s="365"/>
      <c r="AH164" s="383"/>
      <c r="AI164" s="365"/>
      <c r="AJ164" s="383"/>
      <c r="AK164" s="365"/>
      <c r="AL164" s="383"/>
      <c r="AM164" s="353"/>
    </row>
    <row r="165" spans="1:39" s="352" customFormat="1">
      <c r="A165" s="364"/>
      <c r="B165" s="364"/>
      <c r="C165" s="365"/>
      <c r="D165" s="365"/>
      <c r="E165" s="365"/>
      <c r="F165" s="365"/>
      <c r="G165" s="365"/>
      <c r="H165" s="383"/>
      <c r="I165" s="365"/>
      <c r="J165" s="383"/>
      <c r="K165" s="365"/>
      <c r="L165" s="365"/>
      <c r="M165" s="365"/>
      <c r="N165" s="383"/>
      <c r="O165" s="365"/>
      <c r="P165" s="365"/>
      <c r="Q165" s="365"/>
      <c r="R165" s="383"/>
      <c r="S165" s="365"/>
      <c r="T165" s="383"/>
      <c r="U165" s="365"/>
      <c r="V165" s="383"/>
      <c r="W165" s="365"/>
      <c r="X165" s="383"/>
      <c r="Y165" s="365"/>
      <c r="Z165" s="383"/>
      <c r="AA165" s="365"/>
      <c r="AB165" s="365"/>
      <c r="AC165" s="365"/>
      <c r="AD165" s="383"/>
      <c r="AE165" s="365"/>
      <c r="AF165" s="383"/>
      <c r="AG165" s="365"/>
      <c r="AH165" s="383"/>
      <c r="AI165" s="365"/>
      <c r="AJ165" s="383"/>
      <c r="AK165" s="365"/>
      <c r="AL165" s="383"/>
      <c r="AM165" s="353"/>
    </row>
    <row r="166" spans="1:39" s="352" customFormat="1">
      <c r="A166" s="364"/>
      <c r="B166" s="364"/>
      <c r="C166" s="365"/>
      <c r="D166" s="365"/>
      <c r="E166" s="365"/>
      <c r="F166" s="365"/>
      <c r="G166" s="365"/>
      <c r="H166" s="383"/>
      <c r="I166" s="365"/>
      <c r="J166" s="383"/>
      <c r="K166" s="365"/>
      <c r="L166" s="365"/>
      <c r="M166" s="365"/>
      <c r="N166" s="383"/>
      <c r="O166" s="365"/>
      <c r="P166" s="365"/>
      <c r="Q166" s="365"/>
      <c r="R166" s="383"/>
      <c r="S166" s="365"/>
      <c r="T166" s="383"/>
      <c r="U166" s="365"/>
      <c r="V166" s="383"/>
      <c r="W166" s="365"/>
      <c r="X166" s="383"/>
      <c r="Y166" s="365"/>
      <c r="Z166" s="383"/>
      <c r="AA166" s="365"/>
      <c r="AB166" s="365"/>
      <c r="AC166" s="365"/>
      <c r="AD166" s="383"/>
      <c r="AE166" s="365"/>
      <c r="AF166" s="383"/>
      <c r="AG166" s="365"/>
      <c r="AH166" s="383"/>
      <c r="AI166" s="365"/>
      <c r="AJ166" s="383"/>
      <c r="AK166" s="365"/>
      <c r="AL166" s="383"/>
      <c r="AM166" s="353"/>
    </row>
    <row r="167" spans="1:39" s="352" customFormat="1">
      <c r="A167" s="364"/>
      <c r="B167" s="364"/>
      <c r="C167" s="365"/>
      <c r="D167" s="365"/>
      <c r="E167" s="365"/>
      <c r="F167" s="365"/>
      <c r="G167" s="365"/>
      <c r="H167" s="383"/>
      <c r="I167" s="365"/>
      <c r="J167" s="383"/>
      <c r="K167" s="365"/>
      <c r="L167" s="365"/>
      <c r="M167" s="365"/>
      <c r="N167" s="383"/>
      <c r="O167" s="365"/>
      <c r="P167" s="365"/>
      <c r="Q167" s="365"/>
      <c r="R167" s="383"/>
      <c r="S167" s="365"/>
      <c r="T167" s="383"/>
      <c r="U167" s="365"/>
      <c r="V167" s="383"/>
      <c r="W167" s="365"/>
      <c r="X167" s="383"/>
      <c r="Y167" s="365"/>
      <c r="Z167" s="383"/>
      <c r="AA167" s="365"/>
      <c r="AB167" s="365"/>
      <c r="AC167" s="365"/>
      <c r="AD167" s="383"/>
      <c r="AE167" s="365"/>
      <c r="AF167" s="383"/>
      <c r="AG167" s="365"/>
      <c r="AH167" s="383"/>
      <c r="AI167" s="365"/>
      <c r="AJ167" s="383"/>
      <c r="AK167" s="365"/>
      <c r="AL167" s="383"/>
      <c r="AM167" s="353"/>
    </row>
    <row r="168" spans="1:39" s="352" customFormat="1">
      <c r="A168" s="364"/>
      <c r="B168" s="364"/>
      <c r="C168" s="365"/>
      <c r="D168" s="365"/>
      <c r="E168" s="365"/>
      <c r="F168" s="365"/>
      <c r="G168" s="365"/>
      <c r="H168" s="383"/>
      <c r="I168" s="365"/>
      <c r="J168" s="383"/>
      <c r="K168" s="365"/>
      <c r="L168" s="365"/>
      <c r="M168" s="365"/>
      <c r="N168" s="383"/>
      <c r="O168" s="365"/>
      <c r="P168" s="365"/>
      <c r="Q168" s="365"/>
      <c r="R168" s="383"/>
      <c r="S168" s="365"/>
      <c r="T168" s="383"/>
      <c r="U168" s="365"/>
      <c r="V168" s="383"/>
      <c r="W168" s="365"/>
      <c r="X168" s="383"/>
      <c r="Y168" s="365"/>
      <c r="Z168" s="383"/>
      <c r="AA168" s="365"/>
      <c r="AB168" s="365"/>
      <c r="AC168" s="365"/>
      <c r="AD168" s="383"/>
      <c r="AE168" s="365"/>
      <c r="AF168" s="383"/>
      <c r="AG168" s="365"/>
      <c r="AH168" s="383"/>
      <c r="AI168" s="365"/>
      <c r="AJ168" s="383"/>
      <c r="AK168" s="365"/>
      <c r="AL168" s="383"/>
      <c r="AM168" s="353"/>
    </row>
    <row r="169" spans="1:39" s="352" customFormat="1">
      <c r="A169" s="364"/>
      <c r="B169" s="364"/>
      <c r="C169" s="365"/>
      <c r="D169" s="365"/>
      <c r="E169" s="365"/>
      <c r="F169" s="365"/>
      <c r="G169" s="365"/>
      <c r="H169" s="383"/>
      <c r="I169" s="365"/>
      <c r="J169" s="383"/>
      <c r="K169" s="365"/>
      <c r="L169" s="365"/>
      <c r="M169" s="365"/>
      <c r="N169" s="383"/>
      <c r="O169" s="365"/>
      <c r="P169" s="365"/>
      <c r="Q169" s="365"/>
      <c r="R169" s="383"/>
      <c r="S169" s="365"/>
      <c r="T169" s="383"/>
      <c r="U169" s="365"/>
      <c r="V169" s="383"/>
      <c r="W169" s="365"/>
      <c r="X169" s="383"/>
      <c r="Y169" s="365"/>
      <c r="Z169" s="383"/>
      <c r="AA169" s="365"/>
      <c r="AB169" s="365"/>
      <c r="AC169" s="365"/>
      <c r="AD169" s="383"/>
      <c r="AE169" s="365"/>
      <c r="AF169" s="383"/>
      <c r="AG169" s="365"/>
      <c r="AH169" s="383"/>
      <c r="AI169" s="365"/>
      <c r="AJ169" s="383"/>
      <c r="AK169" s="365"/>
      <c r="AL169" s="383"/>
      <c r="AM169" s="353"/>
    </row>
    <row r="170" spans="1:39" s="352" customFormat="1">
      <c r="A170" s="364"/>
      <c r="B170" s="364"/>
      <c r="C170" s="365"/>
      <c r="D170" s="365"/>
      <c r="E170" s="365"/>
      <c r="F170" s="365"/>
      <c r="G170" s="365"/>
      <c r="H170" s="383"/>
      <c r="I170" s="365"/>
      <c r="J170" s="383"/>
      <c r="K170" s="365"/>
      <c r="L170" s="365"/>
      <c r="M170" s="365"/>
      <c r="N170" s="383"/>
      <c r="O170" s="365"/>
      <c r="P170" s="365"/>
      <c r="Q170" s="365"/>
      <c r="R170" s="383"/>
      <c r="S170" s="365"/>
      <c r="T170" s="383"/>
      <c r="U170" s="365"/>
      <c r="V170" s="383"/>
      <c r="W170" s="365"/>
      <c r="X170" s="383"/>
      <c r="Y170" s="365"/>
      <c r="Z170" s="383"/>
      <c r="AA170" s="365"/>
      <c r="AB170" s="365"/>
      <c r="AC170" s="365"/>
      <c r="AD170" s="383"/>
      <c r="AE170" s="365"/>
      <c r="AF170" s="383"/>
      <c r="AG170" s="365"/>
      <c r="AH170" s="383"/>
      <c r="AI170" s="365"/>
      <c r="AJ170" s="383"/>
      <c r="AK170" s="365"/>
      <c r="AL170" s="383"/>
      <c r="AM170" s="353"/>
    </row>
    <row r="171" spans="1:39" s="352" customFormat="1">
      <c r="A171" s="364"/>
      <c r="B171" s="364"/>
      <c r="C171" s="365"/>
      <c r="D171" s="365"/>
      <c r="E171" s="365"/>
      <c r="F171" s="365"/>
      <c r="G171" s="365"/>
      <c r="H171" s="383"/>
      <c r="I171" s="365"/>
      <c r="J171" s="383"/>
      <c r="K171" s="365"/>
      <c r="L171" s="365"/>
      <c r="M171" s="365"/>
      <c r="N171" s="383"/>
      <c r="O171" s="365"/>
      <c r="P171" s="365"/>
      <c r="Q171" s="365"/>
      <c r="R171" s="383"/>
      <c r="S171" s="365"/>
      <c r="T171" s="383"/>
      <c r="U171" s="365"/>
      <c r="V171" s="383"/>
      <c r="W171" s="365"/>
      <c r="X171" s="383"/>
      <c r="Y171" s="365"/>
      <c r="Z171" s="383"/>
      <c r="AA171" s="365"/>
      <c r="AB171" s="365"/>
      <c r="AC171" s="365"/>
      <c r="AD171" s="383"/>
      <c r="AE171" s="365"/>
      <c r="AF171" s="383"/>
      <c r="AG171" s="365"/>
      <c r="AH171" s="383"/>
      <c r="AI171" s="365"/>
      <c r="AJ171" s="383"/>
      <c r="AK171" s="365"/>
      <c r="AL171" s="383"/>
      <c r="AM171" s="353"/>
    </row>
    <row r="172" spans="1:39" s="352" customFormat="1">
      <c r="A172" s="364"/>
      <c r="B172" s="364"/>
      <c r="C172" s="365"/>
      <c r="D172" s="365"/>
      <c r="E172" s="365"/>
      <c r="F172" s="365"/>
      <c r="G172" s="365"/>
      <c r="H172" s="383"/>
      <c r="I172" s="365"/>
      <c r="J172" s="383"/>
      <c r="K172" s="365"/>
      <c r="L172" s="365"/>
      <c r="M172" s="365"/>
      <c r="N172" s="383"/>
      <c r="O172" s="365"/>
      <c r="P172" s="365"/>
      <c r="Q172" s="365"/>
      <c r="R172" s="383"/>
      <c r="S172" s="365"/>
      <c r="T172" s="383"/>
      <c r="U172" s="365"/>
      <c r="V172" s="383"/>
      <c r="W172" s="365"/>
      <c r="X172" s="383"/>
      <c r="Y172" s="365"/>
      <c r="Z172" s="383"/>
      <c r="AA172" s="365"/>
      <c r="AB172" s="365"/>
      <c r="AC172" s="365"/>
      <c r="AD172" s="383"/>
      <c r="AE172" s="365"/>
      <c r="AF172" s="383"/>
      <c r="AG172" s="365"/>
      <c r="AH172" s="383"/>
      <c r="AI172" s="365"/>
      <c r="AJ172" s="383"/>
      <c r="AK172" s="365"/>
      <c r="AL172" s="383"/>
      <c r="AM172" s="353"/>
    </row>
    <row r="173" spans="1:39" s="352" customFormat="1">
      <c r="A173" s="364"/>
      <c r="B173" s="364"/>
      <c r="C173" s="365"/>
      <c r="D173" s="365"/>
      <c r="E173" s="365"/>
      <c r="F173" s="365"/>
      <c r="G173" s="365"/>
      <c r="H173" s="383"/>
      <c r="I173" s="365"/>
      <c r="J173" s="383"/>
      <c r="K173" s="365"/>
      <c r="L173" s="365"/>
      <c r="M173" s="365"/>
      <c r="N173" s="383"/>
      <c r="O173" s="365"/>
      <c r="P173" s="365"/>
      <c r="Q173" s="365"/>
      <c r="R173" s="383"/>
      <c r="S173" s="365"/>
      <c r="T173" s="383"/>
      <c r="U173" s="365"/>
      <c r="V173" s="383"/>
      <c r="W173" s="365"/>
      <c r="X173" s="383"/>
      <c r="Y173" s="365"/>
      <c r="Z173" s="383"/>
      <c r="AA173" s="365"/>
      <c r="AB173" s="365"/>
      <c r="AC173" s="365"/>
      <c r="AD173" s="383"/>
      <c r="AE173" s="365"/>
      <c r="AF173" s="383"/>
      <c r="AG173" s="365"/>
      <c r="AH173" s="383"/>
      <c r="AI173" s="365"/>
      <c r="AJ173" s="383"/>
      <c r="AK173" s="365"/>
      <c r="AL173" s="383"/>
      <c r="AM173" s="353"/>
    </row>
    <row r="174" spans="1:39" s="352" customFormat="1">
      <c r="A174" s="364"/>
      <c r="B174" s="364"/>
      <c r="C174" s="365"/>
      <c r="D174" s="365"/>
      <c r="E174" s="365"/>
      <c r="F174" s="365"/>
      <c r="G174" s="365"/>
      <c r="H174" s="383"/>
      <c r="I174" s="365"/>
      <c r="J174" s="383"/>
      <c r="K174" s="365"/>
      <c r="L174" s="365"/>
      <c r="M174" s="365"/>
      <c r="N174" s="383"/>
      <c r="O174" s="365"/>
      <c r="P174" s="365"/>
      <c r="Q174" s="365"/>
      <c r="R174" s="383"/>
      <c r="S174" s="365"/>
      <c r="T174" s="383"/>
      <c r="U174" s="365"/>
      <c r="V174" s="383"/>
      <c r="W174" s="365"/>
      <c r="X174" s="383"/>
      <c r="Y174" s="365"/>
      <c r="Z174" s="383"/>
      <c r="AA174" s="365"/>
      <c r="AB174" s="365"/>
      <c r="AC174" s="365"/>
      <c r="AD174" s="383"/>
      <c r="AE174" s="365"/>
      <c r="AF174" s="383"/>
      <c r="AG174" s="365"/>
      <c r="AH174" s="383"/>
      <c r="AI174" s="365"/>
      <c r="AJ174" s="383"/>
      <c r="AK174" s="365"/>
      <c r="AL174" s="383"/>
      <c r="AM174" s="353"/>
    </row>
    <row r="175" spans="1:39" s="352" customFormat="1">
      <c r="A175" s="364"/>
      <c r="B175" s="364"/>
      <c r="C175" s="365"/>
      <c r="D175" s="365"/>
      <c r="E175" s="365"/>
      <c r="F175" s="365"/>
      <c r="G175" s="365"/>
      <c r="H175" s="383"/>
      <c r="I175" s="365"/>
      <c r="J175" s="383"/>
      <c r="K175" s="365"/>
      <c r="L175" s="365"/>
      <c r="M175" s="365"/>
      <c r="N175" s="383"/>
      <c r="O175" s="365"/>
      <c r="P175" s="365"/>
      <c r="Q175" s="365"/>
      <c r="R175" s="383"/>
      <c r="S175" s="365"/>
      <c r="T175" s="383"/>
      <c r="U175" s="365"/>
      <c r="V175" s="383"/>
      <c r="W175" s="365"/>
      <c r="X175" s="383"/>
      <c r="Y175" s="365"/>
      <c r="Z175" s="383"/>
      <c r="AA175" s="365"/>
      <c r="AB175" s="365"/>
      <c r="AC175" s="365"/>
      <c r="AD175" s="383"/>
      <c r="AE175" s="365"/>
      <c r="AF175" s="383"/>
      <c r="AG175" s="365"/>
      <c r="AH175" s="383"/>
      <c r="AI175" s="365"/>
      <c r="AJ175" s="383"/>
      <c r="AK175" s="365"/>
      <c r="AL175" s="383"/>
      <c r="AM175" s="353"/>
    </row>
    <row r="176" spans="1:39" s="352" customFormat="1">
      <c r="A176" s="364"/>
      <c r="B176" s="364"/>
      <c r="C176" s="365"/>
      <c r="D176" s="365"/>
      <c r="E176" s="365"/>
      <c r="F176" s="365"/>
      <c r="G176" s="365"/>
      <c r="H176" s="383"/>
      <c r="I176" s="365"/>
      <c r="J176" s="383"/>
      <c r="K176" s="365"/>
      <c r="L176" s="365"/>
      <c r="M176" s="365"/>
      <c r="N176" s="383"/>
      <c r="O176" s="365"/>
      <c r="P176" s="365"/>
      <c r="Q176" s="365"/>
      <c r="R176" s="383"/>
      <c r="S176" s="365"/>
      <c r="T176" s="383"/>
      <c r="U176" s="365"/>
      <c r="V176" s="383"/>
      <c r="W176" s="365"/>
      <c r="X176" s="383"/>
      <c r="Y176" s="365"/>
      <c r="Z176" s="383"/>
      <c r="AA176" s="365"/>
      <c r="AB176" s="365"/>
      <c r="AC176" s="365"/>
      <c r="AD176" s="383"/>
      <c r="AE176" s="365"/>
      <c r="AF176" s="383"/>
      <c r="AG176" s="365"/>
      <c r="AH176" s="383"/>
      <c r="AI176" s="365"/>
      <c r="AJ176" s="383"/>
      <c r="AK176" s="365"/>
      <c r="AL176" s="383"/>
      <c r="AM176" s="353"/>
    </row>
    <row r="177" spans="1:39" s="352" customFormat="1">
      <c r="A177" s="364"/>
      <c r="B177" s="364"/>
      <c r="C177" s="365"/>
      <c r="D177" s="365"/>
      <c r="E177" s="365"/>
      <c r="F177" s="365"/>
      <c r="G177" s="365"/>
      <c r="H177" s="383"/>
      <c r="I177" s="365"/>
      <c r="J177" s="383"/>
      <c r="K177" s="365"/>
      <c r="L177" s="365"/>
      <c r="M177" s="365"/>
      <c r="N177" s="383"/>
      <c r="O177" s="365"/>
      <c r="P177" s="365"/>
      <c r="Q177" s="365"/>
      <c r="R177" s="383"/>
      <c r="S177" s="365"/>
      <c r="T177" s="383"/>
      <c r="U177" s="365"/>
      <c r="V177" s="383"/>
      <c r="W177" s="365"/>
      <c r="X177" s="383"/>
      <c r="Y177" s="365"/>
      <c r="Z177" s="383"/>
      <c r="AA177" s="365"/>
      <c r="AB177" s="365"/>
      <c r="AC177" s="365"/>
      <c r="AD177" s="383"/>
      <c r="AE177" s="365"/>
      <c r="AF177" s="383"/>
      <c r="AG177" s="365"/>
      <c r="AH177" s="383"/>
      <c r="AI177" s="365"/>
      <c r="AJ177" s="383"/>
      <c r="AK177" s="365"/>
      <c r="AL177" s="383"/>
      <c r="AM177" s="353"/>
    </row>
    <row r="178" spans="1:39" s="352" customFormat="1">
      <c r="A178" s="364"/>
      <c r="B178" s="364"/>
      <c r="C178" s="365"/>
      <c r="D178" s="365"/>
      <c r="E178" s="365"/>
      <c r="F178" s="365"/>
      <c r="G178" s="365"/>
      <c r="H178" s="383"/>
      <c r="I178" s="365"/>
      <c r="J178" s="383"/>
      <c r="K178" s="365"/>
      <c r="L178" s="365"/>
      <c r="M178" s="365"/>
      <c r="N178" s="383"/>
      <c r="O178" s="365"/>
      <c r="P178" s="365"/>
      <c r="Q178" s="365"/>
      <c r="R178" s="383"/>
      <c r="S178" s="365"/>
      <c r="T178" s="383"/>
      <c r="U178" s="365"/>
      <c r="V178" s="383"/>
      <c r="W178" s="365"/>
      <c r="X178" s="383"/>
      <c r="Y178" s="365"/>
      <c r="Z178" s="383"/>
      <c r="AA178" s="365"/>
      <c r="AB178" s="365"/>
      <c r="AC178" s="365"/>
      <c r="AD178" s="383"/>
      <c r="AE178" s="365"/>
      <c r="AF178" s="383"/>
      <c r="AG178" s="365"/>
      <c r="AH178" s="383"/>
      <c r="AI178" s="365"/>
      <c r="AJ178" s="383"/>
      <c r="AK178" s="365"/>
      <c r="AL178" s="383"/>
      <c r="AM178" s="353"/>
    </row>
    <row r="179" spans="1:39" s="352" customFormat="1">
      <c r="A179" s="364"/>
      <c r="B179" s="364"/>
      <c r="C179" s="365"/>
      <c r="D179" s="365"/>
      <c r="E179" s="365"/>
      <c r="F179" s="365"/>
      <c r="G179" s="365"/>
      <c r="H179" s="383"/>
      <c r="I179" s="365"/>
      <c r="J179" s="383"/>
      <c r="K179" s="365"/>
      <c r="L179" s="365"/>
      <c r="M179" s="365"/>
      <c r="N179" s="383"/>
      <c r="O179" s="365"/>
      <c r="P179" s="365"/>
      <c r="Q179" s="365"/>
      <c r="R179" s="383"/>
      <c r="S179" s="365"/>
      <c r="T179" s="383"/>
      <c r="U179" s="365"/>
      <c r="V179" s="383"/>
      <c r="W179" s="365"/>
      <c r="X179" s="383"/>
      <c r="Y179" s="365"/>
      <c r="Z179" s="383"/>
      <c r="AA179" s="365"/>
      <c r="AB179" s="365"/>
      <c r="AC179" s="365"/>
      <c r="AD179" s="383"/>
      <c r="AE179" s="365"/>
      <c r="AF179" s="383"/>
      <c r="AG179" s="365"/>
      <c r="AH179" s="383"/>
      <c r="AI179" s="365"/>
      <c r="AJ179" s="383"/>
      <c r="AK179" s="365"/>
      <c r="AL179" s="383"/>
      <c r="AM179" s="353"/>
    </row>
    <row r="180" spans="1:39" s="352" customFormat="1">
      <c r="A180" s="364"/>
      <c r="B180" s="364"/>
      <c r="C180" s="365"/>
      <c r="D180" s="365"/>
      <c r="E180" s="365"/>
      <c r="F180" s="365"/>
      <c r="G180" s="365"/>
      <c r="H180" s="383"/>
      <c r="I180" s="365"/>
      <c r="J180" s="383"/>
      <c r="K180" s="365"/>
      <c r="L180" s="365"/>
      <c r="M180" s="365"/>
      <c r="N180" s="383"/>
      <c r="O180" s="365"/>
      <c r="P180" s="365"/>
      <c r="Q180" s="365"/>
      <c r="R180" s="383"/>
      <c r="S180" s="365"/>
      <c r="T180" s="383"/>
      <c r="U180" s="365"/>
      <c r="V180" s="383"/>
      <c r="W180" s="365"/>
      <c r="X180" s="383"/>
      <c r="Y180" s="365"/>
      <c r="Z180" s="383"/>
      <c r="AA180" s="365"/>
      <c r="AB180" s="365"/>
      <c r="AC180" s="365"/>
      <c r="AD180" s="383"/>
      <c r="AE180" s="365"/>
      <c r="AF180" s="383"/>
      <c r="AG180" s="365"/>
      <c r="AH180" s="383"/>
      <c r="AI180" s="365"/>
      <c r="AJ180" s="383"/>
      <c r="AK180" s="365"/>
      <c r="AL180" s="383"/>
      <c r="AM180" s="353"/>
    </row>
    <row r="181" spans="1:39" s="352" customFormat="1">
      <c r="A181" s="364"/>
      <c r="B181" s="364"/>
      <c r="C181" s="365"/>
      <c r="D181" s="365"/>
      <c r="E181" s="365"/>
      <c r="F181" s="365"/>
      <c r="G181" s="365"/>
      <c r="H181" s="383"/>
      <c r="I181" s="365"/>
      <c r="J181" s="383"/>
      <c r="K181" s="365"/>
      <c r="L181" s="365"/>
      <c r="M181" s="365"/>
      <c r="N181" s="383"/>
      <c r="O181" s="365"/>
      <c r="P181" s="365"/>
      <c r="Q181" s="365"/>
      <c r="R181" s="383"/>
      <c r="S181" s="365"/>
      <c r="T181" s="383"/>
      <c r="U181" s="365"/>
      <c r="V181" s="383"/>
      <c r="W181" s="365"/>
      <c r="X181" s="383"/>
      <c r="Y181" s="365"/>
      <c r="Z181" s="383"/>
      <c r="AA181" s="365"/>
      <c r="AB181" s="365"/>
      <c r="AC181" s="365"/>
      <c r="AD181" s="383"/>
      <c r="AE181" s="365"/>
      <c r="AF181" s="383"/>
      <c r="AG181" s="365"/>
      <c r="AH181" s="383"/>
      <c r="AI181" s="365"/>
      <c r="AJ181" s="383"/>
      <c r="AK181" s="365"/>
      <c r="AL181" s="383"/>
      <c r="AM181" s="353"/>
    </row>
    <row r="182" spans="1:39" s="352" customFormat="1">
      <c r="A182" s="364"/>
      <c r="B182" s="364"/>
      <c r="C182" s="365"/>
      <c r="D182" s="365"/>
      <c r="E182" s="365"/>
      <c r="F182" s="365"/>
      <c r="G182" s="365"/>
      <c r="H182" s="383"/>
      <c r="I182" s="365"/>
      <c r="J182" s="383"/>
      <c r="K182" s="365"/>
      <c r="L182" s="365"/>
      <c r="M182" s="365"/>
      <c r="N182" s="383"/>
      <c r="O182" s="365"/>
      <c r="P182" s="365"/>
      <c r="Q182" s="365"/>
      <c r="R182" s="383"/>
      <c r="S182" s="365"/>
      <c r="T182" s="383"/>
      <c r="U182" s="365"/>
      <c r="V182" s="383"/>
      <c r="W182" s="365"/>
      <c r="X182" s="383"/>
      <c r="Y182" s="365"/>
      <c r="Z182" s="383"/>
      <c r="AA182" s="365"/>
      <c r="AB182" s="365"/>
      <c r="AC182" s="365"/>
      <c r="AD182" s="383"/>
      <c r="AE182" s="365"/>
      <c r="AF182" s="383"/>
      <c r="AG182" s="365"/>
      <c r="AH182" s="383"/>
      <c r="AI182" s="365"/>
      <c r="AJ182" s="383"/>
      <c r="AK182" s="365"/>
      <c r="AL182" s="383"/>
      <c r="AM182" s="353"/>
    </row>
    <row r="183" spans="1:39" s="352" customFormat="1">
      <c r="A183" s="364"/>
      <c r="B183" s="364"/>
      <c r="C183" s="365"/>
      <c r="D183" s="365"/>
      <c r="E183" s="365"/>
      <c r="F183" s="365"/>
      <c r="G183" s="365"/>
      <c r="H183" s="383"/>
      <c r="I183" s="365"/>
      <c r="J183" s="383"/>
      <c r="K183" s="365"/>
      <c r="L183" s="365"/>
      <c r="M183" s="365"/>
      <c r="N183" s="383"/>
      <c r="O183" s="365"/>
      <c r="P183" s="365"/>
      <c r="Q183" s="365"/>
      <c r="R183" s="383"/>
      <c r="S183" s="365"/>
      <c r="T183" s="383"/>
      <c r="U183" s="365"/>
      <c r="V183" s="383"/>
      <c r="W183" s="365"/>
      <c r="X183" s="383"/>
      <c r="Y183" s="365"/>
      <c r="Z183" s="383"/>
      <c r="AA183" s="365"/>
      <c r="AB183" s="365"/>
      <c r="AC183" s="365"/>
      <c r="AD183" s="383"/>
      <c r="AE183" s="365"/>
      <c r="AF183" s="383"/>
      <c r="AG183" s="365"/>
      <c r="AH183" s="383"/>
      <c r="AI183" s="365"/>
      <c r="AJ183" s="383"/>
      <c r="AK183" s="365"/>
      <c r="AL183" s="383"/>
      <c r="AM183" s="353"/>
    </row>
    <row r="184" spans="1:39" s="352" customFormat="1">
      <c r="A184" s="364"/>
      <c r="B184" s="364"/>
      <c r="C184" s="365"/>
      <c r="D184" s="365"/>
      <c r="E184" s="365"/>
      <c r="F184" s="365"/>
      <c r="G184" s="365"/>
      <c r="H184" s="383"/>
      <c r="I184" s="365"/>
      <c r="J184" s="383"/>
      <c r="K184" s="365"/>
      <c r="L184" s="365"/>
      <c r="M184" s="365"/>
      <c r="N184" s="383"/>
      <c r="O184" s="365"/>
      <c r="P184" s="365"/>
      <c r="Q184" s="365"/>
      <c r="R184" s="383"/>
      <c r="S184" s="365"/>
      <c r="T184" s="383"/>
      <c r="U184" s="365"/>
      <c r="V184" s="383"/>
      <c r="W184" s="365"/>
      <c r="X184" s="383"/>
      <c r="Y184" s="365"/>
      <c r="Z184" s="383"/>
      <c r="AA184" s="365"/>
      <c r="AB184" s="365"/>
      <c r="AC184" s="365"/>
      <c r="AD184" s="383"/>
      <c r="AE184" s="365"/>
      <c r="AF184" s="383"/>
      <c r="AG184" s="365"/>
      <c r="AH184" s="383"/>
      <c r="AI184" s="365"/>
      <c r="AJ184" s="383"/>
      <c r="AK184" s="365"/>
      <c r="AL184" s="383"/>
      <c r="AM184" s="353"/>
    </row>
    <row r="185" spans="1:39" s="352" customFormat="1">
      <c r="A185" s="364"/>
      <c r="B185" s="364"/>
      <c r="C185" s="365"/>
      <c r="D185" s="365"/>
      <c r="E185" s="365"/>
      <c r="F185" s="365"/>
      <c r="G185" s="365"/>
      <c r="H185" s="383"/>
      <c r="I185" s="365"/>
      <c r="J185" s="383"/>
      <c r="K185" s="365"/>
      <c r="L185" s="365"/>
      <c r="M185" s="365"/>
      <c r="N185" s="383"/>
      <c r="O185" s="365"/>
      <c r="P185" s="365"/>
      <c r="Q185" s="365"/>
      <c r="R185" s="383"/>
      <c r="S185" s="365"/>
      <c r="T185" s="383"/>
      <c r="U185" s="365"/>
      <c r="V185" s="383"/>
      <c r="W185" s="365"/>
      <c r="X185" s="383"/>
      <c r="Y185" s="365"/>
      <c r="Z185" s="383"/>
      <c r="AA185" s="365"/>
      <c r="AB185" s="365"/>
      <c r="AC185" s="365"/>
      <c r="AD185" s="383"/>
      <c r="AE185" s="365"/>
      <c r="AF185" s="383"/>
      <c r="AG185" s="365"/>
      <c r="AH185" s="383"/>
      <c r="AI185" s="365"/>
      <c r="AJ185" s="383"/>
      <c r="AK185" s="365"/>
      <c r="AL185" s="383"/>
      <c r="AM185" s="353"/>
    </row>
    <row r="186" spans="1:39" s="352" customFormat="1">
      <c r="A186" s="364"/>
      <c r="B186" s="364"/>
      <c r="C186" s="365"/>
      <c r="D186" s="365"/>
      <c r="E186" s="365"/>
      <c r="F186" s="365"/>
      <c r="G186" s="365"/>
      <c r="H186" s="383"/>
      <c r="I186" s="365"/>
      <c r="J186" s="383"/>
      <c r="K186" s="365"/>
      <c r="L186" s="365"/>
      <c r="M186" s="365"/>
      <c r="N186" s="383"/>
      <c r="O186" s="365"/>
      <c r="P186" s="365"/>
      <c r="Q186" s="365"/>
      <c r="R186" s="383"/>
      <c r="S186" s="365"/>
      <c r="T186" s="383"/>
      <c r="U186" s="365"/>
      <c r="V186" s="383"/>
      <c r="W186" s="365"/>
      <c r="X186" s="383"/>
      <c r="Y186" s="365"/>
      <c r="Z186" s="383"/>
      <c r="AA186" s="365"/>
      <c r="AB186" s="365"/>
      <c r="AC186" s="365"/>
      <c r="AD186" s="383"/>
      <c r="AE186" s="365"/>
      <c r="AF186" s="383"/>
      <c r="AG186" s="365"/>
      <c r="AH186" s="383"/>
      <c r="AI186" s="365"/>
      <c r="AJ186" s="383"/>
      <c r="AK186" s="365"/>
      <c r="AL186" s="383"/>
      <c r="AM186" s="353"/>
    </row>
    <row r="187" spans="1:39" s="352" customFormat="1">
      <c r="A187" s="364"/>
      <c r="B187" s="364"/>
      <c r="C187" s="365"/>
      <c r="D187" s="365"/>
      <c r="E187" s="365"/>
      <c r="F187" s="365"/>
      <c r="G187" s="365"/>
      <c r="H187" s="383"/>
      <c r="I187" s="365"/>
      <c r="J187" s="383"/>
      <c r="K187" s="365"/>
      <c r="L187" s="365"/>
      <c r="M187" s="365"/>
      <c r="N187" s="383"/>
      <c r="O187" s="365"/>
      <c r="P187" s="365"/>
      <c r="Q187" s="365"/>
      <c r="R187" s="383"/>
      <c r="S187" s="365"/>
      <c r="T187" s="383"/>
      <c r="U187" s="365"/>
      <c r="V187" s="383"/>
      <c r="W187" s="365"/>
      <c r="X187" s="383"/>
      <c r="Y187" s="365"/>
      <c r="Z187" s="383"/>
      <c r="AA187" s="365"/>
      <c r="AB187" s="365"/>
      <c r="AC187" s="365"/>
      <c r="AD187" s="383"/>
      <c r="AE187" s="365"/>
      <c r="AF187" s="383"/>
      <c r="AG187" s="365"/>
      <c r="AH187" s="383"/>
      <c r="AI187" s="365"/>
      <c r="AJ187" s="383"/>
      <c r="AK187" s="365"/>
      <c r="AL187" s="383"/>
      <c r="AM187" s="353"/>
    </row>
    <row r="188" spans="1:39" s="352" customFormat="1">
      <c r="A188" s="364"/>
      <c r="B188" s="364"/>
      <c r="C188" s="365"/>
      <c r="D188" s="365"/>
      <c r="E188" s="365"/>
      <c r="F188" s="365"/>
      <c r="G188" s="365"/>
      <c r="H188" s="383"/>
      <c r="I188" s="365"/>
      <c r="J188" s="383"/>
      <c r="K188" s="365"/>
      <c r="L188" s="365"/>
      <c r="M188" s="365"/>
      <c r="N188" s="383"/>
      <c r="O188" s="365"/>
      <c r="P188" s="365"/>
      <c r="Q188" s="365"/>
      <c r="R188" s="383"/>
      <c r="S188" s="365"/>
      <c r="T188" s="383"/>
      <c r="U188" s="365"/>
      <c r="V188" s="383"/>
      <c r="W188" s="365"/>
      <c r="X188" s="383"/>
      <c r="Y188" s="365"/>
      <c r="Z188" s="383"/>
      <c r="AA188" s="365"/>
      <c r="AB188" s="365"/>
      <c r="AC188" s="365"/>
      <c r="AD188" s="383"/>
      <c r="AE188" s="365"/>
      <c r="AF188" s="383"/>
      <c r="AG188" s="365"/>
      <c r="AH188" s="383"/>
      <c r="AI188" s="365"/>
      <c r="AJ188" s="383"/>
      <c r="AK188" s="365"/>
      <c r="AL188" s="383"/>
      <c r="AM188" s="353"/>
    </row>
    <row r="189" spans="1:39" s="352" customFormat="1">
      <c r="A189" s="364"/>
      <c r="B189" s="364"/>
      <c r="C189" s="365"/>
      <c r="D189" s="365"/>
      <c r="E189" s="365"/>
      <c r="F189" s="365"/>
      <c r="G189" s="365"/>
      <c r="H189" s="383"/>
      <c r="I189" s="365"/>
      <c r="J189" s="383"/>
      <c r="K189" s="365"/>
      <c r="L189" s="365"/>
      <c r="M189" s="365"/>
      <c r="N189" s="383"/>
      <c r="O189" s="365"/>
      <c r="P189" s="365"/>
      <c r="Q189" s="365"/>
      <c r="R189" s="383"/>
      <c r="S189" s="365"/>
      <c r="T189" s="383"/>
      <c r="U189" s="365"/>
      <c r="V189" s="383"/>
      <c r="W189" s="365"/>
      <c r="X189" s="383"/>
      <c r="Y189" s="365"/>
      <c r="Z189" s="383"/>
      <c r="AA189" s="365"/>
      <c r="AB189" s="365"/>
      <c r="AC189" s="365"/>
      <c r="AD189" s="383"/>
      <c r="AE189" s="365"/>
      <c r="AF189" s="383"/>
      <c r="AG189" s="365"/>
      <c r="AH189" s="383"/>
      <c r="AI189" s="365"/>
      <c r="AJ189" s="383"/>
      <c r="AK189" s="365"/>
      <c r="AL189" s="383"/>
      <c r="AM189" s="353"/>
    </row>
    <row r="190" spans="1:39" s="352" customFormat="1">
      <c r="A190" s="364"/>
      <c r="B190" s="364"/>
      <c r="C190" s="365"/>
      <c r="D190" s="365"/>
      <c r="E190" s="365"/>
      <c r="F190" s="365"/>
      <c r="G190" s="365"/>
      <c r="H190" s="383"/>
      <c r="I190" s="365"/>
      <c r="J190" s="383"/>
      <c r="K190" s="365"/>
      <c r="L190" s="365"/>
      <c r="M190" s="365"/>
      <c r="N190" s="383"/>
      <c r="O190" s="365"/>
      <c r="P190" s="365"/>
      <c r="Q190" s="365"/>
      <c r="R190" s="383"/>
      <c r="S190" s="365"/>
      <c r="T190" s="383"/>
      <c r="U190" s="365"/>
      <c r="V190" s="383"/>
      <c r="W190" s="365"/>
      <c r="X190" s="383"/>
      <c r="Y190" s="365"/>
      <c r="Z190" s="383"/>
      <c r="AA190" s="365"/>
      <c r="AB190" s="365"/>
      <c r="AC190" s="365"/>
      <c r="AD190" s="383"/>
      <c r="AE190" s="365"/>
      <c r="AF190" s="383"/>
      <c r="AG190" s="365"/>
      <c r="AH190" s="383"/>
      <c r="AI190" s="365"/>
      <c r="AJ190" s="383"/>
      <c r="AK190" s="365"/>
      <c r="AL190" s="383"/>
      <c r="AM190" s="353"/>
    </row>
    <row r="191" spans="1:39" s="352" customFormat="1">
      <c r="A191" s="364"/>
      <c r="B191" s="364"/>
      <c r="C191" s="365"/>
      <c r="D191" s="365"/>
      <c r="E191" s="365"/>
      <c r="F191" s="365"/>
      <c r="G191" s="365"/>
      <c r="H191" s="383"/>
      <c r="I191" s="365"/>
      <c r="J191" s="383"/>
      <c r="K191" s="365"/>
      <c r="L191" s="365"/>
      <c r="M191" s="365"/>
      <c r="N191" s="383"/>
      <c r="O191" s="365"/>
      <c r="P191" s="365"/>
      <c r="Q191" s="365"/>
      <c r="R191" s="383"/>
      <c r="S191" s="365"/>
      <c r="T191" s="383"/>
      <c r="U191" s="365"/>
      <c r="V191" s="383"/>
      <c r="W191" s="365"/>
      <c r="X191" s="383"/>
      <c r="Y191" s="365"/>
      <c r="Z191" s="383"/>
      <c r="AA191" s="365"/>
      <c r="AB191" s="365"/>
      <c r="AC191" s="365"/>
      <c r="AD191" s="383"/>
      <c r="AE191" s="365"/>
      <c r="AF191" s="383"/>
      <c r="AG191" s="365"/>
      <c r="AH191" s="383"/>
      <c r="AI191" s="365"/>
      <c r="AJ191" s="383"/>
      <c r="AK191" s="365"/>
      <c r="AL191" s="383"/>
      <c r="AM191" s="353"/>
    </row>
    <row r="192" spans="1:39" s="352" customFormat="1">
      <c r="A192" s="364"/>
      <c r="B192" s="364"/>
      <c r="C192" s="365"/>
      <c r="D192" s="365"/>
      <c r="E192" s="365"/>
      <c r="F192" s="365"/>
      <c r="G192" s="365"/>
      <c r="H192" s="383"/>
      <c r="I192" s="365"/>
      <c r="J192" s="383"/>
      <c r="K192" s="365"/>
      <c r="L192" s="365"/>
      <c r="M192" s="365"/>
      <c r="N192" s="383"/>
      <c r="O192" s="365"/>
      <c r="P192" s="365"/>
      <c r="Q192" s="365"/>
      <c r="R192" s="383"/>
      <c r="S192" s="365"/>
      <c r="T192" s="383"/>
      <c r="U192" s="365"/>
      <c r="V192" s="383"/>
      <c r="W192" s="365"/>
      <c r="X192" s="383"/>
      <c r="Y192" s="365"/>
      <c r="Z192" s="383"/>
      <c r="AA192" s="365"/>
      <c r="AB192" s="365"/>
      <c r="AC192" s="365"/>
      <c r="AD192" s="383"/>
      <c r="AE192" s="365"/>
      <c r="AF192" s="383"/>
      <c r="AG192" s="365"/>
      <c r="AH192" s="383"/>
      <c r="AI192" s="365"/>
      <c r="AJ192" s="383"/>
      <c r="AK192" s="365"/>
      <c r="AL192" s="383"/>
      <c r="AM192" s="353"/>
    </row>
    <row r="193" spans="1:39" s="352" customFormat="1">
      <c r="A193" s="364"/>
      <c r="B193" s="364"/>
      <c r="C193" s="365"/>
      <c r="D193" s="365"/>
      <c r="E193" s="365"/>
      <c r="F193" s="365"/>
      <c r="G193" s="365"/>
      <c r="H193" s="383"/>
      <c r="I193" s="365"/>
      <c r="J193" s="383"/>
      <c r="K193" s="365"/>
      <c r="L193" s="365"/>
      <c r="M193" s="365"/>
      <c r="N193" s="383"/>
      <c r="O193" s="365"/>
      <c r="P193" s="365"/>
      <c r="Q193" s="365"/>
      <c r="R193" s="383"/>
      <c r="S193" s="365"/>
      <c r="T193" s="383"/>
      <c r="U193" s="365"/>
      <c r="V193" s="383"/>
      <c r="W193" s="365"/>
      <c r="X193" s="383"/>
      <c r="Y193" s="365"/>
      <c r="Z193" s="383"/>
      <c r="AA193" s="365"/>
      <c r="AB193" s="365"/>
      <c r="AC193" s="365"/>
      <c r="AD193" s="383"/>
      <c r="AE193" s="365"/>
      <c r="AF193" s="383"/>
      <c r="AG193" s="365"/>
      <c r="AH193" s="383"/>
      <c r="AI193" s="365"/>
      <c r="AJ193" s="383"/>
      <c r="AK193" s="365"/>
      <c r="AL193" s="383"/>
      <c r="AM193" s="353"/>
    </row>
    <row r="194" spans="1:39" s="352" customFormat="1">
      <c r="A194" s="364"/>
      <c r="B194" s="364"/>
      <c r="C194" s="365"/>
      <c r="D194" s="365"/>
      <c r="E194" s="365"/>
      <c r="F194" s="365"/>
      <c r="G194" s="365"/>
      <c r="H194" s="383"/>
      <c r="I194" s="365"/>
      <c r="J194" s="383"/>
      <c r="K194" s="365"/>
      <c r="L194" s="365"/>
      <c r="M194" s="365"/>
      <c r="N194" s="383"/>
      <c r="O194" s="365"/>
      <c r="P194" s="365"/>
      <c r="Q194" s="365"/>
      <c r="R194" s="383"/>
      <c r="S194" s="365"/>
      <c r="T194" s="383"/>
      <c r="U194" s="365"/>
      <c r="V194" s="383"/>
      <c r="W194" s="365"/>
      <c r="X194" s="383"/>
      <c r="Y194" s="365"/>
      <c r="Z194" s="383"/>
      <c r="AA194" s="365"/>
      <c r="AB194" s="365"/>
      <c r="AC194" s="365"/>
      <c r="AD194" s="383"/>
      <c r="AE194" s="365"/>
      <c r="AF194" s="383"/>
      <c r="AG194" s="365"/>
      <c r="AH194" s="383"/>
      <c r="AI194" s="365"/>
      <c r="AJ194" s="383"/>
      <c r="AK194" s="365"/>
      <c r="AL194" s="383"/>
      <c r="AM194" s="353"/>
    </row>
    <row r="195" spans="1:39" s="352" customFormat="1">
      <c r="A195" s="364"/>
      <c r="B195" s="364"/>
      <c r="C195" s="365"/>
      <c r="D195" s="365"/>
      <c r="E195" s="365"/>
      <c r="F195" s="365"/>
      <c r="G195" s="365"/>
      <c r="H195" s="383"/>
      <c r="I195" s="365"/>
      <c r="J195" s="383"/>
      <c r="K195" s="365"/>
      <c r="L195" s="365"/>
      <c r="M195" s="365"/>
      <c r="N195" s="383"/>
      <c r="O195" s="365"/>
      <c r="P195" s="365"/>
      <c r="Q195" s="365"/>
      <c r="R195" s="383"/>
      <c r="S195" s="365"/>
      <c r="T195" s="383"/>
      <c r="U195" s="365"/>
      <c r="V195" s="383"/>
      <c r="W195" s="365"/>
      <c r="X195" s="383"/>
      <c r="Y195" s="365"/>
      <c r="Z195" s="383"/>
      <c r="AA195" s="365"/>
      <c r="AB195" s="365"/>
      <c r="AC195" s="365"/>
      <c r="AD195" s="383"/>
      <c r="AE195" s="365"/>
      <c r="AF195" s="383"/>
      <c r="AG195" s="365"/>
      <c r="AH195" s="383"/>
      <c r="AI195" s="365"/>
      <c r="AJ195" s="383"/>
      <c r="AK195" s="365"/>
      <c r="AL195" s="383"/>
      <c r="AM195" s="353"/>
    </row>
    <row r="196" spans="1:39" s="352" customFormat="1">
      <c r="A196" s="364"/>
      <c r="B196" s="364"/>
      <c r="C196" s="365"/>
      <c r="D196" s="365"/>
      <c r="E196" s="365"/>
      <c r="F196" s="365"/>
      <c r="G196" s="365"/>
      <c r="H196" s="383"/>
      <c r="I196" s="365"/>
      <c r="J196" s="383"/>
      <c r="K196" s="365"/>
      <c r="L196" s="365"/>
      <c r="M196" s="365"/>
      <c r="N196" s="383"/>
      <c r="O196" s="365"/>
      <c r="P196" s="365"/>
      <c r="Q196" s="365"/>
      <c r="R196" s="383"/>
      <c r="S196" s="365"/>
      <c r="T196" s="383"/>
      <c r="U196" s="365"/>
      <c r="V196" s="383"/>
      <c r="W196" s="365"/>
      <c r="X196" s="383"/>
      <c r="Y196" s="365"/>
      <c r="Z196" s="383"/>
      <c r="AA196" s="365"/>
      <c r="AB196" s="365"/>
      <c r="AC196" s="365"/>
      <c r="AD196" s="383"/>
      <c r="AE196" s="365"/>
      <c r="AF196" s="383"/>
      <c r="AG196" s="365"/>
      <c r="AH196" s="383"/>
      <c r="AI196" s="365"/>
      <c r="AJ196" s="383"/>
      <c r="AK196" s="365"/>
      <c r="AL196" s="383"/>
      <c r="AM196" s="353"/>
    </row>
    <row r="197" spans="1:39" s="352" customFormat="1">
      <c r="A197" s="364"/>
      <c r="B197" s="364"/>
      <c r="C197" s="365"/>
      <c r="D197" s="365"/>
      <c r="E197" s="365"/>
      <c r="F197" s="365"/>
      <c r="G197" s="365"/>
      <c r="H197" s="383"/>
      <c r="I197" s="365"/>
      <c r="J197" s="383"/>
      <c r="K197" s="365"/>
      <c r="L197" s="365"/>
      <c r="M197" s="365"/>
      <c r="N197" s="383"/>
      <c r="O197" s="365"/>
      <c r="P197" s="365"/>
      <c r="Q197" s="365"/>
      <c r="R197" s="383"/>
      <c r="S197" s="365"/>
      <c r="T197" s="383"/>
      <c r="U197" s="365"/>
      <c r="V197" s="383"/>
      <c r="W197" s="365"/>
      <c r="X197" s="383"/>
      <c r="Y197" s="365"/>
      <c r="Z197" s="383"/>
      <c r="AA197" s="365"/>
      <c r="AB197" s="365"/>
      <c r="AC197" s="365"/>
      <c r="AD197" s="383"/>
      <c r="AE197" s="365"/>
      <c r="AF197" s="383"/>
      <c r="AG197" s="365"/>
      <c r="AH197" s="383"/>
      <c r="AI197" s="365"/>
      <c r="AJ197" s="383"/>
      <c r="AK197" s="365"/>
      <c r="AL197" s="383"/>
      <c r="AM197" s="353"/>
    </row>
    <row r="198" spans="1:39" s="352" customFormat="1">
      <c r="A198" s="364"/>
      <c r="B198" s="364"/>
      <c r="C198" s="365"/>
      <c r="D198" s="365"/>
      <c r="E198" s="365"/>
      <c r="F198" s="365"/>
      <c r="G198" s="365"/>
      <c r="H198" s="383"/>
      <c r="I198" s="365"/>
      <c r="J198" s="383"/>
      <c r="K198" s="365"/>
      <c r="L198" s="365"/>
      <c r="M198" s="365"/>
      <c r="N198" s="383"/>
      <c r="O198" s="365"/>
      <c r="P198" s="365"/>
      <c r="Q198" s="365"/>
      <c r="R198" s="383"/>
      <c r="S198" s="365"/>
      <c r="T198" s="383"/>
      <c r="U198" s="365"/>
      <c r="V198" s="383"/>
      <c r="W198" s="365"/>
      <c r="X198" s="383"/>
      <c r="Y198" s="365"/>
      <c r="Z198" s="383"/>
      <c r="AA198" s="365"/>
      <c r="AB198" s="365"/>
      <c r="AC198" s="365"/>
      <c r="AD198" s="383"/>
      <c r="AE198" s="365"/>
      <c r="AF198" s="383"/>
      <c r="AG198" s="365"/>
      <c r="AH198" s="383"/>
      <c r="AI198" s="365"/>
      <c r="AJ198" s="383"/>
      <c r="AK198" s="365"/>
      <c r="AL198" s="383"/>
      <c r="AM198" s="353"/>
    </row>
    <row r="199" spans="1:39" s="352" customFormat="1">
      <c r="A199" s="364"/>
      <c r="B199" s="364"/>
      <c r="C199" s="365"/>
      <c r="D199" s="365"/>
      <c r="E199" s="365"/>
      <c r="F199" s="365"/>
      <c r="G199" s="365"/>
      <c r="H199" s="383"/>
      <c r="I199" s="365"/>
      <c r="J199" s="383"/>
      <c r="K199" s="365"/>
      <c r="L199" s="365"/>
      <c r="M199" s="365"/>
      <c r="N199" s="383"/>
      <c r="O199" s="365"/>
      <c r="P199" s="365"/>
      <c r="Q199" s="365"/>
      <c r="R199" s="383"/>
      <c r="S199" s="365"/>
      <c r="T199" s="383"/>
      <c r="U199" s="365"/>
      <c r="V199" s="383"/>
      <c r="W199" s="365"/>
      <c r="X199" s="383"/>
      <c r="Y199" s="365"/>
      <c r="Z199" s="383"/>
      <c r="AA199" s="365"/>
      <c r="AB199" s="365"/>
      <c r="AC199" s="365"/>
      <c r="AD199" s="383"/>
      <c r="AE199" s="365"/>
      <c r="AF199" s="383"/>
      <c r="AG199" s="365"/>
      <c r="AH199" s="383"/>
      <c r="AI199" s="365"/>
      <c r="AJ199" s="383"/>
      <c r="AK199" s="365"/>
      <c r="AL199" s="383"/>
      <c r="AM199" s="353"/>
    </row>
    <row r="200" spans="1:39" s="352" customFormat="1">
      <c r="A200" s="364"/>
      <c r="B200" s="364"/>
      <c r="C200" s="365"/>
      <c r="D200" s="365"/>
      <c r="E200" s="365"/>
      <c r="F200" s="365"/>
      <c r="G200" s="365"/>
      <c r="H200" s="383"/>
      <c r="I200" s="365"/>
      <c r="J200" s="383"/>
      <c r="K200" s="365"/>
      <c r="L200" s="365"/>
      <c r="M200" s="365"/>
      <c r="N200" s="383"/>
      <c r="O200" s="365"/>
      <c r="P200" s="365"/>
      <c r="Q200" s="365"/>
      <c r="R200" s="383"/>
      <c r="S200" s="365"/>
      <c r="T200" s="383"/>
      <c r="U200" s="365"/>
      <c r="V200" s="383"/>
      <c r="W200" s="365"/>
      <c r="X200" s="383"/>
      <c r="Y200" s="365"/>
      <c r="Z200" s="383"/>
      <c r="AA200" s="365"/>
      <c r="AB200" s="365"/>
      <c r="AC200" s="365"/>
      <c r="AD200" s="383"/>
      <c r="AE200" s="365"/>
      <c r="AF200" s="383"/>
      <c r="AG200" s="365"/>
      <c r="AH200" s="383"/>
      <c r="AI200" s="365"/>
      <c r="AJ200" s="383"/>
      <c r="AK200" s="365"/>
      <c r="AL200" s="383"/>
      <c r="AM200" s="353"/>
    </row>
    <row r="201" spans="1:39" s="352" customFormat="1">
      <c r="A201" s="364"/>
      <c r="B201" s="364"/>
      <c r="C201" s="365"/>
      <c r="D201" s="365"/>
      <c r="E201" s="365"/>
      <c r="F201" s="365"/>
      <c r="G201" s="365"/>
      <c r="H201" s="383"/>
      <c r="I201" s="365"/>
      <c r="J201" s="383"/>
      <c r="K201" s="365"/>
      <c r="L201" s="365"/>
      <c r="M201" s="365"/>
      <c r="N201" s="383"/>
      <c r="O201" s="365"/>
      <c r="P201" s="365"/>
      <c r="Q201" s="365"/>
      <c r="R201" s="383"/>
      <c r="S201" s="365"/>
      <c r="T201" s="383"/>
      <c r="U201" s="365"/>
      <c r="V201" s="383"/>
      <c r="W201" s="365"/>
      <c r="X201" s="383"/>
      <c r="Y201" s="365"/>
      <c r="Z201" s="383"/>
      <c r="AA201" s="365"/>
      <c r="AB201" s="365"/>
      <c r="AC201" s="365"/>
      <c r="AD201" s="383"/>
      <c r="AE201" s="365"/>
      <c r="AF201" s="383"/>
      <c r="AG201" s="365"/>
      <c r="AH201" s="383"/>
      <c r="AI201" s="365"/>
      <c r="AJ201" s="383"/>
      <c r="AK201" s="365"/>
      <c r="AL201" s="383"/>
      <c r="AM201" s="353"/>
    </row>
    <row r="202" spans="1:39" s="352" customFormat="1">
      <c r="A202" s="364"/>
      <c r="B202" s="364"/>
      <c r="C202" s="365"/>
      <c r="D202" s="365"/>
      <c r="E202" s="365"/>
      <c r="F202" s="365"/>
      <c r="G202" s="365"/>
      <c r="H202" s="383"/>
      <c r="I202" s="365"/>
      <c r="J202" s="383"/>
      <c r="K202" s="365"/>
      <c r="L202" s="365"/>
      <c r="M202" s="365"/>
      <c r="N202" s="383"/>
      <c r="O202" s="365"/>
      <c r="P202" s="365"/>
      <c r="Q202" s="365"/>
      <c r="R202" s="383"/>
      <c r="S202" s="365"/>
      <c r="T202" s="383"/>
      <c r="U202" s="365"/>
      <c r="V202" s="383"/>
      <c r="W202" s="365"/>
      <c r="X202" s="383"/>
      <c r="Y202" s="365"/>
      <c r="Z202" s="383"/>
      <c r="AA202" s="365"/>
      <c r="AB202" s="365"/>
      <c r="AC202" s="365"/>
      <c r="AD202" s="383"/>
      <c r="AE202" s="365"/>
      <c r="AF202" s="383"/>
      <c r="AG202" s="365"/>
      <c r="AH202" s="383"/>
      <c r="AI202" s="365"/>
      <c r="AJ202" s="383"/>
      <c r="AK202" s="365"/>
      <c r="AL202" s="383"/>
      <c r="AM202" s="353"/>
    </row>
    <row r="203" spans="1:39" s="352" customFormat="1">
      <c r="A203" s="364"/>
      <c r="B203" s="364"/>
      <c r="C203" s="365"/>
      <c r="D203" s="365"/>
      <c r="E203" s="365"/>
      <c r="F203" s="365"/>
      <c r="G203" s="365"/>
      <c r="H203" s="383"/>
      <c r="I203" s="365"/>
      <c r="J203" s="383"/>
      <c r="K203" s="365"/>
      <c r="L203" s="365"/>
      <c r="M203" s="365"/>
      <c r="N203" s="383"/>
      <c r="O203" s="365"/>
      <c r="P203" s="365"/>
      <c r="Q203" s="365"/>
      <c r="R203" s="383"/>
      <c r="S203" s="365"/>
      <c r="T203" s="383"/>
      <c r="U203" s="365"/>
      <c r="V203" s="383"/>
      <c r="W203" s="365"/>
      <c r="X203" s="383"/>
      <c r="Y203" s="365"/>
      <c r="Z203" s="383"/>
      <c r="AA203" s="365"/>
      <c r="AB203" s="365"/>
      <c r="AC203" s="365"/>
      <c r="AD203" s="383"/>
      <c r="AE203" s="365"/>
      <c r="AF203" s="383"/>
      <c r="AG203" s="365"/>
      <c r="AH203" s="383"/>
      <c r="AI203" s="365"/>
      <c r="AJ203" s="383"/>
      <c r="AK203" s="365"/>
      <c r="AL203" s="383"/>
      <c r="AM203" s="353"/>
    </row>
    <row r="204" spans="1:39" s="352" customFormat="1">
      <c r="A204" s="364"/>
      <c r="B204" s="364"/>
      <c r="C204" s="365"/>
      <c r="D204" s="365"/>
      <c r="E204" s="365"/>
      <c r="F204" s="365"/>
      <c r="G204" s="365"/>
      <c r="H204" s="383"/>
      <c r="I204" s="365"/>
      <c r="J204" s="383"/>
      <c r="K204" s="365"/>
      <c r="L204" s="365"/>
      <c r="M204" s="365"/>
      <c r="N204" s="383"/>
      <c r="O204" s="365"/>
      <c r="P204" s="365"/>
      <c r="Q204" s="365"/>
      <c r="R204" s="383"/>
      <c r="S204" s="365"/>
      <c r="T204" s="383"/>
      <c r="U204" s="365"/>
      <c r="V204" s="383"/>
      <c r="W204" s="365"/>
      <c r="X204" s="383"/>
      <c r="Y204" s="365"/>
      <c r="Z204" s="383"/>
      <c r="AA204" s="365"/>
      <c r="AB204" s="365"/>
      <c r="AC204" s="365"/>
      <c r="AD204" s="383"/>
      <c r="AE204" s="365"/>
      <c r="AF204" s="383"/>
      <c r="AG204" s="365"/>
      <c r="AH204" s="383"/>
      <c r="AI204" s="365"/>
      <c r="AJ204" s="383"/>
      <c r="AK204" s="365"/>
      <c r="AL204" s="383"/>
      <c r="AM204" s="353"/>
    </row>
    <row r="205" spans="1:39" s="352" customFormat="1">
      <c r="A205" s="364"/>
      <c r="B205" s="364"/>
      <c r="C205" s="365"/>
      <c r="D205" s="365"/>
      <c r="E205" s="365"/>
      <c r="F205" s="365"/>
      <c r="G205" s="365"/>
      <c r="H205" s="383"/>
      <c r="I205" s="365"/>
      <c r="J205" s="383"/>
      <c r="K205" s="365"/>
      <c r="L205" s="365"/>
      <c r="M205" s="365"/>
      <c r="N205" s="383"/>
      <c r="O205" s="365"/>
      <c r="P205" s="365"/>
      <c r="Q205" s="365"/>
      <c r="R205" s="383"/>
      <c r="S205" s="365"/>
      <c r="T205" s="383"/>
      <c r="U205" s="365"/>
      <c r="V205" s="383"/>
      <c r="W205" s="365"/>
      <c r="X205" s="383"/>
      <c r="Y205" s="365"/>
      <c r="Z205" s="383"/>
      <c r="AA205" s="365"/>
      <c r="AB205" s="365"/>
      <c r="AC205" s="365"/>
      <c r="AD205" s="383"/>
      <c r="AE205" s="365"/>
      <c r="AF205" s="383"/>
      <c r="AG205" s="365"/>
      <c r="AH205" s="383"/>
      <c r="AI205" s="365"/>
      <c r="AJ205" s="383"/>
      <c r="AK205" s="365"/>
      <c r="AL205" s="383"/>
      <c r="AM205" s="353"/>
    </row>
    <row r="206" spans="1:39" s="352" customFormat="1">
      <c r="A206" s="364"/>
      <c r="B206" s="364"/>
      <c r="C206" s="365"/>
      <c r="D206" s="365"/>
      <c r="E206" s="365"/>
      <c r="F206" s="365"/>
      <c r="G206" s="365"/>
      <c r="H206" s="383"/>
      <c r="I206" s="365"/>
      <c r="J206" s="383"/>
      <c r="K206" s="365"/>
      <c r="L206" s="365"/>
      <c r="M206" s="365"/>
      <c r="N206" s="383"/>
      <c r="O206" s="365"/>
      <c r="P206" s="365"/>
      <c r="Q206" s="365"/>
      <c r="R206" s="383"/>
      <c r="S206" s="365"/>
      <c r="T206" s="383"/>
      <c r="U206" s="365"/>
      <c r="V206" s="383"/>
      <c r="W206" s="365"/>
      <c r="X206" s="383"/>
      <c r="Y206" s="365"/>
      <c r="Z206" s="383"/>
      <c r="AA206" s="365"/>
      <c r="AB206" s="365"/>
      <c r="AC206" s="365"/>
      <c r="AD206" s="383"/>
      <c r="AE206" s="365"/>
      <c r="AF206" s="383"/>
      <c r="AG206" s="365"/>
      <c r="AH206" s="383"/>
      <c r="AI206" s="365"/>
      <c r="AJ206" s="383"/>
      <c r="AK206" s="365"/>
      <c r="AL206" s="383"/>
      <c r="AM206" s="353"/>
    </row>
    <row r="207" spans="1:39" s="352" customFormat="1">
      <c r="A207" s="364"/>
      <c r="B207" s="364"/>
      <c r="C207" s="365"/>
      <c r="D207" s="365"/>
      <c r="E207" s="365"/>
      <c r="F207" s="365"/>
      <c r="G207" s="365"/>
      <c r="H207" s="383"/>
      <c r="I207" s="365"/>
      <c r="J207" s="383"/>
      <c r="K207" s="365"/>
      <c r="L207" s="365"/>
      <c r="M207" s="365"/>
      <c r="N207" s="383"/>
      <c r="O207" s="365"/>
      <c r="P207" s="365"/>
      <c r="Q207" s="365"/>
      <c r="R207" s="383"/>
      <c r="S207" s="365"/>
      <c r="T207" s="383"/>
      <c r="U207" s="365"/>
      <c r="V207" s="383"/>
      <c r="W207" s="365"/>
      <c r="X207" s="383"/>
      <c r="Y207" s="365"/>
      <c r="Z207" s="383"/>
      <c r="AA207" s="365"/>
      <c r="AB207" s="365"/>
      <c r="AC207" s="365"/>
      <c r="AD207" s="383"/>
      <c r="AE207" s="365"/>
      <c r="AF207" s="383"/>
      <c r="AG207" s="365"/>
      <c r="AH207" s="383"/>
      <c r="AI207" s="365"/>
      <c r="AJ207" s="383"/>
      <c r="AK207" s="365"/>
      <c r="AL207" s="383"/>
      <c r="AM207" s="353"/>
    </row>
    <row r="208" spans="1:39" s="352" customFormat="1">
      <c r="A208" s="364"/>
      <c r="B208" s="364"/>
      <c r="C208" s="365"/>
      <c r="D208" s="365"/>
      <c r="E208" s="365"/>
      <c r="F208" s="365"/>
      <c r="G208" s="365"/>
      <c r="H208" s="383"/>
      <c r="I208" s="365"/>
      <c r="J208" s="383"/>
      <c r="K208" s="365"/>
      <c r="L208" s="365"/>
      <c r="M208" s="365"/>
      <c r="N208" s="383"/>
      <c r="O208" s="365"/>
      <c r="P208" s="365"/>
      <c r="Q208" s="365"/>
      <c r="R208" s="383"/>
      <c r="S208" s="365"/>
      <c r="T208" s="383"/>
      <c r="U208" s="365"/>
      <c r="V208" s="383"/>
      <c r="W208" s="365"/>
      <c r="X208" s="383"/>
      <c r="Y208" s="365"/>
      <c r="Z208" s="383"/>
      <c r="AA208" s="365"/>
      <c r="AB208" s="365"/>
      <c r="AC208" s="365"/>
      <c r="AD208" s="383"/>
      <c r="AE208" s="365"/>
      <c r="AF208" s="383"/>
      <c r="AG208" s="365"/>
      <c r="AH208" s="383"/>
      <c r="AI208" s="365"/>
      <c r="AJ208" s="383"/>
      <c r="AK208" s="365"/>
      <c r="AL208" s="383"/>
      <c r="AM208" s="353"/>
    </row>
    <row r="209" spans="1:39" s="352" customFormat="1">
      <c r="A209" s="364"/>
      <c r="B209" s="364"/>
      <c r="C209" s="365"/>
      <c r="D209" s="365"/>
      <c r="E209" s="365"/>
      <c r="F209" s="365"/>
      <c r="G209" s="365"/>
      <c r="H209" s="383"/>
      <c r="I209" s="365"/>
      <c r="J209" s="383"/>
      <c r="K209" s="365"/>
      <c r="L209" s="365"/>
      <c r="M209" s="365"/>
      <c r="N209" s="383"/>
      <c r="O209" s="365"/>
      <c r="P209" s="365"/>
      <c r="Q209" s="365"/>
      <c r="R209" s="383"/>
      <c r="S209" s="365"/>
      <c r="T209" s="383"/>
      <c r="U209" s="365"/>
      <c r="V209" s="383"/>
      <c r="W209" s="365"/>
      <c r="X209" s="383"/>
      <c r="Y209" s="365"/>
      <c r="Z209" s="383"/>
      <c r="AA209" s="365"/>
      <c r="AB209" s="365"/>
      <c r="AC209" s="365"/>
      <c r="AD209" s="383"/>
      <c r="AE209" s="365"/>
      <c r="AF209" s="383"/>
      <c r="AG209" s="365"/>
      <c r="AH209" s="383"/>
      <c r="AI209" s="365"/>
      <c r="AJ209" s="383"/>
      <c r="AK209" s="365"/>
      <c r="AL209" s="383"/>
      <c r="AM209" s="353"/>
    </row>
    <row r="210" spans="1:39" s="352" customFormat="1">
      <c r="A210" s="364"/>
      <c r="B210" s="364"/>
      <c r="C210" s="365"/>
      <c r="D210" s="365"/>
      <c r="E210" s="365"/>
      <c r="F210" s="365"/>
      <c r="G210" s="365"/>
      <c r="H210" s="383"/>
      <c r="I210" s="365"/>
      <c r="J210" s="383"/>
      <c r="K210" s="365"/>
      <c r="L210" s="365"/>
      <c r="M210" s="365"/>
      <c r="N210" s="383"/>
      <c r="O210" s="365"/>
      <c r="P210" s="365"/>
      <c r="Q210" s="365"/>
      <c r="R210" s="383"/>
      <c r="S210" s="365"/>
      <c r="T210" s="383"/>
      <c r="U210" s="365"/>
      <c r="V210" s="383"/>
      <c r="W210" s="365"/>
      <c r="X210" s="383"/>
      <c r="Y210" s="365"/>
      <c r="Z210" s="383"/>
      <c r="AA210" s="365"/>
      <c r="AB210" s="365"/>
      <c r="AC210" s="365"/>
      <c r="AD210" s="383"/>
      <c r="AE210" s="365"/>
      <c r="AF210" s="383"/>
      <c r="AG210" s="365"/>
      <c r="AH210" s="383"/>
      <c r="AI210" s="365"/>
      <c r="AJ210" s="383"/>
      <c r="AK210" s="365"/>
      <c r="AL210" s="383"/>
      <c r="AM210" s="353"/>
    </row>
    <row r="211" spans="1:39" s="352" customFormat="1">
      <c r="A211" s="364"/>
      <c r="B211" s="364"/>
      <c r="C211" s="365"/>
      <c r="D211" s="365"/>
      <c r="E211" s="365"/>
      <c r="F211" s="365"/>
      <c r="G211" s="365"/>
      <c r="H211" s="383"/>
      <c r="I211" s="365"/>
      <c r="J211" s="383"/>
      <c r="K211" s="365"/>
      <c r="L211" s="365"/>
      <c r="M211" s="365"/>
      <c r="N211" s="383"/>
      <c r="O211" s="365"/>
      <c r="P211" s="365"/>
      <c r="Q211" s="365"/>
      <c r="R211" s="383"/>
      <c r="S211" s="365"/>
      <c r="T211" s="383"/>
      <c r="U211" s="365"/>
      <c r="V211" s="383"/>
      <c r="W211" s="365"/>
      <c r="X211" s="383"/>
      <c r="Y211" s="365"/>
      <c r="Z211" s="383"/>
      <c r="AA211" s="365"/>
      <c r="AB211" s="365"/>
      <c r="AC211" s="365"/>
      <c r="AD211" s="383"/>
      <c r="AE211" s="365"/>
      <c r="AF211" s="383"/>
      <c r="AG211" s="365"/>
      <c r="AH211" s="383"/>
      <c r="AI211" s="365"/>
      <c r="AJ211" s="383"/>
      <c r="AK211" s="365"/>
      <c r="AL211" s="383"/>
      <c r="AM211" s="353"/>
    </row>
    <row r="212" spans="1:39" s="352" customFormat="1">
      <c r="A212" s="364"/>
      <c r="B212" s="364"/>
      <c r="C212" s="365"/>
      <c r="D212" s="365"/>
      <c r="E212" s="365"/>
      <c r="F212" s="365"/>
      <c r="G212" s="365"/>
      <c r="H212" s="383"/>
      <c r="I212" s="365"/>
      <c r="J212" s="383"/>
      <c r="K212" s="365"/>
      <c r="L212" s="365"/>
      <c r="M212" s="365"/>
      <c r="N212" s="383"/>
      <c r="O212" s="365"/>
      <c r="P212" s="365"/>
      <c r="Q212" s="365"/>
      <c r="R212" s="383"/>
      <c r="S212" s="365"/>
      <c r="T212" s="383"/>
      <c r="U212" s="365"/>
      <c r="V212" s="383"/>
      <c r="W212" s="365"/>
      <c r="X212" s="383"/>
      <c r="Y212" s="365"/>
      <c r="Z212" s="383"/>
      <c r="AA212" s="365"/>
      <c r="AB212" s="365"/>
      <c r="AC212" s="365"/>
      <c r="AD212" s="383"/>
      <c r="AE212" s="365"/>
      <c r="AF212" s="383"/>
      <c r="AG212" s="365"/>
      <c r="AH212" s="383"/>
      <c r="AI212" s="365"/>
      <c r="AJ212" s="383"/>
      <c r="AK212" s="365"/>
      <c r="AL212" s="383"/>
      <c r="AM212" s="353"/>
    </row>
    <row r="213" spans="1:39" s="352" customFormat="1">
      <c r="A213" s="364"/>
      <c r="B213" s="364"/>
      <c r="C213" s="365"/>
      <c r="D213" s="365"/>
      <c r="E213" s="365"/>
      <c r="F213" s="365"/>
      <c r="G213" s="365"/>
      <c r="H213" s="383"/>
      <c r="I213" s="365"/>
      <c r="J213" s="383"/>
      <c r="K213" s="365"/>
      <c r="L213" s="365"/>
      <c r="M213" s="365"/>
      <c r="N213" s="383"/>
      <c r="O213" s="365"/>
      <c r="P213" s="365"/>
      <c r="Q213" s="365"/>
      <c r="R213" s="383"/>
      <c r="S213" s="365"/>
      <c r="T213" s="383"/>
      <c r="U213" s="365"/>
      <c r="V213" s="383"/>
      <c r="W213" s="365"/>
      <c r="X213" s="383"/>
      <c r="Y213" s="365"/>
      <c r="Z213" s="383"/>
      <c r="AA213" s="365"/>
      <c r="AB213" s="365"/>
      <c r="AC213" s="365"/>
      <c r="AD213" s="383"/>
      <c r="AE213" s="365"/>
      <c r="AF213" s="383"/>
      <c r="AG213" s="365"/>
      <c r="AH213" s="383"/>
      <c r="AI213" s="365"/>
      <c r="AJ213" s="383"/>
      <c r="AK213" s="365"/>
      <c r="AL213" s="383"/>
      <c r="AM213" s="353"/>
    </row>
    <row r="214" spans="1:39" s="352" customFormat="1">
      <c r="A214" s="364"/>
      <c r="B214" s="364"/>
      <c r="C214" s="365"/>
      <c r="D214" s="365"/>
      <c r="E214" s="365"/>
      <c r="F214" s="365"/>
      <c r="G214" s="365"/>
      <c r="H214" s="383"/>
      <c r="I214" s="365"/>
      <c r="J214" s="383"/>
      <c r="K214" s="365"/>
      <c r="L214" s="365"/>
      <c r="M214" s="365"/>
      <c r="N214" s="383"/>
      <c r="O214" s="365"/>
      <c r="P214" s="365"/>
      <c r="Q214" s="365"/>
      <c r="R214" s="383"/>
      <c r="S214" s="365"/>
      <c r="T214" s="383"/>
      <c r="U214" s="365"/>
      <c r="V214" s="383"/>
      <c r="W214" s="365"/>
      <c r="X214" s="383"/>
      <c r="Y214" s="365"/>
      <c r="Z214" s="383"/>
      <c r="AA214" s="365"/>
      <c r="AB214" s="365"/>
      <c r="AC214" s="365"/>
      <c r="AD214" s="383"/>
      <c r="AE214" s="365"/>
      <c r="AF214" s="383"/>
      <c r="AG214" s="365"/>
      <c r="AH214" s="383"/>
      <c r="AI214" s="365"/>
      <c r="AJ214" s="383"/>
      <c r="AK214" s="365"/>
      <c r="AL214" s="383"/>
      <c r="AM214" s="353"/>
    </row>
    <row r="215" spans="1:39" s="352" customFormat="1">
      <c r="A215" s="364"/>
      <c r="B215" s="364"/>
      <c r="C215" s="365"/>
      <c r="D215" s="365"/>
      <c r="E215" s="365"/>
      <c r="F215" s="365"/>
      <c r="G215" s="365"/>
      <c r="H215" s="383"/>
      <c r="I215" s="365"/>
      <c r="J215" s="383"/>
      <c r="K215" s="365"/>
      <c r="L215" s="365"/>
      <c r="M215" s="365"/>
      <c r="N215" s="383"/>
      <c r="O215" s="365"/>
      <c r="P215" s="365"/>
      <c r="Q215" s="365"/>
      <c r="R215" s="383"/>
      <c r="S215" s="365"/>
      <c r="T215" s="383"/>
      <c r="U215" s="365"/>
      <c r="V215" s="383"/>
      <c r="W215" s="365"/>
      <c r="X215" s="383"/>
      <c r="Y215" s="365"/>
      <c r="Z215" s="383"/>
      <c r="AA215" s="365"/>
      <c r="AB215" s="365"/>
      <c r="AC215" s="365"/>
      <c r="AD215" s="383"/>
      <c r="AE215" s="365"/>
      <c r="AF215" s="383"/>
      <c r="AG215" s="365"/>
      <c r="AH215" s="383"/>
      <c r="AI215" s="365"/>
      <c r="AJ215" s="383"/>
      <c r="AK215" s="365"/>
      <c r="AL215" s="383"/>
      <c r="AM215" s="353"/>
    </row>
    <row r="216" spans="1:39" s="352" customFormat="1">
      <c r="A216" s="364"/>
      <c r="B216" s="364"/>
      <c r="C216" s="365"/>
      <c r="D216" s="365"/>
      <c r="E216" s="365"/>
      <c r="F216" s="365"/>
      <c r="G216" s="365"/>
      <c r="H216" s="383"/>
      <c r="I216" s="365"/>
      <c r="J216" s="383"/>
      <c r="K216" s="365"/>
      <c r="L216" s="365"/>
      <c r="M216" s="365"/>
      <c r="N216" s="383"/>
      <c r="O216" s="365"/>
      <c r="P216" s="365"/>
      <c r="Q216" s="365"/>
      <c r="R216" s="383"/>
      <c r="S216" s="365"/>
      <c r="T216" s="383"/>
      <c r="U216" s="365"/>
      <c r="V216" s="383"/>
      <c r="W216" s="365"/>
      <c r="X216" s="383"/>
      <c r="Y216" s="365"/>
      <c r="Z216" s="383"/>
      <c r="AA216" s="365"/>
      <c r="AB216" s="365"/>
      <c r="AC216" s="365"/>
      <c r="AD216" s="383"/>
      <c r="AE216" s="365"/>
      <c r="AF216" s="383"/>
      <c r="AG216" s="365"/>
      <c r="AH216" s="383"/>
      <c r="AI216" s="365"/>
      <c r="AJ216" s="383"/>
      <c r="AK216" s="365"/>
      <c r="AL216" s="383"/>
      <c r="AM216" s="353"/>
    </row>
    <row r="217" spans="1:39" s="352" customFormat="1">
      <c r="A217" s="364"/>
      <c r="B217" s="364"/>
      <c r="C217" s="365"/>
      <c r="D217" s="365"/>
      <c r="E217" s="365"/>
      <c r="F217" s="365"/>
      <c r="G217" s="365"/>
      <c r="H217" s="383"/>
      <c r="I217" s="365"/>
      <c r="J217" s="383"/>
      <c r="K217" s="365"/>
      <c r="L217" s="365"/>
      <c r="M217" s="365"/>
      <c r="N217" s="383"/>
      <c r="O217" s="365"/>
      <c r="P217" s="365"/>
      <c r="Q217" s="365"/>
      <c r="R217" s="383"/>
      <c r="S217" s="365"/>
      <c r="T217" s="383"/>
      <c r="U217" s="365"/>
      <c r="V217" s="383"/>
      <c r="W217" s="365"/>
      <c r="X217" s="383"/>
      <c r="Y217" s="365"/>
      <c r="Z217" s="383"/>
      <c r="AA217" s="365"/>
      <c r="AB217" s="365"/>
      <c r="AC217" s="365"/>
      <c r="AD217" s="383"/>
      <c r="AE217" s="365"/>
      <c r="AF217" s="383"/>
      <c r="AG217" s="365"/>
      <c r="AH217" s="383"/>
      <c r="AI217" s="365"/>
      <c r="AJ217" s="383"/>
      <c r="AK217" s="365"/>
      <c r="AL217" s="383"/>
      <c r="AM217" s="353"/>
    </row>
    <row r="218" spans="1:39" s="352" customFormat="1">
      <c r="A218" s="364"/>
      <c r="B218" s="364"/>
      <c r="C218" s="365"/>
      <c r="D218" s="365"/>
      <c r="E218" s="365"/>
      <c r="F218" s="365"/>
      <c r="G218" s="365"/>
      <c r="H218" s="383"/>
      <c r="I218" s="365"/>
      <c r="J218" s="383"/>
      <c r="K218" s="365"/>
      <c r="L218" s="365"/>
      <c r="M218" s="365"/>
      <c r="N218" s="383"/>
      <c r="O218" s="365"/>
      <c r="P218" s="365"/>
      <c r="Q218" s="365"/>
      <c r="R218" s="383"/>
      <c r="S218" s="365"/>
      <c r="T218" s="383"/>
      <c r="U218" s="365"/>
      <c r="V218" s="383"/>
      <c r="W218" s="365"/>
      <c r="X218" s="383"/>
      <c r="Y218" s="365"/>
      <c r="Z218" s="383"/>
      <c r="AA218" s="365"/>
      <c r="AB218" s="365"/>
      <c r="AC218" s="365"/>
      <c r="AD218" s="383"/>
      <c r="AE218" s="365"/>
      <c r="AF218" s="383"/>
      <c r="AG218" s="365"/>
      <c r="AH218" s="383"/>
      <c r="AI218" s="365"/>
      <c r="AJ218" s="383"/>
      <c r="AK218" s="365"/>
      <c r="AL218" s="383"/>
      <c r="AM218" s="353"/>
    </row>
    <row r="219" spans="1:39" s="352" customFormat="1">
      <c r="A219" s="364"/>
      <c r="B219" s="364"/>
      <c r="C219" s="365"/>
      <c r="D219" s="365"/>
      <c r="E219" s="365"/>
      <c r="F219" s="365"/>
      <c r="G219" s="365"/>
      <c r="H219" s="383"/>
      <c r="I219" s="365"/>
      <c r="J219" s="383"/>
      <c r="K219" s="365"/>
      <c r="L219" s="365"/>
      <c r="M219" s="365"/>
      <c r="N219" s="383"/>
      <c r="O219" s="365"/>
      <c r="P219" s="365"/>
      <c r="Q219" s="365"/>
      <c r="R219" s="383"/>
      <c r="S219" s="365"/>
      <c r="T219" s="383"/>
      <c r="U219" s="365"/>
      <c r="V219" s="383"/>
      <c r="W219" s="365"/>
      <c r="X219" s="383"/>
      <c r="Y219" s="365"/>
      <c r="Z219" s="383"/>
      <c r="AA219" s="365"/>
      <c r="AB219" s="365"/>
      <c r="AC219" s="365"/>
      <c r="AD219" s="383"/>
      <c r="AE219" s="365"/>
      <c r="AF219" s="383"/>
      <c r="AG219" s="365"/>
      <c r="AH219" s="383"/>
      <c r="AI219" s="365"/>
      <c r="AJ219" s="383"/>
      <c r="AK219" s="365"/>
      <c r="AL219" s="383"/>
      <c r="AM219" s="353"/>
    </row>
    <row r="220" spans="1:39" s="352" customFormat="1">
      <c r="A220" s="364"/>
      <c r="B220" s="364"/>
      <c r="C220" s="365"/>
      <c r="D220" s="365"/>
      <c r="E220" s="365"/>
      <c r="F220" s="365"/>
      <c r="G220" s="365"/>
      <c r="H220" s="383"/>
      <c r="I220" s="365"/>
      <c r="J220" s="383"/>
      <c r="K220" s="365"/>
      <c r="L220" s="365"/>
      <c r="M220" s="365"/>
      <c r="N220" s="383"/>
      <c r="O220" s="365"/>
      <c r="P220" s="365"/>
      <c r="Q220" s="365"/>
      <c r="R220" s="383"/>
      <c r="S220" s="365"/>
      <c r="T220" s="383"/>
      <c r="U220" s="365"/>
      <c r="V220" s="383"/>
      <c r="W220" s="365"/>
      <c r="X220" s="383"/>
      <c r="Y220" s="365"/>
      <c r="Z220" s="383"/>
      <c r="AA220" s="365"/>
      <c r="AB220" s="365"/>
      <c r="AC220" s="365"/>
      <c r="AD220" s="383"/>
      <c r="AE220" s="365"/>
      <c r="AF220" s="383"/>
      <c r="AG220" s="365"/>
      <c r="AH220" s="383"/>
      <c r="AI220" s="365"/>
      <c r="AJ220" s="383"/>
      <c r="AK220" s="365"/>
      <c r="AL220" s="383"/>
      <c r="AM220" s="353"/>
    </row>
    <row r="221" spans="1:39" s="352" customFormat="1">
      <c r="A221" s="364"/>
      <c r="B221" s="364"/>
      <c r="C221" s="365"/>
      <c r="D221" s="365"/>
      <c r="E221" s="365"/>
      <c r="F221" s="365"/>
      <c r="G221" s="365"/>
      <c r="H221" s="383"/>
      <c r="I221" s="365"/>
      <c r="J221" s="383"/>
      <c r="K221" s="365"/>
      <c r="L221" s="365"/>
      <c r="M221" s="365"/>
      <c r="N221" s="383"/>
      <c r="O221" s="365"/>
      <c r="P221" s="365"/>
      <c r="Q221" s="365"/>
      <c r="R221" s="383"/>
      <c r="S221" s="365"/>
      <c r="T221" s="383"/>
      <c r="U221" s="365"/>
      <c r="V221" s="383"/>
      <c r="W221" s="365"/>
      <c r="X221" s="383"/>
      <c r="Y221" s="365"/>
      <c r="Z221" s="383"/>
      <c r="AA221" s="365"/>
      <c r="AB221" s="365"/>
      <c r="AC221" s="365"/>
      <c r="AD221" s="383"/>
      <c r="AE221" s="365"/>
      <c r="AF221" s="383"/>
      <c r="AG221" s="365"/>
      <c r="AH221" s="383"/>
      <c r="AI221" s="365"/>
      <c r="AJ221" s="383"/>
      <c r="AK221" s="365"/>
      <c r="AL221" s="383"/>
      <c r="AM221" s="353"/>
    </row>
    <row r="222" spans="1:39" s="352" customFormat="1">
      <c r="A222" s="364"/>
      <c r="B222" s="364"/>
      <c r="C222" s="365"/>
      <c r="D222" s="365"/>
      <c r="E222" s="365"/>
      <c r="F222" s="365"/>
      <c r="G222" s="365"/>
      <c r="H222" s="383"/>
      <c r="I222" s="365"/>
      <c r="J222" s="383"/>
      <c r="K222" s="365"/>
      <c r="L222" s="365"/>
      <c r="M222" s="365"/>
      <c r="N222" s="383"/>
      <c r="O222" s="365"/>
      <c r="P222" s="365"/>
      <c r="Q222" s="365"/>
      <c r="R222" s="383"/>
      <c r="S222" s="365"/>
      <c r="T222" s="383"/>
      <c r="U222" s="365"/>
      <c r="V222" s="383"/>
      <c r="W222" s="365"/>
      <c r="X222" s="383"/>
      <c r="Y222" s="365"/>
      <c r="Z222" s="383"/>
      <c r="AA222" s="365"/>
      <c r="AB222" s="365"/>
      <c r="AC222" s="365"/>
      <c r="AD222" s="383"/>
      <c r="AE222" s="365"/>
      <c r="AF222" s="383"/>
      <c r="AG222" s="365"/>
      <c r="AH222" s="383"/>
      <c r="AI222" s="365"/>
      <c r="AJ222" s="383"/>
      <c r="AK222" s="365"/>
      <c r="AL222" s="383"/>
      <c r="AM222" s="353"/>
    </row>
    <row r="223" spans="1:39" s="352" customFormat="1">
      <c r="A223" s="364"/>
      <c r="B223" s="364"/>
      <c r="C223" s="365"/>
      <c r="D223" s="365"/>
      <c r="E223" s="365"/>
      <c r="F223" s="365"/>
      <c r="G223" s="365"/>
      <c r="H223" s="383"/>
      <c r="I223" s="365"/>
      <c r="J223" s="383"/>
      <c r="K223" s="365"/>
      <c r="L223" s="365"/>
      <c r="M223" s="365"/>
      <c r="N223" s="383"/>
      <c r="O223" s="365"/>
      <c r="P223" s="365"/>
      <c r="Q223" s="365"/>
      <c r="R223" s="383"/>
      <c r="S223" s="365"/>
      <c r="T223" s="383"/>
      <c r="U223" s="365"/>
      <c r="V223" s="383"/>
      <c r="W223" s="365"/>
      <c r="X223" s="383"/>
      <c r="Y223" s="365"/>
      <c r="Z223" s="383"/>
      <c r="AA223" s="365"/>
      <c r="AB223" s="365"/>
      <c r="AC223" s="365"/>
      <c r="AD223" s="383"/>
      <c r="AE223" s="365"/>
      <c r="AF223" s="383"/>
      <c r="AG223" s="365"/>
      <c r="AH223" s="383"/>
      <c r="AI223" s="365"/>
      <c r="AJ223" s="383"/>
      <c r="AK223" s="365"/>
      <c r="AL223" s="383"/>
      <c r="AM223" s="353"/>
    </row>
    <row r="224" spans="1:39" s="352" customFormat="1">
      <c r="A224" s="364"/>
      <c r="B224" s="364"/>
      <c r="C224" s="365"/>
      <c r="D224" s="365"/>
      <c r="E224" s="365"/>
      <c r="F224" s="365"/>
      <c r="G224" s="365"/>
      <c r="H224" s="383"/>
      <c r="I224" s="365"/>
      <c r="J224" s="383"/>
      <c r="K224" s="365"/>
      <c r="L224" s="365"/>
      <c r="M224" s="365"/>
      <c r="N224" s="383"/>
      <c r="O224" s="365"/>
      <c r="P224" s="365"/>
      <c r="Q224" s="365"/>
      <c r="R224" s="383"/>
      <c r="S224" s="365"/>
      <c r="T224" s="383"/>
      <c r="U224" s="365"/>
      <c r="V224" s="383"/>
      <c r="W224" s="365"/>
      <c r="X224" s="383"/>
      <c r="Y224" s="365"/>
      <c r="Z224" s="383"/>
      <c r="AA224" s="365"/>
      <c r="AB224" s="365"/>
      <c r="AC224" s="365"/>
      <c r="AD224" s="383"/>
      <c r="AE224" s="365"/>
      <c r="AF224" s="383"/>
      <c r="AG224" s="365"/>
      <c r="AH224" s="383"/>
      <c r="AI224" s="365"/>
      <c r="AJ224" s="383"/>
      <c r="AK224" s="365"/>
      <c r="AL224" s="383"/>
      <c r="AM224" s="353"/>
    </row>
    <row r="225" spans="1:39" s="352" customFormat="1">
      <c r="A225" s="364"/>
      <c r="B225" s="364"/>
      <c r="C225" s="365"/>
      <c r="D225" s="365"/>
      <c r="E225" s="365"/>
      <c r="F225" s="365"/>
      <c r="G225" s="365"/>
      <c r="H225" s="383"/>
      <c r="I225" s="365"/>
      <c r="J225" s="383"/>
      <c r="K225" s="365"/>
      <c r="L225" s="365"/>
      <c r="M225" s="365"/>
      <c r="N225" s="383"/>
      <c r="O225" s="365"/>
      <c r="P225" s="365"/>
      <c r="Q225" s="365"/>
      <c r="R225" s="383"/>
      <c r="S225" s="365"/>
      <c r="T225" s="383"/>
      <c r="U225" s="365"/>
      <c r="V225" s="383"/>
      <c r="W225" s="365"/>
      <c r="X225" s="383"/>
      <c r="Y225" s="365"/>
      <c r="Z225" s="383"/>
      <c r="AA225" s="365"/>
      <c r="AB225" s="365"/>
      <c r="AC225" s="365"/>
      <c r="AD225" s="383"/>
      <c r="AE225" s="365"/>
      <c r="AF225" s="383"/>
      <c r="AG225" s="365"/>
      <c r="AH225" s="383"/>
      <c r="AI225" s="365"/>
      <c r="AJ225" s="383"/>
      <c r="AK225" s="365"/>
      <c r="AL225" s="383"/>
      <c r="AM225" s="353"/>
    </row>
    <row r="226" spans="1:39" s="352" customFormat="1">
      <c r="A226" s="364"/>
      <c r="B226" s="364"/>
      <c r="C226" s="365"/>
      <c r="D226" s="365"/>
      <c r="E226" s="365"/>
      <c r="F226" s="365"/>
      <c r="G226" s="365"/>
      <c r="H226" s="383"/>
      <c r="I226" s="365"/>
      <c r="J226" s="383"/>
      <c r="K226" s="365"/>
      <c r="L226" s="365"/>
      <c r="M226" s="365"/>
      <c r="N226" s="383"/>
      <c r="O226" s="365"/>
      <c r="P226" s="365"/>
      <c r="Q226" s="365"/>
      <c r="R226" s="383"/>
      <c r="S226" s="365"/>
      <c r="T226" s="383"/>
      <c r="U226" s="365"/>
      <c r="V226" s="383"/>
      <c r="W226" s="365"/>
      <c r="X226" s="383"/>
      <c r="Y226" s="365"/>
      <c r="Z226" s="383"/>
      <c r="AA226" s="365"/>
      <c r="AB226" s="365"/>
      <c r="AC226" s="365"/>
      <c r="AD226" s="383"/>
      <c r="AE226" s="365"/>
      <c r="AF226" s="383"/>
      <c r="AG226" s="365"/>
      <c r="AH226" s="383"/>
      <c r="AI226" s="365"/>
      <c r="AJ226" s="383"/>
      <c r="AK226" s="365"/>
      <c r="AL226" s="383"/>
      <c r="AM226" s="353"/>
    </row>
    <row r="227" spans="1:39" s="352" customFormat="1">
      <c r="A227" s="364"/>
      <c r="B227" s="364"/>
      <c r="C227" s="365"/>
      <c r="D227" s="365"/>
      <c r="E227" s="365"/>
      <c r="F227" s="365"/>
      <c r="G227" s="365"/>
      <c r="H227" s="383"/>
      <c r="I227" s="365"/>
      <c r="J227" s="383"/>
      <c r="K227" s="365"/>
      <c r="L227" s="365"/>
      <c r="M227" s="365"/>
      <c r="N227" s="383"/>
      <c r="O227" s="365"/>
      <c r="P227" s="365"/>
      <c r="Q227" s="365"/>
      <c r="R227" s="383"/>
      <c r="S227" s="365"/>
      <c r="T227" s="383"/>
      <c r="U227" s="365"/>
      <c r="V227" s="383"/>
      <c r="W227" s="365"/>
      <c r="X227" s="383"/>
      <c r="Y227" s="365"/>
      <c r="Z227" s="383"/>
      <c r="AA227" s="365"/>
      <c r="AB227" s="365"/>
      <c r="AC227" s="365"/>
      <c r="AD227" s="383"/>
      <c r="AE227" s="365"/>
      <c r="AF227" s="383"/>
      <c r="AG227" s="365"/>
      <c r="AH227" s="383"/>
      <c r="AI227" s="365"/>
      <c r="AJ227" s="383"/>
      <c r="AK227" s="365"/>
      <c r="AL227" s="383"/>
      <c r="AM227" s="353"/>
    </row>
    <row r="228" spans="1:39" s="352" customFormat="1">
      <c r="A228" s="364"/>
      <c r="B228" s="364"/>
      <c r="C228" s="365"/>
      <c r="D228" s="365"/>
      <c r="E228" s="365"/>
      <c r="F228" s="365"/>
      <c r="G228" s="365"/>
      <c r="H228" s="383"/>
      <c r="I228" s="365"/>
      <c r="J228" s="383"/>
      <c r="K228" s="365"/>
      <c r="L228" s="365"/>
      <c r="M228" s="365"/>
      <c r="N228" s="383"/>
      <c r="O228" s="365"/>
      <c r="P228" s="365"/>
      <c r="Q228" s="365"/>
      <c r="R228" s="383"/>
      <c r="S228" s="365"/>
      <c r="T228" s="383"/>
      <c r="U228" s="365"/>
      <c r="V228" s="383"/>
      <c r="W228" s="365"/>
      <c r="X228" s="383"/>
      <c r="Y228" s="365"/>
      <c r="Z228" s="383"/>
      <c r="AA228" s="365"/>
      <c r="AB228" s="365"/>
      <c r="AC228" s="365"/>
      <c r="AD228" s="383"/>
      <c r="AE228" s="365"/>
      <c r="AF228" s="383"/>
      <c r="AG228" s="365"/>
      <c r="AH228" s="383"/>
      <c r="AI228" s="365"/>
      <c r="AJ228" s="383"/>
      <c r="AK228" s="365"/>
      <c r="AL228" s="383"/>
      <c r="AM228" s="353"/>
    </row>
    <row r="229" spans="1:39" s="352" customFormat="1">
      <c r="A229" s="364"/>
      <c r="B229" s="364"/>
      <c r="C229" s="365"/>
      <c r="D229" s="365"/>
      <c r="E229" s="365"/>
      <c r="F229" s="365"/>
      <c r="G229" s="365"/>
      <c r="H229" s="383"/>
      <c r="I229" s="365"/>
      <c r="J229" s="383"/>
      <c r="K229" s="365"/>
      <c r="L229" s="365"/>
      <c r="M229" s="365"/>
      <c r="N229" s="383"/>
      <c r="O229" s="365"/>
      <c r="P229" s="365"/>
      <c r="Q229" s="365"/>
      <c r="R229" s="383"/>
      <c r="S229" s="365"/>
      <c r="T229" s="383"/>
      <c r="U229" s="365"/>
      <c r="V229" s="383"/>
      <c r="W229" s="365"/>
      <c r="X229" s="383"/>
      <c r="Y229" s="365"/>
      <c r="Z229" s="383"/>
      <c r="AA229" s="365"/>
      <c r="AB229" s="365"/>
      <c r="AC229" s="365"/>
      <c r="AD229" s="383"/>
      <c r="AE229" s="365"/>
      <c r="AF229" s="383"/>
      <c r="AG229" s="365"/>
      <c r="AH229" s="383"/>
      <c r="AI229" s="365"/>
      <c r="AJ229" s="383"/>
      <c r="AK229" s="365"/>
      <c r="AL229" s="383"/>
      <c r="AM229" s="353"/>
    </row>
    <row r="230" spans="1:39" s="352" customFormat="1">
      <c r="A230" s="364"/>
      <c r="B230" s="364"/>
      <c r="C230" s="365"/>
      <c r="D230" s="365"/>
      <c r="E230" s="365"/>
      <c r="F230" s="365"/>
      <c r="G230" s="365"/>
      <c r="H230" s="383"/>
      <c r="I230" s="365"/>
      <c r="J230" s="383"/>
      <c r="K230" s="365"/>
      <c r="L230" s="365"/>
      <c r="M230" s="365"/>
      <c r="N230" s="383"/>
      <c r="O230" s="365"/>
      <c r="P230" s="365"/>
      <c r="Q230" s="365"/>
      <c r="R230" s="383"/>
      <c r="S230" s="365"/>
      <c r="T230" s="383"/>
      <c r="U230" s="365"/>
      <c r="V230" s="383"/>
      <c r="W230" s="365"/>
      <c r="X230" s="383"/>
      <c r="Y230" s="365"/>
      <c r="Z230" s="383"/>
      <c r="AA230" s="365"/>
      <c r="AB230" s="365"/>
      <c r="AC230" s="365"/>
      <c r="AD230" s="383"/>
      <c r="AE230" s="365"/>
      <c r="AF230" s="383"/>
      <c r="AG230" s="365"/>
      <c r="AH230" s="383"/>
      <c r="AI230" s="365"/>
      <c r="AJ230" s="383"/>
      <c r="AK230" s="365"/>
      <c r="AL230" s="383"/>
      <c r="AM230" s="353"/>
    </row>
    <row r="231" spans="1:39" s="352" customFormat="1">
      <c r="A231" s="364"/>
      <c r="B231" s="364"/>
      <c r="C231" s="365"/>
      <c r="D231" s="365"/>
      <c r="E231" s="365"/>
      <c r="F231" s="365"/>
      <c r="G231" s="365"/>
      <c r="H231" s="383"/>
      <c r="I231" s="365"/>
      <c r="J231" s="383"/>
      <c r="K231" s="365"/>
      <c r="L231" s="365"/>
      <c r="M231" s="365"/>
      <c r="N231" s="383"/>
      <c r="O231" s="365"/>
      <c r="P231" s="365"/>
      <c r="Q231" s="365"/>
      <c r="R231" s="383"/>
      <c r="S231" s="365"/>
      <c r="T231" s="383"/>
      <c r="U231" s="365"/>
      <c r="V231" s="383"/>
      <c r="W231" s="365"/>
      <c r="X231" s="383"/>
      <c r="Y231" s="365"/>
      <c r="Z231" s="383"/>
      <c r="AA231" s="365"/>
      <c r="AB231" s="365"/>
      <c r="AC231" s="365"/>
      <c r="AD231" s="383"/>
      <c r="AE231" s="365"/>
      <c r="AF231" s="383"/>
      <c r="AG231" s="365"/>
      <c r="AH231" s="383"/>
      <c r="AI231" s="365"/>
      <c r="AJ231" s="383"/>
      <c r="AK231" s="365"/>
      <c r="AL231" s="383"/>
      <c r="AM231" s="353"/>
    </row>
    <row r="232" spans="1:39" s="352" customFormat="1">
      <c r="A232" s="364"/>
      <c r="B232" s="364"/>
      <c r="C232" s="365"/>
      <c r="D232" s="365"/>
      <c r="E232" s="365"/>
      <c r="F232" s="365"/>
      <c r="G232" s="365"/>
      <c r="H232" s="383"/>
      <c r="I232" s="365"/>
      <c r="J232" s="383"/>
      <c r="K232" s="365"/>
      <c r="L232" s="365"/>
      <c r="M232" s="365"/>
      <c r="N232" s="383"/>
      <c r="O232" s="365"/>
      <c r="P232" s="365"/>
      <c r="Q232" s="365"/>
      <c r="R232" s="383"/>
      <c r="S232" s="365"/>
      <c r="T232" s="383"/>
      <c r="U232" s="365"/>
      <c r="V232" s="383"/>
      <c r="W232" s="365"/>
      <c r="X232" s="383"/>
      <c r="Y232" s="365"/>
      <c r="Z232" s="383"/>
      <c r="AA232" s="365"/>
      <c r="AB232" s="365"/>
      <c r="AC232" s="365"/>
      <c r="AD232" s="383"/>
      <c r="AE232" s="365"/>
      <c r="AF232" s="383"/>
      <c r="AG232" s="365"/>
      <c r="AH232" s="383"/>
      <c r="AI232" s="365"/>
      <c r="AJ232" s="383"/>
      <c r="AK232" s="365"/>
      <c r="AL232" s="383"/>
      <c r="AM232" s="353"/>
    </row>
    <row r="233" spans="1:39" s="352" customFormat="1">
      <c r="A233" s="364"/>
      <c r="B233" s="364"/>
      <c r="C233" s="365"/>
      <c r="D233" s="365"/>
      <c r="E233" s="365"/>
      <c r="F233" s="365"/>
      <c r="G233" s="365"/>
      <c r="H233" s="383"/>
      <c r="I233" s="365"/>
      <c r="J233" s="383"/>
      <c r="K233" s="365"/>
      <c r="L233" s="365"/>
      <c r="M233" s="365"/>
      <c r="N233" s="383"/>
      <c r="O233" s="365"/>
      <c r="P233" s="365"/>
      <c r="Q233" s="365"/>
      <c r="R233" s="383"/>
      <c r="S233" s="365"/>
      <c r="T233" s="383"/>
      <c r="U233" s="365"/>
      <c r="V233" s="383"/>
      <c r="W233" s="365"/>
      <c r="X233" s="383"/>
      <c r="Y233" s="365"/>
      <c r="Z233" s="383"/>
      <c r="AA233" s="365"/>
      <c r="AB233" s="365"/>
      <c r="AC233" s="365"/>
      <c r="AD233" s="383"/>
      <c r="AE233" s="365"/>
      <c r="AF233" s="383"/>
      <c r="AG233" s="365"/>
      <c r="AH233" s="383"/>
      <c r="AI233" s="365"/>
      <c r="AJ233" s="383"/>
      <c r="AK233" s="365"/>
      <c r="AL233" s="383"/>
      <c r="AM233" s="353"/>
    </row>
    <row r="234" spans="1:39" s="352" customFormat="1">
      <c r="A234" s="364"/>
      <c r="B234" s="364"/>
      <c r="C234" s="365"/>
      <c r="D234" s="365"/>
      <c r="E234" s="365"/>
      <c r="F234" s="365"/>
      <c r="G234" s="365"/>
      <c r="H234" s="383"/>
      <c r="I234" s="365"/>
      <c r="J234" s="383"/>
      <c r="K234" s="365"/>
      <c r="L234" s="365"/>
      <c r="M234" s="365"/>
      <c r="N234" s="383"/>
      <c r="O234" s="365"/>
      <c r="P234" s="365"/>
      <c r="Q234" s="365"/>
      <c r="R234" s="383"/>
      <c r="S234" s="365"/>
      <c r="T234" s="383"/>
      <c r="U234" s="365"/>
      <c r="V234" s="383"/>
      <c r="W234" s="365"/>
      <c r="X234" s="383"/>
      <c r="Y234" s="365"/>
      <c r="Z234" s="383"/>
      <c r="AA234" s="365"/>
      <c r="AB234" s="365"/>
      <c r="AC234" s="365"/>
      <c r="AD234" s="383"/>
      <c r="AE234" s="365"/>
      <c r="AF234" s="383"/>
      <c r="AG234" s="365"/>
      <c r="AH234" s="383"/>
      <c r="AI234" s="365"/>
      <c r="AJ234" s="383"/>
      <c r="AK234" s="365"/>
      <c r="AL234" s="383"/>
      <c r="AM234" s="353"/>
    </row>
    <row r="235" spans="1:39" s="352" customFormat="1">
      <c r="A235" s="364"/>
      <c r="B235" s="364"/>
      <c r="C235" s="365"/>
      <c r="D235" s="365"/>
      <c r="E235" s="365"/>
      <c r="F235" s="365"/>
      <c r="G235" s="365"/>
      <c r="H235" s="383"/>
      <c r="I235" s="365"/>
      <c r="J235" s="383"/>
      <c r="K235" s="365"/>
      <c r="L235" s="365"/>
      <c r="M235" s="365"/>
      <c r="N235" s="383"/>
      <c r="O235" s="365"/>
      <c r="P235" s="365"/>
      <c r="Q235" s="365"/>
      <c r="R235" s="383"/>
      <c r="S235" s="365"/>
      <c r="T235" s="383"/>
      <c r="U235" s="365"/>
      <c r="V235" s="383"/>
      <c r="W235" s="365"/>
      <c r="X235" s="383"/>
      <c r="Y235" s="365"/>
      <c r="Z235" s="383"/>
      <c r="AA235" s="365"/>
      <c r="AB235" s="365"/>
      <c r="AC235" s="365"/>
      <c r="AD235" s="383"/>
      <c r="AE235" s="365"/>
      <c r="AF235" s="383"/>
      <c r="AG235" s="365"/>
      <c r="AH235" s="383"/>
      <c r="AI235" s="365"/>
      <c r="AJ235" s="383"/>
      <c r="AK235" s="365"/>
      <c r="AL235" s="383"/>
      <c r="AM235" s="353"/>
    </row>
    <row r="236" spans="1:39" s="352" customFormat="1">
      <c r="A236" s="364"/>
      <c r="B236" s="364"/>
      <c r="C236" s="365"/>
      <c r="D236" s="365"/>
      <c r="E236" s="365"/>
      <c r="F236" s="365"/>
      <c r="G236" s="365"/>
      <c r="H236" s="383"/>
      <c r="I236" s="365"/>
      <c r="J236" s="383"/>
      <c r="K236" s="365"/>
      <c r="L236" s="365"/>
      <c r="M236" s="365"/>
      <c r="N236" s="383"/>
      <c r="O236" s="365"/>
      <c r="P236" s="365"/>
      <c r="Q236" s="365"/>
      <c r="R236" s="383"/>
      <c r="S236" s="365"/>
      <c r="T236" s="383"/>
      <c r="U236" s="365"/>
      <c r="V236" s="383"/>
      <c r="W236" s="365"/>
      <c r="X236" s="383"/>
      <c r="Y236" s="365"/>
      <c r="Z236" s="383"/>
      <c r="AA236" s="365"/>
      <c r="AB236" s="365"/>
      <c r="AC236" s="365"/>
      <c r="AD236" s="383"/>
      <c r="AE236" s="365"/>
      <c r="AF236" s="383"/>
      <c r="AG236" s="365"/>
      <c r="AH236" s="383"/>
      <c r="AI236" s="365"/>
      <c r="AJ236" s="383"/>
      <c r="AK236" s="365"/>
      <c r="AL236" s="383"/>
      <c r="AM236" s="353"/>
    </row>
    <row r="237" spans="1:39" s="352" customFormat="1">
      <c r="A237" s="364"/>
      <c r="B237" s="364"/>
      <c r="C237" s="365"/>
      <c r="D237" s="365"/>
      <c r="E237" s="365"/>
      <c r="F237" s="365"/>
      <c r="G237" s="365"/>
      <c r="H237" s="383"/>
      <c r="I237" s="365"/>
      <c r="J237" s="383"/>
      <c r="K237" s="365"/>
      <c r="L237" s="365"/>
      <c r="M237" s="365"/>
      <c r="N237" s="383"/>
      <c r="O237" s="365"/>
      <c r="P237" s="365"/>
      <c r="Q237" s="365"/>
      <c r="R237" s="383"/>
      <c r="S237" s="365"/>
      <c r="T237" s="383"/>
      <c r="U237" s="365"/>
      <c r="V237" s="383"/>
      <c r="W237" s="365"/>
      <c r="X237" s="383"/>
      <c r="Y237" s="365"/>
      <c r="Z237" s="383"/>
      <c r="AA237" s="365"/>
      <c r="AB237" s="365"/>
      <c r="AC237" s="365"/>
      <c r="AD237" s="383"/>
      <c r="AE237" s="365"/>
      <c r="AF237" s="383"/>
      <c r="AG237" s="365"/>
      <c r="AH237" s="383"/>
      <c r="AI237" s="365"/>
      <c r="AJ237" s="383"/>
      <c r="AK237" s="365"/>
      <c r="AL237" s="383"/>
      <c r="AM237" s="353"/>
    </row>
    <row r="238" spans="1:39" s="352" customFormat="1">
      <c r="A238" s="364"/>
      <c r="B238" s="364"/>
      <c r="C238" s="365"/>
      <c r="D238" s="365"/>
      <c r="E238" s="365"/>
      <c r="F238" s="365"/>
      <c r="G238" s="365"/>
      <c r="H238" s="383"/>
      <c r="I238" s="365"/>
      <c r="J238" s="383"/>
      <c r="K238" s="365"/>
      <c r="L238" s="365"/>
      <c r="M238" s="365"/>
      <c r="N238" s="383"/>
      <c r="O238" s="365"/>
      <c r="P238" s="365"/>
      <c r="Q238" s="365"/>
      <c r="R238" s="383"/>
      <c r="S238" s="365"/>
      <c r="T238" s="383"/>
      <c r="U238" s="365"/>
      <c r="V238" s="383"/>
      <c r="W238" s="365"/>
      <c r="X238" s="383"/>
      <c r="Y238" s="365"/>
      <c r="Z238" s="383"/>
      <c r="AA238" s="365"/>
      <c r="AB238" s="365"/>
      <c r="AC238" s="365"/>
      <c r="AD238" s="383"/>
      <c r="AE238" s="365"/>
      <c r="AF238" s="383"/>
      <c r="AG238" s="365"/>
      <c r="AH238" s="383"/>
      <c r="AI238" s="365"/>
      <c r="AJ238" s="383"/>
      <c r="AK238" s="365"/>
      <c r="AL238" s="383"/>
      <c r="AM238" s="353"/>
    </row>
    <row r="239" spans="1:39" s="352" customFormat="1">
      <c r="A239" s="364"/>
      <c r="B239" s="364"/>
      <c r="C239" s="365"/>
      <c r="D239" s="365"/>
      <c r="E239" s="365"/>
      <c r="F239" s="365"/>
      <c r="G239" s="365"/>
      <c r="H239" s="383"/>
      <c r="I239" s="365"/>
      <c r="J239" s="383"/>
      <c r="K239" s="365"/>
      <c r="L239" s="365"/>
      <c r="M239" s="365"/>
      <c r="N239" s="383"/>
      <c r="O239" s="365"/>
      <c r="P239" s="365"/>
      <c r="Q239" s="365"/>
      <c r="R239" s="383"/>
      <c r="S239" s="365"/>
      <c r="T239" s="383"/>
      <c r="U239" s="365"/>
      <c r="V239" s="383"/>
      <c r="W239" s="365"/>
      <c r="X239" s="383"/>
      <c r="Y239" s="365"/>
      <c r="Z239" s="383"/>
      <c r="AA239" s="365"/>
      <c r="AB239" s="365"/>
      <c r="AC239" s="365"/>
      <c r="AD239" s="383"/>
      <c r="AE239" s="365"/>
      <c r="AF239" s="383"/>
      <c r="AG239" s="365"/>
      <c r="AH239" s="383"/>
      <c r="AI239" s="365"/>
      <c r="AJ239" s="383"/>
      <c r="AK239" s="365"/>
      <c r="AL239" s="383"/>
      <c r="AM239" s="353"/>
    </row>
    <row r="240" spans="1:39" s="352" customFormat="1">
      <c r="A240" s="364"/>
      <c r="B240" s="364"/>
      <c r="C240" s="365"/>
      <c r="D240" s="365"/>
      <c r="E240" s="365"/>
      <c r="F240" s="365"/>
      <c r="G240" s="365"/>
      <c r="H240" s="383"/>
      <c r="I240" s="365"/>
      <c r="J240" s="383"/>
      <c r="K240" s="365"/>
      <c r="L240" s="365"/>
      <c r="M240" s="365"/>
      <c r="N240" s="383"/>
      <c r="O240" s="365"/>
      <c r="P240" s="365"/>
      <c r="Q240" s="365"/>
      <c r="R240" s="383"/>
      <c r="S240" s="365"/>
      <c r="T240" s="383"/>
      <c r="U240" s="365"/>
      <c r="V240" s="383"/>
      <c r="W240" s="365"/>
      <c r="X240" s="383"/>
      <c r="Y240" s="365"/>
      <c r="Z240" s="383"/>
      <c r="AA240" s="365"/>
      <c r="AB240" s="365"/>
      <c r="AC240" s="365"/>
      <c r="AD240" s="383"/>
      <c r="AE240" s="365"/>
      <c r="AF240" s="383"/>
      <c r="AG240" s="365"/>
      <c r="AH240" s="383"/>
      <c r="AI240" s="365"/>
      <c r="AJ240" s="383"/>
      <c r="AK240" s="365"/>
      <c r="AL240" s="383"/>
      <c r="AM240" s="353"/>
    </row>
    <row r="241" spans="1:39" s="352" customFormat="1">
      <c r="A241" s="364"/>
      <c r="B241" s="364"/>
      <c r="C241" s="365"/>
      <c r="D241" s="365"/>
      <c r="E241" s="365"/>
      <c r="F241" s="365"/>
      <c r="G241" s="365"/>
      <c r="H241" s="383"/>
      <c r="I241" s="365"/>
      <c r="J241" s="383"/>
      <c r="K241" s="365"/>
      <c r="L241" s="365"/>
      <c r="M241" s="365"/>
      <c r="N241" s="383"/>
      <c r="O241" s="365"/>
      <c r="P241" s="365"/>
      <c r="Q241" s="365"/>
      <c r="R241" s="383"/>
      <c r="S241" s="365"/>
      <c r="T241" s="383"/>
      <c r="U241" s="365"/>
      <c r="V241" s="383"/>
      <c r="W241" s="365"/>
      <c r="X241" s="383"/>
      <c r="Y241" s="365"/>
      <c r="Z241" s="383"/>
      <c r="AA241" s="365"/>
      <c r="AB241" s="365"/>
      <c r="AC241" s="365"/>
      <c r="AD241" s="383"/>
      <c r="AE241" s="365"/>
      <c r="AF241" s="383"/>
      <c r="AG241" s="365"/>
      <c r="AH241" s="383"/>
      <c r="AI241" s="365"/>
      <c r="AJ241" s="383"/>
      <c r="AK241" s="365"/>
      <c r="AL241" s="383"/>
      <c r="AM241" s="353"/>
    </row>
    <row r="242" spans="1:39" s="352" customFormat="1">
      <c r="A242" s="364"/>
      <c r="B242" s="364"/>
      <c r="C242" s="365"/>
      <c r="D242" s="365"/>
      <c r="E242" s="365"/>
      <c r="F242" s="365"/>
      <c r="G242" s="365"/>
      <c r="H242" s="383"/>
      <c r="I242" s="365"/>
      <c r="J242" s="383"/>
      <c r="K242" s="365"/>
      <c r="L242" s="365"/>
      <c r="M242" s="365"/>
      <c r="N242" s="383"/>
      <c r="O242" s="365"/>
      <c r="P242" s="365"/>
      <c r="Q242" s="365"/>
      <c r="R242" s="383"/>
      <c r="S242" s="365"/>
      <c r="T242" s="383"/>
      <c r="U242" s="365"/>
      <c r="V242" s="383"/>
      <c r="W242" s="365"/>
      <c r="X242" s="383"/>
      <c r="Y242" s="365"/>
      <c r="Z242" s="383"/>
      <c r="AA242" s="365"/>
      <c r="AB242" s="365"/>
      <c r="AC242" s="365"/>
      <c r="AD242" s="383"/>
      <c r="AE242" s="365"/>
      <c r="AF242" s="383"/>
      <c r="AG242" s="365"/>
      <c r="AH242" s="383"/>
      <c r="AI242" s="365"/>
      <c r="AJ242" s="383"/>
      <c r="AK242" s="365"/>
      <c r="AL242" s="383"/>
      <c r="AM242" s="353"/>
    </row>
    <row r="243" spans="1:39" s="352" customFormat="1">
      <c r="A243" s="364"/>
      <c r="B243" s="364"/>
      <c r="C243" s="365"/>
      <c r="D243" s="365"/>
      <c r="E243" s="365"/>
      <c r="F243" s="365"/>
      <c r="G243" s="365"/>
      <c r="H243" s="383"/>
      <c r="I243" s="365"/>
      <c r="J243" s="383"/>
      <c r="K243" s="365"/>
      <c r="L243" s="365"/>
      <c r="M243" s="365"/>
      <c r="N243" s="383"/>
      <c r="O243" s="365"/>
      <c r="P243" s="365"/>
      <c r="Q243" s="365"/>
      <c r="R243" s="383"/>
      <c r="S243" s="365"/>
      <c r="T243" s="383"/>
      <c r="U243" s="365"/>
      <c r="V243" s="383"/>
      <c r="W243" s="365"/>
      <c r="X243" s="383"/>
      <c r="Y243" s="365"/>
      <c r="Z243" s="383"/>
      <c r="AA243" s="365"/>
      <c r="AB243" s="365"/>
      <c r="AC243" s="365"/>
      <c r="AD243" s="383"/>
      <c r="AE243" s="365"/>
      <c r="AF243" s="383"/>
      <c r="AG243" s="365"/>
      <c r="AH243" s="383"/>
      <c r="AI243" s="365"/>
      <c r="AJ243" s="383"/>
      <c r="AK243" s="365"/>
      <c r="AL243" s="383"/>
      <c r="AM243" s="353"/>
    </row>
    <row r="244" spans="1:39" s="352" customFormat="1">
      <c r="A244" s="364"/>
      <c r="B244" s="364"/>
      <c r="C244" s="365"/>
      <c r="D244" s="365"/>
      <c r="E244" s="365"/>
      <c r="F244" s="365"/>
      <c r="G244" s="365"/>
      <c r="H244" s="383"/>
      <c r="I244" s="365"/>
      <c r="J244" s="383"/>
      <c r="K244" s="365"/>
      <c r="L244" s="365"/>
      <c r="M244" s="365"/>
      <c r="N244" s="383"/>
      <c r="O244" s="365"/>
      <c r="P244" s="365"/>
      <c r="Q244" s="365"/>
      <c r="R244" s="383"/>
      <c r="S244" s="365"/>
      <c r="T244" s="383"/>
      <c r="U244" s="365"/>
      <c r="V244" s="383"/>
      <c r="W244" s="365"/>
      <c r="X244" s="383"/>
      <c r="Y244" s="365"/>
      <c r="Z244" s="383"/>
      <c r="AA244" s="365"/>
      <c r="AB244" s="365"/>
      <c r="AC244" s="365"/>
      <c r="AD244" s="383"/>
      <c r="AE244" s="365"/>
      <c r="AF244" s="383"/>
      <c r="AG244" s="365"/>
      <c r="AH244" s="383"/>
      <c r="AI244" s="365"/>
      <c r="AJ244" s="383"/>
      <c r="AK244" s="365"/>
      <c r="AL244" s="383"/>
      <c r="AM244" s="353"/>
    </row>
    <row r="245" spans="1:39" s="352" customFormat="1">
      <c r="A245" s="364"/>
      <c r="B245" s="364"/>
      <c r="C245" s="365"/>
      <c r="D245" s="365"/>
      <c r="E245" s="365"/>
      <c r="F245" s="365"/>
      <c r="G245" s="365"/>
      <c r="H245" s="383"/>
      <c r="I245" s="365"/>
      <c r="J245" s="383"/>
      <c r="K245" s="365"/>
      <c r="L245" s="365"/>
      <c r="M245" s="365"/>
      <c r="N245" s="383"/>
      <c r="O245" s="365"/>
      <c r="P245" s="365"/>
      <c r="Q245" s="365"/>
      <c r="R245" s="383"/>
      <c r="S245" s="365"/>
      <c r="T245" s="383"/>
      <c r="U245" s="365"/>
      <c r="V245" s="383"/>
      <c r="W245" s="365"/>
      <c r="X245" s="383"/>
      <c r="Y245" s="365"/>
      <c r="Z245" s="383"/>
      <c r="AA245" s="365"/>
      <c r="AB245" s="365"/>
      <c r="AC245" s="365"/>
      <c r="AD245" s="383"/>
      <c r="AE245" s="365"/>
      <c r="AF245" s="383"/>
      <c r="AG245" s="365"/>
      <c r="AH245" s="383"/>
      <c r="AI245" s="365"/>
      <c r="AJ245" s="383"/>
      <c r="AK245" s="365"/>
      <c r="AL245" s="383"/>
      <c r="AM245" s="353"/>
    </row>
    <row r="246" spans="1:39" s="352" customFormat="1">
      <c r="A246" s="364"/>
      <c r="B246" s="364"/>
      <c r="C246" s="365"/>
      <c r="D246" s="365"/>
      <c r="E246" s="365"/>
      <c r="F246" s="365"/>
      <c r="G246" s="365"/>
      <c r="H246" s="383"/>
      <c r="I246" s="365"/>
      <c r="J246" s="383"/>
      <c r="K246" s="365"/>
      <c r="L246" s="365"/>
      <c r="M246" s="365"/>
      <c r="N246" s="383"/>
      <c r="O246" s="365"/>
      <c r="P246" s="365"/>
      <c r="Q246" s="365"/>
      <c r="R246" s="383"/>
      <c r="S246" s="365"/>
      <c r="T246" s="383"/>
      <c r="U246" s="365"/>
      <c r="V246" s="383"/>
      <c r="W246" s="365"/>
      <c r="X246" s="383"/>
      <c r="Y246" s="365"/>
      <c r="Z246" s="383"/>
      <c r="AA246" s="365"/>
      <c r="AB246" s="365"/>
      <c r="AC246" s="365"/>
      <c r="AD246" s="383"/>
      <c r="AE246" s="365"/>
      <c r="AF246" s="383"/>
      <c r="AG246" s="365"/>
      <c r="AH246" s="383"/>
      <c r="AI246" s="365"/>
      <c r="AJ246" s="383"/>
      <c r="AK246" s="365"/>
      <c r="AL246" s="383"/>
      <c r="AM246" s="353"/>
    </row>
    <row r="247" spans="1:39" s="352" customFormat="1">
      <c r="A247" s="364"/>
      <c r="B247" s="364"/>
      <c r="C247" s="365"/>
      <c r="D247" s="365"/>
      <c r="E247" s="365"/>
      <c r="F247" s="365"/>
      <c r="G247" s="365"/>
      <c r="H247" s="383"/>
      <c r="I247" s="365"/>
      <c r="J247" s="383"/>
      <c r="K247" s="365"/>
      <c r="L247" s="365"/>
      <c r="M247" s="365"/>
      <c r="N247" s="383"/>
      <c r="O247" s="365"/>
      <c r="P247" s="365"/>
      <c r="Q247" s="365"/>
      <c r="R247" s="383"/>
      <c r="S247" s="365"/>
      <c r="T247" s="383"/>
      <c r="U247" s="365"/>
      <c r="V247" s="383"/>
      <c r="W247" s="365"/>
      <c r="X247" s="383"/>
      <c r="Y247" s="365"/>
      <c r="Z247" s="383"/>
      <c r="AA247" s="365"/>
      <c r="AB247" s="365"/>
      <c r="AC247" s="365"/>
      <c r="AD247" s="383"/>
      <c r="AE247" s="365"/>
      <c r="AF247" s="383"/>
      <c r="AG247" s="365"/>
      <c r="AH247" s="383"/>
      <c r="AI247" s="365"/>
      <c r="AJ247" s="383"/>
      <c r="AK247" s="365"/>
      <c r="AL247" s="383"/>
      <c r="AM247" s="353"/>
    </row>
    <row r="248" spans="1:39" s="352" customFormat="1">
      <c r="A248" s="364"/>
      <c r="B248" s="364"/>
      <c r="C248" s="365"/>
      <c r="D248" s="365"/>
      <c r="E248" s="365"/>
      <c r="F248" s="365"/>
      <c r="G248" s="365"/>
      <c r="H248" s="383"/>
      <c r="I248" s="365"/>
      <c r="J248" s="383"/>
      <c r="K248" s="365"/>
      <c r="L248" s="365"/>
      <c r="M248" s="365"/>
      <c r="N248" s="383"/>
      <c r="O248" s="365"/>
      <c r="P248" s="365"/>
      <c r="Q248" s="365"/>
      <c r="R248" s="383"/>
      <c r="S248" s="365"/>
      <c r="T248" s="383"/>
      <c r="U248" s="365"/>
      <c r="V248" s="383"/>
      <c r="W248" s="365"/>
      <c r="X248" s="383"/>
      <c r="Y248" s="365"/>
      <c r="Z248" s="383"/>
      <c r="AA248" s="365"/>
      <c r="AB248" s="365"/>
      <c r="AC248" s="365"/>
      <c r="AD248" s="383"/>
      <c r="AE248" s="365"/>
      <c r="AF248" s="383"/>
      <c r="AG248" s="365"/>
      <c r="AH248" s="383"/>
      <c r="AI248" s="365"/>
      <c r="AJ248" s="383"/>
      <c r="AK248" s="365"/>
      <c r="AL248" s="383"/>
      <c r="AM248" s="353"/>
    </row>
    <row r="249" spans="1:39" s="352" customFormat="1">
      <c r="A249" s="364"/>
      <c r="B249" s="364"/>
      <c r="C249" s="365"/>
      <c r="D249" s="365"/>
      <c r="E249" s="365"/>
      <c r="F249" s="365"/>
      <c r="G249" s="365"/>
      <c r="H249" s="383"/>
      <c r="I249" s="365"/>
      <c r="J249" s="383"/>
      <c r="K249" s="365"/>
      <c r="L249" s="365"/>
      <c r="M249" s="365"/>
      <c r="N249" s="383"/>
      <c r="O249" s="365"/>
      <c r="P249" s="365"/>
      <c r="Q249" s="365"/>
      <c r="R249" s="383"/>
      <c r="S249" s="365"/>
      <c r="T249" s="383"/>
      <c r="U249" s="365"/>
      <c r="V249" s="383"/>
      <c r="W249" s="365"/>
      <c r="X249" s="383"/>
      <c r="Y249" s="365"/>
      <c r="Z249" s="383"/>
      <c r="AA249" s="365"/>
      <c r="AB249" s="365"/>
      <c r="AC249" s="365"/>
      <c r="AD249" s="383"/>
      <c r="AE249" s="365"/>
      <c r="AF249" s="383"/>
      <c r="AG249" s="365"/>
      <c r="AH249" s="383"/>
      <c r="AI249" s="365"/>
      <c r="AJ249" s="383"/>
      <c r="AK249" s="365"/>
      <c r="AL249" s="383"/>
      <c r="AM249" s="353"/>
    </row>
    <row r="250" spans="1:39" s="352" customFormat="1">
      <c r="A250" s="364"/>
      <c r="B250" s="364"/>
      <c r="C250" s="365"/>
      <c r="D250" s="365"/>
      <c r="E250" s="365"/>
      <c r="F250" s="365"/>
      <c r="G250" s="365"/>
      <c r="H250" s="383"/>
      <c r="I250" s="365"/>
      <c r="J250" s="383"/>
      <c r="K250" s="365"/>
      <c r="L250" s="365"/>
      <c r="M250" s="365"/>
      <c r="N250" s="383"/>
      <c r="O250" s="365"/>
      <c r="P250" s="365"/>
      <c r="Q250" s="365"/>
      <c r="R250" s="383"/>
      <c r="S250" s="365"/>
      <c r="T250" s="383"/>
      <c r="U250" s="365"/>
      <c r="V250" s="383"/>
      <c r="W250" s="365"/>
      <c r="X250" s="383"/>
      <c r="Y250" s="365"/>
      <c r="Z250" s="383"/>
      <c r="AA250" s="365"/>
      <c r="AB250" s="365"/>
      <c r="AC250" s="365"/>
      <c r="AD250" s="383"/>
      <c r="AE250" s="365"/>
      <c r="AF250" s="383"/>
      <c r="AG250" s="365"/>
      <c r="AH250" s="383"/>
      <c r="AI250" s="365"/>
      <c r="AJ250" s="383"/>
      <c r="AK250" s="365"/>
      <c r="AL250" s="383"/>
      <c r="AM250" s="353"/>
    </row>
    <row r="251" spans="1:39" s="352" customFormat="1">
      <c r="A251" s="364"/>
      <c r="B251" s="364"/>
      <c r="C251" s="365"/>
      <c r="D251" s="365"/>
      <c r="E251" s="365"/>
      <c r="F251" s="365"/>
      <c r="G251" s="365"/>
      <c r="H251" s="383"/>
      <c r="I251" s="365"/>
      <c r="J251" s="383"/>
      <c r="K251" s="365"/>
      <c r="L251" s="365"/>
      <c r="M251" s="365"/>
      <c r="N251" s="383"/>
      <c r="O251" s="365"/>
      <c r="P251" s="365"/>
      <c r="Q251" s="365"/>
      <c r="R251" s="383"/>
      <c r="S251" s="365"/>
      <c r="T251" s="383"/>
      <c r="U251" s="365"/>
      <c r="V251" s="383"/>
      <c r="W251" s="365"/>
      <c r="X251" s="383"/>
      <c r="Y251" s="365"/>
      <c r="Z251" s="383"/>
      <c r="AA251" s="365"/>
      <c r="AB251" s="365"/>
      <c r="AC251" s="365"/>
      <c r="AD251" s="383"/>
      <c r="AE251" s="365"/>
      <c r="AF251" s="383"/>
      <c r="AG251" s="365"/>
      <c r="AH251" s="383"/>
      <c r="AI251" s="365"/>
      <c r="AJ251" s="383"/>
      <c r="AK251" s="365"/>
      <c r="AL251" s="383"/>
      <c r="AM251" s="353"/>
    </row>
    <row r="252" spans="1:39" s="352" customFormat="1">
      <c r="A252" s="364"/>
      <c r="B252" s="364"/>
      <c r="C252" s="365"/>
      <c r="D252" s="365"/>
      <c r="E252" s="365"/>
      <c r="F252" s="365"/>
      <c r="G252" s="365"/>
      <c r="H252" s="383"/>
      <c r="I252" s="365"/>
      <c r="J252" s="383"/>
      <c r="K252" s="365"/>
      <c r="L252" s="365"/>
      <c r="M252" s="365"/>
      <c r="N252" s="383"/>
      <c r="O252" s="365"/>
      <c r="P252" s="365"/>
      <c r="Q252" s="365"/>
      <c r="R252" s="383"/>
      <c r="S252" s="365"/>
      <c r="T252" s="383"/>
      <c r="U252" s="365"/>
      <c r="V252" s="383"/>
      <c r="W252" s="365"/>
      <c r="X252" s="383"/>
      <c r="Y252" s="365"/>
      <c r="Z252" s="383"/>
      <c r="AA252" s="365"/>
      <c r="AB252" s="365"/>
      <c r="AC252" s="365"/>
      <c r="AD252" s="383"/>
      <c r="AE252" s="365"/>
      <c r="AF252" s="383"/>
      <c r="AG252" s="365"/>
      <c r="AH252" s="383"/>
      <c r="AI252" s="365"/>
      <c r="AJ252" s="383"/>
      <c r="AK252" s="365"/>
      <c r="AL252" s="383"/>
      <c r="AM252" s="353"/>
    </row>
    <row r="253" spans="1:39" s="352" customFormat="1">
      <c r="A253" s="364"/>
      <c r="B253" s="364"/>
      <c r="C253" s="365"/>
      <c r="D253" s="365"/>
      <c r="E253" s="365"/>
      <c r="F253" s="365"/>
      <c r="G253" s="365"/>
      <c r="H253" s="383"/>
      <c r="I253" s="365"/>
      <c r="J253" s="383"/>
      <c r="K253" s="365"/>
      <c r="L253" s="365"/>
      <c r="M253" s="365"/>
      <c r="N253" s="383"/>
      <c r="O253" s="365"/>
      <c r="P253" s="365"/>
      <c r="Q253" s="365"/>
      <c r="R253" s="383"/>
      <c r="S253" s="365"/>
      <c r="T253" s="383"/>
      <c r="U253" s="365"/>
      <c r="V253" s="383"/>
      <c r="W253" s="365"/>
      <c r="X253" s="383"/>
      <c r="Y253" s="365"/>
      <c r="Z253" s="383"/>
      <c r="AA253" s="365"/>
      <c r="AB253" s="365"/>
      <c r="AC253" s="365"/>
      <c r="AD253" s="383"/>
      <c r="AE253" s="365"/>
      <c r="AF253" s="383"/>
      <c r="AG253" s="365"/>
      <c r="AH253" s="383"/>
      <c r="AI253" s="365"/>
      <c r="AJ253" s="383"/>
      <c r="AK253" s="365"/>
      <c r="AL253" s="383"/>
      <c r="AM253" s="353"/>
    </row>
    <row r="254" spans="1:39" s="352" customFormat="1">
      <c r="A254" s="364"/>
      <c r="B254" s="364"/>
      <c r="C254" s="365"/>
      <c r="D254" s="365"/>
      <c r="E254" s="365"/>
      <c r="F254" s="365"/>
      <c r="G254" s="365"/>
      <c r="H254" s="383"/>
      <c r="I254" s="365"/>
      <c r="J254" s="383"/>
      <c r="K254" s="365"/>
      <c r="L254" s="365"/>
      <c r="M254" s="365"/>
      <c r="N254" s="383"/>
      <c r="O254" s="365"/>
      <c r="P254" s="365"/>
      <c r="Q254" s="365"/>
      <c r="R254" s="383"/>
      <c r="S254" s="365"/>
      <c r="T254" s="383"/>
      <c r="U254" s="365"/>
      <c r="V254" s="383"/>
      <c r="W254" s="365"/>
      <c r="X254" s="383"/>
      <c r="Y254" s="365"/>
      <c r="Z254" s="383"/>
      <c r="AA254" s="365"/>
      <c r="AB254" s="365"/>
      <c r="AC254" s="365"/>
      <c r="AD254" s="383"/>
      <c r="AE254" s="365"/>
      <c r="AF254" s="383"/>
      <c r="AG254" s="365"/>
      <c r="AH254" s="383"/>
      <c r="AI254" s="365"/>
      <c r="AJ254" s="383"/>
      <c r="AK254" s="365"/>
      <c r="AL254" s="383"/>
      <c r="AM254" s="353"/>
    </row>
    <row r="255" spans="1:39" s="352" customFormat="1">
      <c r="A255" s="364"/>
      <c r="B255" s="364"/>
      <c r="C255" s="365"/>
      <c r="D255" s="365"/>
      <c r="E255" s="365"/>
      <c r="F255" s="365"/>
      <c r="G255" s="365"/>
      <c r="H255" s="383"/>
      <c r="I255" s="365"/>
      <c r="J255" s="383"/>
      <c r="K255" s="365"/>
      <c r="L255" s="365"/>
      <c r="M255" s="365"/>
      <c r="N255" s="383"/>
      <c r="O255" s="365"/>
      <c r="P255" s="365"/>
      <c r="Q255" s="365"/>
      <c r="R255" s="383"/>
      <c r="S255" s="365"/>
      <c r="T255" s="383"/>
      <c r="U255" s="365"/>
      <c r="V255" s="383"/>
      <c r="W255" s="365"/>
      <c r="X255" s="383"/>
      <c r="Y255" s="365"/>
      <c r="Z255" s="383"/>
      <c r="AA255" s="365"/>
      <c r="AB255" s="365"/>
      <c r="AC255" s="365"/>
      <c r="AD255" s="383"/>
      <c r="AE255" s="365"/>
      <c r="AF255" s="383"/>
      <c r="AG255" s="365"/>
      <c r="AH255" s="383"/>
      <c r="AI255" s="365"/>
      <c r="AJ255" s="383"/>
      <c r="AK255" s="365"/>
      <c r="AL255" s="383"/>
      <c r="AM255" s="353"/>
    </row>
    <row r="256" spans="1:39" s="352" customFormat="1">
      <c r="A256" s="364"/>
      <c r="B256" s="364"/>
      <c r="C256" s="365"/>
      <c r="D256" s="365"/>
      <c r="E256" s="365"/>
      <c r="F256" s="365"/>
      <c r="G256" s="365"/>
      <c r="H256" s="383"/>
      <c r="I256" s="365"/>
      <c r="J256" s="383"/>
      <c r="K256" s="365"/>
      <c r="L256" s="365"/>
      <c r="M256" s="365"/>
      <c r="N256" s="383"/>
      <c r="O256" s="365"/>
      <c r="P256" s="365"/>
      <c r="Q256" s="365"/>
      <c r="R256" s="383"/>
      <c r="S256" s="365"/>
      <c r="T256" s="383"/>
      <c r="U256" s="365"/>
      <c r="V256" s="383"/>
      <c r="W256" s="365"/>
      <c r="X256" s="383"/>
      <c r="Y256" s="365"/>
      <c r="Z256" s="383"/>
      <c r="AA256" s="365"/>
      <c r="AB256" s="365"/>
      <c r="AC256" s="365"/>
      <c r="AD256" s="383"/>
      <c r="AE256" s="365"/>
      <c r="AF256" s="383"/>
      <c r="AG256" s="365"/>
      <c r="AH256" s="383"/>
      <c r="AI256" s="365"/>
      <c r="AJ256" s="383"/>
      <c r="AK256" s="365"/>
      <c r="AL256" s="383"/>
      <c r="AM256" s="353"/>
    </row>
    <row r="257" spans="1:39" s="352" customFormat="1">
      <c r="A257" s="364"/>
      <c r="B257" s="364"/>
      <c r="C257" s="365"/>
      <c r="D257" s="365"/>
      <c r="E257" s="365"/>
      <c r="F257" s="365"/>
      <c r="G257" s="365"/>
      <c r="H257" s="383"/>
      <c r="I257" s="365"/>
      <c r="J257" s="383"/>
      <c r="K257" s="365"/>
      <c r="L257" s="365"/>
      <c r="M257" s="365"/>
      <c r="N257" s="383"/>
      <c r="O257" s="365"/>
      <c r="P257" s="365"/>
      <c r="Q257" s="365"/>
      <c r="R257" s="383"/>
      <c r="S257" s="365"/>
      <c r="T257" s="383"/>
      <c r="U257" s="365"/>
      <c r="V257" s="383"/>
      <c r="W257" s="365"/>
      <c r="X257" s="383"/>
      <c r="Y257" s="365"/>
      <c r="Z257" s="383"/>
      <c r="AA257" s="365"/>
      <c r="AB257" s="365"/>
      <c r="AC257" s="365"/>
      <c r="AD257" s="383"/>
      <c r="AE257" s="365"/>
      <c r="AF257" s="383"/>
      <c r="AG257" s="365"/>
      <c r="AH257" s="383"/>
      <c r="AI257" s="365"/>
      <c r="AJ257" s="383"/>
      <c r="AK257" s="365"/>
      <c r="AL257" s="383"/>
      <c r="AM257" s="353"/>
    </row>
    <row r="258" spans="1:39" s="352" customFormat="1">
      <c r="A258" s="364"/>
      <c r="B258" s="364"/>
      <c r="C258" s="365"/>
      <c r="D258" s="365"/>
      <c r="E258" s="365"/>
      <c r="F258" s="365"/>
      <c r="G258" s="365"/>
      <c r="H258" s="383"/>
      <c r="I258" s="365"/>
      <c r="J258" s="383"/>
      <c r="K258" s="365"/>
      <c r="L258" s="365"/>
      <c r="M258" s="365"/>
      <c r="N258" s="383"/>
      <c r="O258" s="365"/>
      <c r="P258" s="365"/>
      <c r="Q258" s="365"/>
      <c r="R258" s="383"/>
      <c r="S258" s="365"/>
      <c r="T258" s="383"/>
      <c r="U258" s="365"/>
      <c r="V258" s="383"/>
      <c r="W258" s="365"/>
      <c r="X258" s="383"/>
      <c r="Y258" s="365"/>
      <c r="Z258" s="383"/>
      <c r="AA258" s="365"/>
      <c r="AB258" s="365"/>
      <c r="AC258" s="365"/>
      <c r="AD258" s="383"/>
      <c r="AE258" s="365"/>
      <c r="AF258" s="383"/>
      <c r="AG258" s="365"/>
      <c r="AH258" s="383"/>
      <c r="AI258" s="365"/>
      <c r="AJ258" s="383"/>
      <c r="AK258" s="365"/>
      <c r="AL258" s="383"/>
      <c r="AM258" s="353"/>
    </row>
    <row r="259" spans="1:39" s="352" customFormat="1">
      <c r="A259" s="364"/>
      <c r="B259" s="364"/>
      <c r="C259" s="365"/>
      <c r="D259" s="365"/>
      <c r="E259" s="365"/>
      <c r="F259" s="365"/>
      <c r="G259" s="365"/>
      <c r="H259" s="383"/>
      <c r="I259" s="365"/>
      <c r="J259" s="383"/>
      <c r="K259" s="365"/>
      <c r="L259" s="365"/>
      <c r="M259" s="365"/>
      <c r="N259" s="383"/>
      <c r="O259" s="365"/>
      <c r="P259" s="365"/>
      <c r="Q259" s="365"/>
      <c r="R259" s="383"/>
      <c r="S259" s="365"/>
      <c r="T259" s="383"/>
      <c r="U259" s="365"/>
      <c r="V259" s="383"/>
      <c r="W259" s="365"/>
      <c r="X259" s="383"/>
      <c r="Y259" s="365"/>
      <c r="Z259" s="383"/>
      <c r="AA259" s="365"/>
      <c r="AB259" s="365"/>
      <c r="AC259" s="365"/>
      <c r="AD259" s="383"/>
      <c r="AE259" s="365"/>
      <c r="AF259" s="383"/>
      <c r="AG259" s="365"/>
      <c r="AH259" s="383"/>
      <c r="AI259" s="365"/>
      <c r="AJ259" s="383"/>
      <c r="AK259" s="365"/>
      <c r="AL259" s="383"/>
      <c r="AM259" s="353"/>
    </row>
    <row r="260" spans="1:39" s="352" customFormat="1">
      <c r="A260" s="364"/>
      <c r="B260" s="364"/>
      <c r="C260" s="365"/>
      <c r="D260" s="365"/>
      <c r="E260" s="365"/>
      <c r="F260" s="365"/>
      <c r="G260" s="365"/>
      <c r="H260" s="383"/>
      <c r="I260" s="365"/>
      <c r="J260" s="383"/>
      <c r="K260" s="365"/>
      <c r="L260" s="365"/>
      <c r="M260" s="365"/>
      <c r="N260" s="383"/>
      <c r="O260" s="365"/>
      <c r="P260" s="365"/>
      <c r="Q260" s="365"/>
      <c r="R260" s="383"/>
      <c r="S260" s="365"/>
      <c r="T260" s="383"/>
      <c r="U260" s="365"/>
      <c r="V260" s="383"/>
      <c r="W260" s="365"/>
      <c r="X260" s="383"/>
      <c r="Y260" s="365"/>
      <c r="Z260" s="383"/>
      <c r="AA260" s="365"/>
      <c r="AB260" s="365"/>
      <c r="AC260" s="365"/>
      <c r="AD260" s="383"/>
      <c r="AE260" s="365"/>
      <c r="AF260" s="383"/>
      <c r="AG260" s="365"/>
      <c r="AH260" s="383"/>
      <c r="AI260" s="365"/>
      <c r="AJ260" s="383"/>
      <c r="AK260" s="365"/>
      <c r="AL260" s="383"/>
      <c r="AM260" s="353"/>
    </row>
    <row r="261" spans="1:39" s="352" customFormat="1">
      <c r="A261" s="364"/>
      <c r="B261" s="364"/>
      <c r="C261" s="365"/>
      <c r="D261" s="365"/>
      <c r="E261" s="365"/>
      <c r="F261" s="365"/>
      <c r="G261" s="365"/>
      <c r="H261" s="383"/>
      <c r="I261" s="365"/>
      <c r="J261" s="383"/>
      <c r="K261" s="365"/>
      <c r="L261" s="365"/>
      <c r="M261" s="365"/>
      <c r="N261" s="383"/>
      <c r="O261" s="365"/>
      <c r="P261" s="365"/>
      <c r="Q261" s="365"/>
      <c r="R261" s="383"/>
      <c r="S261" s="365"/>
      <c r="T261" s="383"/>
      <c r="U261" s="365"/>
      <c r="V261" s="383"/>
      <c r="W261" s="365"/>
      <c r="X261" s="383"/>
      <c r="Y261" s="365"/>
      <c r="Z261" s="383"/>
      <c r="AA261" s="365"/>
      <c r="AB261" s="365"/>
      <c r="AC261" s="365"/>
      <c r="AD261" s="383"/>
      <c r="AE261" s="365"/>
      <c r="AF261" s="383"/>
      <c r="AG261" s="365"/>
      <c r="AH261" s="383"/>
      <c r="AI261" s="365"/>
      <c r="AJ261" s="383"/>
      <c r="AK261" s="365"/>
      <c r="AL261" s="383"/>
      <c r="AM261" s="353"/>
    </row>
    <row r="262" spans="1:39" s="352" customFormat="1">
      <c r="A262" s="364"/>
      <c r="B262" s="364"/>
      <c r="C262" s="365"/>
      <c r="D262" s="365"/>
      <c r="E262" s="365"/>
      <c r="F262" s="365"/>
      <c r="G262" s="365"/>
      <c r="H262" s="383"/>
      <c r="I262" s="365"/>
      <c r="J262" s="383"/>
      <c r="K262" s="365"/>
      <c r="L262" s="365"/>
      <c r="M262" s="365"/>
      <c r="N262" s="383"/>
      <c r="O262" s="365"/>
      <c r="P262" s="365"/>
      <c r="Q262" s="365"/>
      <c r="R262" s="383"/>
      <c r="S262" s="365"/>
      <c r="T262" s="383"/>
      <c r="U262" s="365"/>
      <c r="V262" s="383"/>
      <c r="W262" s="365"/>
      <c r="X262" s="383"/>
      <c r="Y262" s="365"/>
      <c r="Z262" s="383"/>
      <c r="AA262" s="365"/>
      <c r="AB262" s="365"/>
      <c r="AC262" s="365"/>
      <c r="AD262" s="383"/>
      <c r="AE262" s="365"/>
      <c r="AF262" s="383"/>
      <c r="AG262" s="365"/>
      <c r="AH262" s="383"/>
      <c r="AI262" s="365"/>
      <c r="AJ262" s="383"/>
      <c r="AK262" s="365"/>
      <c r="AL262" s="383"/>
      <c r="AM262" s="353"/>
    </row>
    <row r="263" spans="1:39" s="352" customFormat="1">
      <c r="A263" s="364"/>
      <c r="B263" s="364"/>
      <c r="C263" s="365"/>
      <c r="D263" s="365"/>
      <c r="E263" s="365"/>
      <c r="F263" s="365"/>
      <c r="G263" s="365"/>
      <c r="H263" s="383"/>
      <c r="I263" s="365"/>
      <c r="J263" s="383"/>
      <c r="K263" s="365"/>
      <c r="L263" s="365"/>
      <c r="M263" s="365"/>
      <c r="N263" s="383"/>
      <c r="O263" s="365"/>
      <c r="P263" s="365"/>
      <c r="Q263" s="365"/>
      <c r="R263" s="383"/>
      <c r="S263" s="365"/>
      <c r="T263" s="383"/>
      <c r="U263" s="365"/>
      <c r="V263" s="383"/>
      <c r="W263" s="365"/>
      <c r="X263" s="383"/>
      <c r="Y263" s="365"/>
      <c r="Z263" s="383"/>
      <c r="AA263" s="365"/>
      <c r="AB263" s="365"/>
      <c r="AC263" s="365"/>
      <c r="AD263" s="383"/>
      <c r="AE263" s="365"/>
      <c r="AF263" s="383"/>
      <c r="AG263" s="365"/>
      <c r="AH263" s="383"/>
      <c r="AI263" s="365"/>
      <c r="AJ263" s="383"/>
      <c r="AK263" s="365"/>
      <c r="AL263" s="383"/>
      <c r="AM263" s="353"/>
    </row>
    <row r="264" spans="1:39" s="352" customFormat="1">
      <c r="A264" s="364"/>
      <c r="B264" s="364"/>
      <c r="C264" s="365"/>
      <c r="D264" s="365"/>
      <c r="E264" s="365"/>
      <c r="F264" s="365"/>
      <c r="G264" s="365"/>
      <c r="H264" s="383"/>
      <c r="I264" s="365"/>
      <c r="J264" s="383"/>
      <c r="K264" s="365"/>
      <c r="L264" s="365"/>
      <c r="M264" s="365"/>
      <c r="N264" s="383"/>
      <c r="O264" s="365"/>
      <c r="P264" s="365"/>
      <c r="Q264" s="365"/>
      <c r="R264" s="383"/>
      <c r="S264" s="365"/>
      <c r="T264" s="383"/>
      <c r="U264" s="365"/>
      <c r="V264" s="383"/>
      <c r="W264" s="365"/>
      <c r="X264" s="383"/>
      <c r="Y264" s="365"/>
      <c r="Z264" s="383"/>
      <c r="AA264" s="365"/>
      <c r="AB264" s="365"/>
      <c r="AC264" s="365"/>
      <c r="AD264" s="383"/>
      <c r="AE264" s="365"/>
      <c r="AF264" s="383"/>
      <c r="AG264" s="365"/>
      <c r="AH264" s="383"/>
      <c r="AI264" s="365"/>
      <c r="AJ264" s="383"/>
      <c r="AK264" s="365"/>
      <c r="AL264" s="383"/>
      <c r="AM264" s="353"/>
    </row>
    <row r="265" spans="1:39" s="352" customFormat="1">
      <c r="A265" s="364"/>
      <c r="B265" s="364"/>
      <c r="C265" s="365"/>
      <c r="D265" s="365"/>
      <c r="E265" s="365"/>
      <c r="F265" s="365"/>
      <c r="G265" s="365"/>
      <c r="H265" s="383"/>
      <c r="I265" s="365"/>
      <c r="J265" s="383"/>
      <c r="K265" s="365"/>
      <c r="L265" s="365"/>
      <c r="M265" s="365"/>
      <c r="N265" s="383"/>
      <c r="O265" s="365"/>
      <c r="P265" s="365"/>
      <c r="Q265" s="365"/>
      <c r="R265" s="383"/>
      <c r="S265" s="365"/>
      <c r="T265" s="383"/>
      <c r="U265" s="365"/>
      <c r="V265" s="383"/>
      <c r="W265" s="365"/>
      <c r="X265" s="383"/>
      <c r="Y265" s="365"/>
      <c r="Z265" s="383"/>
      <c r="AA265" s="365"/>
      <c r="AB265" s="365"/>
      <c r="AC265" s="365"/>
      <c r="AD265" s="383"/>
      <c r="AE265" s="365"/>
      <c r="AF265" s="383"/>
      <c r="AG265" s="365"/>
      <c r="AH265" s="383"/>
      <c r="AI265" s="365"/>
      <c r="AJ265" s="383"/>
      <c r="AK265" s="365"/>
      <c r="AL265" s="383"/>
      <c r="AM265" s="353"/>
    </row>
    <row r="266" spans="1:39" s="352" customFormat="1">
      <c r="A266" s="364"/>
      <c r="B266" s="364"/>
      <c r="C266" s="365"/>
      <c r="D266" s="365"/>
      <c r="E266" s="365"/>
      <c r="F266" s="365"/>
      <c r="G266" s="365"/>
      <c r="H266" s="383"/>
      <c r="I266" s="365"/>
      <c r="J266" s="383"/>
      <c r="K266" s="365"/>
      <c r="L266" s="365"/>
      <c r="M266" s="365"/>
      <c r="N266" s="383"/>
      <c r="O266" s="365"/>
      <c r="P266" s="365"/>
      <c r="Q266" s="365"/>
      <c r="R266" s="383"/>
      <c r="S266" s="365"/>
      <c r="T266" s="383"/>
      <c r="U266" s="365"/>
      <c r="V266" s="383"/>
      <c r="W266" s="365"/>
      <c r="X266" s="383"/>
      <c r="Y266" s="365"/>
      <c r="Z266" s="383"/>
      <c r="AA266" s="365"/>
      <c r="AB266" s="365"/>
      <c r="AC266" s="365"/>
      <c r="AD266" s="383"/>
      <c r="AE266" s="365"/>
      <c r="AF266" s="383"/>
      <c r="AG266" s="365"/>
      <c r="AH266" s="383"/>
      <c r="AI266" s="365"/>
      <c r="AJ266" s="383"/>
      <c r="AK266" s="365"/>
      <c r="AL266" s="383"/>
      <c r="AM266" s="353"/>
    </row>
    <row r="267" spans="1:39" s="352" customFormat="1">
      <c r="A267" s="364"/>
      <c r="B267" s="364"/>
      <c r="C267" s="365"/>
      <c r="D267" s="365"/>
      <c r="E267" s="365"/>
      <c r="F267" s="365"/>
      <c r="G267" s="365"/>
      <c r="H267" s="383"/>
      <c r="I267" s="365"/>
      <c r="J267" s="383"/>
      <c r="K267" s="365"/>
      <c r="L267" s="365"/>
      <c r="M267" s="365"/>
      <c r="N267" s="383"/>
      <c r="O267" s="365"/>
      <c r="P267" s="365"/>
      <c r="Q267" s="365"/>
      <c r="R267" s="383"/>
      <c r="S267" s="365"/>
      <c r="T267" s="383"/>
      <c r="U267" s="365"/>
      <c r="V267" s="383"/>
      <c r="W267" s="365"/>
      <c r="X267" s="383"/>
      <c r="Y267" s="365"/>
      <c r="Z267" s="383"/>
      <c r="AA267" s="365"/>
      <c r="AB267" s="365"/>
      <c r="AC267" s="365"/>
      <c r="AD267" s="383"/>
      <c r="AE267" s="365"/>
      <c r="AF267" s="383"/>
      <c r="AG267" s="365"/>
      <c r="AH267" s="383"/>
      <c r="AI267" s="365"/>
      <c r="AJ267" s="383"/>
      <c r="AK267" s="365"/>
      <c r="AL267" s="383"/>
      <c r="AM267" s="353"/>
    </row>
    <row r="268" spans="1:39" s="352" customFormat="1">
      <c r="A268" s="364"/>
      <c r="B268" s="364"/>
      <c r="C268" s="365"/>
      <c r="D268" s="365"/>
      <c r="E268" s="365"/>
      <c r="F268" s="365"/>
      <c r="G268" s="365"/>
      <c r="H268" s="383"/>
      <c r="I268" s="365"/>
      <c r="J268" s="383"/>
      <c r="K268" s="365"/>
      <c r="L268" s="365"/>
      <c r="M268" s="365"/>
      <c r="N268" s="383"/>
      <c r="O268" s="365"/>
      <c r="P268" s="365"/>
      <c r="Q268" s="365"/>
      <c r="R268" s="383"/>
      <c r="S268" s="365"/>
      <c r="T268" s="383"/>
      <c r="U268" s="365"/>
      <c r="V268" s="383"/>
      <c r="W268" s="365"/>
      <c r="X268" s="383"/>
      <c r="Y268" s="365"/>
      <c r="Z268" s="383"/>
      <c r="AA268" s="365"/>
      <c r="AB268" s="365"/>
      <c r="AC268" s="365"/>
      <c r="AD268" s="383"/>
      <c r="AE268" s="365"/>
      <c r="AF268" s="383"/>
      <c r="AG268" s="365"/>
      <c r="AH268" s="383"/>
      <c r="AI268" s="365"/>
      <c r="AJ268" s="383"/>
      <c r="AK268" s="365"/>
      <c r="AL268" s="383"/>
      <c r="AM268" s="353"/>
    </row>
    <row r="269" spans="1:39" s="352" customFormat="1">
      <c r="A269" s="364"/>
      <c r="B269" s="364"/>
      <c r="C269" s="365"/>
      <c r="D269" s="365"/>
      <c r="E269" s="365"/>
      <c r="F269" s="365"/>
      <c r="G269" s="365"/>
      <c r="H269" s="383"/>
      <c r="I269" s="365"/>
      <c r="J269" s="383"/>
      <c r="K269" s="365"/>
      <c r="L269" s="365"/>
      <c r="M269" s="365"/>
      <c r="N269" s="383"/>
      <c r="O269" s="365"/>
      <c r="P269" s="365"/>
      <c r="Q269" s="365"/>
      <c r="R269" s="383"/>
      <c r="S269" s="365"/>
      <c r="T269" s="383"/>
      <c r="U269" s="365"/>
      <c r="V269" s="383"/>
      <c r="W269" s="365"/>
      <c r="X269" s="383"/>
      <c r="Y269" s="365"/>
      <c r="Z269" s="383"/>
      <c r="AA269" s="365"/>
      <c r="AB269" s="365"/>
      <c r="AC269" s="365"/>
      <c r="AD269" s="383"/>
      <c r="AE269" s="365"/>
      <c r="AF269" s="383"/>
      <c r="AG269" s="365"/>
      <c r="AH269" s="383"/>
      <c r="AI269" s="365"/>
      <c r="AJ269" s="383"/>
      <c r="AK269" s="365"/>
      <c r="AL269" s="383"/>
      <c r="AM269" s="353"/>
    </row>
    <row r="270" spans="1:39" s="352" customFormat="1">
      <c r="A270" s="364"/>
      <c r="B270" s="364"/>
      <c r="C270" s="365"/>
      <c r="D270" s="365"/>
      <c r="E270" s="365"/>
      <c r="F270" s="365"/>
      <c r="G270" s="365"/>
      <c r="H270" s="383"/>
      <c r="I270" s="365"/>
      <c r="J270" s="383"/>
      <c r="K270" s="365"/>
      <c r="L270" s="365"/>
      <c r="M270" s="365"/>
      <c r="N270" s="383"/>
      <c r="O270" s="365"/>
      <c r="P270" s="365"/>
      <c r="Q270" s="365"/>
      <c r="R270" s="383"/>
      <c r="S270" s="365"/>
      <c r="T270" s="383"/>
      <c r="U270" s="365"/>
      <c r="V270" s="383"/>
      <c r="W270" s="365"/>
      <c r="X270" s="383"/>
      <c r="Y270" s="365"/>
      <c r="Z270" s="383"/>
      <c r="AA270" s="365"/>
      <c r="AB270" s="365"/>
      <c r="AC270" s="365"/>
      <c r="AD270" s="383"/>
      <c r="AE270" s="365"/>
      <c r="AF270" s="383"/>
      <c r="AG270" s="365"/>
      <c r="AH270" s="383"/>
      <c r="AI270" s="365"/>
      <c r="AJ270" s="383"/>
      <c r="AK270" s="365"/>
      <c r="AL270" s="383"/>
      <c r="AM270" s="353"/>
    </row>
    <row r="271" spans="1:39" s="352" customFormat="1">
      <c r="A271" s="364"/>
      <c r="B271" s="364"/>
      <c r="C271" s="365"/>
      <c r="D271" s="365"/>
      <c r="E271" s="365"/>
      <c r="F271" s="365"/>
      <c r="G271" s="365"/>
      <c r="H271" s="383"/>
      <c r="I271" s="365"/>
      <c r="J271" s="383"/>
      <c r="K271" s="365"/>
      <c r="L271" s="365"/>
      <c r="M271" s="365"/>
      <c r="N271" s="383"/>
      <c r="O271" s="365"/>
      <c r="P271" s="365"/>
      <c r="Q271" s="365"/>
      <c r="R271" s="383"/>
      <c r="S271" s="365"/>
      <c r="T271" s="383"/>
      <c r="U271" s="365"/>
      <c r="V271" s="383"/>
      <c r="W271" s="365"/>
      <c r="X271" s="383"/>
      <c r="Y271" s="365"/>
      <c r="Z271" s="383"/>
      <c r="AA271" s="365"/>
      <c r="AB271" s="365"/>
      <c r="AC271" s="365"/>
      <c r="AD271" s="383"/>
      <c r="AE271" s="365"/>
      <c r="AF271" s="383"/>
      <c r="AG271" s="365"/>
      <c r="AH271" s="383"/>
      <c r="AI271" s="365"/>
      <c r="AJ271" s="383"/>
      <c r="AK271" s="365"/>
      <c r="AL271" s="383"/>
      <c r="AM271" s="353"/>
    </row>
    <row r="272" spans="1:39" s="352" customFormat="1">
      <c r="A272" s="364"/>
      <c r="B272" s="364"/>
      <c r="C272" s="365"/>
      <c r="D272" s="365"/>
      <c r="E272" s="365"/>
      <c r="F272" s="365"/>
      <c r="G272" s="365"/>
      <c r="H272" s="383"/>
      <c r="I272" s="365"/>
      <c r="J272" s="383"/>
      <c r="K272" s="365"/>
      <c r="L272" s="365"/>
      <c r="M272" s="365"/>
      <c r="N272" s="383"/>
      <c r="O272" s="365"/>
      <c r="P272" s="365"/>
      <c r="Q272" s="365"/>
      <c r="R272" s="383"/>
      <c r="S272" s="365"/>
      <c r="T272" s="383"/>
      <c r="U272" s="365"/>
      <c r="V272" s="383"/>
      <c r="W272" s="365"/>
      <c r="X272" s="383"/>
      <c r="Y272" s="365"/>
      <c r="Z272" s="383"/>
      <c r="AA272" s="365"/>
      <c r="AB272" s="365"/>
      <c r="AC272" s="365"/>
      <c r="AD272" s="383"/>
      <c r="AE272" s="365"/>
      <c r="AF272" s="383"/>
      <c r="AG272" s="365"/>
      <c r="AH272" s="383"/>
      <c r="AI272" s="365"/>
      <c r="AJ272" s="383"/>
      <c r="AK272" s="365"/>
      <c r="AL272" s="383"/>
      <c r="AM272" s="353"/>
    </row>
    <row r="273" spans="1:39" s="352" customFormat="1">
      <c r="A273" s="364"/>
      <c r="B273" s="364"/>
      <c r="C273" s="365"/>
      <c r="D273" s="365"/>
      <c r="E273" s="365"/>
      <c r="F273" s="365"/>
      <c r="G273" s="365"/>
      <c r="H273" s="383"/>
      <c r="I273" s="365"/>
      <c r="J273" s="383"/>
      <c r="K273" s="365"/>
      <c r="L273" s="365"/>
      <c r="M273" s="365"/>
      <c r="N273" s="383"/>
      <c r="O273" s="365"/>
      <c r="P273" s="365"/>
      <c r="Q273" s="365"/>
      <c r="R273" s="383"/>
      <c r="S273" s="365"/>
      <c r="T273" s="383"/>
      <c r="U273" s="365"/>
      <c r="V273" s="383"/>
      <c r="W273" s="365"/>
      <c r="X273" s="383"/>
      <c r="Y273" s="365"/>
      <c r="Z273" s="383"/>
      <c r="AA273" s="365"/>
      <c r="AB273" s="365"/>
      <c r="AC273" s="365"/>
      <c r="AD273" s="383"/>
      <c r="AE273" s="365"/>
      <c r="AF273" s="383"/>
      <c r="AG273" s="365"/>
      <c r="AH273" s="383"/>
      <c r="AI273" s="365"/>
      <c r="AJ273" s="383"/>
      <c r="AK273" s="365"/>
      <c r="AL273" s="383"/>
      <c r="AM273" s="353"/>
    </row>
    <row r="274" spans="1:39" s="352" customFormat="1">
      <c r="A274" s="364"/>
      <c r="B274" s="364"/>
      <c r="C274" s="365"/>
      <c r="D274" s="365"/>
      <c r="E274" s="365"/>
      <c r="F274" s="365"/>
      <c r="G274" s="365"/>
      <c r="H274" s="383"/>
      <c r="I274" s="365"/>
      <c r="J274" s="383"/>
      <c r="K274" s="365"/>
      <c r="L274" s="365"/>
      <c r="M274" s="365"/>
      <c r="N274" s="383"/>
      <c r="O274" s="365"/>
      <c r="P274" s="365"/>
      <c r="Q274" s="365"/>
      <c r="R274" s="383"/>
      <c r="S274" s="365"/>
      <c r="T274" s="383"/>
      <c r="U274" s="365"/>
      <c r="V274" s="383"/>
      <c r="W274" s="365"/>
      <c r="X274" s="383"/>
      <c r="Y274" s="365"/>
      <c r="Z274" s="383"/>
      <c r="AA274" s="365"/>
      <c r="AB274" s="365"/>
      <c r="AC274" s="365"/>
      <c r="AD274" s="383"/>
      <c r="AE274" s="365"/>
      <c r="AF274" s="383"/>
      <c r="AG274" s="365"/>
      <c r="AH274" s="383"/>
      <c r="AI274" s="365"/>
      <c r="AJ274" s="383"/>
      <c r="AK274" s="365"/>
      <c r="AL274" s="383"/>
      <c r="AM274" s="353"/>
    </row>
    <row r="275" spans="1:39" s="352" customFormat="1">
      <c r="A275" s="364"/>
      <c r="B275" s="364"/>
      <c r="C275" s="365"/>
      <c r="D275" s="365"/>
      <c r="E275" s="365"/>
      <c r="F275" s="365"/>
      <c r="G275" s="365"/>
      <c r="H275" s="383"/>
      <c r="I275" s="365"/>
      <c r="J275" s="383"/>
      <c r="K275" s="365"/>
      <c r="L275" s="365"/>
      <c r="M275" s="365"/>
      <c r="N275" s="383"/>
      <c r="O275" s="365"/>
      <c r="P275" s="365"/>
      <c r="Q275" s="365"/>
      <c r="R275" s="383"/>
      <c r="S275" s="365"/>
      <c r="T275" s="383"/>
      <c r="U275" s="365"/>
      <c r="V275" s="383"/>
      <c r="W275" s="365"/>
      <c r="X275" s="383"/>
      <c r="Y275" s="365"/>
      <c r="Z275" s="383"/>
      <c r="AA275" s="365"/>
      <c r="AB275" s="365"/>
      <c r="AC275" s="365"/>
      <c r="AD275" s="383"/>
      <c r="AE275" s="365"/>
      <c r="AF275" s="383"/>
      <c r="AG275" s="365"/>
      <c r="AH275" s="383"/>
      <c r="AI275" s="365"/>
      <c r="AJ275" s="383"/>
      <c r="AK275" s="365"/>
      <c r="AL275" s="383"/>
      <c r="AM275" s="353"/>
    </row>
    <row r="276" spans="1:39" s="352" customFormat="1">
      <c r="A276" s="364"/>
      <c r="B276" s="364"/>
      <c r="C276" s="365"/>
      <c r="D276" s="365"/>
      <c r="E276" s="365"/>
      <c r="F276" s="365"/>
      <c r="G276" s="365"/>
      <c r="H276" s="383"/>
      <c r="I276" s="365"/>
      <c r="J276" s="383"/>
      <c r="K276" s="365"/>
      <c r="L276" s="365"/>
      <c r="M276" s="365"/>
      <c r="N276" s="383"/>
      <c r="O276" s="365"/>
      <c r="P276" s="365"/>
      <c r="Q276" s="365"/>
      <c r="R276" s="383"/>
      <c r="S276" s="365"/>
      <c r="T276" s="383"/>
      <c r="U276" s="365"/>
      <c r="V276" s="383"/>
      <c r="W276" s="365"/>
      <c r="X276" s="383"/>
      <c r="Y276" s="365"/>
      <c r="Z276" s="383"/>
      <c r="AA276" s="365"/>
      <c r="AB276" s="365"/>
      <c r="AC276" s="365"/>
      <c r="AD276" s="383"/>
      <c r="AE276" s="365"/>
      <c r="AF276" s="383"/>
      <c r="AG276" s="365"/>
      <c r="AH276" s="383"/>
      <c r="AI276" s="365"/>
      <c r="AJ276" s="383"/>
      <c r="AK276" s="365"/>
      <c r="AL276" s="383"/>
      <c r="AM276" s="353"/>
    </row>
    <row r="277" spans="1:39" s="352" customFormat="1">
      <c r="A277" s="364"/>
      <c r="B277" s="364"/>
      <c r="C277" s="365"/>
      <c r="D277" s="365"/>
      <c r="E277" s="365"/>
      <c r="F277" s="365"/>
      <c r="G277" s="365"/>
      <c r="H277" s="383"/>
      <c r="I277" s="365"/>
      <c r="J277" s="383"/>
      <c r="K277" s="365"/>
      <c r="L277" s="365"/>
      <c r="M277" s="365"/>
      <c r="N277" s="383"/>
      <c r="O277" s="365"/>
      <c r="P277" s="365"/>
      <c r="Q277" s="365"/>
      <c r="R277" s="383"/>
      <c r="S277" s="365"/>
      <c r="T277" s="383"/>
      <c r="U277" s="365"/>
      <c r="V277" s="383"/>
      <c r="W277" s="365"/>
      <c r="X277" s="383"/>
      <c r="Y277" s="365"/>
      <c r="Z277" s="383"/>
      <c r="AA277" s="365"/>
      <c r="AB277" s="365"/>
      <c r="AC277" s="365"/>
      <c r="AD277" s="383"/>
      <c r="AE277" s="365"/>
      <c r="AF277" s="383"/>
      <c r="AG277" s="365"/>
      <c r="AH277" s="383"/>
      <c r="AI277" s="365"/>
      <c r="AJ277" s="383"/>
      <c r="AK277" s="365"/>
      <c r="AL277" s="383"/>
      <c r="AM277" s="353"/>
    </row>
    <row r="278" spans="1:39" s="352" customFormat="1">
      <c r="A278" s="364"/>
      <c r="B278" s="364"/>
      <c r="C278" s="365"/>
      <c r="D278" s="365"/>
      <c r="E278" s="365"/>
      <c r="F278" s="365"/>
      <c r="G278" s="365"/>
      <c r="H278" s="383"/>
      <c r="I278" s="365"/>
      <c r="J278" s="383"/>
      <c r="K278" s="365"/>
      <c r="L278" s="365"/>
      <c r="M278" s="365"/>
      <c r="N278" s="383"/>
      <c r="O278" s="365"/>
      <c r="P278" s="365"/>
      <c r="Q278" s="365"/>
      <c r="R278" s="383"/>
      <c r="S278" s="365"/>
      <c r="T278" s="383"/>
      <c r="U278" s="365"/>
      <c r="V278" s="383"/>
      <c r="W278" s="365"/>
      <c r="X278" s="383"/>
      <c r="Y278" s="365"/>
      <c r="Z278" s="383"/>
      <c r="AA278" s="365"/>
      <c r="AB278" s="365"/>
      <c r="AC278" s="365"/>
      <c r="AD278" s="383"/>
      <c r="AE278" s="365"/>
      <c r="AF278" s="383"/>
      <c r="AG278" s="365"/>
      <c r="AH278" s="383"/>
      <c r="AI278" s="365"/>
      <c r="AJ278" s="383"/>
      <c r="AK278" s="365"/>
      <c r="AL278" s="383"/>
      <c r="AM278" s="353"/>
    </row>
    <row r="279" spans="1:39" s="352" customFormat="1">
      <c r="A279" s="364"/>
      <c r="B279" s="364"/>
      <c r="C279" s="365"/>
      <c r="D279" s="365"/>
      <c r="E279" s="365"/>
      <c r="F279" s="365"/>
      <c r="G279" s="365"/>
      <c r="H279" s="383"/>
      <c r="I279" s="365"/>
      <c r="J279" s="383"/>
      <c r="K279" s="365"/>
      <c r="L279" s="365"/>
      <c r="M279" s="365"/>
      <c r="N279" s="383"/>
      <c r="O279" s="365"/>
      <c r="P279" s="365"/>
      <c r="Q279" s="365"/>
      <c r="R279" s="383"/>
      <c r="S279" s="365"/>
      <c r="T279" s="383"/>
      <c r="U279" s="365"/>
      <c r="V279" s="383"/>
      <c r="W279" s="365"/>
      <c r="X279" s="383"/>
      <c r="Y279" s="365"/>
      <c r="Z279" s="383"/>
      <c r="AA279" s="365"/>
      <c r="AB279" s="365"/>
      <c r="AC279" s="365"/>
      <c r="AD279" s="383"/>
      <c r="AE279" s="365"/>
      <c r="AF279" s="383"/>
      <c r="AG279" s="365"/>
      <c r="AH279" s="383"/>
      <c r="AI279" s="365"/>
      <c r="AJ279" s="383"/>
      <c r="AK279" s="365"/>
      <c r="AL279" s="383"/>
      <c r="AM279" s="353"/>
    </row>
    <row r="280" spans="1:39" s="352" customFormat="1">
      <c r="A280" s="364"/>
      <c r="B280" s="364"/>
      <c r="C280" s="365"/>
      <c r="D280" s="365"/>
      <c r="E280" s="365"/>
      <c r="F280" s="365"/>
      <c r="G280" s="365"/>
      <c r="H280" s="383"/>
      <c r="I280" s="365"/>
      <c r="J280" s="383"/>
      <c r="K280" s="365"/>
      <c r="L280" s="365"/>
      <c r="M280" s="365"/>
      <c r="N280" s="383"/>
      <c r="O280" s="365"/>
      <c r="P280" s="365"/>
      <c r="Q280" s="365"/>
      <c r="R280" s="383"/>
      <c r="S280" s="365"/>
      <c r="T280" s="383"/>
      <c r="U280" s="365"/>
      <c r="V280" s="383"/>
      <c r="W280" s="365"/>
      <c r="X280" s="383"/>
      <c r="Y280" s="365"/>
      <c r="Z280" s="383"/>
      <c r="AA280" s="365"/>
      <c r="AB280" s="365"/>
      <c r="AC280" s="365"/>
      <c r="AD280" s="383"/>
      <c r="AE280" s="365"/>
      <c r="AF280" s="383"/>
      <c r="AG280" s="365"/>
      <c r="AH280" s="383"/>
      <c r="AI280" s="365"/>
      <c r="AJ280" s="383"/>
      <c r="AK280" s="365"/>
      <c r="AL280" s="383"/>
      <c r="AM280" s="353"/>
    </row>
    <row r="281" spans="1:39" s="352" customFormat="1">
      <c r="A281" s="364"/>
      <c r="B281" s="364"/>
      <c r="C281" s="365"/>
      <c r="D281" s="365"/>
      <c r="E281" s="365"/>
      <c r="F281" s="365"/>
      <c r="G281" s="365"/>
      <c r="H281" s="383"/>
      <c r="I281" s="365"/>
      <c r="J281" s="383"/>
      <c r="K281" s="365"/>
      <c r="L281" s="365"/>
      <c r="M281" s="365"/>
      <c r="N281" s="383"/>
      <c r="O281" s="365"/>
      <c r="P281" s="365"/>
      <c r="Q281" s="365"/>
      <c r="R281" s="383"/>
      <c r="S281" s="365"/>
      <c r="T281" s="383"/>
      <c r="U281" s="365"/>
      <c r="V281" s="383"/>
      <c r="W281" s="365"/>
      <c r="X281" s="383"/>
      <c r="Y281" s="365"/>
      <c r="Z281" s="383"/>
      <c r="AA281" s="365"/>
      <c r="AB281" s="365"/>
      <c r="AC281" s="365"/>
      <c r="AD281" s="383"/>
      <c r="AE281" s="365"/>
      <c r="AF281" s="383"/>
      <c r="AG281" s="365"/>
      <c r="AH281" s="383"/>
      <c r="AI281" s="365"/>
      <c r="AJ281" s="383"/>
      <c r="AK281" s="365"/>
      <c r="AL281" s="383"/>
      <c r="AM281" s="353"/>
    </row>
    <row r="282" spans="1:39" s="352" customFormat="1">
      <c r="A282" s="364"/>
      <c r="B282" s="364"/>
      <c r="C282" s="365"/>
      <c r="D282" s="365"/>
      <c r="E282" s="365"/>
      <c r="F282" s="365"/>
      <c r="G282" s="365"/>
      <c r="H282" s="383"/>
      <c r="I282" s="365"/>
      <c r="J282" s="383"/>
      <c r="K282" s="365"/>
      <c r="L282" s="365"/>
      <c r="M282" s="365"/>
      <c r="N282" s="383"/>
      <c r="O282" s="365"/>
      <c r="P282" s="365"/>
      <c r="Q282" s="365"/>
      <c r="R282" s="383"/>
      <c r="S282" s="365"/>
      <c r="T282" s="383"/>
      <c r="U282" s="365"/>
      <c r="V282" s="383"/>
      <c r="W282" s="365"/>
      <c r="X282" s="383"/>
      <c r="Y282" s="365"/>
      <c r="Z282" s="383"/>
      <c r="AA282" s="365"/>
      <c r="AB282" s="365"/>
      <c r="AC282" s="365"/>
      <c r="AD282" s="383"/>
      <c r="AE282" s="365"/>
      <c r="AF282" s="383"/>
      <c r="AG282" s="365"/>
      <c r="AH282" s="383"/>
      <c r="AI282" s="365"/>
      <c r="AJ282" s="383"/>
      <c r="AK282" s="365"/>
      <c r="AL282" s="383"/>
      <c r="AM282" s="353"/>
    </row>
    <row r="283" spans="1:39" s="352" customFormat="1">
      <c r="A283" s="364"/>
      <c r="B283" s="364"/>
      <c r="C283" s="365"/>
      <c r="D283" s="365"/>
      <c r="E283" s="365"/>
      <c r="F283" s="365"/>
      <c r="G283" s="365"/>
      <c r="H283" s="383"/>
      <c r="I283" s="365"/>
      <c r="J283" s="383"/>
      <c r="K283" s="365"/>
      <c r="L283" s="365"/>
      <c r="M283" s="365"/>
      <c r="N283" s="383"/>
      <c r="O283" s="365"/>
      <c r="P283" s="365"/>
      <c r="Q283" s="365"/>
      <c r="R283" s="383"/>
      <c r="S283" s="365"/>
      <c r="T283" s="383"/>
      <c r="U283" s="365"/>
      <c r="V283" s="383"/>
      <c r="W283" s="365"/>
      <c r="X283" s="383"/>
      <c r="Y283" s="365"/>
      <c r="Z283" s="383"/>
      <c r="AA283" s="365"/>
      <c r="AB283" s="365"/>
      <c r="AC283" s="365"/>
      <c r="AD283" s="383"/>
      <c r="AE283" s="365"/>
      <c r="AF283" s="383"/>
      <c r="AG283" s="365"/>
      <c r="AH283" s="383"/>
      <c r="AI283" s="365"/>
      <c r="AJ283" s="383"/>
      <c r="AK283" s="365"/>
      <c r="AL283" s="383"/>
      <c r="AM283" s="353"/>
    </row>
    <row r="284" spans="1:39" s="352" customFormat="1">
      <c r="A284" s="364"/>
      <c r="B284" s="364"/>
      <c r="C284" s="365"/>
      <c r="D284" s="365"/>
      <c r="E284" s="365"/>
      <c r="F284" s="365"/>
      <c r="G284" s="365"/>
      <c r="H284" s="383"/>
      <c r="I284" s="365"/>
      <c r="J284" s="383"/>
      <c r="K284" s="365"/>
      <c r="L284" s="365"/>
      <c r="M284" s="365"/>
      <c r="N284" s="383"/>
      <c r="O284" s="365"/>
      <c r="P284" s="365"/>
      <c r="Q284" s="365"/>
      <c r="R284" s="383"/>
      <c r="S284" s="365"/>
      <c r="T284" s="383"/>
      <c r="U284" s="365"/>
      <c r="V284" s="383"/>
      <c r="W284" s="365"/>
      <c r="X284" s="383"/>
      <c r="Y284" s="365"/>
      <c r="Z284" s="383"/>
      <c r="AA284" s="365"/>
      <c r="AB284" s="365"/>
      <c r="AC284" s="365"/>
      <c r="AD284" s="383"/>
      <c r="AE284" s="365"/>
      <c r="AF284" s="383"/>
      <c r="AG284" s="365"/>
      <c r="AH284" s="383"/>
      <c r="AI284" s="365"/>
      <c r="AJ284" s="383"/>
      <c r="AK284" s="365"/>
      <c r="AL284" s="383"/>
      <c r="AM284" s="353"/>
    </row>
    <row r="285" spans="1:39" s="352" customFormat="1">
      <c r="A285" s="364"/>
      <c r="B285" s="364"/>
      <c r="C285" s="365"/>
      <c r="D285" s="365"/>
      <c r="E285" s="365"/>
      <c r="F285" s="365"/>
      <c r="G285" s="365"/>
      <c r="H285" s="383"/>
      <c r="I285" s="365"/>
      <c r="J285" s="383"/>
      <c r="K285" s="365"/>
      <c r="L285" s="365"/>
      <c r="M285" s="365"/>
      <c r="N285" s="383"/>
      <c r="O285" s="365"/>
      <c r="P285" s="365"/>
      <c r="Q285" s="365"/>
      <c r="R285" s="383"/>
      <c r="S285" s="365"/>
      <c r="T285" s="383"/>
      <c r="U285" s="365"/>
      <c r="V285" s="383"/>
      <c r="W285" s="365"/>
      <c r="X285" s="383"/>
      <c r="Y285" s="365"/>
      <c r="Z285" s="383"/>
      <c r="AA285" s="365"/>
      <c r="AB285" s="365"/>
      <c r="AC285" s="365"/>
      <c r="AD285" s="383"/>
      <c r="AE285" s="365"/>
      <c r="AF285" s="383"/>
      <c r="AG285" s="365"/>
      <c r="AH285" s="383"/>
      <c r="AI285" s="365"/>
      <c r="AJ285" s="383"/>
      <c r="AK285" s="365"/>
      <c r="AL285" s="383"/>
      <c r="AM285" s="353"/>
    </row>
    <row r="286" spans="1:39" s="352" customFormat="1">
      <c r="A286" s="364"/>
      <c r="B286" s="364"/>
      <c r="C286" s="365"/>
      <c r="D286" s="365"/>
      <c r="E286" s="365"/>
      <c r="F286" s="365"/>
      <c r="G286" s="365"/>
      <c r="H286" s="383"/>
      <c r="I286" s="365"/>
      <c r="J286" s="383"/>
      <c r="K286" s="365"/>
      <c r="L286" s="365"/>
      <c r="M286" s="365"/>
      <c r="N286" s="383"/>
      <c r="O286" s="365"/>
      <c r="P286" s="365"/>
      <c r="Q286" s="365"/>
      <c r="R286" s="383"/>
      <c r="S286" s="365"/>
      <c r="T286" s="383"/>
      <c r="U286" s="365"/>
      <c r="V286" s="383"/>
      <c r="W286" s="365"/>
      <c r="X286" s="383"/>
      <c r="Y286" s="365"/>
      <c r="Z286" s="383"/>
      <c r="AA286" s="365"/>
      <c r="AB286" s="365"/>
      <c r="AC286" s="365"/>
      <c r="AD286" s="383"/>
      <c r="AE286" s="365"/>
      <c r="AF286" s="383"/>
      <c r="AG286" s="365"/>
      <c r="AH286" s="383"/>
      <c r="AI286" s="365"/>
      <c r="AJ286" s="383"/>
      <c r="AK286" s="365"/>
      <c r="AL286" s="383"/>
      <c r="AM286" s="353"/>
    </row>
    <row r="287" spans="1:39" s="352" customFormat="1">
      <c r="A287" s="364"/>
      <c r="B287" s="364"/>
      <c r="C287" s="365"/>
      <c r="D287" s="365"/>
      <c r="E287" s="365"/>
      <c r="F287" s="365"/>
      <c r="G287" s="365"/>
      <c r="H287" s="383"/>
      <c r="I287" s="365"/>
      <c r="J287" s="383"/>
      <c r="K287" s="365"/>
      <c r="L287" s="365"/>
      <c r="M287" s="365"/>
      <c r="N287" s="383"/>
      <c r="O287" s="365"/>
      <c r="P287" s="365"/>
      <c r="Q287" s="365"/>
      <c r="R287" s="383"/>
      <c r="S287" s="365"/>
      <c r="T287" s="383"/>
      <c r="U287" s="365"/>
      <c r="V287" s="383"/>
      <c r="W287" s="365"/>
      <c r="X287" s="383"/>
      <c r="Y287" s="365"/>
      <c r="Z287" s="383"/>
      <c r="AA287" s="365"/>
      <c r="AB287" s="365"/>
      <c r="AC287" s="365"/>
      <c r="AD287" s="383"/>
      <c r="AE287" s="365"/>
      <c r="AF287" s="383"/>
      <c r="AG287" s="365"/>
      <c r="AH287" s="383"/>
      <c r="AI287" s="365"/>
      <c r="AJ287" s="383"/>
      <c r="AK287" s="365"/>
      <c r="AL287" s="383"/>
      <c r="AM287" s="353"/>
    </row>
    <row r="288" spans="1:39" s="352" customFormat="1">
      <c r="A288" s="364"/>
      <c r="B288" s="364"/>
      <c r="C288" s="365"/>
      <c r="D288" s="365"/>
      <c r="E288" s="365"/>
      <c r="F288" s="365"/>
      <c r="G288" s="365"/>
      <c r="H288" s="383"/>
      <c r="I288" s="365"/>
      <c r="J288" s="383"/>
      <c r="K288" s="365"/>
      <c r="L288" s="365"/>
      <c r="M288" s="365"/>
      <c r="N288" s="383"/>
      <c r="O288" s="365"/>
      <c r="P288" s="365"/>
      <c r="Q288" s="365"/>
      <c r="R288" s="383"/>
      <c r="S288" s="365"/>
      <c r="T288" s="383"/>
      <c r="U288" s="365"/>
      <c r="V288" s="383"/>
      <c r="W288" s="365"/>
      <c r="X288" s="383"/>
      <c r="Y288" s="365"/>
      <c r="Z288" s="383"/>
      <c r="AA288" s="365"/>
      <c r="AB288" s="365"/>
      <c r="AC288" s="365"/>
      <c r="AD288" s="383"/>
      <c r="AE288" s="365"/>
      <c r="AF288" s="383"/>
      <c r="AG288" s="365"/>
      <c r="AH288" s="383"/>
      <c r="AI288" s="365"/>
      <c r="AJ288" s="383"/>
      <c r="AK288" s="365"/>
      <c r="AL288" s="383"/>
      <c r="AM288" s="353"/>
    </row>
    <row r="289" spans="1:39" s="352" customFormat="1">
      <c r="A289" s="364"/>
      <c r="B289" s="364"/>
      <c r="C289" s="365"/>
      <c r="D289" s="365"/>
      <c r="E289" s="365"/>
      <c r="F289" s="365"/>
      <c r="G289" s="365"/>
      <c r="H289" s="383"/>
      <c r="I289" s="365"/>
      <c r="J289" s="383"/>
      <c r="K289" s="365"/>
      <c r="L289" s="365"/>
      <c r="M289" s="365"/>
      <c r="N289" s="383"/>
      <c r="O289" s="365"/>
      <c r="P289" s="365"/>
      <c r="Q289" s="365"/>
      <c r="R289" s="383"/>
      <c r="S289" s="365"/>
      <c r="T289" s="383"/>
      <c r="U289" s="365"/>
      <c r="V289" s="383"/>
      <c r="W289" s="365"/>
      <c r="X289" s="383"/>
      <c r="Y289" s="365"/>
      <c r="Z289" s="383"/>
      <c r="AA289" s="365"/>
      <c r="AB289" s="365"/>
      <c r="AC289" s="365"/>
      <c r="AD289" s="383"/>
      <c r="AE289" s="365"/>
      <c r="AF289" s="383"/>
      <c r="AG289" s="365"/>
      <c r="AH289" s="383"/>
      <c r="AI289" s="365"/>
      <c r="AJ289" s="383"/>
      <c r="AK289" s="365"/>
      <c r="AL289" s="383"/>
      <c r="AM289" s="353"/>
    </row>
    <row r="290" spans="1:39" s="352" customFormat="1">
      <c r="A290" s="364"/>
      <c r="B290" s="364"/>
      <c r="C290" s="365"/>
      <c r="D290" s="365"/>
      <c r="E290" s="365"/>
      <c r="F290" s="365"/>
      <c r="G290" s="365"/>
      <c r="H290" s="383"/>
      <c r="I290" s="365"/>
      <c r="J290" s="383"/>
      <c r="K290" s="365"/>
      <c r="L290" s="365"/>
      <c r="M290" s="365"/>
      <c r="N290" s="383"/>
      <c r="O290" s="365"/>
      <c r="P290" s="365"/>
      <c r="Q290" s="365"/>
      <c r="R290" s="383"/>
      <c r="S290" s="365"/>
      <c r="T290" s="383"/>
      <c r="U290" s="365"/>
      <c r="V290" s="383"/>
      <c r="W290" s="365"/>
      <c r="X290" s="383"/>
      <c r="Y290" s="365"/>
      <c r="Z290" s="383"/>
      <c r="AA290" s="365"/>
      <c r="AB290" s="365"/>
      <c r="AC290" s="365"/>
      <c r="AD290" s="383"/>
      <c r="AE290" s="365"/>
      <c r="AF290" s="383"/>
      <c r="AG290" s="365"/>
      <c r="AH290" s="383"/>
      <c r="AI290" s="365"/>
      <c r="AJ290" s="383"/>
      <c r="AK290" s="365"/>
      <c r="AL290" s="383"/>
      <c r="AM290" s="353"/>
    </row>
    <row r="291" spans="1:39" s="352" customFormat="1">
      <c r="A291" s="364"/>
      <c r="B291" s="364"/>
      <c r="C291" s="365"/>
      <c r="D291" s="365"/>
      <c r="E291" s="365"/>
      <c r="F291" s="365"/>
      <c r="G291" s="365"/>
      <c r="H291" s="383"/>
      <c r="I291" s="365"/>
      <c r="J291" s="383"/>
      <c r="K291" s="365"/>
      <c r="L291" s="365"/>
      <c r="M291" s="365"/>
      <c r="N291" s="383"/>
      <c r="O291" s="365"/>
      <c r="P291" s="365"/>
      <c r="Q291" s="365"/>
      <c r="R291" s="383"/>
      <c r="S291" s="365"/>
      <c r="T291" s="383"/>
      <c r="U291" s="365"/>
      <c r="V291" s="383"/>
      <c r="W291" s="365"/>
      <c r="X291" s="383"/>
      <c r="Y291" s="365"/>
      <c r="Z291" s="383"/>
      <c r="AA291" s="365"/>
      <c r="AB291" s="365"/>
      <c r="AC291" s="365"/>
      <c r="AD291" s="383"/>
      <c r="AE291" s="365"/>
      <c r="AF291" s="383"/>
      <c r="AG291" s="365"/>
      <c r="AH291" s="383"/>
      <c r="AI291" s="365"/>
      <c r="AJ291" s="383"/>
      <c r="AK291" s="365"/>
      <c r="AL291" s="383"/>
      <c r="AM291" s="353"/>
    </row>
    <row r="292" spans="1:39" s="352" customFormat="1">
      <c r="A292" s="364"/>
      <c r="B292" s="364"/>
      <c r="C292" s="365"/>
      <c r="D292" s="365"/>
      <c r="E292" s="365"/>
      <c r="F292" s="365"/>
      <c r="G292" s="365"/>
      <c r="H292" s="383"/>
      <c r="I292" s="365"/>
      <c r="J292" s="383"/>
      <c r="K292" s="365"/>
      <c r="L292" s="365"/>
      <c r="M292" s="365"/>
      <c r="N292" s="383"/>
      <c r="O292" s="365"/>
      <c r="P292" s="365"/>
      <c r="Q292" s="365"/>
      <c r="R292" s="383"/>
      <c r="S292" s="365"/>
      <c r="T292" s="383"/>
      <c r="U292" s="365"/>
      <c r="V292" s="383"/>
      <c r="W292" s="365"/>
      <c r="X292" s="383"/>
      <c r="Y292" s="365"/>
      <c r="Z292" s="383"/>
      <c r="AA292" s="365"/>
      <c r="AB292" s="365"/>
      <c r="AC292" s="365"/>
      <c r="AD292" s="383"/>
      <c r="AE292" s="365"/>
      <c r="AF292" s="383"/>
      <c r="AG292" s="365"/>
      <c r="AH292" s="383"/>
      <c r="AI292" s="365"/>
      <c r="AJ292" s="383"/>
      <c r="AK292" s="365"/>
      <c r="AL292" s="383"/>
      <c r="AM292" s="353"/>
    </row>
    <row r="293" spans="1:39" s="352" customFormat="1">
      <c r="A293" s="364"/>
      <c r="B293" s="364"/>
      <c r="C293" s="365"/>
      <c r="D293" s="365"/>
      <c r="E293" s="365"/>
      <c r="F293" s="365"/>
      <c r="G293" s="365"/>
      <c r="H293" s="383"/>
      <c r="I293" s="365"/>
      <c r="J293" s="383"/>
      <c r="K293" s="365"/>
      <c r="L293" s="365"/>
      <c r="M293" s="365"/>
      <c r="N293" s="383"/>
      <c r="O293" s="365"/>
      <c r="P293" s="365"/>
      <c r="Q293" s="365"/>
      <c r="R293" s="383"/>
      <c r="S293" s="365"/>
      <c r="T293" s="383"/>
      <c r="U293" s="365"/>
      <c r="V293" s="383"/>
      <c r="W293" s="365"/>
      <c r="X293" s="383"/>
      <c r="Y293" s="365"/>
      <c r="Z293" s="383"/>
      <c r="AA293" s="365"/>
      <c r="AB293" s="365"/>
      <c r="AC293" s="365"/>
      <c r="AD293" s="383"/>
      <c r="AE293" s="365"/>
      <c r="AF293" s="383"/>
      <c r="AG293" s="365"/>
      <c r="AH293" s="383"/>
      <c r="AI293" s="365"/>
      <c r="AJ293" s="383"/>
      <c r="AK293" s="365"/>
      <c r="AL293" s="383"/>
      <c r="AM293" s="353"/>
    </row>
    <row r="294" spans="1:39" s="352" customFormat="1">
      <c r="A294" s="364"/>
      <c r="B294" s="364"/>
      <c r="C294" s="365"/>
      <c r="D294" s="365"/>
      <c r="E294" s="365"/>
      <c r="F294" s="365"/>
      <c r="G294" s="365"/>
      <c r="H294" s="383"/>
      <c r="I294" s="365"/>
      <c r="J294" s="383"/>
      <c r="K294" s="365"/>
      <c r="L294" s="365"/>
      <c r="M294" s="365"/>
      <c r="N294" s="383"/>
      <c r="O294" s="365"/>
      <c r="P294" s="365"/>
      <c r="Q294" s="365"/>
      <c r="R294" s="383"/>
      <c r="S294" s="365"/>
      <c r="T294" s="383"/>
      <c r="U294" s="365"/>
      <c r="V294" s="383"/>
      <c r="W294" s="365"/>
      <c r="X294" s="383"/>
      <c r="Y294" s="365"/>
      <c r="Z294" s="383"/>
      <c r="AA294" s="365"/>
      <c r="AB294" s="365"/>
      <c r="AC294" s="365"/>
      <c r="AD294" s="383"/>
      <c r="AE294" s="365"/>
      <c r="AF294" s="383"/>
      <c r="AG294" s="365"/>
      <c r="AH294" s="383"/>
      <c r="AI294" s="365"/>
      <c r="AJ294" s="383"/>
      <c r="AK294" s="365"/>
      <c r="AL294" s="383"/>
      <c r="AM294" s="353"/>
    </row>
    <row r="295" spans="1:39" s="352" customFormat="1">
      <c r="A295" s="364"/>
      <c r="B295" s="364"/>
      <c r="C295" s="365"/>
      <c r="D295" s="365"/>
      <c r="E295" s="365"/>
      <c r="F295" s="365"/>
      <c r="G295" s="365"/>
      <c r="H295" s="383"/>
      <c r="I295" s="365"/>
      <c r="J295" s="383"/>
      <c r="K295" s="365"/>
      <c r="L295" s="365"/>
      <c r="M295" s="365"/>
      <c r="N295" s="383"/>
      <c r="O295" s="365"/>
      <c r="P295" s="365"/>
      <c r="Q295" s="365"/>
      <c r="R295" s="383"/>
      <c r="S295" s="365"/>
      <c r="T295" s="383"/>
      <c r="U295" s="365"/>
      <c r="V295" s="383"/>
      <c r="W295" s="365"/>
      <c r="X295" s="383"/>
      <c r="Y295" s="365"/>
      <c r="Z295" s="383"/>
      <c r="AA295" s="365"/>
      <c r="AB295" s="365"/>
      <c r="AC295" s="365"/>
      <c r="AD295" s="383"/>
      <c r="AE295" s="365"/>
      <c r="AF295" s="383"/>
      <c r="AG295" s="365"/>
      <c r="AH295" s="383"/>
      <c r="AI295" s="365"/>
      <c r="AJ295" s="383"/>
      <c r="AK295" s="365"/>
      <c r="AL295" s="383"/>
      <c r="AM295" s="353"/>
    </row>
    <row r="296" spans="1:39" s="352" customFormat="1">
      <c r="A296" s="364"/>
      <c r="B296" s="364"/>
      <c r="C296" s="365"/>
      <c r="D296" s="365"/>
      <c r="E296" s="365"/>
      <c r="F296" s="365"/>
      <c r="G296" s="365"/>
      <c r="H296" s="383"/>
      <c r="I296" s="365"/>
      <c r="J296" s="383"/>
      <c r="K296" s="365"/>
      <c r="L296" s="365"/>
      <c r="M296" s="365"/>
      <c r="N296" s="383"/>
      <c r="O296" s="365"/>
      <c r="P296" s="365"/>
      <c r="Q296" s="365"/>
      <c r="R296" s="383"/>
      <c r="S296" s="365"/>
      <c r="T296" s="383"/>
      <c r="U296" s="365"/>
      <c r="V296" s="383"/>
      <c r="W296" s="365"/>
      <c r="X296" s="383"/>
      <c r="Y296" s="365"/>
      <c r="Z296" s="383"/>
      <c r="AA296" s="365"/>
      <c r="AB296" s="365"/>
      <c r="AC296" s="365"/>
      <c r="AD296" s="383"/>
      <c r="AE296" s="365"/>
      <c r="AF296" s="383"/>
      <c r="AG296" s="365"/>
      <c r="AH296" s="383"/>
      <c r="AI296" s="365"/>
      <c r="AJ296" s="383"/>
      <c r="AK296" s="365"/>
      <c r="AL296" s="383"/>
      <c r="AM296" s="353"/>
    </row>
    <row r="297" spans="1:39" s="352" customFormat="1">
      <c r="A297" s="364"/>
      <c r="B297" s="364"/>
      <c r="C297" s="365"/>
      <c r="D297" s="365"/>
      <c r="E297" s="365"/>
      <c r="F297" s="365"/>
      <c r="G297" s="365"/>
      <c r="H297" s="383"/>
      <c r="I297" s="365"/>
      <c r="J297" s="383"/>
      <c r="K297" s="365"/>
      <c r="L297" s="365"/>
      <c r="M297" s="365"/>
      <c r="N297" s="383"/>
      <c r="O297" s="365"/>
      <c r="P297" s="365"/>
      <c r="Q297" s="365"/>
      <c r="R297" s="383"/>
      <c r="S297" s="365"/>
      <c r="T297" s="383"/>
      <c r="U297" s="365"/>
      <c r="V297" s="383"/>
      <c r="W297" s="365"/>
      <c r="X297" s="383"/>
      <c r="Y297" s="365"/>
      <c r="Z297" s="383"/>
      <c r="AA297" s="365"/>
      <c r="AB297" s="365"/>
      <c r="AC297" s="365"/>
      <c r="AD297" s="383"/>
      <c r="AE297" s="365"/>
      <c r="AF297" s="383"/>
      <c r="AG297" s="365"/>
      <c r="AH297" s="383"/>
      <c r="AI297" s="365"/>
      <c r="AJ297" s="383"/>
      <c r="AK297" s="365"/>
      <c r="AL297" s="383"/>
      <c r="AM297" s="353"/>
    </row>
    <row r="298" spans="1:39" s="352" customFormat="1">
      <c r="A298" s="364"/>
      <c r="B298" s="364"/>
      <c r="C298" s="365"/>
      <c r="D298" s="365"/>
      <c r="E298" s="365"/>
      <c r="F298" s="365"/>
      <c r="G298" s="365"/>
      <c r="H298" s="383"/>
      <c r="I298" s="365"/>
      <c r="J298" s="383"/>
      <c r="K298" s="365"/>
      <c r="L298" s="365"/>
      <c r="M298" s="365"/>
      <c r="N298" s="383"/>
      <c r="O298" s="365"/>
      <c r="P298" s="365"/>
      <c r="Q298" s="365"/>
      <c r="R298" s="383"/>
      <c r="S298" s="365"/>
      <c r="T298" s="383"/>
      <c r="U298" s="365"/>
      <c r="V298" s="383"/>
      <c r="W298" s="365"/>
      <c r="X298" s="383"/>
      <c r="Y298" s="365"/>
      <c r="Z298" s="383"/>
      <c r="AA298" s="365"/>
      <c r="AB298" s="365"/>
      <c r="AC298" s="365"/>
      <c r="AD298" s="383"/>
      <c r="AE298" s="365"/>
      <c r="AF298" s="383"/>
      <c r="AG298" s="365"/>
      <c r="AH298" s="383"/>
      <c r="AI298" s="365"/>
      <c r="AJ298" s="383"/>
      <c r="AK298" s="365"/>
      <c r="AL298" s="383"/>
      <c r="AM298" s="353"/>
    </row>
    <row r="299" spans="1:39" s="352" customFormat="1">
      <c r="A299" s="364"/>
      <c r="B299" s="364"/>
      <c r="C299" s="365"/>
      <c r="D299" s="365"/>
      <c r="E299" s="365"/>
      <c r="F299" s="365"/>
      <c r="G299" s="365"/>
      <c r="H299" s="383"/>
      <c r="I299" s="365"/>
      <c r="J299" s="383"/>
      <c r="K299" s="365"/>
      <c r="L299" s="365"/>
      <c r="M299" s="365"/>
      <c r="N299" s="383"/>
      <c r="O299" s="365"/>
      <c r="P299" s="365"/>
      <c r="Q299" s="365"/>
      <c r="R299" s="383"/>
      <c r="S299" s="365"/>
      <c r="T299" s="383"/>
      <c r="U299" s="365"/>
      <c r="V299" s="383"/>
      <c r="W299" s="365"/>
      <c r="X299" s="383"/>
      <c r="Y299" s="365"/>
      <c r="Z299" s="383"/>
      <c r="AA299" s="365"/>
      <c r="AB299" s="365"/>
      <c r="AC299" s="365"/>
      <c r="AD299" s="383"/>
      <c r="AE299" s="365"/>
      <c r="AF299" s="383"/>
      <c r="AG299" s="365"/>
      <c r="AH299" s="383"/>
      <c r="AI299" s="365"/>
      <c r="AJ299" s="383"/>
      <c r="AK299" s="365"/>
      <c r="AL299" s="383"/>
      <c r="AM299" s="353"/>
    </row>
    <row r="300" spans="1:39" s="352" customFormat="1">
      <c r="A300" s="364"/>
      <c r="B300" s="364"/>
      <c r="C300" s="365"/>
      <c r="D300" s="365"/>
      <c r="E300" s="365"/>
      <c r="F300" s="365"/>
      <c r="G300" s="365"/>
      <c r="H300" s="383"/>
      <c r="I300" s="365"/>
      <c r="J300" s="383"/>
      <c r="K300" s="365"/>
      <c r="L300" s="365"/>
      <c r="M300" s="365"/>
      <c r="N300" s="383"/>
      <c r="O300" s="365"/>
      <c r="P300" s="365"/>
      <c r="Q300" s="365"/>
      <c r="R300" s="383"/>
      <c r="S300" s="365"/>
      <c r="T300" s="383"/>
      <c r="U300" s="365"/>
      <c r="V300" s="383"/>
      <c r="W300" s="365"/>
      <c r="X300" s="383"/>
      <c r="Y300" s="365"/>
      <c r="Z300" s="383"/>
      <c r="AA300" s="365"/>
      <c r="AB300" s="365"/>
      <c r="AC300" s="365"/>
      <c r="AD300" s="383"/>
      <c r="AE300" s="365"/>
      <c r="AF300" s="383"/>
      <c r="AG300" s="365"/>
      <c r="AH300" s="383"/>
      <c r="AI300" s="365"/>
      <c r="AJ300" s="383"/>
      <c r="AK300" s="365"/>
      <c r="AL300" s="383"/>
      <c r="AM300" s="353"/>
    </row>
    <row r="301" spans="1:39" s="352" customFormat="1">
      <c r="A301" s="364"/>
      <c r="B301" s="364"/>
      <c r="C301" s="365"/>
      <c r="D301" s="365"/>
      <c r="E301" s="365"/>
      <c r="F301" s="365"/>
      <c r="G301" s="365"/>
      <c r="H301" s="383"/>
      <c r="I301" s="365"/>
      <c r="J301" s="383"/>
      <c r="K301" s="365"/>
      <c r="L301" s="365"/>
      <c r="M301" s="365"/>
      <c r="N301" s="383"/>
      <c r="O301" s="365"/>
      <c r="P301" s="365"/>
      <c r="Q301" s="365"/>
      <c r="R301" s="383"/>
      <c r="S301" s="365"/>
      <c r="T301" s="383"/>
      <c r="U301" s="365"/>
      <c r="V301" s="383"/>
      <c r="W301" s="365"/>
      <c r="X301" s="383"/>
      <c r="Y301" s="365"/>
      <c r="Z301" s="383"/>
      <c r="AA301" s="365"/>
      <c r="AB301" s="365"/>
      <c r="AC301" s="365"/>
      <c r="AD301" s="383"/>
      <c r="AE301" s="365"/>
      <c r="AF301" s="383"/>
      <c r="AG301" s="365"/>
      <c r="AH301" s="383"/>
      <c r="AI301" s="365"/>
      <c r="AJ301" s="383"/>
      <c r="AK301" s="365"/>
      <c r="AL301" s="383"/>
      <c r="AM301" s="353"/>
    </row>
    <row r="302" spans="1:39" s="352" customFormat="1">
      <c r="A302" s="364"/>
      <c r="B302" s="364"/>
      <c r="C302" s="365"/>
      <c r="D302" s="365"/>
      <c r="E302" s="365"/>
      <c r="F302" s="365"/>
      <c r="G302" s="365"/>
      <c r="H302" s="383"/>
      <c r="I302" s="365"/>
      <c r="J302" s="383"/>
      <c r="K302" s="365"/>
      <c r="L302" s="365"/>
      <c r="M302" s="365"/>
      <c r="N302" s="383"/>
      <c r="O302" s="365"/>
      <c r="P302" s="365"/>
      <c r="Q302" s="365"/>
      <c r="R302" s="383"/>
      <c r="S302" s="365"/>
      <c r="T302" s="383"/>
      <c r="U302" s="365"/>
      <c r="V302" s="383"/>
      <c r="W302" s="365"/>
      <c r="X302" s="383"/>
      <c r="Y302" s="365"/>
      <c r="Z302" s="383"/>
      <c r="AA302" s="365"/>
      <c r="AB302" s="365"/>
      <c r="AC302" s="365"/>
      <c r="AD302" s="383"/>
      <c r="AE302" s="365"/>
      <c r="AF302" s="383"/>
      <c r="AG302" s="365"/>
      <c r="AH302" s="383"/>
      <c r="AI302" s="365"/>
      <c r="AJ302" s="383"/>
      <c r="AK302" s="365"/>
      <c r="AL302" s="383"/>
      <c r="AM302" s="353"/>
    </row>
    <row r="303" spans="1:39" s="352" customFormat="1">
      <c r="A303" s="364"/>
      <c r="B303" s="364"/>
      <c r="C303" s="365"/>
      <c r="D303" s="365"/>
      <c r="E303" s="365"/>
      <c r="F303" s="365"/>
      <c r="G303" s="365"/>
      <c r="H303" s="383"/>
      <c r="I303" s="365"/>
      <c r="J303" s="383"/>
      <c r="K303" s="365"/>
      <c r="L303" s="365"/>
      <c r="M303" s="365"/>
      <c r="N303" s="383"/>
      <c r="O303" s="365"/>
      <c r="P303" s="365"/>
      <c r="Q303" s="365"/>
      <c r="R303" s="383"/>
      <c r="S303" s="365"/>
      <c r="T303" s="383"/>
      <c r="U303" s="365"/>
      <c r="V303" s="383"/>
      <c r="W303" s="365"/>
      <c r="X303" s="383"/>
      <c r="Y303" s="365"/>
      <c r="Z303" s="383"/>
      <c r="AA303" s="365"/>
      <c r="AB303" s="365"/>
      <c r="AC303" s="365"/>
      <c r="AD303" s="383"/>
      <c r="AE303" s="365"/>
      <c r="AF303" s="383"/>
      <c r="AG303" s="365"/>
      <c r="AH303" s="383"/>
      <c r="AI303" s="365"/>
      <c r="AJ303" s="383"/>
      <c r="AK303" s="365"/>
      <c r="AL303" s="383"/>
      <c r="AM303" s="353"/>
    </row>
    <row r="304" spans="1:39" s="352" customFormat="1">
      <c r="A304" s="364"/>
      <c r="B304" s="364"/>
      <c r="C304" s="365"/>
      <c r="D304" s="365"/>
      <c r="E304" s="365"/>
      <c r="F304" s="365"/>
      <c r="G304" s="365"/>
      <c r="H304" s="383"/>
      <c r="I304" s="365"/>
      <c r="J304" s="383"/>
      <c r="K304" s="365"/>
      <c r="L304" s="365"/>
      <c r="M304" s="365"/>
      <c r="N304" s="383"/>
      <c r="O304" s="365"/>
      <c r="P304" s="365"/>
      <c r="Q304" s="365"/>
      <c r="R304" s="383"/>
      <c r="S304" s="365"/>
      <c r="T304" s="383"/>
      <c r="U304" s="365"/>
      <c r="V304" s="383"/>
      <c r="W304" s="365"/>
      <c r="X304" s="383"/>
      <c r="Y304" s="365"/>
      <c r="Z304" s="383"/>
      <c r="AA304" s="365"/>
      <c r="AB304" s="365"/>
      <c r="AC304" s="365"/>
      <c r="AD304" s="383"/>
      <c r="AE304" s="365"/>
      <c r="AF304" s="383"/>
      <c r="AG304" s="365"/>
      <c r="AH304" s="383"/>
      <c r="AI304" s="365"/>
      <c r="AJ304" s="383"/>
      <c r="AK304" s="365"/>
      <c r="AL304" s="383"/>
      <c r="AM304" s="353"/>
    </row>
    <row r="305" spans="1:39" s="352" customFormat="1">
      <c r="A305" s="364"/>
      <c r="B305" s="364"/>
      <c r="C305" s="365"/>
      <c r="D305" s="365"/>
      <c r="E305" s="365"/>
      <c r="F305" s="365"/>
      <c r="G305" s="365"/>
      <c r="H305" s="383"/>
      <c r="I305" s="365"/>
      <c r="J305" s="383"/>
      <c r="K305" s="365"/>
      <c r="L305" s="365"/>
      <c r="M305" s="365"/>
      <c r="N305" s="383"/>
      <c r="O305" s="365"/>
      <c r="P305" s="365"/>
      <c r="Q305" s="365"/>
      <c r="R305" s="383"/>
      <c r="S305" s="365"/>
      <c r="T305" s="383"/>
      <c r="U305" s="365"/>
      <c r="V305" s="383"/>
      <c r="W305" s="365"/>
      <c r="X305" s="383"/>
      <c r="Y305" s="365"/>
      <c r="Z305" s="383"/>
      <c r="AA305" s="365"/>
      <c r="AB305" s="365"/>
      <c r="AC305" s="365"/>
      <c r="AD305" s="383"/>
      <c r="AE305" s="365"/>
      <c r="AF305" s="383"/>
      <c r="AG305" s="365"/>
      <c r="AH305" s="383"/>
      <c r="AI305" s="365"/>
      <c r="AJ305" s="383"/>
      <c r="AK305" s="365"/>
      <c r="AL305" s="383"/>
      <c r="AM305" s="353"/>
    </row>
    <row r="306" spans="1:39" s="352" customFormat="1">
      <c r="A306" s="364"/>
      <c r="B306" s="364"/>
      <c r="C306" s="365"/>
      <c r="D306" s="365"/>
      <c r="E306" s="365"/>
      <c r="F306" s="365"/>
      <c r="G306" s="365"/>
      <c r="H306" s="383"/>
      <c r="I306" s="365"/>
      <c r="J306" s="383"/>
      <c r="K306" s="365"/>
      <c r="L306" s="365"/>
      <c r="M306" s="365"/>
      <c r="N306" s="383"/>
      <c r="O306" s="365"/>
      <c r="P306" s="365"/>
      <c r="Q306" s="365"/>
      <c r="R306" s="383"/>
      <c r="S306" s="365"/>
      <c r="T306" s="383"/>
      <c r="U306" s="365"/>
      <c r="V306" s="383"/>
      <c r="W306" s="365"/>
      <c r="X306" s="383"/>
      <c r="Y306" s="365"/>
      <c r="Z306" s="383"/>
      <c r="AA306" s="365"/>
      <c r="AB306" s="365"/>
      <c r="AC306" s="365"/>
      <c r="AD306" s="383"/>
      <c r="AE306" s="365"/>
      <c r="AF306" s="383"/>
      <c r="AG306" s="365"/>
      <c r="AH306" s="383"/>
      <c r="AI306" s="365"/>
      <c r="AJ306" s="383"/>
      <c r="AK306" s="365"/>
      <c r="AL306" s="383"/>
      <c r="AM306" s="353"/>
    </row>
    <row r="307" spans="1:39" s="352" customFormat="1">
      <c r="A307" s="364"/>
      <c r="B307" s="364"/>
      <c r="C307" s="365"/>
      <c r="D307" s="365"/>
      <c r="E307" s="365"/>
      <c r="F307" s="365"/>
      <c r="G307" s="365"/>
      <c r="H307" s="383"/>
      <c r="I307" s="365"/>
      <c r="J307" s="383"/>
      <c r="K307" s="365"/>
      <c r="L307" s="365"/>
      <c r="M307" s="365"/>
      <c r="N307" s="383"/>
      <c r="O307" s="365"/>
      <c r="P307" s="365"/>
      <c r="Q307" s="365"/>
      <c r="R307" s="383"/>
      <c r="S307" s="365"/>
      <c r="T307" s="383"/>
      <c r="U307" s="365"/>
      <c r="V307" s="383"/>
      <c r="W307" s="365"/>
      <c r="X307" s="383"/>
      <c r="Y307" s="365"/>
      <c r="Z307" s="383"/>
      <c r="AA307" s="365"/>
      <c r="AB307" s="365"/>
      <c r="AC307" s="365"/>
      <c r="AD307" s="383"/>
      <c r="AE307" s="365"/>
      <c r="AF307" s="383"/>
      <c r="AG307" s="365"/>
      <c r="AH307" s="383"/>
      <c r="AI307" s="365"/>
      <c r="AJ307" s="383"/>
      <c r="AK307" s="365"/>
      <c r="AL307" s="383"/>
      <c r="AM307" s="353"/>
    </row>
    <row r="308" spans="1:39" s="352" customFormat="1">
      <c r="A308" s="364"/>
      <c r="B308" s="364"/>
      <c r="C308" s="365"/>
      <c r="D308" s="365"/>
      <c r="E308" s="365"/>
      <c r="F308" s="365"/>
      <c r="G308" s="365"/>
      <c r="H308" s="383"/>
      <c r="I308" s="365"/>
      <c r="J308" s="383"/>
      <c r="K308" s="365"/>
      <c r="L308" s="365"/>
      <c r="M308" s="365"/>
      <c r="N308" s="383"/>
      <c r="O308" s="365"/>
      <c r="P308" s="365"/>
      <c r="Q308" s="365"/>
      <c r="R308" s="383"/>
      <c r="S308" s="365"/>
      <c r="T308" s="383"/>
      <c r="U308" s="365"/>
      <c r="V308" s="383"/>
      <c r="W308" s="365"/>
      <c r="X308" s="383"/>
      <c r="Y308" s="365"/>
      <c r="Z308" s="383"/>
      <c r="AA308" s="365"/>
      <c r="AB308" s="365"/>
      <c r="AC308" s="365"/>
      <c r="AD308" s="383"/>
      <c r="AE308" s="365"/>
      <c r="AF308" s="383"/>
      <c r="AG308" s="365"/>
      <c r="AH308" s="383"/>
      <c r="AI308" s="365"/>
      <c r="AJ308" s="383"/>
      <c r="AK308" s="365"/>
      <c r="AL308" s="383"/>
      <c r="AM308" s="353"/>
    </row>
    <row r="309" spans="1:39" s="352" customFormat="1">
      <c r="A309" s="364"/>
      <c r="B309" s="364"/>
      <c r="C309" s="365"/>
      <c r="D309" s="365"/>
      <c r="E309" s="365"/>
      <c r="F309" s="365"/>
      <c r="G309" s="365"/>
      <c r="H309" s="383"/>
      <c r="I309" s="365"/>
      <c r="J309" s="383"/>
      <c r="K309" s="365"/>
      <c r="L309" s="365"/>
      <c r="M309" s="365"/>
      <c r="N309" s="383"/>
      <c r="O309" s="365"/>
      <c r="P309" s="365"/>
      <c r="Q309" s="365"/>
      <c r="R309" s="383"/>
      <c r="S309" s="365"/>
      <c r="T309" s="383"/>
      <c r="U309" s="365"/>
      <c r="V309" s="383"/>
      <c r="W309" s="365"/>
      <c r="X309" s="383"/>
      <c r="Y309" s="365"/>
      <c r="Z309" s="383"/>
      <c r="AA309" s="365"/>
      <c r="AB309" s="365"/>
      <c r="AC309" s="365"/>
      <c r="AD309" s="383"/>
      <c r="AE309" s="365"/>
      <c r="AF309" s="383"/>
      <c r="AG309" s="365"/>
      <c r="AH309" s="383"/>
      <c r="AI309" s="365"/>
      <c r="AJ309" s="383"/>
      <c r="AK309" s="365"/>
      <c r="AL309" s="383"/>
      <c r="AM309" s="353"/>
    </row>
    <row r="310" spans="1:39" s="352" customFormat="1">
      <c r="A310" s="364"/>
      <c r="B310" s="364"/>
      <c r="C310" s="365"/>
      <c r="D310" s="365"/>
      <c r="E310" s="365"/>
      <c r="F310" s="365"/>
      <c r="G310" s="365"/>
      <c r="H310" s="383"/>
      <c r="I310" s="365"/>
      <c r="J310" s="383"/>
      <c r="K310" s="365"/>
      <c r="L310" s="365"/>
      <c r="M310" s="365"/>
      <c r="N310" s="383"/>
      <c r="O310" s="365"/>
      <c r="P310" s="365"/>
      <c r="Q310" s="365"/>
      <c r="R310" s="383"/>
      <c r="S310" s="365"/>
      <c r="T310" s="383"/>
      <c r="U310" s="365"/>
      <c r="V310" s="383"/>
      <c r="W310" s="365"/>
      <c r="X310" s="383"/>
      <c r="Y310" s="365"/>
      <c r="Z310" s="383"/>
      <c r="AA310" s="365"/>
      <c r="AB310" s="365"/>
      <c r="AC310" s="365"/>
      <c r="AD310" s="383"/>
      <c r="AE310" s="365"/>
      <c r="AF310" s="383"/>
      <c r="AG310" s="365"/>
      <c r="AH310" s="383"/>
      <c r="AI310" s="365"/>
      <c r="AJ310" s="383"/>
      <c r="AK310" s="365"/>
      <c r="AL310" s="383"/>
      <c r="AM310" s="353"/>
    </row>
    <row r="311" spans="1:39" s="352" customFormat="1">
      <c r="A311" s="364"/>
      <c r="B311" s="364"/>
      <c r="C311" s="365"/>
      <c r="D311" s="365"/>
      <c r="E311" s="365"/>
      <c r="F311" s="365"/>
      <c r="G311" s="365"/>
      <c r="H311" s="383"/>
      <c r="I311" s="365"/>
      <c r="J311" s="383"/>
      <c r="K311" s="365"/>
      <c r="L311" s="365"/>
      <c r="M311" s="365"/>
      <c r="N311" s="383"/>
      <c r="O311" s="365"/>
      <c r="P311" s="365"/>
      <c r="Q311" s="365"/>
      <c r="R311" s="383"/>
      <c r="S311" s="365"/>
      <c r="T311" s="383"/>
      <c r="U311" s="365"/>
      <c r="V311" s="383"/>
      <c r="W311" s="365"/>
      <c r="X311" s="383"/>
      <c r="Y311" s="365"/>
      <c r="Z311" s="383"/>
      <c r="AA311" s="365"/>
      <c r="AB311" s="365"/>
      <c r="AC311" s="365"/>
      <c r="AD311" s="383"/>
      <c r="AE311" s="365"/>
      <c r="AF311" s="383"/>
      <c r="AG311" s="365"/>
      <c r="AH311" s="383"/>
      <c r="AI311" s="365"/>
      <c r="AJ311" s="383"/>
      <c r="AK311" s="365"/>
      <c r="AL311" s="383"/>
      <c r="AM311" s="353"/>
    </row>
    <row r="312" spans="1:39" s="352" customFormat="1">
      <c r="A312" s="364"/>
      <c r="B312" s="364"/>
      <c r="C312" s="365"/>
      <c r="D312" s="365"/>
      <c r="E312" s="365"/>
      <c r="F312" s="365"/>
      <c r="G312" s="365"/>
      <c r="H312" s="383"/>
      <c r="I312" s="365"/>
      <c r="J312" s="383"/>
      <c r="K312" s="365"/>
      <c r="L312" s="365"/>
      <c r="M312" s="365"/>
      <c r="N312" s="383"/>
      <c r="O312" s="365"/>
      <c r="P312" s="365"/>
      <c r="Q312" s="365"/>
      <c r="R312" s="383"/>
      <c r="S312" s="365"/>
      <c r="T312" s="383"/>
      <c r="U312" s="365"/>
      <c r="V312" s="383"/>
      <c r="W312" s="365"/>
      <c r="X312" s="383"/>
      <c r="Y312" s="365"/>
      <c r="Z312" s="383"/>
      <c r="AA312" s="365"/>
      <c r="AB312" s="365"/>
      <c r="AC312" s="365"/>
      <c r="AD312" s="383"/>
      <c r="AE312" s="365"/>
      <c r="AF312" s="383"/>
      <c r="AG312" s="365"/>
      <c r="AH312" s="383"/>
      <c r="AI312" s="365"/>
      <c r="AJ312" s="383"/>
      <c r="AK312" s="365"/>
      <c r="AL312" s="383"/>
      <c r="AM312" s="353"/>
    </row>
    <row r="313" spans="1:39" s="352" customFormat="1">
      <c r="A313" s="364"/>
      <c r="B313" s="364"/>
      <c r="C313" s="365"/>
      <c r="D313" s="365"/>
      <c r="E313" s="365"/>
      <c r="F313" s="365"/>
      <c r="G313" s="365"/>
      <c r="H313" s="383"/>
      <c r="I313" s="365"/>
      <c r="J313" s="383"/>
      <c r="K313" s="365"/>
      <c r="L313" s="365"/>
      <c r="M313" s="365"/>
      <c r="N313" s="383"/>
      <c r="O313" s="365"/>
      <c r="P313" s="365"/>
      <c r="Q313" s="365"/>
      <c r="R313" s="383"/>
      <c r="S313" s="365"/>
      <c r="T313" s="383"/>
      <c r="U313" s="365"/>
      <c r="V313" s="383"/>
      <c r="W313" s="365"/>
      <c r="X313" s="383"/>
      <c r="Y313" s="365"/>
      <c r="Z313" s="383"/>
      <c r="AA313" s="365"/>
      <c r="AB313" s="365"/>
      <c r="AC313" s="365"/>
      <c r="AD313" s="383"/>
      <c r="AE313" s="365"/>
      <c r="AF313" s="383"/>
      <c r="AG313" s="365"/>
      <c r="AH313" s="383"/>
      <c r="AI313" s="365"/>
      <c r="AJ313" s="383"/>
      <c r="AK313" s="365"/>
      <c r="AL313" s="383"/>
      <c r="AM313" s="353"/>
    </row>
    <row r="314" spans="1:39" s="352" customFormat="1">
      <c r="A314" s="364"/>
      <c r="B314" s="364"/>
      <c r="C314" s="365"/>
      <c r="D314" s="365"/>
      <c r="E314" s="365"/>
      <c r="F314" s="365"/>
      <c r="G314" s="365"/>
      <c r="H314" s="383"/>
      <c r="I314" s="365"/>
      <c r="J314" s="383"/>
      <c r="K314" s="365"/>
      <c r="L314" s="365"/>
      <c r="M314" s="365"/>
      <c r="N314" s="383"/>
      <c r="O314" s="365"/>
      <c r="P314" s="365"/>
      <c r="Q314" s="365"/>
      <c r="R314" s="383"/>
      <c r="S314" s="365"/>
      <c r="T314" s="383"/>
      <c r="U314" s="365"/>
      <c r="V314" s="383"/>
      <c r="W314" s="365"/>
      <c r="X314" s="383"/>
      <c r="Y314" s="365"/>
      <c r="Z314" s="383"/>
      <c r="AA314" s="365"/>
      <c r="AB314" s="365"/>
      <c r="AC314" s="365"/>
      <c r="AD314" s="383"/>
      <c r="AE314" s="365"/>
      <c r="AF314" s="383"/>
      <c r="AG314" s="365"/>
      <c r="AH314" s="383"/>
      <c r="AI314" s="365"/>
      <c r="AJ314" s="383"/>
      <c r="AK314" s="365"/>
      <c r="AL314" s="383"/>
      <c r="AM314" s="353"/>
    </row>
    <row r="315" spans="1:39" s="352" customFormat="1">
      <c r="A315" s="364"/>
      <c r="B315" s="364"/>
      <c r="C315" s="365"/>
      <c r="D315" s="365"/>
      <c r="E315" s="365"/>
      <c r="F315" s="365"/>
      <c r="G315" s="365"/>
      <c r="H315" s="383"/>
      <c r="I315" s="365"/>
      <c r="J315" s="383"/>
      <c r="K315" s="365"/>
      <c r="L315" s="365"/>
      <c r="M315" s="365"/>
      <c r="N315" s="383"/>
      <c r="O315" s="365"/>
      <c r="P315" s="365"/>
      <c r="Q315" s="365"/>
      <c r="R315" s="383"/>
      <c r="S315" s="365"/>
      <c r="T315" s="383"/>
      <c r="U315" s="365"/>
      <c r="V315" s="383"/>
      <c r="W315" s="365"/>
      <c r="X315" s="383"/>
      <c r="Y315" s="365"/>
      <c r="Z315" s="383"/>
      <c r="AA315" s="365"/>
      <c r="AB315" s="365"/>
      <c r="AC315" s="365"/>
      <c r="AD315" s="383"/>
      <c r="AE315" s="365"/>
      <c r="AF315" s="383"/>
      <c r="AG315" s="365"/>
      <c r="AH315" s="383"/>
      <c r="AI315" s="365"/>
      <c r="AJ315" s="383"/>
      <c r="AK315" s="365"/>
      <c r="AL315" s="383"/>
      <c r="AM315" s="353"/>
    </row>
    <row r="316" spans="1:39" s="352" customFormat="1">
      <c r="A316" s="364"/>
      <c r="B316" s="364"/>
      <c r="C316" s="365"/>
      <c r="D316" s="365"/>
      <c r="E316" s="365"/>
      <c r="F316" s="365"/>
      <c r="G316" s="365"/>
      <c r="H316" s="383"/>
      <c r="I316" s="365"/>
      <c r="J316" s="383"/>
      <c r="K316" s="365"/>
      <c r="L316" s="365"/>
      <c r="M316" s="365"/>
      <c r="N316" s="383"/>
      <c r="O316" s="365"/>
      <c r="P316" s="365"/>
      <c r="Q316" s="365"/>
      <c r="R316" s="383"/>
      <c r="S316" s="365"/>
      <c r="T316" s="383"/>
      <c r="U316" s="365"/>
      <c r="V316" s="383"/>
      <c r="W316" s="365"/>
      <c r="X316" s="383"/>
      <c r="Y316" s="365"/>
      <c r="Z316" s="383"/>
      <c r="AA316" s="365"/>
      <c r="AB316" s="365"/>
      <c r="AC316" s="365"/>
      <c r="AD316" s="383"/>
      <c r="AE316" s="365"/>
      <c r="AF316" s="383"/>
      <c r="AG316" s="365"/>
      <c r="AH316" s="383"/>
      <c r="AI316" s="365"/>
      <c r="AJ316" s="383"/>
      <c r="AK316" s="365"/>
      <c r="AL316" s="383"/>
      <c r="AM316" s="353"/>
    </row>
    <row r="317" spans="1:39" s="352" customFormat="1">
      <c r="A317" s="364"/>
      <c r="B317" s="364"/>
      <c r="C317" s="365"/>
      <c r="D317" s="365"/>
      <c r="E317" s="365"/>
      <c r="F317" s="365"/>
      <c r="G317" s="365"/>
      <c r="H317" s="383"/>
      <c r="I317" s="365"/>
      <c r="J317" s="383"/>
      <c r="K317" s="365"/>
      <c r="L317" s="365"/>
      <c r="M317" s="365"/>
      <c r="N317" s="383"/>
      <c r="O317" s="365"/>
      <c r="P317" s="365"/>
      <c r="Q317" s="365"/>
      <c r="R317" s="383"/>
      <c r="S317" s="365"/>
      <c r="T317" s="383"/>
      <c r="U317" s="365"/>
      <c r="V317" s="383"/>
      <c r="W317" s="365"/>
      <c r="X317" s="383"/>
      <c r="Y317" s="365"/>
      <c r="Z317" s="383"/>
      <c r="AA317" s="365"/>
      <c r="AB317" s="365"/>
      <c r="AC317" s="365"/>
      <c r="AD317" s="383"/>
      <c r="AE317" s="365"/>
      <c r="AF317" s="383"/>
      <c r="AG317" s="365"/>
      <c r="AH317" s="383"/>
      <c r="AI317" s="365"/>
      <c r="AJ317" s="383"/>
      <c r="AK317" s="365"/>
      <c r="AL317" s="383"/>
      <c r="AM317" s="353"/>
    </row>
    <row r="318" spans="1:39" s="352" customFormat="1">
      <c r="A318" s="364"/>
      <c r="B318" s="364"/>
      <c r="C318" s="365"/>
      <c r="D318" s="365"/>
      <c r="E318" s="365"/>
      <c r="F318" s="365"/>
      <c r="G318" s="365"/>
      <c r="H318" s="383"/>
      <c r="I318" s="365"/>
      <c r="J318" s="383"/>
      <c r="K318" s="365"/>
      <c r="L318" s="365"/>
      <c r="M318" s="365"/>
      <c r="N318" s="383"/>
      <c r="O318" s="365"/>
      <c r="P318" s="365"/>
      <c r="Q318" s="365"/>
      <c r="R318" s="383"/>
      <c r="S318" s="365"/>
      <c r="T318" s="383"/>
      <c r="U318" s="365"/>
      <c r="V318" s="383"/>
      <c r="W318" s="365"/>
      <c r="X318" s="383"/>
      <c r="Y318" s="365"/>
      <c r="Z318" s="383"/>
      <c r="AA318" s="365"/>
      <c r="AB318" s="365"/>
      <c r="AC318" s="365"/>
      <c r="AD318" s="383"/>
      <c r="AE318" s="365"/>
      <c r="AF318" s="383"/>
      <c r="AG318" s="365"/>
      <c r="AH318" s="383"/>
      <c r="AI318" s="365"/>
      <c r="AJ318" s="383"/>
      <c r="AK318" s="365"/>
      <c r="AL318" s="383"/>
      <c r="AM318" s="353"/>
    </row>
    <row r="319" spans="1:39" s="352" customFormat="1">
      <c r="A319" s="364"/>
      <c r="B319" s="364"/>
      <c r="C319" s="365"/>
      <c r="D319" s="365"/>
      <c r="E319" s="365"/>
      <c r="F319" s="365"/>
      <c r="G319" s="365"/>
      <c r="H319" s="383"/>
      <c r="I319" s="365"/>
      <c r="J319" s="383"/>
      <c r="K319" s="365"/>
      <c r="L319" s="365"/>
      <c r="M319" s="365"/>
      <c r="N319" s="383"/>
      <c r="O319" s="365"/>
      <c r="P319" s="365"/>
      <c r="Q319" s="365"/>
      <c r="R319" s="383"/>
      <c r="S319" s="365"/>
      <c r="T319" s="383"/>
      <c r="U319" s="365"/>
      <c r="V319" s="383"/>
      <c r="W319" s="365"/>
      <c r="X319" s="383"/>
      <c r="Y319" s="365"/>
      <c r="Z319" s="383"/>
      <c r="AA319" s="365"/>
      <c r="AB319" s="365"/>
      <c r="AC319" s="365"/>
      <c r="AD319" s="383"/>
      <c r="AE319" s="365"/>
      <c r="AF319" s="383"/>
      <c r="AG319" s="365"/>
      <c r="AH319" s="383"/>
      <c r="AI319" s="365"/>
      <c r="AJ319" s="383"/>
      <c r="AK319" s="365"/>
      <c r="AL319" s="383"/>
      <c r="AM319" s="353"/>
    </row>
    <row r="320" spans="1:39" s="352" customFormat="1">
      <c r="A320" s="364"/>
      <c r="B320" s="364"/>
      <c r="C320" s="365"/>
      <c r="D320" s="365"/>
      <c r="E320" s="365"/>
      <c r="F320" s="365"/>
      <c r="G320" s="365"/>
      <c r="H320" s="383"/>
      <c r="I320" s="365"/>
      <c r="J320" s="383"/>
      <c r="K320" s="365"/>
      <c r="L320" s="365"/>
      <c r="M320" s="365"/>
      <c r="N320" s="383"/>
      <c r="O320" s="365"/>
      <c r="P320" s="365"/>
      <c r="Q320" s="365"/>
      <c r="R320" s="383"/>
      <c r="S320" s="365"/>
      <c r="T320" s="383"/>
      <c r="U320" s="365"/>
      <c r="V320" s="383"/>
      <c r="W320" s="365"/>
      <c r="X320" s="383"/>
      <c r="Y320" s="365"/>
      <c r="Z320" s="383"/>
      <c r="AA320" s="365"/>
      <c r="AB320" s="365"/>
      <c r="AC320" s="365"/>
      <c r="AD320" s="383"/>
      <c r="AE320" s="365"/>
      <c r="AF320" s="383"/>
      <c r="AG320" s="365"/>
      <c r="AH320" s="383"/>
      <c r="AI320" s="365"/>
      <c r="AJ320" s="383"/>
      <c r="AK320" s="365"/>
      <c r="AL320" s="383"/>
      <c r="AM320" s="353"/>
    </row>
    <row r="321" spans="1:39" s="352" customFormat="1">
      <c r="A321" s="364"/>
      <c r="B321" s="364"/>
      <c r="C321" s="365"/>
      <c r="D321" s="365"/>
      <c r="E321" s="365"/>
      <c r="F321" s="365"/>
      <c r="G321" s="365"/>
      <c r="H321" s="383"/>
      <c r="I321" s="365"/>
      <c r="J321" s="383"/>
      <c r="K321" s="365"/>
      <c r="L321" s="365"/>
      <c r="M321" s="365"/>
      <c r="N321" s="383"/>
      <c r="O321" s="365"/>
      <c r="P321" s="365"/>
      <c r="Q321" s="365"/>
      <c r="R321" s="383"/>
      <c r="S321" s="365"/>
      <c r="T321" s="383"/>
      <c r="U321" s="365"/>
      <c r="V321" s="383"/>
      <c r="W321" s="365"/>
      <c r="X321" s="383"/>
      <c r="Y321" s="365"/>
      <c r="Z321" s="383"/>
      <c r="AA321" s="365"/>
      <c r="AB321" s="365"/>
      <c r="AC321" s="365"/>
      <c r="AD321" s="383"/>
      <c r="AE321" s="365"/>
      <c r="AF321" s="383"/>
      <c r="AG321" s="365"/>
      <c r="AH321" s="383"/>
      <c r="AI321" s="365"/>
      <c r="AJ321" s="383"/>
      <c r="AK321" s="365"/>
      <c r="AL321" s="383"/>
      <c r="AM321" s="353"/>
    </row>
    <row r="322" spans="1:39" s="352" customFormat="1">
      <c r="A322" s="364"/>
      <c r="B322" s="364"/>
      <c r="C322" s="365"/>
      <c r="D322" s="365"/>
      <c r="E322" s="365"/>
      <c r="F322" s="365"/>
      <c r="G322" s="365"/>
      <c r="H322" s="383"/>
      <c r="I322" s="365"/>
      <c r="J322" s="383"/>
      <c r="K322" s="365"/>
      <c r="L322" s="365"/>
      <c r="M322" s="365"/>
      <c r="N322" s="383"/>
      <c r="O322" s="365"/>
      <c r="P322" s="365"/>
      <c r="Q322" s="365"/>
      <c r="R322" s="383"/>
      <c r="S322" s="365"/>
      <c r="T322" s="383"/>
      <c r="U322" s="365"/>
      <c r="V322" s="383"/>
      <c r="W322" s="365"/>
      <c r="X322" s="383"/>
      <c r="Y322" s="365"/>
      <c r="Z322" s="383"/>
      <c r="AA322" s="365"/>
      <c r="AB322" s="365"/>
      <c r="AC322" s="365"/>
      <c r="AD322" s="383"/>
      <c r="AE322" s="365"/>
      <c r="AF322" s="383"/>
      <c r="AG322" s="365"/>
      <c r="AH322" s="383"/>
      <c r="AI322" s="365"/>
      <c r="AJ322" s="383"/>
      <c r="AK322" s="365"/>
      <c r="AL322" s="383"/>
      <c r="AM322" s="353"/>
    </row>
    <row r="323" spans="1:39" s="352" customFormat="1">
      <c r="A323" s="364"/>
      <c r="B323" s="364"/>
      <c r="C323" s="365"/>
      <c r="D323" s="365"/>
      <c r="E323" s="365"/>
      <c r="F323" s="365"/>
      <c r="G323" s="365"/>
      <c r="H323" s="383"/>
      <c r="I323" s="365"/>
      <c r="J323" s="383"/>
      <c r="K323" s="365"/>
      <c r="L323" s="365"/>
      <c r="M323" s="365"/>
      <c r="N323" s="383"/>
      <c r="O323" s="365"/>
      <c r="P323" s="365"/>
      <c r="Q323" s="365"/>
      <c r="R323" s="383"/>
      <c r="S323" s="365"/>
      <c r="T323" s="383"/>
      <c r="U323" s="365"/>
      <c r="V323" s="383"/>
      <c r="W323" s="365"/>
      <c r="X323" s="383"/>
      <c r="Y323" s="365"/>
      <c r="Z323" s="383"/>
      <c r="AA323" s="365"/>
      <c r="AB323" s="365"/>
      <c r="AC323" s="365"/>
      <c r="AD323" s="383"/>
      <c r="AE323" s="365"/>
      <c r="AF323" s="383"/>
      <c r="AG323" s="365"/>
      <c r="AH323" s="383"/>
      <c r="AI323" s="365"/>
      <c r="AJ323" s="383"/>
      <c r="AK323" s="365"/>
      <c r="AL323" s="383"/>
      <c r="AM323" s="353"/>
    </row>
    <row r="324" spans="1:39" s="352" customFormat="1">
      <c r="A324" s="364"/>
      <c r="B324" s="364"/>
      <c r="C324" s="365"/>
      <c r="D324" s="365"/>
      <c r="E324" s="365"/>
      <c r="F324" s="365"/>
      <c r="G324" s="365"/>
      <c r="H324" s="383"/>
      <c r="I324" s="365"/>
      <c r="J324" s="383"/>
      <c r="K324" s="365"/>
      <c r="L324" s="365"/>
      <c r="M324" s="365"/>
      <c r="N324" s="383"/>
      <c r="O324" s="365"/>
      <c r="P324" s="365"/>
      <c r="Q324" s="365"/>
      <c r="R324" s="383"/>
      <c r="S324" s="365"/>
      <c r="T324" s="383"/>
      <c r="U324" s="365"/>
      <c r="V324" s="383"/>
      <c r="W324" s="365"/>
      <c r="X324" s="383"/>
      <c r="Y324" s="365"/>
      <c r="Z324" s="383"/>
      <c r="AA324" s="365"/>
      <c r="AB324" s="365"/>
      <c r="AC324" s="365"/>
      <c r="AD324" s="383"/>
      <c r="AE324" s="365"/>
      <c r="AF324" s="383"/>
      <c r="AG324" s="365"/>
      <c r="AH324" s="383"/>
      <c r="AI324" s="365"/>
      <c r="AJ324" s="383"/>
      <c r="AK324" s="365"/>
      <c r="AL324" s="383"/>
      <c r="AM324" s="353"/>
    </row>
    <row r="325" spans="1:39" s="352" customFormat="1">
      <c r="A325" s="364"/>
      <c r="B325" s="364"/>
      <c r="C325" s="365"/>
      <c r="D325" s="365"/>
      <c r="E325" s="365"/>
      <c r="F325" s="365"/>
      <c r="G325" s="365"/>
      <c r="H325" s="383"/>
      <c r="I325" s="365"/>
      <c r="J325" s="383"/>
      <c r="K325" s="365"/>
      <c r="L325" s="365"/>
      <c r="M325" s="365"/>
      <c r="N325" s="383"/>
      <c r="O325" s="365"/>
      <c r="P325" s="365"/>
      <c r="Q325" s="365"/>
      <c r="R325" s="383"/>
      <c r="S325" s="365"/>
      <c r="T325" s="383"/>
      <c r="U325" s="365"/>
      <c r="V325" s="383"/>
      <c r="W325" s="365"/>
      <c r="X325" s="383"/>
      <c r="Y325" s="365"/>
      <c r="Z325" s="383"/>
      <c r="AA325" s="365"/>
      <c r="AB325" s="365"/>
      <c r="AC325" s="365"/>
      <c r="AD325" s="383"/>
      <c r="AE325" s="365"/>
      <c r="AF325" s="383"/>
      <c r="AG325" s="365"/>
      <c r="AH325" s="383"/>
      <c r="AI325" s="365"/>
      <c r="AJ325" s="383"/>
      <c r="AK325" s="365"/>
      <c r="AL325" s="383"/>
      <c r="AM325" s="353"/>
    </row>
    <row r="326" spans="1:39" s="352" customFormat="1">
      <c r="A326" s="364"/>
      <c r="B326" s="364"/>
      <c r="C326" s="365"/>
      <c r="D326" s="365"/>
      <c r="E326" s="365"/>
      <c r="F326" s="365"/>
      <c r="G326" s="365"/>
      <c r="H326" s="383"/>
      <c r="I326" s="365"/>
      <c r="J326" s="383"/>
      <c r="K326" s="365"/>
      <c r="L326" s="365"/>
      <c r="M326" s="365"/>
      <c r="N326" s="383"/>
      <c r="O326" s="365"/>
      <c r="P326" s="365"/>
      <c r="Q326" s="365"/>
      <c r="R326" s="383"/>
      <c r="S326" s="365"/>
      <c r="T326" s="383"/>
      <c r="U326" s="365"/>
      <c r="V326" s="383"/>
      <c r="W326" s="365"/>
      <c r="X326" s="383"/>
      <c r="Y326" s="365"/>
      <c r="Z326" s="383"/>
      <c r="AA326" s="365"/>
      <c r="AB326" s="365"/>
      <c r="AC326" s="365"/>
      <c r="AD326" s="383"/>
      <c r="AE326" s="365"/>
      <c r="AF326" s="383"/>
      <c r="AG326" s="365"/>
      <c r="AH326" s="383"/>
      <c r="AI326" s="365"/>
      <c r="AJ326" s="383"/>
      <c r="AK326" s="365"/>
      <c r="AL326" s="383"/>
      <c r="AM326" s="353"/>
    </row>
    <row r="327" spans="1:39" s="352" customFormat="1">
      <c r="A327" s="364"/>
      <c r="B327" s="364"/>
      <c r="C327" s="365"/>
      <c r="D327" s="365"/>
      <c r="E327" s="365"/>
      <c r="F327" s="365"/>
      <c r="G327" s="365"/>
      <c r="H327" s="383"/>
      <c r="I327" s="365"/>
      <c r="J327" s="383"/>
      <c r="K327" s="365"/>
      <c r="L327" s="365"/>
      <c r="M327" s="365"/>
      <c r="N327" s="383"/>
      <c r="O327" s="365"/>
      <c r="P327" s="365"/>
      <c r="Q327" s="365"/>
      <c r="R327" s="383"/>
      <c r="S327" s="365"/>
      <c r="T327" s="383"/>
      <c r="U327" s="365"/>
      <c r="V327" s="383"/>
      <c r="W327" s="365"/>
      <c r="X327" s="383"/>
      <c r="Y327" s="365"/>
      <c r="Z327" s="383"/>
      <c r="AA327" s="365"/>
      <c r="AB327" s="365"/>
      <c r="AC327" s="365"/>
      <c r="AD327" s="383"/>
      <c r="AE327" s="365"/>
      <c r="AF327" s="383"/>
      <c r="AG327" s="365"/>
      <c r="AH327" s="383"/>
      <c r="AI327" s="365"/>
      <c r="AJ327" s="383"/>
      <c r="AK327" s="365"/>
      <c r="AL327" s="383"/>
      <c r="AM327" s="353"/>
    </row>
    <row r="328" spans="1:39" s="352" customFormat="1">
      <c r="A328" s="364"/>
      <c r="B328" s="364"/>
      <c r="C328" s="365"/>
      <c r="D328" s="365"/>
      <c r="E328" s="365"/>
      <c r="F328" s="365"/>
      <c r="G328" s="365"/>
      <c r="H328" s="383"/>
      <c r="I328" s="365"/>
      <c r="J328" s="383"/>
      <c r="K328" s="365"/>
      <c r="L328" s="365"/>
      <c r="M328" s="365"/>
      <c r="N328" s="383"/>
      <c r="O328" s="365"/>
      <c r="P328" s="365"/>
      <c r="Q328" s="365"/>
      <c r="R328" s="383"/>
      <c r="S328" s="365"/>
      <c r="T328" s="383"/>
      <c r="U328" s="365"/>
      <c r="V328" s="383"/>
      <c r="W328" s="365"/>
      <c r="X328" s="383"/>
      <c r="Y328" s="365"/>
      <c r="Z328" s="383"/>
      <c r="AA328" s="365"/>
      <c r="AB328" s="365"/>
      <c r="AC328" s="365"/>
      <c r="AD328" s="383"/>
      <c r="AE328" s="365"/>
      <c r="AF328" s="383"/>
      <c r="AG328" s="365"/>
      <c r="AH328" s="383"/>
      <c r="AI328" s="365"/>
      <c r="AJ328" s="383"/>
      <c r="AK328" s="365"/>
      <c r="AL328" s="383"/>
      <c r="AM328" s="353"/>
    </row>
    <row r="329" spans="1:39" s="352" customFormat="1">
      <c r="A329" s="364"/>
      <c r="B329" s="364"/>
      <c r="C329" s="365"/>
      <c r="D329" s="365"/>
      <c r="E329" s="365"/>
      <c r="F329" s="365"/>
      <c r="G329" s="365"/>
      <c r="H329" s="383"/>
      <c r="I329" s="365"/>
      <c r="J329" s="383"/>
      <c r="K329" s="365"/>
      <c r="L329" s="365"/>
      <c r="M329" s="365"/>
      <c r="N329" s="383"/>
      <c r="O329" s="365"/>
      <c r="P329" s="365"/>
      <c r="Q329" s="365"/>
      <c r="R329" s="383"/>
      <c r="S329" s="365"/>
      <c r="T329" s="383"/>
      <c r="U329" s="365"/>
      <c r="V329" s="383"/>
      <c r="W329" s="365"/>
      <c r="X329" s="383"/>
      <c r="Y329" s="365"/>
      <c r="Z329" s="383"/>
      <c r="AA329" s="365"/>
      <c r="AB329" s="365"/>
      <c r="AC329" s="365"/>
      <c r="AD329" s="383"/>
      <c r="AE329" s="365"/>
      <c r="AF329" s="383"/>
      <c r="AG329" s="365"/>
      <c r="AH329" s="383"/>
      <c r="AI329" s="365"/>
      <c r="AJ329" s="383"/>
      <c r="AK329" s="365"/>
      <c r="AL329" s="383"/>
      <c r="AM329" s="353"/>
    </row>
    <row r="330" spans="1:39" s="352" customFormat="1">
      <c r="A330" s="364"/>
      <c r="B330" s="364"/>
      <c r="C330" s="365"/>
      <c r="D330" s="365"/>
      <c r="E330" s="365"/>
      <c r="F330" s="365"/>
      <c r="G330" s="365"/>
      <c r="H330" s="383"/>
      <c r="I330" s="365"/>
      <c r="J330" s="383"/>
      <c r="K330" s="365"/>
      <c r="L330" s="365"/>
      <c r="M330" s="365"/>
      <c r="N330" s="383"/>
      <c r="O330" s="365"/>
      <c r="P330" s="365"/>
      <c r="Q330" s="365"/>
      <c r="R330" s="383"/>
      <c r="S330" s="365"/>
      <c r="T330" s="383"/>
      <c r="U330" s="365"/>
      <c r="V330" s="383"/>
      <c r="W330" s="365"/>
      <c r="X330" s="383"/>
      <c r="Y330" s="365"/>
      <c r="Z330" s="383"/>
      <c r="AA330" s="365"/>
      <c r="AB330" s="365"/>
      <c r="AC330" s="365"/>
      <c r="AD330" s="383"/>
      <c r="AE330" s="365"/>
      <c r="AF330" s="383"/>
      <c r="AG330" s="365"/>
      <c r="AH330" s="383"/>
      <c r="AI330" s="365"/>
      <c r="AJ330" s="383"/>
      <c r="AK330" s="365"/>
      <c r="AL330" s="383"/>
      <c r="AM330" s="353"/>
    </row>
    <row r="331" spans="1:39" s="352" customFormat="1">
      <c r="A331" s="364"/>
      <c r="B331" s="364"/>
      <c r="C331" s="365"/>
      <c r="D331" s="365"/>
      <c r="E331" s="365"/>
      <c r="F331" s="365"/>
      <c r="G331" s="365"/>
      <c r="H331" s="383"/>
      <c r="I331" s="365"/>
      <c r="J331" s="383"/>
      <c r="K331" s="365"/>
      <c r="L331" s="365"/>
      <c r="M331" s="365"/>
      <c r="N331" s="383"/>
      <c r="O331" s="365"/>
      <c r="P331" s="365"/>
      <c r="Q331" s="365"/>
      <c r="R331" s="383"/>
      <c r="S331" s="365"/>
      <c r="T331" s="383"/>
      <c r="U331" s="365"/>
      <c r="V331" s="383"/>
      <c r="W331" s="365"/>
      <c r="X331" s="383"/>
      <c r="Y331" s="365"/>
      <c r="Z331" s="383"/>
      <c r="AA331" s="365"/>
      <c r="AB331" s="365"/>
      <c r="AC331" s="365"/>
      <c r="AD331" s="383"/>
      <c r="AE331" s="365"/>
      <c r="AF331" s="383"/>
      <c r="AG331" s="365"/>
      <c r="AH331" s="383"/>
      <c r="AI331" s="365"/>
      <c r="AJ331" s="383"/>
      <c r="AK331" s="365"/>
      <c r="AL331" s="383"/>
      <c r="AM331" s="353"/>
    </row>
    <row r="332" spans="1:39" s="352" customFormat="1">
      <c r="A332" s="364"/>
      <c r="B332" s="364"/>
      <c r="C332" s="365"/>
      <c r="D332" s="365"/>
      <c r="E332" s="365"/>
      <c r="F332" s="365"/>
      <c r="G332" s="365"/>
      <c r="H332" s="383"/>
      <c r="I332" s="365"/>
      <c r="J332" s="383"/>
      <c r="K332" s="365"/>
      <c r="L332" s="365"/>
      <c r="M332" s="365"/>
      <c r="N332" s="383"/>
      <c r="O332" s="365"/>
      <c r="P332" s="365"/>
      <c r="Q332" s="365"/>
      <c r="R332" s="383"/>
      <c r="S332" s="365"/>
      <c r="T332" s="383"/>
      <c r="U332" s="365"/>
      <c r="V332" s="383"/>
      <c r="W332" s="365"/>
      <c r="X332" s="383"/>
      <c r="Y332" s="365"/>
      <c r="Z332" s="383"/>
      <c r="AA332" s="365"/>
      <c r="AB332" s="365"/>
      <c r="AC332" s="365"/>
      <c r="AD332" s="383"/>
      <c r="AE332" s="365"/>
      <c r="AF332" s="383"/>
      <c r="AG332" s="365"/>
      <c r="AH332" s="383"/>
      <c r="AI332" s="365"/>
      <c r="AJ332" s="383"/>
      <c r="AK332" s="365"/>
      <c r="AL332" s="383"/>
      <c r="AM332" s="353"/>
    </row>
    <row r="333" spans="1:39" s="352" customFormat="1">
      <c r="A333" s="364"/>
      <c r="B333" s="364"/>
      <c r="C333" s="365"/>
      <c r="D333" s="365"/>
      <c r="E333" s="365"/>
      <c r="F333" s="365"/>
      <c r="G333" s="365"/>
      <c r="H333" s="383"/>
      <c r="I333" s="365"/>
      <c r="J333" s="383"/>
      <c r="K333" s="365"/>
      <c r="L333" s="365"/>
      <c r="M333" s="365"/>
      <c r="N333" s="383"/>
      <c r="O333" s="365"/>
      <c r="P333" s="365"/>
      <c r="Q333" s="365"/>
      <c r="R333" s="383"/>
      <c r="S333" s="365"/>
      <c r="T333" s="383"/>
      <c r="U333" s="365"/>
      <c r="V333" s="383"/>
      <c r="W333" s="365"/>
      <c r="X333" s="383"/>
      <c r="Y333" s="365"/>
      <c r="Z333" s="383"/>
      <c r="AA333" s="365"/>
      <c r="AB333" s="365"/>
      <c r="AC333" s="365"/>
      <c r="AD333" s="383"/>
      <c r="AE333" s="365"/>
      <c r="AF333" s="383"/>
      <c r="AG333" s="365"/>
      <c r="AH333" s="383"/>
      <c r="AI333" s="365"/>
      <c r="AJ333" s="383"/>
      <c r="AK333" s="365"/>
      <c r="AL333" s="383"/>
      <c r="AM333" s="353"/>
    </row>
    <row r="334" spans="1:39" s="352" customFormat="1">
      <c r="A334" s="364"/>
      <c r="B334" s="364"/>
      <c r="C334" s="365"/>
      <c r="D334" s="365"/>
      <c r="E334" s="365"/>
      <c r="F334" s="365"/>
      <c r="G334" s="365"/>
      <c r="H334" s="383"/>
      <c r="I334" s="365"/>
      <c r="J334" s="383"/>
      <c r="K334" s="365"/>
      <c r="L334" s="365"/>
      <c r="M334" s="365"/>
      <c r="N334" s="383"/>
      <c r="O334" s="365"/>
      <c r="P334" s="365"/>
      <c r="Q334" s="365"/>
      <c r="R334" s="383"/>
      <c r="S334" s="365"/>
      <c r="T334" s="383"/>
      <c r="U334" s="365"/>
      <c r="V334" s="383"/>
      <c r="W334" s="365"/>
      <c r="X334" s="383"/>
      <c r="Y334" s="365"/>
      <c r="Z334" s="383"/>
      <c r="AA334" s="365"/>
      <c r="AB334" s="365"/>
      <c r="AC334" s="365"/>
      <c r="AD334" s="383"/>
      <c r="AE334" s="365"/>
      <c r="AF334" s="383"/>
      <c r="AG334" s="365"/>
      <c r="AH334" s="383"/>
      <c r="AI334" s="365"/>
      <c r="AJ334" s="383"/>
      <c r="AK334" s="365"/>
      <c r="AL334" s="383"/>
      <c r="AM334" s="353"/>
    </row>
    <row r="335" spans="1:39" s="352" customFormat="1">
      <c r="A335" s="364"/>
      <c r="B335" s="364"/>
      <c r="C335" s="365"/>
      <c r="D335" s="365"/>
      <c r="E335" s="365"/>
      <c r="F335" s="365"/>
      <c r="G335" s="365"/>
      <c r="H335" s="383"/>
      <c r="I335" s="365"/>
      <c r="J335" s="383"/>
      <c r="K335" s="365"/>
      <c r="L335" s="365"/>
      <c r="M335" s="365"/>
      <c r="N335" s="383"/>
      <c r="O335" s="365"/>
      <c r="P335" s="365"/>
      <c r="Q335" s="365"/>
      <c r="R335" s="383"/>
      <c r="S335" s="365"/>
      <c r="T335" s="383"/>
      <c r="U335" s="365"/>
      <c r="V335" s="383"/>
      <c r="W335" s="365"/>
      <c r="X335" s="383"/>
      <c r="Y335" s="365"/>
      <c r="Z335" s="383"/>
      <c r="AA335" s="365"/>
      <c r="AB335" s="365"/>
      <c r="AC335" s="365"/>
      <c r="AD335" s="383"/>
      <c r="AE335" s="365"/>
      <c r="AF335" s="383"/>
      <c r="AG335" s="365"/>
      <c r="AH335" s="383"/>
      <c r="AI335" s="365"/>
      <c r="AJ335" s="383"/>
      <c r="AK335" s="365"/>
      <c r="AL335" s="383"/>
      <c r="AM335" s="353"/>
    </row>
    <row r="336" spans="1:39" s="352" customFormat="1">
      <c r="A336" s="364"/>
      <c r="B336" s="364"/>
      <c r="C336" s="365"/>
      <c r="D336" s="365"/>
      <c r="E336" s="365"/>
      <c r="F336" s="365"/>
      <c r="G336" s="365"/>
      <c r="H336" s="383"/>
      <c r="I336" s="365"/>
      <c r="J336" s="383"/>
      <c r="K336" s="365"/>
      <c r="L336" s="365"/>
      <c r="M336" s="365"/>
      <c r="N336" s="383"/>
      <c r="O336" s="365"/>
      <c r="P336" s="365"/>
      <c r="Q336" s="365"/>
      <c r="R336" s="383"/>
      <c r="S336" s="365"/>
      <c r="T336" s="383"/>
      <c r="U336" s="365"/>
      <c r="V336" s="383"/>
      <c r="W336" s="365"/>
      <c r="X336" s="383"/>
      <c r="Y336" s="365"/>
      <c r="Z336" s="383"/>
      <c r="AA336" s="365"/>
      <c r="AB336" s="365"/>
      <c r="AC336" s="365"/>
      <c r="AD336" s="383"/>
      <c r="AE336" s="365"/>
      <c r="AF336" s="383"/>
      <c r="AG336" s="365"/>
      <c r="AH336" s="383"/>
      <c r="AI336" s="365"/>
      <c r="AJ336" s="383"/>
      <c r="AK336" s="365"/>
      <c r="AL336" s="383"/>
      <c r="AM336" s="353"/>
    </row>
    <row r="337" spans="1:39" s="352" customFormat="1">
      <c r="A337" s="364"/>
      <c r="B337" s="364"/>
      <c r="C337" s="365"/>
      <c r="D337" s="365"/>
      <c r="E337" s="365"/>
      <c r="F337" s="365"/>
      <c r="G337" s="365"/>
      <c r="H337" s="383"/>
      <c r="I337" s="365"/>
      <c r="J337" s="383"/>
      <c r="K337" s="365"/>
      <c r="L337" s="365"/>
      <c r="M337" s="365"/>
      <c r="N337" s="383"/>
      <c r="O337" s="365"/>
      <c r="P337" s="365"/>
      <c r="Q337" s="365"/>
      <c r="R337" s="383"/>
      <c r="S337" s="365"/>
      <c r="T337" s="383"/>
      <c r="U337" s="365"/>
      <c r="V337" s="383"/>
      <c r="W337" s="365"/>
      <c r="X337" s="383"/>
      <c r="Y337" s="365"/>
      <c r="Z337" s="383"/>
      <c r="AA337" s="365"/>
      <c r="AB337" s="365"/>
      <c r="AC337" s="365"/>
      <c r="AD337" s="383"/>
      <c r="AE337" s="365"/>
      <c r="AF337" s="383"/>
      <c r="AG337" s="365"/>
      <c r="AH337" s="383"/>
      <c r="AI337" s="365"/>
      <c r="AJ337" s="383"/>
      <c r="AK337" s="365"/>
      <c r="AL337" s="383"/>
      <c r="AM337" s="353"/>
    </row>
    <row r="338" spans="1:39" s="352" customFormat="1">
      <c r="A338" s="364"/>
      <c r="B338" s="364"/>
      <c r="C338" s="365"/>
      <c r="D338" s="365"/>
      <c r="E338" s="365"/>
      <c r="F338" s="365"/>
      <c r="G338" s="365"/>
      <c r="H338" s="383"/>
      <c r="I338" s="365"/>
      <c r="J338" s="383"/>
      <c r="K338" s="365"/>
      <c r="L338" s="365"/>
      <c r="M338" s="365"/>
      <c r="N338" s="383"/>
      <c r="O338" s="365"/>
      <c r="P338" s="365"/>
      <c r="Q338" s="365"/>
      <c r="R338" s="383"/>
      <c r="S338" s="365"/>
      <c r="T338" s="383"/>
      <c r="U338" s="365"/>
      <c r="V338" s="383"/>
      <c r="W338" s="365"/>
      <c r="X338" s="383"/>
      <c r="Y338" s="365"/>
      <c r="Z338" s="383"/>
      <c r="AA338" s="365"/>
      <c r="AB338" s="365"/>
      <c r="AC338" s="365"/>
      <c r="AD338" s="383"/>
      <c r="AE338" s="365"/>
      <c r="AF338" s="383"/>
      <c r="AG338" s="365"/>
      <c r="AH338" s="383"/>
      <c r="AI338" s="365"/>
      <c r="AJ338" s="383"/>
      <c r="AK338" s="365"/>
      <c r="AL338" s="383"/>
      <c r="AM338" s="353"/>
    </row>
    <row r="339" spans="1:39" s="352" customFormat="1">
      <c r="A339" s="364"/>
      <c r="B339" s="364"/>
      <c r="C339" s="365"/>
      <c r="D339" s="365"/>
      <c r="E339" s="365"/>
      <c r="F339" s="365"/>
      <c r="G339" s="365"/>
      <c r="H339" s="383"/>
      <c r="I339" s="365"/>
      <c r="J339" s="383"/>
      <c r="K339" s="365"/>
      <c r="L339" s="365"/>
      <c r="M339" s="365"/>
      <c r="N339" s="383"/>
      <c r="O339" s="365"/>
      <c r="P339" s="365"/>
      <c r="Q339" s="365"/>
      <c r="R339" s="383"/>
      <c r="S339" s="365"/>
      <c r="T339" s="383"/>
      <c r="U339" s="365"/>
      <c r="V339" s="383"/>
      <c r="W339" s="365"/>
      <c r="X339" s="383"/>
      <c r="Y339" s="365"/>
      <c r="Z339" s="383"/>
      <c r="AA339" s="365"/>
      <c r="AB339" s="365"/>
      <c r="AC339" s="365"/>
      <c r="AD339" s="383"/>
      <c r="AE339" s="365"/>
      <c r="AF339" s="383"/>
      <c r="AG339" s="365"/>
      <c r="AH339" s="383"/>
      <c r="AI339" s="365"/>
      <c r="AJ339" s="383"/>
      <c r="AK339" s="365"/>
      <c r="AL339" s="383"/>
      <c r="AM339" s="353"/>
    </row>
    <row r="340" spans="1:39" s="352" customFormat="1">
      <c r="A340" s="364"/>
      <c r="B340" s="364"/>
      <c r="C340" s="365"/>
      <c r="D340" s="365"/>
      <c r="E340" s="365"/>
      <c r="F340" s="365"/>
      <c r="G340" s="365"/>
      <c r="H340" s="383"/>
      <c r="I340" s="365"/>
      <c r="J340" s="383"/>
      <c r="K340" s="365"/>
      <c r="L340" s="365"/>
      <c r="M340" s="365"/>
      <c r="N340" s="383"/>
      <c r="O340" s="365"/>
      <c r="P340" s="365"/>
      <c r="Q340" s="365"/>
      <c r="R340" s="383"/>
      <c r="S340" s="365"/>
      <c r="T340" s="383"/>
      <c r="U340" s="365"/>
      <c r="V340" s="383"/>
      <c r="W340" s="365"/>
      <c r="X340" s="383"/>
      <c r="Y340" s="365"/>
      <c r="Z340" s="383"/>
      <c r="AA340" s="365"/>
      <c r="AB340" s="365"/>
      <c r="AC340" s="365"/>
      <c r="AD340" s="383"/>
      <c r="AE340" s="365"/>
      <c r="AF340" s="383"/>
      <c r="AG340" s="365"/>
      <c r="AH340" s="383"/>
      <c r="AI340" s="365"/>
      <c r="AJ340" s="383"/>
      <c r="AK340" s="365"/>
      <c r="AL340" s="383"/>
      <c r="AM340" s="353"/>
    </row>
    <row r="341" spans="1:39" s="352" customFormat="1">
      <c r="A341" s="364"/>
      <c r="B341" s="364"/>
      <c r="C341" s="365"/>
      <c r="D341" s="365"/>
      <c r="E341" s="365"/>
      <c r="F341" s="365"/>
      <c r="G341" s="365"/>
      <c r="H341" s="383"/>
      <c r="I341" s="365"/>
      <c r="J341" s="383"/>
      <c r="K341" s="365"/>
      <c r="L341" s="365"/>
      <c r="M341" s="365"/>
      <c r="N341" s="383"/>
      <c r="O341" s="365"/>
      <c r="P341" s="365"/>
      <c r="Q341" s="365"/>
      <c r="R341" s="383"/>
      <c r="S341" s="365"/>
      <c r="T341" s="383"/>
      <c r="U341" s="365"/>
      <c r="V341" s="383"/>
      <c r="W341" s="365"/>
      <c r="X341" s="383"/>
      <c r="Y341" s="365"/>
      <c r="Z341" s="383"/>
      <c r="AA341" s="365"/>
      <c r="AB341" s="365"/>
      <c r="AC341" s="365"/>
      <c r="AD341" s="383"/>
      <c r="AE341" s="365"/>
      <c r="AF341" s="383"/>
      <c r="AG341" s="365"/>
      <c r="AH341" s="383"/>
      <c r="AI341" s="365"/>
      <c r="AJ341" s="383"/>
      <c r="AK341" s="365"/>
      <c r="AL341" s="383"/>
      <c r="AM341" s="353"/>
    </row>
    <row r="342" spans="1:39" s="352" customFormat="1">
      <c r="A342" s="364"/>
      <c r="B342" s="364"/>
      <c r="C342" s="365"/>
      <c r="D342" s="365"/>
      <c r="E342" s="365"/>
      <c r="F342" s="365"/>
      <c r="G342" s="365"/>
      <c r="H342" s="383"/>
      <c r="I342" s="365"/>
      <c r="J342" s="383"/>
      <c r="K342" s="365"/>
      <c r="L342" s="365"/>
      <c r="M342" s="365"/>
      <c r="N342" s="383"/>
      <c r="O342" s="365"/>
      <c r="P342" s="365"/>
      <c r="Q342" s="365"/>
      <c r="R342" s="383"/>
      <c r="S342" s="365"/>
      <c r="T342" s="383"/>
      <c r="U342" s="365"/>
      <c r="V342" s="383"/>
      <c r="W342" s="365"/>
      <c r="X342" s="383"/>
      <c r="Y342" s="365"/>
      <c r="Z342" s="383"/>
      <c r="AA342" s="365"/>
      <c r="AB342" s="365"/>
      <c r="AC342" s="365"/>
      <c r="AD342" s="383"/>
      <c r="AE342" s="365"/>
      <c r="AF342" s="383"/>
      <c r="AG342" s="365"/>
      <c r="AH342" s="383"/>
      <c r="AI342" s="365"/>
      <c r="AJ342" s="383"/>
      <c r="AK342" s="365"/>
      <c r="AL342" s="383"/>
      <c r="AM342" s="353"/>
    </row>
    <row r="343" spans="1:39" s="352" customFormat="1">
      <c r="A343" s="364"/>
      <c r="B343" s="364"/>
      <c r="C343" s="365"/>
      <c r="D343" s="365"/>
      <c r="E343" s="365"/>
      <c r="F343" s="365"/>
      <c r="G343" s="365"/>
      <c r="H343" s="383"/>
      <c r="I343" s="365"/>
      <c r="J343" s="383"/>
      <c r="K343" s="365"/>
      <c r="L343" s="365"/>
      <c r="M343" s="365"/>
      <c r="N343" s="383"/>
      <c r="O343" s="365"/>
      <c r="P343" s="365"/>
      <c r="Q343" s="365"/>
      <c r="R343" s="383"/>
      <c r="S343" s="365"/>
      <c r="T343" s="383"/>
      <c r="U343" s="365"/>
      <c r="V343" s="383"/>
      <c r="W343" s="365"/>
      <c r="X343" s="383"/>
      <c r="Y343" s="365"/>
      <c r="Z343" s="383"/>
      <c r="AA343" s="365"/>
      <c r="AB343" s="365"/>
      <c r="AC343" s="365"/>
      <c r="AD343" s="383"/>
      <c r="AE343" s="365"/>
      <c r="AF343" s="383"/>
      <c r="AG343" s="365"/>
      <c r="AH343" s="383"/>
      <c r="AI343" s="365"/>
      <c r="AJ343" s="383"/>
      <c r="AK343" s="365"/>
      <c r="AL343" s="383"/>
      <c r="AM343" s="353"/>
    </row>
    <row r="344" spans="1:39" s="352" customFormat="1">
      <c r="A344" s="364"/>
      <c r="B344" s="364"/>
      <c r="C344" s="365"/>
      <c r="D344" s="365"/>
      <c r="E344" s="365"/>
      <c r="F344" s="365"/>
      <c r="G344" s="365"/>
      <c r="H344" s="383"/>
      <c r="I344" s="365"/>
      <c r="J344" s="383"/>
      <c r="K344" s="365"/>
      <c r="L344" s="365"/>
      <c r="M344" s="365"/>
      <c r="N344" s="383"/>
      <c r="O344" s="365"/>
      <c r="P344" s="365"/>
      <c r="Q344" s="365"/>
      <c r="R344" s="383"/>
      <c r="S344" s="365"/>
      <c r="T344" s="383"/>
      <c r="U344" s="365"/>
      <c r="V344" s="383"/>
      <c r="W344" s="365"/>
      <c r="X344" s="383"/>
      <c r="Y344" s="365"/>
      <c r="Z344" s="383"/>
      <c r="AA344" s="365"/>
      <c r="AB344" s="365"/>
      <c r="AC344" s="365"/>
      <c r="AD344" s="383"/>
      <c r="AE344" s="365"/>
      <c r="AF344" s="383"/>
      <c r="AG344" s="365"/>
      <c r="AH344" s="383"/>
      <c r="AI344" s="365"/>
      <c r="AJ344" s="383"/>
      <c r="AK344" s="365"/>
      <c r="AL344" s="383"/>
      <c r="AM344" s="353"/>
    </row>
    <row r="345" spans="1:39" s="352" customFormat="1">
      <c r="A345" s="364"/>
      <c r="B345" s="364"/>
      <c r="C345" s="365"/>
      <c r="D345" s="365"/>
      <c r="E345" s="365"/>
      <c r="F345" s="365"/>
      <c r="G345" s="365"/>
      <c r="H345" s="383"/>
      <c r="I345" s="365"/>
      <c r="J345" s="383"/>
      <c r="K345" s="365"/>
      <c r="L345" s="365"/>
      <c r="M345" s="365"/>
      <c r="N345" s="383"/>
      <c r="O345" s="365"/>
      <c r="P345" s="365"/>
      <c r="Q345" s="365"/>
      <c r="R345" s="383"/>
      <c r="S345" s="365"/>
      <c r="T345" s="383"/>
      <c r="U345" s="365"/>
      <c r="V345" s="383"/>
      <c r="W345" s="365"/>
      <c r="X345" s="383"/>
      <c r="Y345" s="365"/>
      <c r="Z345" s="383"/>
      <c r="AA345" s="365"/>
      <c r="AB345" s="365"/>
      <c r="AC345" s="365"/>
      <c r="AD345" s="383"/>
      <c r="AE345" s="365"/>
      <c r="AF345" s="383"/>
      <c r="AG345" s="365"/>
      <c r="AH345" s="383"/>
      <c r="AI345" s="365"/>
      <c r="AJ345" s="383"/>
      <c r="AK345" s="365"/>
      <c r="AL345" s="383"/>
      <c r="AM345" s="353"/>
    </row>
    <row r="346" spans="1:39" s="352" customFormat="1">
      <c r="A346" s="364"/>
      <c r="B346" s="364"/>
      <c r="C346" s="365"/>
      <c r="D346" s="365"/>
      <c r="E346" s="365"/>
      <c r="F346" s="365"/>
      <c r="G346" s="365"/>
      <c r="H346" s="383"/>
      <c r="I346" s="365"/>
      <c r="J346" s="383"/>
      <c r="K346" s="365"/>
      <c r="L346" s="365"/>
      <c r="M346" s="365"/>
      <c r="N346" s="383"/>
      <c r="O346" s="365"/>
      <c r="P346" s="365"/>
      <c r="Q346" s="365"/>
      <c r="R346" s="383"/>
      <c r="S346" s="365"/>
      <c r="T346" s="383"/>
      <c r="U346" s="365"/>
      <c r="V346" s="383"/>
      <c r="W346" s="365"/>
      <c r="X346" s="383"/>
      <c r="Y346" s="365"/>
      <c r="Z346" s="383"/>
      <c r="AA346" s="365"/>
      <c r="AB346" s="365"/>
      <c r="AC346" s="365"/>
      <c r="AD346" s="383"/>
      <c r="AE346" s="365"/>
      <c r="AF346" s="383"/>
      <c r="AG346" s="365"/>
      <c r="AH346" s="383"/>
      <c r="AI346" s="365"/>
      <c r="AJ346" s="383"/>
      <c r="AK346" s="365"/>
      <c r="AL346" s="383"/>
      <c r="AM346" s="353"/>
    </row>
    <row r="347" spans="1:39" s="352" customFormat="1">
      <c r="A347" s="364"/>
      <c r="B347" s="364"/>
      <c r="C347" s="365"/>
      <c r="D347" s="365"/>
      <c r="E347" s="365"/>
      <c r="F347" s="365"/>
      <c r="G347" s="365"/>
      <c r="H347" s="383"/>
      <c r="I347" s="365"/>
      <c r="J347" s="383"/>
      <c r="K347" s="365"/>
      <c r="L347" s="365"/>
      <c r="M347" s="365"/>
      <c r="N347" s="383"/>
      <c r="O347" s="365"/>
      <c r="P347" s="365"/>
      <c r="Q347" s="365"/>
      <c r="R347" s="383"/>
      <c r="S347" s="365"/>
      <c r="T347" s="383"/>
      <c r="U347" s="365"/>
      <c r="V347" s="383"/>
      <c r="W347" s="365"/>
      <c r="X347" s="383"/>
      <c r="Y347" s="365"/>
      <c r="Z347" s="383"/>
      <c r="AA347" s="365"/>
      <c r="AB347" s="365"/>
      <c r="AC347" s="365"/>
      <c r="AD347" s="383"/>
      <c r="AE347" s="365"/>
      <c r="AF347" s="383"/>
      <c r="AG347" s="365"/>
      <c r="AH347" s="383"/>
      <c r="AI347" s="365"/>
      <c r="AJ347" s="383"/>
      <c r="AK347" s="365"/>
      <c r="AL347" s="383"/>
      <c r="AM347" s="353"/>
    </row>
    <row r="348" spans="1:39" s="352" customFormat="1">
      <c r="A348" s="364"/>
      <c r="B348" s="364"/>
      <c r="C348" s="365"/>
      <c r="D348" s="365"/>
      <c r="E348" s="365"/>
      <c r="F348" s="365"/>
      <c r="G348" s="365"/>
      <c r="H348" s="383"/>
      <c r="I348" s="365"/>
      <c r="J348" s="383"/>
      <c r="K348" s="365"/>
      <c r="L348" s="365"/>
      <c r="M348" s="365"/>
      <c r="N348" s="383"/>
      <c r="O348" s="365"/>
      <c r="P348" s="365"/>
      <c r="Q348" s="365"/>
      <c r="R348" s="383"/>
      <c r="S348" s="365"/>
      <c r="T348" s="383"/>
      <c r="U348" s="365"/>
      <c r="V348" s="383"/>
      <c r="W348" s="365"/>
      <c r="X348" s="383"/>
      <c r="Y348" s="365"/>
      <c r="Z348" s="383"/>
      <c r="AA348" s="365"/>
      <c r="AB348" s="365"/>
      <c r="AC348" s="365"/>
      <c r="AD348" s="383"/>
      <c r="AE348" s="365"/>
      <c r="AF348" s="383"/>
      <c r="AG348" s="365"/>
      <c r="AH348" s="383"/>
      <c r="AI348" s="365"/>
      <c r="AJ348" s="383"/>
      <c r="AK348" s="365"/>
      <c r="AL348" s="383"/>
      <c r="AM348" s="353"/>
    </row>
    <row r="349" spans="1:39" s="352" customFormat="1">
      <c r="A349" s="364"/>
      <c r="B349" s="364"/>
      <c r="C349" s="365"/>
      <c r="D349" s="365"/>
      <c r="E349" s="365"/>
      <c r="F349" s="365"/>
      <c r="G349" s="365"/>
      <c r="H349" s="383"/>
      <c r="I349" s="365"/>
      <c r="J349" s="383"/>
      <c r="K349" s="365"/>
      <c r="L349" s="365"/>
      <c r="M349" s="365"/>
      <c r="N349" s="383"/>
      <c r="O349" s="365"/>
      <c r="P349" s="365"/>
      <c r="Q349" s="365"/>
      <c r="R349" s="383"/>
      <c r="S349" s="365"/>
      <c r="T349" s="383"/>
      <c r="U349" s="365"/>
      <c r="V349" s="383"/>
      <c r="W349" s="365"/>
      <c r="X349" s="383"/>
      <c r="Y349" s="365"/>
      <c r="Z349" s="383"/>
      <c r="AA349" s="365"/>
      <c r="AB349" s="365"/>
      <c r="AC349" s="365"/>
      <c r="AD349" s="383"/>
      <c r="AE349" s="365"/>
      <c r="AF349" s="383"/>
      <c r="AG349" s="365"/>
      <c r="AH349" s="383"/>
      <c r="AI349" s="365"/>
      <c r="AJ349" s="383"/>
      <c r="AK349" s="365"/>
      <c r="AL349" s="383"/>
      <c r="AM349" s="353"/>
    </row>
    <row r="350" spans="1:39" s="352" customFormat="1">
      <c r="A350" s="364"/>
      <c r="B350" s="364"/>
      <c r="C350" s="365"/>
      <c r="D350" s="365"/>
      <c r="E350" s="365"/>
      <c r="F350" s="365"/>
      <c r="G350" s="365"/>
      <c r="H350" s="383"/>
      <c r="I350" s="365"/>
      <c r="J350" s="383"/>
      <c r="K350" s="365"/>
      <c r="L350" s="365"/>
      <c r="M350" s="365"/>
      <c r="N350" s="383"/>
      <c r="O350" s="365"/>
      <c r="P350" s="365"/>
      <c r="Q350" s="365"/>
      <c r="R350" s="383"/>
      <c r="S350" s="365"/>
      <c r="T350" s="383"/>
      <c r="U350" s="365"/>
      <c r="V350" s="383"/>
      <c r="W350" s="365"/>
      <c r="X350" s="383"/>
      <c r="Y350" s="365"/>
      <c r="Z350" s="383"/>
      <c r="AA350" s="365"/>
      <c r="AB350" s="365"/>
      <c r="AC350" s="365"/>
      <c r="AD350" s="383"/>
      <c r="AE350" s="365"/>
      <c r="AF350" s="383"/>
      <c r="AG350" s="365"/>
      <c r="AH350" s="383"/>
      <c r="AI350" s="365"/>
      <c r="AJ350" s="383"/>
      <c r="AK350" s="365"/>
      <c r="AL350" s="383"/>
      <c r="AM350" s="353"/>
    </row>
    <row r="351" spans="1:39" s="352" customFormat="1">
      <c r="A351" s="364"/>
      <c r="B351" s="364"/>
      <c r="C351" s="365"/>
      <c r="D351" s="365"/>
      <c r="E351" s="365"/>
      <c r="F351" s="365"/>
      <c r="G351" s="365"/>
      <c r="H351" s="383"/>
      <c r="I351" s="365"/>
      <c r="J351" s="383"/>
      <c r="K351" s="365"/>
      <c r="L351" s="365"/>
      <c r="M351" s="365"/>
      <c r="N351" s="383"/>
      <c r="O351" s="365"/>
      <c r="P351" s="365"/>
      <c r="Q351" s="365"/>
      <c r="R351" s="383"/>
      <c r="S351" s="365"/>
      <c r="T351" s="383"/>
      <c r="U351" s="365"/>
      <c r="V351" s="383"/>
      <c r="W351" s="365"/>
      <c r="X351" s="383"/>
      <c r="Y351" s="365"/>
      <c r="Z351" s="383"/>
      <c r="AA351" s="365"/>
      <c r="AB351" s="365"/>
      <c r="AC351" s="365"/>
      <c r="AD351" s="383"/>
      <c r="AE351" s="365"/>
      <c r="AF351" s="383"/>
      <c r="AG351" s="365"/>
      <c r="AH351" s="383"/>
      <c r="AI351" s="365"/>
      <c r="AJ351" s="383"/>
      <c r="AK351" s="365"/>
      <c r="AL351" s="383"/>
      <c r="AM351" s="353"/>
    </row>
    <row r="352" spans="1:39" s="352" customFormat="1">
      <c r="A352" s="364"/>
      <c r="B352" s="364"/>
      <c r="C352" s="365"/>
      <c r="D352" s="365"/>
      <c r="E352" s="365"/>
      <c r="F352" s="365"/>
      <c r="G352" s="365"/>
      <c r="H352" s="383"/>
      <c r="I352" s="365"/>
      <c r="J352" s="383"/>
      <c r="K352" s="365"/>
      <c r="L352" s="365"/>
      <c r="M352" s="365"/>
      <c r="N352" s="383"/>
      <c r="O352" s="365"/>
      <c r="P352" s="365"/>
      <c r="Q352" s="365"/>
      <c r="R352" s="383"/>
      <c r="S352" s="365"/>
      <c r="T352" s="383"/>
      <c r="U352" s="365"/>
      <c r="V352" s="383"/>
      <c r="W352" s="365"/>
      <c r="X352" s="383"/>
      <c r="Y352" s="365"/>
      <c r="Z352" s="383"/>
      <c r="AA352" s="365"/>
      <c r="AB352" s="365"/>
      <c r="AC352" s="365"/>
      <c r="AD352" s="383"/>
      <c r="AE352" s="365"/>
      <c r="AF352" s="383"/>
      <c r="AG352" s="365"/>
      <c r="AH352" s="383"/>
      <c r="AI352" s="365"/>
      <c r="AJ352" s="383"/>
      <c r="AK352" s="365"/>
      <c r="AL352" s="383"/>
      <c r="AM352" s="353"/>
    </row>
    <row r="353" spans="1:39" s="352" customFormat="1">
      <c r="A353" s="364"/>
      <c r="B353" s="364"/>
      <c r="C353" s="365"/>
      <c r="D353" s="365"/>
      <c r="E353" s="365"/>
      <c r="F353" s="365"/>
      <c r="G353" s="365"/>
      <c r="H353" s="383"/>
      <c r="I353" s="365"/>
      <c r="J353" s="383"/>
      <c r="K353" s="365"/>
      <c r="L353" s="365"/>
      <c r="M353" s="365"/>
      <c r="N353" s="383"/>
      <c r="O353" s="365"/>
      <c r="P353" s="365"/>
      <c r="Q353" s="365"/>
      <c r="R353" s="383"/>
      <c r="S353" s="365"/>
      <c r="T353" s="383"/>
      <c r="U353" s="365"/>
      <c r="V353" s="383"/>
      <c r="W353" s="365"/>
      <c r="X353" s="383"/>
      <c r="Y353" s="365"/>
      <c r="Z353" s="383"/>
      <c r="AA353" s="365"/>
      <c r="AB353" s="365"/>
      <c r="AC353" s="365"/>
      <c r="AD353" s="383"/>
      <c r="AE353" s="365"/>
      <c r="AF353" s="383"/>
      <c r="AG353" s="365"/>
      <c r="AH353" s="383"/>
      <c r="AI353" s="365"/>
      <c r="AJ353" s="383"/>
      <c r="AK353" s="365"/>
      <c r="AL353" s="383"/>
      <c r="AM353" s="353"/>
    </row>
    <row r="354" spans="1:39" s="352" customFormat="1">
      <c r="A354" s="364"/>
      <c r="B354" s="364"/>
      <c r="C354" s="365"/>
      <c r="D354" s="365"/>
      <c r="E354" s="365"/>
      <c r="F354" s="365"/>
      <c r="G354" s="365"/>
      <c r="H354" s="383"/>
      <c r="I354" s="365"/>
      <c r="J354" s="383"/>
      <c r="K354" s="365"/>
      <c r="L354" s="365"/>
      <c r="M354" s="365"/>
      <c r="N354" s="383"/>
      <c r="O354" s="365"/>
      <c r="P354" s="365"/>
      <c r="Q354" s="365"/>
      <c r="R354" s="383"/>
      <c r="S354" s="365"/>
      <c r="T354" s="383"/>
      <c r="U354" s="365"/>
      <c r="V354" s="383"/>
      <c r="W354" s="365"/>
      <c r="X354" s="383"/>
      <c r="Y354" s="365"/>
      <c r="Z354" s="383"/>
      <c r="AA354" s="365"/>
      <c r="AB354" s="365"/>
      <c r="AC354" s="365"/>
      <c r="AD354" s="383"/>
      <c r="AE354" s="365"/>
      <c r="AF354" s="383"/>
      <c r="AG354" s="365"/>
      <c r="AH354" s="383"/>
      <c r="AI354" s="365"/>
      <c r="AJ354" s="383"/>
      <c r="AK354" s="365"/>
      <c r="AL354" s="383"/>
      <c r="AM354" s="353"/>
    </row>
    <row r="355" spans="1:39" s="352" customFormat="1">
      <c r="A355" s="364"/>
      <c r="B355" s="364"/>
      <c r="C355" s="365"/>
      <c r="D355" s="365"/>
      <c r="E355" s="365"/>
      <c r="F355" s="365"/>
      <c r="G355" s="365"/>
      <c r="H355" s="383"/>
      <c r="I355" s="365"/>
      <c r="J355" s="383"/>
      <c r="K355" s="365"/>
      <c r="L355" s="365"/>
      <c r="M355" s="365"/>
      <c r="N355" s="383"/>
      <c r="O355" s="365"/>
      <c r="P355" s="365"/>
      <c r="Q355" s="365"/>
      <c r="R355" s="383"/>
      <c r="S355" s="365"/>
      <c r="T355" s="383"/>
      <c r="U355" s="365"/>
      <c r="V355" s="383"/>
      <c r="W355" s="365"/>
      <c r="X355" s="383"/>
      <c r="Y355" s="365"/>
      <c r="Z355" s="383"/>
      <c r="AA355" s="365"/>
      <c r="AB355" s="365"/>
      <c r="AC355" s="365"/>
      <c r="AD355" s="383"/>
      <c r="AE355" s="365"/>
      <c r="AF355" s="383"/>
      <c r="AG355" s="365"/>
      <c r="AH355" s="383"/>
      <c r="AI355" s="365"/>
      <c r="AJ355" s="383"/>
      <c r="AK355" s="365"/>
      <c r="AL355" s="383"/>
      <c r="AM355" s="353"/>
    </row>
    <row r="356" spans="1:39" s="352" customFormat="1">
      <c r="A356" s="364"/>
      <c r="B356" s="364"/>
      <c r="C356" s="365"/>
      <c r="D356" s="365"/>
      <c r="E356" s="365"/>
      <c r="F356" s="365"/>
      <c r="G356" s="365"/>
      <c r="H356" s="383"/>
      <c r="I356" s="365"/>
      <c r="J356" s="383"/>
      <c r="K356" s="365"/>
      <c r="L356" s="365"/>
      <c r="M356" s="365"/>
      <c r="N356" s="383"/>
      <c r="O356" s="365"/>
      <c r="P356" s="365"/>
      <c r="Q356" s="365"/>
      <c r="R356" s="383"/>
      <c r="S356" s="365"/>
      <c r="T356" s="383"/>
      <c r="U356" s="365"/>
      <c r="V356" s="383"/>
      <c r="W356" s="365"/>
      <c r="X356" s="383"/>
      <c r="Y356" s="365"/>
      <c r="Z356" s="383"/>
      <c r="AA356" s="365"/>
      <c r="AB356" s="365"/>
      <c r="AC356" s="365"/>
      <c r="AD356" s="383"/>
      <c r="AE356" s="365"/>
      <c r="AF356" s="383"/>
      <c r="AG356" s="365"/>
      <c r="AH356" s="383"/>
      <c r="AI356" s="365"/>
      <c r="AJ356" s="383"/>
      <c r="AK356" s="365"/>
      <c r="AL356" s="383"/>
      <c r="AM356" s="353"/>
    </row>
    <row r="357" spans="1:39" s="352" customFormat="1">
      <c r="A357" s="364"/>
      <c r="B357" s="364"/>
      <c r="C357" s="365"/>
      <c r="D357" s="365"/>
      <c r="E357" s="365"/>
      <c r="F357" s="365"/>
      <c r="G357" s="365"/>
      <c r="H357" s="383"/>
      <c r="I357" s="365"/>
      <c r="J357" s="383"/>
      <c r="K357" s="365"/>
      <c r="L357" s="365"/>
      <c r="M357" s="365"/>
      <c r="N357" s="383"/>
      <c r="O357" s="365"/>
      <c r="P357" s="365"/>
      <c r="Q357" s="365"/>
      <c r="R357" s="383"/>
      <c r="S357" s="365"/>
      <c r="T357" s="383"/>
      <c r="U357" s="365"/>
      <c r="V357" s="383"/>
      <c r="W357" s="365"/>
      <c r="X357" s="383"/>
      <c r="Y357" s="365"/>
      <c r="Z357" s="383"/>
      <c r="AA357" s="365"/>
      <c r="AB357" s="365"/>
      <c r="AC357" s="365"/>
      <c r="AD357" s="383"/>
      <c r="AE357" s="365"/>
      <c r="AF357" s="383"/>
      <c r="AG357" s="365"/>
      <c r="AH357" s="383"/>
      <c r="AI357" s="365"/>
      <c r="AJ357" s="383"/>
      <c r="AK357" s="365"/>
      <c r="AL357" s="383"/>
      <c r="AM357" s="353"/>
    </row>
    <row r="358" spans="1:39" s="352" customFormat="1">
      <c r="A358" s="364"/>
      <c r="B358" s="364"/>
      <c r="C358" s="365"/>
      <c r="D358" s="365"/>
      <c r="E358" s="365"/>
      <c r="F358" s="365"/>
      <c r="G358" s="365"/>
      <c r="H358" s="383"/>
      <c r="I358" s="365"/>
      <c r="J358" s="383"/>
      <c r="K358" s="365"/>
      <c r="L358" s="365"/>
      <c r="M358" s="365"/>
      <c r="N358" s="383"/>
      <c r="O358" s="365"/>
      <c r="P358" s="365"/>
      <c r="Q358" s="365"/>
      <c r="R358" s="383"/>
      <c r="S358" s="365"/>
      <c r="T358" s="383"/>
      <c r="U358" s="365"/>
      <c r="V358" s="383"/>
      <c r="W358" s="365"/>
      <c r="X358" s="383"/>
      <c r="Y358" s="365"/>
      <c r="Z358" s="383"/>
      <c r="AA358" s="365"/>
      <c r="AB358" s="365"/>
      <c r="AC358" s="365"/>
      <c r="AD358" s="383"/>
      <c r="AE358" s="365"/>
      <c r="AF358" s="383"/>
      <c r="AG358" s="365"/>
      <c r="AH358" s="383"/>
      <c r="AI358" s="365"/>
      <c r="AJ358" s="383"/>
      <c r="AK358" s="365"/>
      <c r="AL358" s="383"/>
      <c r="AM358" s="353"/>
    </row>
    <row r="359" spans="1:39" s="352" customFormat="1">
      <c r="A359" s="364"/>
      <c r="B359" s="364"/>
      <c r="C359" s="365"/>
      <c r="D359" s="365"/>
      <c r="E359" s="365"/>
      <c r="F359" s="365"/>
      <c r="G359" s="365"/>
      <c r="H359" s="383"/>
      <c r="I359" s="365"/>
      <c r="J359" s="383"/>
      <c r="K359" s="365"/>
      <c r="L359" s="365"/>
      <c r="M359" s="365"/>
      <c r="N359" s="383"/>
      <c r="O359" s="365"/>
      <c r="P359" s="365"/>
      <c r="Q359" s="365"/>
      <c r="R359" s="383"/>
      <c r="S359" s="365"/>
      <c r="T359" s="383"/>
      <c r="U359" s="365"/>
      <c r="V359" s="383"/>
      <c r="W359" s="365"/>
      <c r="X359" s="383"/>
      <c r="Y359" s="365"/>
      <c r="Z359" s="383"/>
      <c r="AA359" s="365"/>
      <c r="AB359" s="365"/>
      <c r="AC359" s="365"/>
      <c r="AD359" s="383"/>
      <c r="AE359" s="365"/>
      <c r="AF359" s="383"/>
      <c r="AG359" s="365"/>
      <c r="AH359" s="383"/>
      <c r="AI359" s="365"/>
      <c r="AJ359" s="383"/>
      <c r="AK359" s="365"/>
      <c r="AL359" s="383"/>
      <c r="AM359" s="353"/>
    </row>
    <row r="360" spans="1:39" s="352" customFormat="1">
      <c r="A360" s="364"/>
      <c r="B360" s="364"/>
      <c r="C360" s="365"/>
      <c r="D360" s="365"/>
      <c r="E360" s="365"/>
      <c r="F360" s="365"/>
      <c r="G360" s="365"/>
      <c r="H360" s="383"/>
      <c r="I360" s="365"/>
      <c r="J360" s="383"/>
      <c r="K360" s="365"/>
      <c r="L360" s="365"/>
      <c r="M360" s="365"/>
      <c r="N360" s="383"/>
      <c r="O360" s="365"/>
      <c r="P360" s="365"/>
      <c r="Q360" s="365"/>
      <c r="R360" s="383"/>
      <c r="S360" s="365"/>
      <c r="T360" s="383"/>
      <c r="U360" s="365"/>
      <c r="V360" s="383"/>
      <c r="W360" s="365"/>
      <c r="X360" s="383"/>
      <c r="Y360" s="365"/>
      <c r="Z360" s="383"/>
      <c r="AA360" s="365"/>
      <c r="AB360" s="365"/>
      <c r="AC360" s="365"/>
      <c r="AD360" s="383"/>
      <c r="AE360" s="365"/>
      <c r="AF360" s="383"/>
      <c r="AG360" s="365"/>
      <c r="AH360" s="383"/>
      <c r="AI360" s="365"/>
      <c r="AJ360" s="383"/>
      <c r="AK360" s="365"/>
      <c r="AL360" s="383"/>
      <c r="AM360" s="353"/>
    </row>
    <row r="361" spans="1:39" s="352" customFormat="1">
      <c r="A361" s="364"/>
      <c r="B361" s="364"/>
      <c r="C361" s="365"/>
      <c r="D361" s="365"/>
      <c r="E361" s="365"/>
      <c r="F361" s="365"/>
      <c r="G361" s="365"/>
      <c r="H361" s="383"/>
      <c r="I361" s="365"/>
      <c r="J361" s="383"/>
      <c r="K361" s="365"/>
      <c r="L361" s="365"/>
      <c r="M361" s="365"/>
      <c r="N361" s="383"/>
      <c r="O361" s="365"/>
      <c r="P361" s="365"/>
      <c r="Q361" s="365"/>
      <c r="R361" s="383"/>
      <c r="S361" s="365"/>
      <c r="T361" s="383"/>
      <c r="U361" s="365"/>
      <c r="V361" s="383"/>
      <c r="W361" s="365"/>
      <c r="X361" s="383"/>
      <c r="Y361" s="365"/>
      <c r="Z361" s="383"/>
      <c r="AA361" s="365"/>
      <c r="AB361" s="365"/>
      <c r="AC361" s="365"/>
      <c r="AD361" s="383"/>
      <c r="AE361" s="365"/>
      <c r="AF361" s="383"/>
      <c r="AG361" s="365"/>
      <c r="AH361" s="383"/>
      <c r="AI361" s="365"/>
      <c r="AJ361" s="383"/>
      <c r="AK361" s="365"/>
      <c r="AL361" s="383"/>
      <c r="AM361" s="353"/>
    </row>
    <row r="362" spans="1:39" s="352" customFormat="1">
      <c r="A362" s="364"/>
      <c r="B362" s="364"/>
      <c r="C362" s="365"/>
      <c r="D362" s="365"/>
      <c r="E362" s="365"/>
      <c r="F362" s="365"/>
      <c r="G362" s="365"/>
      <c r="H362" s="383"/>
      <c r="I362" s="365"/>
      <c r="J362" s="383"/>
      <c r="K362" s="365"/>
      <c r="L362" s="365"/>
      <c r="M362" s="365"/>
      <c r="N362" s="383"/>
      <c r="O362" s="365"/>
      <c r="P362" s="365"/>
      <c r="Q362" s="365"/>
      <c r="R362" s="383"/>
      <c r="S362" s="365"/>
      <c r="T362" s="383"/>
      <c r="U362" s="365"/>
      <c r="V362" s="383"/>
      <c r="W362" s="365"/>
      <c r="X362" s="383"/>
      <c r="Y362" s="365"/>
      <c r="Z362" s="383"/>
      <c r="AA362" s="365"/>
      <c r="AB362" s="365"/>
      <c r="AC362" s="365"/>
      <c r="AD362" s="383"/>
      <c r="AE362" s="365"/>
      <c r="AF362" s="383"/>
      <c r="AG362" s="365"/>
      <c r="AH362" s="383"/>
      <c r="AI362" s="365"/>
      <c r="AJ362" s="383"/>
      <c r="AK362" s="365"/>
      <c r="AL362" s="383"/>
      <c r="AM362" s="353"/>
    </row>
    <row r="363" spans="1:39" s="352" customFormat="1">
      <c r="A363" s="364"/>
      <c r="B363" s="364"/>
      <c r="C363" s="365"/>
      <c r="D363" s="365"/>
      <c r="E363" s="365"/>
      <c r="F363" s="365"/>
      <c r="G363" s="365"/>
      <c r="H363" s="383"/>
      <c r="I363" s="365"/>
      <c r="J363" s="383"/>
      <c r="K363" s="365"/>
      <c r="L363" s="365"/>
      <c r="M363" s="365"/>
      <c r="N363" s="383"/>
      <c r="O363" s="365"/>
      <c r="P363" s="365"/>
      <c r="Q363" s="365"/>
      <c r="R363" s="383"/>
      <c r="S363" s="365"/>
      <c r="T363" s="383"/>
      <c r="U363" s="365"/>
      <c r="V363" s="383"/>
      <c r="W363" s="365"/>
      <c r="X363" s="383"/>
      <c r="Y363" s="365"/>
      <c r="Z363" s="383"/>
      <c r="AA363" s="365"/>
      <c r="AB363" s="365"/>
      <c r="AC363" s="365"/>
      <c r="AD363" s="383"/>
      <c r="AE363" s="365"/>
      <c r="AF363" s="383"/>
      <c r="AG363" s="365"/>
      <c r="AH363" s="383"/>
      <c r="AI363" s="365"/>
      <c r="AJ363" s="383"/>
      <c r="AK363" s="365"/>
      <c r="AL363" s="383"/>
      <c r="AM363" s="353"/>
    </row>
    <row r="364" spans="1:39" s="352" customFormat="1">
      <c r="A364" s="364"/>
      <c r="B364" s="364"/>
      <c r="C364" s="365"/>
      <c r="D364" s="365"/>
      <c r="E364" s="365"/>
      <c r="F364" s="365"/>
      <c r="G364" s="365"/>
      <c r="H364" s="383"/>
      <c r="I364" s="365"/>
      <c r="J364" s="383"/>
      <c r="K364" s="365"/>
      <c r="L364" s="365"/>
      <c r="M364" s="365"/>
      <c r="N364" s="383"/>
      <c r="O364" s="365"/>
      <c r="P364" s="365"/>
      <c r="Q364" s="365"/>
      <c r="R364" s="383"/>
      <c r="S364" s="365"/>
      <c r="T364" s="383"/>
      <c r="U364" s="365"/>
      <c r="V364" s="383"/>
      <c r="W364" s="365"/>
      <c r="X364" s="383"/>
      <c r="Y364" s="365"/>
      <c r="Z364" s="383"/>
      <c r="AA364" s="365"/>
      <c r="AB364" s="365"/>
      <c r="AC364" s="365"/>
      <c r="AD364" s="383"/>
      <c r="AE364" s="365"/>
      <c r="AF364" s="383"/>
      <c r="AG364" s="365"/>
      <c r="AH364" s="383"/>
      <c r="AI364" s="365"/>
      <c r="AJ364" s="383"/>
      <c r="AK364" s="365"/>
      <c r="AL364" s="383"/>
      <c r="AM364" s="353"/>
    </row>
    <row r="365" spans="1:39" s="352" customFormat="1">
      <c r="A365" s="364"/>
      <c r="B365" s="364"/>
      <c r="C365" s="365"/>
      <c r="D365" s="365"/>
      <c r="E365" s="365"/>
      <c r="F365" s="365"/>
      <c r="G365" s="365"/>
      <c r="H365" s="383"/>
      <c r="I365" s="365"/>
      <c r="J365" s="383"/>
      <c r="K365" s="365"/>
      <c r="L365" s="365"/>
      <c r="M365" s="365"/>
      <c r="N365" s="383"/>
      <c r="O365" s="365"/>
      <c r="P365" s="365"/>
      <c r="Q365" s="365"/>
      <c r="R365" s="383"/>
      <c r="S365" s="365"/>
      <c r="T365" s="383"/>
      <c r="U365" s="365"/>
      <c r="V365" s="383"/>
      <c r="W365" s="365"/>
      <c r="X365" s="383"/>
      <c r="Y365" s="365"/>
      <c r="Z365" s="383"/>
      <c r="AA365" s="365"/>
      <c r="AB365" s="365"/>
      <c r="AC365" s="365"/>
      <c r="AD365" s="383"/>
      <c r="AE365" s="365"/>
      <c r="AF365" s="383"/>
      <c r="AG365" s="365"/>
      <c r="AH365" s="383"/>
      <c r="AI365" s="365"/>
      <c r="AJ365" s="383"/>
      <c r="AK365" s="365"/>
      <c r="AL365" s="383"/>
      <c r="AM365" s="353"/>
    </row>
    <row r="366" spans="1:39" s="352" customFormat="1">
      <c r="A366" s="364"/>
      <c r="B366" s="364"/>
      <c r="C366" s="365"/>
      <c r="D366" s="365"/>
      <c r="E366" s="365"/>
      <c r="F366" s="365"/>
      <c r="G366" s="365"/>
      <c r="H366" s="383"/>
      <c r="I366" s="365"/>
      <c r="J366" s="383"/>
      <c r="K366" s="365"/>
      <c r="L366" s="365"/>
      <c r="M366" s="365"/>
      <c r="N366" s="383"/>
      <c r="O366" s="365"/>
      <c r="P366" s="365"/>
      <c r="Q366" s="365"/>
      <c r="R366" s="383"/>
      <c r="S366" s="365"/>
      <c r="T366" s="383"/>
      <c r="U366" s="365"/>
      <c r="V366" s="383"/>
      <c r="W366" s="365"/>
      <c r="X366" s="383"/>
      <c r="Y366" s="365"/>
      <c r="Z366" s="383"/>
      <c r="AA366" s="365"/>
      <c r="AB366" s="365"/>
      <c r="AC366" s="365"/>
      <c r="AD366" s="383"/>
      <c r="AE366" s="365"/>
      <c r="AF366" s="383"/>
      <c r="AG366" s="365"/>
      <c r="AH366" s="383"/>
      <c r="AI366" s="365"/>
      <c r="AJ366" s="383"/>
      <c r="AK366" s="365"/>
      <c r="AL366" s="383"/>
      <c r="AM366" s="353"/>
    </row>
    <row r="367" spans="1:39" s="352" customFormat="1">
      <c r="A367" s="364"/>
      <c r="B367" s="364"/>
      <c r="C367" s="365"/>
      <c r="D367" s="365"/>
      <c r="E367" s="365"/>
      <c r="F367" s="365"/>
      <c r="G367" s="365"/>
      <c r="H367" s="383"/>
      <c r="I367" s="365"/>
      <c r="J367" s="383"/>
      <c r="K367" s="365"/>
      <c r="L367" s="365"/>
      <c r="M367" s="365"/>
      <c r="N367" s="383"/>
      <c r="O367" s="365"/>
      <c r="P367" s="365"/>
      <c r="Q367" s="365"/>
      <c r="R367" s="383"/>
      <c r="S367" s="365"/>
      <c r="T367" s="383"/>
      <c r="U367" s="365"/>
      <c r="V367" s="383"/>
      <c r="W367" s="365"/>
      <c r="X367" s="383"/>
      <c r="Y367" s="365"/>
      <c r="Z367" s="383"/>
      <c r="AA367" s="365"/>
      <c r="AB367" s="365"/>
      <c r="AC367" s="365"/>
      <c r="AD367" s="383"/>
      <c r="AE367" s="365"/>
      <c r="AF367" s="383"/>
      <c r="AG367" s="365"/>
      <c r="AH367" s="383"/>
      <c r="AI367" s="365"/>
      <c r="AJ367" s="383"/>
      <c r="AK367" s="365"/>
      <c r="AL367" s="383"/>
      <c r="AM367" s="353"/>
    </row>
    <row r="368" spans="1:39" s="352" customFormat="1">
      <c r="A368" s="364"/>
      <c r="B368" s="364"/>
      <c r="C368" s="365"/>
      <c r="D368" s="365"/>
      <c r="E368" s="365"/>
      <c r="F368" s="365"/>
      <c r="G368" s="365"/>
      <c r="H368" s="383"/>
      <c r="I368" s="365"/>
      <c r="J368" s="383"/>
      <c r="K368" s="365"/>
      <c r="L368" s="365"/>
      <c r="M368" s="365"/>
      <c r="N368" s="383"/>
      <c r="O368" s="365"/>
      <c r="P368" s="365"/>
      <c r="Q368" s="365"/>
      <c r="R368" s="383"/>
      <c r="S368" s="365"/>
      <c r="T368" s="383"/>
      <c r="U368" s="365"/>
      <c r="V368" s="383"/>
      <c r="W368" s="365"/>
      <c r="X368" s="383"/>
      <c r="Y368" s="365"/>
      <c r="Z368" s="383"/>
      <c r="AA368" s="365"/>
      <c r="AB368" s="365"/>
      <c r="AC368" s="365"/>
      <c r="AD368" s="383"/>
      <c r="AE368" s="365"/>
      <c r="AF368" s="383"/>
      <c r="AG368" s="365"/>
      <c r="AH368" s="383"/>
      <c r="AI368" s="365"/>
      <c r="AJ368" s="383"/>
      <c r="AK368" s="365"/>
      <c r="AL368" s="383"/>
      <c r="AM368" s="353"/>
    </row>
    <row r="369" spans="1:39" s="352" customFormat="1">
      <c r="A369" s="364"/>
      <c r="B369" s="364"/>
      <c r="C369" s="365"/>
      <c r="D369" s="365"/>
      <c r="E369" s="365"/>
      <c r="F369" s="365"/>
      <c r="G369" s="365"/>
      <c r="H369" s="383"/>
      <c r="I369" s="365"/>
      <c r="J369" s="383"/>
      <c r="K369" s="365"/>
      <c r="L369" s="365"/>
      <c r="M369" s="365"/>
      <c r="N369" s="383"/>
      <c r="O369" s="365"/>
      <c r="P369" s="365"/>
      <c r="Q369" s="365"/>
      <c r="R369" s="383"/>
      <c r="S369" s="365"/>
      <c r="T369" s="383"/>
      <c r="U369" s="365"/>
      <c r="V369" s="383"/>
      <c r="W369" s="365"/>
      <c r="X369" s="383"/>
      <c r="Y369" s="365"/>
      <c r="Z369" s="383"/>
      <c r="AA369" s="365"/>
      <c r="AB369" s="365"/>
      <c r="AC369" s="365"/>
      <c r="AD369" s="383"/>
      <c r="AE369" s="365"/>
      <c r="AF369" s="383"/>
      <c r="AG369" s="365"/>
      <c r="AH369" s="383"/>
      <c r="AI369" s="365"/>
      <c r="AJ369" s="383"/>
      <c r="AK369" s="365"/>
      <c r="AL369" s="383"/>
      <c r="AM369" s="353"/>
    </row>
    <row r="370" spans="1:39" s="352" customFormat="1">
      <c r="A370" s="364"/>
      <c r="B370" s="364"/>
      <c r="C370" s="365"/>
      <c r="D370" s="365"/>
      <c r="E370" s="365"/>
      <c r="F370" s="365"/>
      <c r="G370" s="365"/>
      <c r="H370" s="383"/>
      <c r="I370" s="365"/>
      <c r="J370" s="383"/>
      <c r="K370" s="365"/>
      <c r="L370" s="365"/>
      <c r="M370" s="365"/>
      <c r="N370" s="383"/>
      <c r="O370" s="365"/>
      <c r="P370" s="365"/>
      <c r="Q370" s="365"/>
      <c r="R370" s="383"/>
      <c r="S370" s="365"/>
      <c r="T370" s="383"/>
      <c r="U370" s="365"/>
      <c r="V370" s="383"/>
      <c r="W370" s="365"/>
      <c r="X370" s="383"/>
      <c r="Y370" s="365"/>
      <c r="Z370" s="383"/>
      <c r="AA370" s="365"/>
      <c r="AB370" s="365"/>
      <c r="AC370" s="365"/>
      <c r="AD370" s="383"/>
      <c r="AE370" s="365"/>
      <c r="AF370" s="383"/>
      <c r="AG370" s="365"/>
      <c r="AH370" s="383"/>
      <c r="AI370" s="365"/>
      <c r="AJ370" s="383"/>
      <c r="AK370" s="365"/>
      <c r="AL370" s="383"/>
      <c r="AM370" s="353"/>
    </row>
    <row r="371" spans="1:39" s="352" customFormat="1">
      <c r="A371" s="364"/>
      <c r="B371" s="364"/>
      <c r="C371" s="365"/>
      <c r="D371" s="365"/>
      <c r="E371" s="365"/>
      <c r="F371" s="365"/>
      <c r="G371" s="365"/>
      <c r="H371" s="383"/>
      <c r="I371" s="365"/>
      <c r="J371" s="383"/>
      <c r="K371" s="365"/>
      <c r="L371" s="365"/>
      <c r="M371" s="365"/>
      <c r="N371" s="383"/>
      <c r="O371" s="365"/>
      <c r="P371" s="365"/>
      <c r="Q371" s="365"/>
      <c r="R371" s="383"/>
      <c r="S371" s="365"/>
      <c r="T371" s="383"/>
      <c r="U371" s="365"/>
      <c r="V371" s="383"/>
      <c r="W371" s="365"/>
      <c r="X371" s="383"/>
      <c r="Y371" s="365"/>
      <c r="Z371" s="383"/>
      <c r="AA371" s="365"/>
      <c r="AB371" s="365"/>
      <c r="AC371" s="365"/>
      <c r="AD371" s="383"/>
      <c r="AE371" s="365"/>
      <c r="AF371" s="383"/>
      <c r="AG371" s="365"/>
      <c r="AH371" s="383"/>
      <c r="AI371" s="365"/>
      <c r="AJ371" s="383"/>
      <c r="AK371" s="365"/>
      <c r="AL371" s="383"/>
      <c r="AM371" s="353"/>
    </row>
    <row r="372" spans="1:39" s="352" customFormat="1">
      <c r="A372" s="364"/>
      <c r="B372" s="364"/>
      <c r="C372" s="365"/>
      <c r="D372" s="365"/>
      <c r="E372" s="365"/>
      <c r="F372" s="365"/>
      <c r="G372" s="365"/>
      <c r="H372" s="383"/>
      <c r="I372" s="365"/>
      <c r="J372" s="383"/>
      <c r="K372" s="365"/>
      <c r="L372" s="365"/>
      <c r="M372" s="365"/>
      <c r="N372" s="383"/>
      <c r="O372" s="365"/>
      <c r="P372" s="365"/>
      <c r="Q372" s="365"/>
      <c r="R372" s="383"/>
      <c r="S372" s="365"/>
      <c r="T372" s="383"/>
      <c r="U372" s="365"/>
      <c r="V372" s="383"/>
      <c r="W372" s="365"/>
      <c r="X372" s="383"/>
      <c r="Y372" s="365"/>
      <c r="Z372" s="383"/>
      <c r="AA372" s="365"/>
      <c r="AB372" s="365"/>
      <c r="AC372" s="365"/>
      <c r="AD372" s="383"/>
      <c r="AE372" s="365"/>
      <c r="AF372" s="383"/>
      <c r="AG372" s="365"/>
      <c r="AH372" s="383"/>
      <c r="AI372" s="365"/>
      <c r="AJ372" s="383"/>
      <c r="AK372" s="365"/>
      <c r="AL372" s="383"/>
      <c r="AM372" s="353"/>
    </row>
    <row r="373" spans="1:39" s="352" customFormat="1">
      <c r="A373" s="364"/>
      <c r="B373" s="364"/>
      <c r="C373" s="365"/>
      <c r="D373" s="365"/>
      <c r="E373" s="365"/>
      <c r="F373" s="365"/>
      <c r="G373" s="365"/>
      <c r="H373" s="383"/>
      <c r="I373" s="365"/>
      <c r="J373" s="383"/>
      <c r="K373" s="365"/>
      <c r="L373" s="365"/>
      <c r="M373" s="365"/>
      <c r="N373" s="383"/>
      <c r="O373" s="365"/>
      <c r="P373" s="365"/>
      <c r="Q373" s="365"/>
      <c r="R373" s="383"/>
      <c r="S373" s="365"/>
      <c r="T373" s="383"/>
      <c r="U373" s="365"/>
      <c r="V373" s="383"/>
      <c r="W373" s="365"/>
      <c r="X373" s="383"/>
      <c r="Y373" s="365"/>
      <c r="Z373" s="383"/>
      <c r="AA373" s="365"/>
      <c r="AB373" s="365"/>
      <c r="AC373" s="365"/>
      <c r="AD373" s="383"/>
      <c r="AE373" s="365"/>
      <c r="AF373" s="383"/>
      <c r="AG373" s="365"/>
      <c r="AH373" s="383"/>
      <c r="AI373" s="365"/>
      <c r="AJ373" s="383"/>
      <c r="AK373" s="365"/>
      <c r="AL373" s="383"/>
      <c r="AM373" s="353"/>
    </row>
    <row r="374" spans="1:39" s="352" customFormat="1">
      <c r="A374" s="364"/>
      <c r="B374" s="364"/>
      <c r="C374" s="365"/>
      <c r="D374" s="365"/>
      <c r="E374" s="365"/>
      <c r="F374" s="365"/>
      <c r="G374" s="365"/>
      <c r="H374" s="383"/>
      <c r="I374" s="365"/>
      <c r="J374" s="383"/>
      <c r="K374" s="365"/>
      <c r="L374" s="365"/>
      <c r="M374" s="365"/>
      <c r="N374" s="383"/>
      <c r="O374" s="365"/>
      <c r="P374" s="365"/>
      <c r="Q374" s="365"/>
      <c r="R374" s="383"/>
      <c r="S374" s="365"/>
      <c r="T374" s="383"/>
      <c r="U374" s="365"/>
      <c r="V374" s="383"/>
      <c r="W374" s="365"/>
      <c r="X374" s="383"/>
      <c r="Y374" s="365"/>
      <c r="Z374" s="383"/>
      <c r="AA374" s="365"/>
      <c r="AB374" s="365"/>
      <c r="AC374" s="365"/>
      <c r="AD374" s="383"/>
      <c r="AE374" s="365"/>
      <c r="AF374" s="383"/>
      <c r="AG374" s="365"/>
      <c r="AH374" s="383"/>
      <c r="AI374" s="365"/>
      <c r="AJ374" s="383"/>
      <c r="AK374" s="365"/>
      <c r="AL374" s="383"/>
      <c r="AM374" s="353"/>
    </row>
    <row r="375" spans="1:39" s="352" customFormat="1">
      <c r="A375" s="364"/>
      <c r="B375" s="364"/>
      <c r="C375" s="365"/>
      <c r="D375" s="365"/>
      <c r="E375" s="365"/>
      <c r="F375" s="365"/>
      <c r="G375" s="365"/>
      <c r="H375" s="383"/>
      <c r="I375" s="365"/>
      <c r="J375" s="383"/>
      <c r="K375" s="365"/>
      <c r="L375" s="365"/>
      <c r="M375" s="365"/>
      <c r="N375" s="383"/>
      <c r="O375" s="365"/>
      <c r="P375" s="365"/>
      <c r="Q375" s="365"/>
      <c r="R375" s="383"/>
      <c r="S375" s="365"/>
      <c r="T375" s="383"/>
      <c r="U375" s="365"/>
      <c r="V375" s="383"/>
      <c r="W375" s="365"/>
      <c r="X375" s="383"/>
      <c r="Y375" s="365"/>
      <c r="Z375" s="383"/>
      <c r="AA375" s="365"/>
      <c r="AB375" s="365"/>
      <c r="AC375" s="365"/>
      <c r="AD375" s="383"/>
      <c r="AE375" s="365"/>
      <c r="AF375" s="383"/>
      <c r="AG375" s="365"/>
      <c r="AH375" s="383"/>
      <c r="AI375" s="365"/>
      <c r="AJ375" s="383"/>
      <c r="AK375" s="365"/>
      <c r="AL375" s="383"/>
      <c r="AM375" s="353"/>
    </row>
    <row r="376" spans="1:39" s="352" customFormat="1">
      <c r="A376" s="364"/>
      <c r="B376" s="364"/>
      <c r="C376" s="365"/>
      <c r="D376" s="365"/>
      <c r="E376" s="365"/>
      <c r="F376" s="365"/>
      <c r="G376" s="365"/>
      <c r="H376" s="383"/>
      <c r="I376" s="365"/>
      <c r="J376" s="383"/>
      <c r="K376" s="365"/>
      <c r="L376" s="365"/>
      <c r="M376" s="365"/>
      <c r="N376" s="383"/>
      <c r="O376" s="365"/>
      <c r="P376" s="365"/>
      <c r="Q376" s="365"/>
      <c r="R376" s="383"/>
      <c r="S376" s="365"/>
      <c r="T376" s="383"/>
      <c r="U376" s="365"/>
      <c r="V376" s="383"/>
      <c r="W376" s="365"/>
      <c r="X376" s="383"/>
      <c r="Y376" s="365"/>
      <c r="Z376" s="383"/>
      <c r="AA376" s="365"/>
      <c r="AB376" s="365"/>
      <c r="AC376" s="365"/>
      <c r="AD376" s="383"/>
      <c r="AE376" s="365"/>
      <c r="AF376" s="383"/>
      <c r="AG376" s="365"/>
      <c r="AH376" s="383"/>
      <c r="AI376" s="365"/>
      <c r="AJ376" s="383"/>
      <c r="AK376" s="365"/>
      <c r="AL376" s="383"/>
      <c r="AM376" s="353"/>
    </row>
    <row r="377" spans="1:39" s="352" customFormat="1">
      <c r="A377" s="364"/>
      <c r="B377" s="364"/>
      <c r="C377" s="365"/>
      <c r="D377" s="365"/>
      <c r="E377" s="365"/>
      <c r="F377" s="365"/>
      <c r="G377" s="365"/>
      <c r="H377" s="383"/>
      <c r="I377" s="365"/>
      <c r="J377" s="383"/>
      <c r="K377" s="365"/>
      <c r="L377" s="365"/>
      <c r="M377" s="365"/>
      <c r="N377" s="383"/>
      <c r="O377" s="365"/>
      <c r="P377" s="365"/>
      <c r="Q377" s="365"/>
      <c r="R377" s="383"/>
      <c r="S377" s="365"/>
      <c r="T377" s="383"/>
      <c r="U377" s="365"/>
      <c r="V377" s="383"/>
      <c r="W377" s="365"/>
      <c r="X377" s="383"/>
      <c r="Y377" s="365"/>
      <c r="Z377" s="383"/>
      <c r="AA377" s="365"/>
      <c r="AB377" s="365"/>
      <c r="AC377" s="365"/>
      <c r="AD377" s="383"/>
      <c r="AE377" s="365"/>
      <c r="AF377" s="383"/>
      <c r="AG377" s="365"/>
      <c r="AH377" s="383"/>
      <c r="AI377" s="365"/>
      <c r="AJ377" s="383"/>
      <c r="AK377" s="365"/>
      <c r="AL377" s="383"/>
      <c r="AM377" s="353"/>
    </row>
    <row r="378" spans="1:39" s="352" customFormat="1">
      <c r="A378" s="364"/>
      <c r="B378" s="364"/>
      <c r="C378" s="365"/>
      <c r="D378" s="365"/>
      <c r="E378" s="365"/>
      <c r="F378" s="365"/>
      <c r="G378" s="365"/>
      <c r="H378" s="383"/>
      <c r="I378" s="365"/>
      <c r="J378" s="383"/>
      <c r="K378" s="365"/>
      <c r="L378" s="365"/>
      <c r="M378" s="365"/>
      <c r="N378" s="383"/>
      <c r="O378" s="365"/>
      <c r="P378" s="365"/>
      <c r="Q378" s="365"/>
      <c r="R378" s="383"/>
      <c r="S378" s="365"/>
      <c r="T378" s="383"/>
      <c r="U378" s="365"/>
      <c r="V378" s="383"/>
      <c r="W378" s="365"/>
      <c r="X378" s="383"/>
      <c r="Y378" s="365"/>
      <c r="Z378" s="383"/>
      <c r="AA378" s="365"/>
      <c r="AB378" s="365"/>
      <c r="AC378" s="365"/>
      <c r="AD378" s="383"/>
      <c r="AE378" s="365"/>
      <c r="AF378" s="383"/>
      <c r="AG378" s="365"/>
      <c r="AH378" s="383"/>
      <c r="AI378" s="365"/>
      <c r="AJ378" s="383"/>
      <c r="AK378" s="365"/>
      <c r="AL378" s="383"/>
      <c r="AM378" s="353"/>
    </row>
    <row r="379" spans="1:39" s="352" customFormat="1">
      <c r="A379" s="364"/>
      <c r="B379" s="364"/>
      <c r="C379" s="365"/>
      <c r="D379" s="365"/>
      <c r="E379" s="365"/>
      <c r="F379" s="365"/>
      <c r="G379" s="365"/>
      <c r="H379" s="383"/>
      <c r="I379" s="365"/>
      <c r="J379" s="383"/>
      <c r="K379" s="365"/>
      <c r="L379" s="365"/>
      <c r="M379" s="365"/>
      <c r="N379" s="383"/>
      <c r="O379" s="365"/>
      <c r="P379" s="365"/>
      <c r="Q379" s="365"/>
      <c r="R379" s="383"/>
      <c r="S379" s="365"/>
      <c r="T379" s="383"/>
      <c r="U379" s="365"/>
      <c r="V379" s="383"/>
      <c r="W379" s="365"/>
      <c r="X379" s="383"/>
      <c r="Y379" s="365"/>
      <c r="Z379" s="383"/>
      <c r="AA379" s="365"/>
      <c r="AB379" s="365"/>
      <c r="AC379" s="365"/>
      <c r="AD379" s="383"/>
      <c r="AE379" s="365"/>
      <c r="AF379" s="383"/>
      <c r="AG379" s="365"/>
      <c r="AH379" s="383"/>
      <c r="AI379" s="365"/>
      <c r="AJ379" s="383"/>
      <c r="AK379" s="365"/>
      <c r="AL379" s="383"/>
      <c r="AM379" s="353"/>
    </row>
    <row r="380" spans="1:39" s="352" customFormat="1">
      <c r="A380" s="364"/>
      <c r="B380" s="364"/>
      <c r="C380" s="365"/>
      <c r="D380" s="365"/>
      <c r="E380" s="365"/>
      <c r="F380" s="365"/>
      <c r="G380" s="365"/>
      <c r="H380" s="383"/>
      <c r="I380" s="365"/>
      <c r="J380" s="383"/>
      <c r="K380" s="365"/>
      <c r="L380" s="365"/>
      <c r="M380" s="365"/>
      <c r="N380" s="383"/>
      <c r="O380" s="365"/>
      <c r="P380" s="365"/>
      <c r="Q380" s="365"/>
      <c r="R380" s="383"/>
      <c r="S380" s="365"/>
      <c r="T380" s="383"/>
      <c r="U380" s="365"/>
      <c r="V380" s="383"/>
      <c r="W380" s="365"/>
      <c r="X380" s="383"/>
      <c r="Y380" s="365"/>
      <c r="Z380" s="383"/>
      <c r="AA380" s="365"/>
      <c r="AB380" s="365"/>
      <c r="AC380" s="365"/>
      <c r="AD380" s="383"/>
      <c r="AE380" s="365"/>
      <c r="AF380" s="383"/>
      <c r="AG380" s="365"/>
      <c r="AH380" s="383"/>
      <c r="AI380" s="365"/>
      <c r="AJ380" s="383"/>
      <c r="AK380" s="365"/>
      <c r="AL380" s="383"/>
      <c r="AM380" s="353"/>
    </row>
    <row r="381" spans="1:39" s="352" customFormat="1">
      <c r="A381" s="364"/>
      <c r="B381" s="364"/>
      <c r="C381" s="365"/>
      <c r="D381" s="365"/>
      <c r="E381" s="365"/>
      <c r="F381" s="365"/>
      <c r="G381" s="365"/>
      <c r="H381" s="383"/>
      <c r="I381" s="365"/>
      <c r="J381" s="383"/>
      <c r="K381" s="365"/>
      <c r="L381" s="365"/>
      <c r="M381" s="365"/>
      <c r="N381" s="383"/>
      <c r="O381" s="365"/>
      <c r="P381" s="365"/>
      <c r="Q381" s="365"/>
      <c r="R381" s="383"/>
      <c r="S381" s="365"/>
      <c r="T381" s="383"/>
      <c r="U381" s="365"/>
      <c r="V381" s="383"/>
      <c r="W381" s="365"/>
      <c r="X381" s="383"/>
      <c r="Y381" s="365"/>
      <c r="Z381" s="383"/>
      <c r="AA381" s="365"/>
      <c r="AB381" s="365"/>
      <c r="AC381" s="365"/>
      <c r="AD381" s="383"/>
      <c r="AE381" s="365"/>
      <c r="AF381" s="383"/>
      <c r="AG381" s="365"/>
      <c r="AH381" s="383"/>
      <c r="AI381" s="365"/>
      <c r="AJ381" s="383"/>
      <c r="AK381" s="365"/>
      <c r="AL381" s="383"/>
      <c r="AM381" s="353"/>
    </row>
    <row r="382" spans="1:39" s="352" customFormat="1">
      <c r="A382" s="364"/>
      <c r="B382" s="364"/>
      <c r="C382" s="365"/>
      <c r="D382" s="365"/>
      <c r="E382" s="365"/>
      <c r="F382" s="365"/>
      <c r="G382" s="365"/>
      <c r="H382" s="383"/>
      <c r="I382" s="365"/>
      <c r="J382" s="383"/>
      <c r="K382" s="365"/>
      <c r="L382" s="365"/>
      <c r="M382" s="365"/>
      <c r="N382" s="383"/>
      <c r="O382" s="365"/>
      <c r="P382" s="365"/>
      <c r="Q382" s="365"/>
      <c r="R382" s="383"/>
      <c r="S382" s="365"/>
      <c r="T382" s="383"/>
      <c r="U382" s="365"/>
      <c r="V382" s="383"/>
      <c r="W382" s="365"/>
      <c r="X382" s="383"/>
      <c r="Y382" s="365"/>
      <c r="Z382" s="383"/>
      <c r="AA382" s="365"/>
      <c r="AB382" s="365"/>
      <c r="AC382" s="365"/>
      <c r="AD382" s="383"/>
      <c r="AE382" s="365"/>
      <c r="AF382" s="383"/>
      <c r="AG382" s="365"/>
      <c r="AH382" s="383"/>
      <c r="AI382" s="365"/>
      <c r="AJ382" s="383"/>
      <c r="AK382" s="365"/>
      <c r="AL382" s="383"/>
      <c r="AM382" s="353"/>
    </row>
    <row r="383" spans="1:39" s="352" customFormat="1">
      <c r="A383" s="364"/>
      <c r="B383" s="364"/>
      <c r="C383" s="365"/>
      <c r="D383" s="365"/>
      <c r="E383" s="365"/>
      <c r="F383" s="365"/>
      <c r="G383" s="365"/>
      <c r="H383" s="383"/>
      <c r="I383" s="365"/>
      <c r="J383" s="383"/>
      <c r="K383" s="365"/>
      <c r="L383" s="365"/>
      <c r="M383" s="365"/>
      <c r="N383" s="383"/>
      <c r="O383" s="365"/>
      <c r="P383" s="365"/>
      <c r="Q383" s="365"/>
      <c r="R383" s="383"/>
      <c r="S383" s="365"/>
      <c r="T383" s="383"/>
      <c r="U383" s="365"/>
      <c r="V383" s="383"/>
      <c r="W383" s="365"/>
      <c r="X383" s="383"/>
      <c r="Y383" s="365"/>
      <c r="Z383" s="383"/>
      <c r="AA383" s="365"/>
      <c r="AB383" s="365"/>
      <c r="AC383" s="365"/>
      <c r="AD383" s="383"/>
      <c r="AE383" s="365"/>
      <c r="AF383" s="383"/>
      <c r="AG383" s="365"/>
      <c r="AH383" s="383"/>
      <c r="AI383" s="365"/>
      <c r="AJ383" s="383"/>
      <c r="AK383" s="365"/>
      <c r="AL383" s="383"/>
      <c r="AM383" s="353"/>
    </row>
    <row r="384" spans="1:39" s="352" customFormat="1">
      <c r="A384" s="364"/>
      <c r="B384" s="364"/>
      <c r="C384" s="365"/>
      <c r="D384" s="365"/>
      <c r="E384" s="365"/>
      <c r="F384" s="365"/>
      <c r="G384" s="365"/>
      <c r="H384" s="383"/>
      <c r="I384" s="365"/>
      <c r="J384" s="383"/>
      <c r="K384" s="365"/>
      <c r="L384" s="365"/>
      <c r="M384" s="365"/>
      <c r="N384" s="383"/>
      <c r="O384" s="365"/>
      <c r="P384" s="365"/>
      <c r="Q384" s="365"/>
      <c r="R384" s="383"/>
      <c r="S384" s="365"/>
      <c r="T384" s="383"/>
      <c r="U384" s="365"/>
      <c r="V384" s="383"/>
      <c r="W384" s="365"/>
      <c r="X384" s="383"/>
      <c r="Y384" s="365"/>
      <c r="Z384" s="383"/>
      <c r="AA384" s="365"/>
      <c r="AB384" s="365"/>
      <c r="AC384" s="365"/>
      <c r="AD384" s="383"/>
      <c r="AE384" s="365"/>
      <c r="AF384" s="383"/>
      <c r="AG384" s="365"/>
      <c r="AH384" s="383"/>
      <c r="AI384" s="365"/>
      <c r="AJ384" s="383"/>
      <c r="AK384" s="365"/>
      <c r="AL384" s="383"/>
      <c r="AM384" s="353"/>
    </row>
    <row r="385" spans="1:39" s="352" customFormat="1">
      <c r="A385" s="364"/>
      <c r="B385" s="364"/>
      <c r="C385" s="365"/>
      <c r="D385" s="365"/>
      <c r="E385" s="365"/>
      <c r="F385" s="365"/>
      <c r="G385" s="365"/>
      <c r="H385" s="383"/>
      <c r="I385" s="365"/>
      <c r="J385" s="383"/>
      <c r="K385" s="365"/>
      <c r="L385" s="365"/>
      <c r="M385" s="365"/>
      <c r="N385" s="383"/>
      <c r="O385" s="365"/>
      <c r="P385" s="365"/>
      <c r="Q385" s="365"/>
      <c r="R385" s="383"/>
      <c r="S385" s="365"/>
      <c r="T385" s="383"/>
      <c r="U385" s="365"/>
      <c r="V385" s="383"/>
      <c r="W385" s="365"/>
      <c r="X385" s="383"/>
      <c r="Y385" s="365"/>
      <c r="Z385" s="383"/>
      <c r="AA385" s="365"/>
      <c r="AB385" s="365"/>
      <c r="AC385" s="365"/>
      <c r="AD385" s="383"/>
      <c r="AE385" s="365"/>
      <c r="AF385" s="383"/>
      <c r="AG385" s="365"/>
      <c r="AH385" s="383"/>
      <c r="AI385" s="365"/>
      <c r="AJ385" s="383"/>
      <c r="AK385" s="365"/>
      <c r="AL385" s="383"/>
      <c r="AM385" s="353"/>
    </row>
    <row r="386" spans="1:39" s="352" customFormat="1">
      <c r="A386" s="364"/>
      <c r="B386" s="364"/>
      <c r="C386" s="365"/>
      <c r="D386" s="365"/>
      <c r="E386" s="365"/>
      <c r="F386" s="365"/>
      <c r="G386" s="365"/>
      <c r="H386" s="383"/>
      <c r="I386" s="365"/>
      <c r="J386" s="383"/>
      <c r="K386" s="365"/>
      <c r="L386" s="365"/>
      <c r="M386" s="365"/>
      <c r="N386" s="383"/>
      <c r="O386" s="365"/>
      <c r="P386" s="365"/>
      <c r="Q386" s="365"/>
      <c r="R386" s="383"/>
      <c r="S386" s="365"/>
      <c r="T386" s="383"/>
      <c r="U386" s="365"/>
      <c r="V386" s="383"/>
      <c r="W386" s="365"/>
      <c r="X386" s="383"/>
      <c r="Y386" s="365"/>
      <c r="Z386" s="383"/>
      <c r="AA386" s="365"/>
      <c r="AB386" s="365"/>
      <c r="AC386" s="365"/>
      <c r="AD386" s="383"/>
      <c r="AE386" s="365"/>
      <c r="AF386" s="383"/>
      <c r="AG386" s="365"/>
      <c r="AH386" s="383"/>
      <c r="AI386" s="365"/>
      <c r="AJ386" s="383"/>
      <c r="AK386" s="365"/>
      <c r="AL386" s="383"/>
      <c r="AM386" s="353"/>
    </row>
    <row r="387" spans="1:39" s="352" customFormat="1">
      <c r="A387" s="364"/>
      <c r="B387" s="364"/>
      <c r="C387" s="365"/>
      <c r="D387" s="365"/>
      <c r="E387" s="365"/>
      <c r="F387" s="365"/>
      <c r="G387" s="365"/>
      <c r="H387" s="383"/>
      <c r="I387" s="365"/>
      <c r="J387" s="383"/>
      <c r="K387" s="365"/>
      <c r="L387" s="365"/>
      <c r="M387" s="365"/>
      <c r="N387" s="383"/>
      <c r="O387" s="365"/>
      <c r="P387" s="365"/>
      <c r="Q387" s="365"/>
      <c r="R387" s="383"/>
      <c r="S387" s="365"/>
      <c r="T387" s="383"/>
      <c r="U387" s="365"/>
      <c r="V387" s="383"/>
      <c r="W387" s="365"/>
      <c r="X387" s="383"/>
      <c r="Y387" s="365"/>
      <c r="Z387" s="383"/>
      <c r="AA387" s="365"/>
      <c r="AB387" s="365"/>
      <c r="AC387" s="365"/>
      <c r="AD387" s="383"/>
      <c r="AE387" s="365"/>
      <c r="AF387" s="383"/>
      <c r="AG387" s="365"/>
      <c r="AH387" s="383"/>
      <c r="AI387" s="365"/>
      <c r="AJ387" s="383"/>
      <c r="AK387" s="365"/>
      <c r="AL387" s="383"/>
      <c r="AM387" s="353"/>
    </row>
    <row r="388" spans="1:39" s="352" customFormat="1">
      <c r="A388" s="364"/>
      <c r="B388" s="364"/>
      <c r="C388" s="365"/>
      <c r="D388" s="365"/>
      <c r="E388" s="365"/>
      <c r="F388" s="365"/>
      <c r="G388" s="365"/>
      <c r="H388" s="383"/>
      <c r="I388" s="365"/>
      <c r="J388" s="383"/>
      <c r="K388" s="365"/>
      <c r="L388" s="365"/>
      <c r="M388" s="365"/>
      <c r="N388" s="383"/>
      <c r="O388" s="365"/>
      <c r="P388" s="365"/>
      <c r="Q388" s="365"/>
      <c r="R388" s="383"/>
      <c r="S388" s="365"/>
      <c r="T388" s="383"/>
      <c r="U388" s="365"/>
      <c r="V388" s="383"/>
      <c r="W388" s="365"/>
      <c r="X388" s="383"/>
      <c r="Y388" s="365"/>
      <c r="Z388" s="383"/>
      <c r="AA388" s="365"/>
      <c r="AB388" s="365"/>
      <c r="AC388" s="365"/>
      <c r="AD388" s="383"/>
      <c r="AE388" s="365"/>
      <c r="AF388" s="383"/>
      <c r="AG388" s="365"/>
      <c r="AH388" s="383"/>
      <c r="AI388" s="365"/>
      <c r="AJ388" s="383"/>
      <c r="AK388" s="365"/>
      <c r="AL388" s="383"/>
      <c r="AM388" s="353"/>
    </row>
    <row r="389" spans="1:39" s="352" customFormat="1">
      <c r="A389" s="364"/>
      <c r="B389" s="364"/>
      <c r="C389" s="365"/>
      <c r="D389" s="365"/>
      <c r="E389" s="365"/>
      <c r="F389" s="365"/>
      <c r="G389" s="365"/>
      <c r="H389" s="383"/>
      <c r="I389" s="365"/>
      <c r="J389" s="383"/>
      <c r="K389" s="365"/>
      <c r="L389" s="365"/>
      <c r="M389" s="365"/>
      <c r="N389" s="383"/>
      <c r="O389" s="365"/>
      <c r="P389" s="365"/>
      <c r="Q389" s="365"/>
      <c r="R389" s="383"/>
      <c r="S389" s="365"/>
      <c r="T389" s="383"/>
      <c r="U389" s="365"/>
      <c r="V389" s="383"/>
      <c r="W389" s="365"/>
      <c r="X389" s="383"/>
      <c r="Y389" s="365"/>
      <c r="Z389" s="383"/>
      <c r="AA389" s="365"/>
      <c r="AB389" s="365"/>
      <c r="AC389" s="365"/>
      <c r="AD389" s="383"/>
      <c r="AE389" s="365"/>
      <c r="AF389" s="383"/>
      <c r="AG389" s="365"/>
      <c r="AH389" s="383"/>
      <c r="AI389" s="365"/>
      <c r="AJ389" s="383"/>
      <c r="AK389" s="365"/>
      <c r="AL389" s="383"/>
      <c r="AM389" s="353"/>
    </row>
    <row r="390" spans="1:39" s="352" customFormat="1">
      <c r="A390" s="364"/>
      <c r="B390" s="364"/>
      <c r="C390" s="365"/>
      <c r="D390" s="365"/>
      <c r="E390" s="365"/>
      <c r="F390" s="365"/>
      <c r="G390" s="365"/>
      <c r="H390" s="383"/>
      <c r="I390" s="365"/>
      <c r="J390" s="383"/>
      <c r="K390" s="365"/>
      <c r="L390" s="365"/>
      <c r="M390" s="365"/>
      <c r="N390" s="383"/>
      <c r="O390" s="365"/>
      <c r="P390" s="365"/>
      <c r="Q390" s="365"/>
      <c r="R390" s="383"/>
      <c r="S390" s="365"/>
      <c r="T390" s="383"/>
      <c r="U390" s="365"/>
      <c r="V390" s="383"/>
      <c r="W390" s="365"/>
      <c r="X390" s="383"/>
      <c r="Y390" s="365"/>
      <c r="Z390" s="383"/>
      <c r="AA390" s="365"/>
      <c r="AB390" s="365"/>
      <c r="AC390" s="365"/>
      <c r="AD390" s="383"/>
      <c r="AE390" s="365"/>
      <c r="AF390" s="383"/>
      <c r="AG390" s="365"/>
      <c r="AH390" s="383"/>
      <c r="AI390" s="365"/>
      <c r="AJ390" s="383"/>
      <c r="AK390" s="365"/>
      <c r="AL390" s="383"/>
      <c r="AM390" s="353"/>
    </row>
    <row r="391" spans="1:39" s="352" customFormat="1">
      <c r="A391" s="364"/>
      <c r="B391" s="364"/>
      <c r="C391" s="365"/>
      <c r="D391" s="365"/>
      <c r="E391" s="365"/>
      <c r="F391" s="365"/>
      <c r="G391" s="365"/>
      <c r="H391" s="383"/>
      <c r="I391" s="365"/>
      <c r="J391" s="383"/>
      <c r="K391" s="365"/>
      <c r="L391" s="365"/>
      <c r="M391" s="365"/>
      <c r="N391" s="383"/>
      <c r="O391" s="365"/>
      <c r="P391" s="365"/>
      <c r="Q391" s="365"/>
      <c r="R391" s="383"/>
      <c r="S391" s="365"/>
      <c r="T391" s="383"/>
      <c r="U391" s="365"/>
      <c r="V391" s="383"/>
      <c r="W391" s="365"/>
      <c r="X391" s="383"/>
      <c r="Y391" s="365"/>
      <c r="Z391" s="383"/>
      <c r="AA391" s="365"/>
      <c r="AB391" s="365"/>
      <c r="AC391" s="365"/>
      <c r="AD391" s="383"/>
      <c r="AE391" s="365"/>
      <c r="AF391" s="383"/>
      <c r="AG391" s="365"/>
      <c r="AH391" s="383"/>
      <c r="AI391" s="365"/>
      <c r="AJ391" s="383"/>
      <c r="AK391" s="365"/>
      <c r="AL391" s="383"/>
      <c r="AM391" s="353"/>
    </row>
    <row r="392" spans="1:39" s="352" customFormat="1">
      <c r="A392" s="364"/>
      <c r="B392" s="364"/>
      <c r="C392" s="365"/>
      <c r="D392" s="365"/>
      <c r="E392" s="365"/>
      <c r="F392" s="365"/>
      <c r="G392" s="365"/>
      <c r="H392" s="383"/>
      <c r="I392" s="365"/>
      <c r="J392" s="383"/>
      <c r="K392" s="365"/>
      <c r="L392" s="365"/>
      <c r="M392" s="365"/>
      <c r="N392" s="383"/>
      <c r="O392" s="365"/>
      <c r="P392" s="365"/>
      <c r="Q392" s="365"/>
      <c r="R392" s="383"/>
      <c r="S392" s="365"/>
      <c r="T392" s="383"/>
      <c r="U392" s="365"/>
      <c r="V392" s="383"/>
      <c r="W392" s="365"/>
      <c r="X392" s="383"/>
      <c r="Y392" s="365"/>
      <c r="Z392" s="383"/>
      <c r="AA392" s="365"/>
      <c r="AB392" s="365"/>
      <c r="AC392" s="365"/>
      <c r="AD392" s="383"/>
      <c r="AE392" s="365"/>
      <c r="AF392" s="383"/>
      <c r="AG392" s="365"/>
      <c r="AH392" s="383"/>
      <c r="AI392" s="365"/>
      <c r="AJ392" s="383"/>
      <c r="AK392" s="365"/>
      <c r="AL392" s="383"/>
      <c r="AM392" s="353"/>
    </row>
    <row r="393" spans="1:39" s="352" customFormat="1">
      <c r="A393" s="364"/>
      <c r="B393" s="364"/>
      <c r="C393" s="365"/>
      <c r="D393" s="365"/>
      <c r="E393" s="365"/>
      <c r="F393" s="365"/>
      <c r="G393" s="365"/>
      <c r="H393" s="383"/>
      <c r="I393" s="365"/>
      <c r="J393" s="383"/>
      <c r="K393" s="365"/>
      <c r="L393" s="365"/>
      <c r="M393" s="365"/>
      <c r="N393" s="383"/>
      <c r="O393" s="365"/>
      <c r="P393" s="365"/>
      <c r="Q393" s="365"/>
      <c r="R393" s="383"/>
      <c r="S393" s="365"/>
      <c r="T393" s="383"/>
      <c r="U393" s="365"/>
      <c r="V393" s="383"/>
      <c r="W393" s="365"/>
      <c r="X393" s="383"/>
      <c r="Y393" s="365"/>
      <c r="Z393" s="383"/>
      <c r="AA393" s="365"/>
      <c r="AB393" s="365"/>
      <c r="AC393" s="365"/>
      <c r="AD393" s="383"/>
      <c r="AE393" s="365"/>
      <c r="AF393" s="383"/>
      <c r="AG393" s="365"/>
      <c r="AH393" s="383"/>
      <c r="AI393" s="365"/>
      <c r="AJ393" s="383"/>
      <c r="AK393" s="365"/>
      <c r="AL393" s="383"/>
      <c r="AM393" s="353"/>
    </row>
    <row r="394" spans="1:39" s="352" customFormat="1">
      <c r="A394" s="364"/>
      <c r="B394" s="364"/>
      <c r="C394" s="365"/>
      <c r="D394" s="365"/>
      <c r="E394" s="365"/>
      <c r="F394" s="365"/>
      <c r="G394" s="365"/>
      <c r="H394" s="383"/>
      <c r="I394" s="365"/>
      <c r="J394" s="383"/>
      <c r="K394" s="365"/>
      <c r="L394" s="365"/>
      <c r="M394" s="365"/>
      <c r="N394" s="383"/>
      <c r="O394" s="365"/>
      <c r="P394" s="365"/>
      <c r="Q394" s="365"/>
      <c r="R394" s="383"/>
      <c r="S394" s="365"/>
      <c r="T394" s="383"/>
      <c r="U394" s="365"/>
      <c r="V394" s="383"/>
      <c r="W394" s="365"/>
      <c r="X394" s="383"/>
      <c r="Y394" s="365"/>
      <c r="Z394" s="383"/>
      <c r="AA394" s="365"/>
      <c r="AB394" s="365"/>
      <c r="AC394" s="365"/>
      <c r="AD394" s="383"/>
      <c r="AE394" s="365"/>
      <c r="AF394" s="383"/>
      <c r="AG394" s="365"/>
      <c r="AH394" s="383"/>
      <c r="AI394" s="365"/>
      <c r="AJ394" s="383"/>
      <c r="AK394" s="365"/>
      <c r="AL394" s="383"/>
      <c r="AM394" s="353"/>
    </row>
    <row r="395" spans="1:39" s="352" customFormat="1">
      <c r="A395" s="364"/>
      <c r="B395" s="364"/>
      <c r="C395" s="365"/>
      <c r="D395" s="365"/>
      <c r="E395" s="365"/>
      <c r="F395" s="365"/>
      <c r="G395" s="365"/>
      <c r="H395" s="383"/>
      <c r="I395" s="365"/>
      <c r="J395" s="383"/>
      <c r="K395" s="365"/>
      <c r="L395" s="365"/>
      <c r="M395" s="365"/>
      <c r="N395" s="383"/>
      <c r="O395" s="365"/>
      <c r="P395" s="365"/>
      <c r="Q395" s="365"/>
      <c r="R395" s="383"/>
      <c r="S395" s="365"/>
      <c r="T395" s="383"/>
      <c r="U395" s="365"/>
      <c r="V395" s="383"/>
      <c r="W395" s="365"/>
      <c r="X395" s="383"/>
      <c r="Y395" s="365"/>
      <c r="Z395" s="383"/>
      <c r="AA395" s="365"/>
      <c r="AB395" s="365"/>
      <c r="AC395" s="365"/>
      <c r="AD395" s="383"/>
      <c r="AE395" s="365"/>
      <c r="AF395" s="383"/>
      <c r="AG395" s="365"/>
      <c r="AH395" s="383"/>
      <c r="AI395" s="365"/>
      <c r="AJ395" s="383"/>
      <c r="AK395" s="365"/>
      <c r="AL395" s="383"/>
      <c r="AM395" s="353"/>
    </row>
    <row r="396" spans="1:39" s="352" customFormat="1">
      <c r="A396" s="364"/>
      <c r="B396" s="364"/>
      <c r="C396" s="365"/>
      <c r="D396" s="365"/>
      <c r="E396" s="365"/>
      <c r="F396" s="365"/>
      <c r="G396" s="365"/>
      <c r="H396" s="383"/>
      <c r="I396" s="365"/>
      <c r="J396" s="383"/>
      <c r="K396" s="365"/>
      <c r="L396" s="365"/>
      <c r="M396" s="365"/>
      <c r="N396" s="383"/>
      <c r="O396" s="365"/>
      <c r="P396" s="365"/>
      <c r="Q396" s="365"/>
      <c r="R396" s="383"/>
      <c r="S396" s="365"/>
      <c r="T396" s="383"/>
      <c r="U396" s="365"/>
      <c r="V396" s="383"/>
      <c r="W396" s="365"/>
      <c r="X396" s="383"/>
      <c r="Y396" s="365"/>
      <c r="Z396" s="383"/>
      <c r="AA396" s="365"/>
      <c r="AB396" s="365"/>
      <c r="AC396" s="365"/>
      <c r="AD396" s="383"/>
      <c r="AE396" s="365"/>
      <c r="AF396" s="383"/>
      <c r="AG396" s="365"/>
      <c r="AH396" s="383"/>
      <c r="AI396" s="365"/>
      <c r="AJ396" s="383"/>
      <c r="AK396" s="365"/>
      <c r="AL396" s="383"/>
      <c r="AM396" s="353"/>
    </row>
    <row r="397" spans="1:39" s="352" customFormat="1">
      <c r="A397" s="364"/>
      <c r="B397" s="364"/>
      <c r="C397" s="365"/>
      <c r="D397" s="365"/>
      <c r="E397" s="365"/>
      <c r="F397" s="365"/>
      <c r="G397" s="365"/>
      <c r="H397" s="383"/>
      <c r="I397" s="365"/>
      <c r="J397" s="383"/>
      <c r="K397" s="365"/>
      <c r="L397" s="365"/>
      <c r="M397" s="365"/>
      <c r="N397" s="383"/>
      <c r="O397" s="365"/>
      <c r="P397" s="365"/>
      <c r="Q397" s="365"/>
      <c r="R397" s="383"/>
      <c r="S397" s="365"/>
      <c r="T397" s="383"/>
      <c r="U397" s="365"/>
      <c r="V397" s="383"/>
      <c r="W397" s="365"/>
      <c r="X397" s="383"/>
      <c r="Y397" s="365"/>
      <c r="Z397" s="383"/>
      <c r="AA397" s="365"/>
      <c r="AB397" s="365"/>
      <c r="AC397" s="365"/>
      <c r="AD397" s="383"/>
      <c r="AE397" s="365"/>
      <c r="AF397" s="383"/>
      <c r="AG397" s="365"/>
      <c r="AH397" s="383"/>
      <c r="AI397" s="365"/>
      <c r="AJ397" s="383"/>
      <c r="AK397" s="365"/>
      <c r="AL397" s="383"/>
      <c r="AM397" s="353"/>
    </row>
    <row r="398" spans="1:39" s="352" customFormat="1">
      <c r="A398" s="364"/>
      <c r="B398" s="364"/>
      <c r="C398" s="365"/>
      <c r="D398" s="365"/>
      <c r="E398" s="365"/>
      <c r="F398" s="365"/>
      <c r="G398" s="365"/>
      <c r="H398" s="383"/>
      <c r="I398" s="365"/>
      <c r="J398" s="383"/>
      <c r="K398" s="365"/>
      <c r="L398" s="365"/>
      <c r="M398" s="365"/>
      <c r="N398" s="383"/>
      <c r="O398" s="365"/>
      <c r="P398" s="365"/>
      <c r="Q398" s="365"/>
      <c r="R398" s="383"/>
      <c r="S398" s="365"/>
      <c r="T398" s="383"/>
      <c r="U398" s="365"/>
      <c r="V398" s="383"/>
      <c r="W398" s="365"/>
      <c r="X398" s="383"/>
      <c r="Y398" s="365"/>
      <c r="Z398" s="383"/>
      <c r="AA398" s="365"/>
      <c r="AB398" s="365"/>
      <c r="AC398" s="365"/>
      <c r="AD398" s="383"/>
      <c r="AE398" s="365"/>
      <c r="AF398" s="383"/>
      <c r="AG398" s="365"/>
      <c r="AH398" s="383"/>
      <c r="AI398" s="365"/>
      <c r="AJ398" s="383"/>
      <c r="AK398" s="365"/>
      <c r="AL398" s="383"/>
      <c r="AM398" s="353"/>
    </row>
    <row r="399" spans="1:39" s="352" customFormat="1">
      <c r="A399" s="364"/>
      <c r="B399" s="364"/>
      <c r="C399" s="365"/>
      <c r="D399" s="365"/>
      <c r="E399" s="365"/>
      <c r="F399" s="365"/>
      <c r="G399" s="365"/>
      <c r="H399" s="383"/>
      <c r="I399" s="365"/>
      <c r="J399" s="383"/>
      <c r="K399" s="365"/>
      <c r="L399" s="365"/>
      <c r="M399" s="365"/>
      <c r="N399" s="383"/>
      <c r="O399" s="365"/>
      <c r="P399" s="365"/>
      <c r="Q399" s="365"/>
      <c r="R399" s="383"/>
      <c r="S399" s="365"/>
      <c r="T399" s="383"/>
      <c r="U399" s="365"/>
      <c r="V399" s="383"/>
      <c r="W399" s="365"/>
      <c r="X399" s="383"/>
      <c r="Y399" s="365"/>
      <c r="Z399" s="383"/>
      <c r="AA399" s="365"/>
      <c r="AB399" s="365"/>
      <c r="AC399" s="365"/>
      <c r="AD399" s="383"/>
      <c r="AE399" s="365"/>
      <c r="AF399" s="383"/>
      <c r="AG399" s="365"/>
      <c r="AH399" s="383"/>
      <c r="AI399" s="365"/>
      <c r="AJ399" s="383"/>
      <c r="AK399" s="365"/>
      <c r="AL399" s="383"/>
      <c r="AM399" s="353"/>
    </row>
    <row r="400" spans="1:39" s="352" customFormat="1">
      <c r="A400" s="364"/>
      <c r="B400" s="364"/>
      <c r="C400" s="365"/>
      <c r="D400" s="365"/>
      <c r="E400" s="365"/>
      <c r="F400" s="365"/>
      <c r="G400" s="365"/>
      <c r="H400" s="383"/>
      <c r="I400" s="365"/>
      <c r="J400" s="383"/>
      <c r="K400" s="365"/>
      <c r="L400" s="365"/>
      <c r="M400" s="365"/>
      <c r="N400" s="383"/>
      <c r="O400" s="365"/>
      <c r="P400" s="365"/>
      <c r="Q400" s="365"/>
      <c r="R400" s="383"/>
      <c r="S400" s="365"/>
      <c r="T400" s="383"/>
      <c r="U400" s="365"/>
      <c r="V400" s="383"/>
      <c r="W400" s="365"/>
      <c r="X400" s="383"/>
      <c r="Y400" s="365"/>
      <c r="Z400" s="383"/>
      <c r="AA400" s="365"/>
      <c r="AB400" s="365"/>
      <c r="AC400" s="365"/>
      <c r="AD400" s="383"/>
      <c r="AE400" s="365"/>
      <c r="AF400" s="383"/>
      <c r="AG400" s="365"/>
      <c r="AH400" s="383"/>
      <c r="AI400" s="365"/>
      <c r="AJ400" s="383"/>
      <c r="AK400" s="365"/>
      <c r="AL400" s="383"/>
      <c r="AM400" s="353"/>
    </row>
    <row r="401" spans="1:39" s="352" customFormat="1">
      <c r="A401" s="364"/>
      <c r="B401" s="364"/>
      <c r="C401" s="365"/>
      <c r="D401" s="365"/>
      <c r="E401" s="365"/>
      <c r="F401" s="365"/>
      <c r="G401" s="365"/>
      <c r="H401" s="383"/>
      <c r="I401" s="365"/>
      <c r="J401" s="383"/>
      <c r="K401" s="365"/>
      <c r="L401" s="365"/>
      <c r="M401" s="365"/>
      <c r="N401" s="383"/>
      <c r="O401" s="365"/>
      <c r="P401" s="365"/>
      <c r="Q401" s="365"/>
      <c r="R401" s="383"/>
      <c r="S401" s="365"/>
      <c r="T401" s="383"/>
      <c r="U401" s="365"/>
      <c r="V401" s="383"/>
      <c r="W401" s="365"/>
      <c r="X401" s="383"/>
      <c r="Y401" s="365"/>
      <c r="Z401" s="383"/>
      <c r="AA401" s="365"/>
      <c r="AB401" s="365"/>
      <c r="AC401" s="365"/>
      <c r="AD401" s="383"/>
      <c r="AE401" s="365"/>
      <c r="AF401" s="383"/>
      <c r="AG401" s="365"/>
      <c r="AH401" s="383"/>
      <c r="AI401" s="365"/>
      <c r="AJ401" s="383"/>
      <c r="AK401" s="365"/>
      <c r="AL401" s="383"/>
      <c r="AM401" s="353"/>
    </row>
    <row r="402" spans="1:39" s="352" customFormat="1">
      <c r="A402" s="364"/>
      <c r="B402" s="364"/>
      <c r="C402" s="365"/>
      <c r="D402" s="365"/>
      <c r="E402" s="365"/>
      <c r="F402" s="365"/>
      <c r="G402" s="365"/>
      <c r="H402" s="383"/>
      <c r="I402" s="365"/>
      <c r="J402" s="383"/>
      <c r="K402" s="365"/>
      <c r="L402" s="365"/>
      <c r="M402" s="365"/>
      <c r="N402" s="383"/>
      <c r="O402" s="365"/>
      <c r="P402" s="365"/>
      <c r="Q402" s="365"/>
      <c r="R402" s="383"/>
      <c r="S402" s="365"/>
      <c r="T402" s="383"/>
      <c r="U402" s="365"/>
      <c r="V402" s="383"/>
      <c r="W402" s="365"/>
      <c r="X402" s="383"/>
      <c r="Y402" s="365"/>
      <c r="Z402" s="383"/>
      <c r="AA402" s="365"/>
      <c r="AB402" s="365"/>
      <c r="AC402" s="365"/>
      <c r="AD402" s="383"/>
      <c r="AE402" s="365"/>
      <c r="AF402" s="383"/>
      <c r="AG402" s="365"/>
      <c r="AH402" s="383"/>
      <c r="AI402" s="365"/>
      <c r="AJ402" s="383"/>
      <c r="AK402" s="365"/>
      <c r="AL402" s="383"/>
      <c r="AM402" s="353"/>
    </row>
    <row r="403" spans="1:39" s="352" customFormat="1">
      <c r="A403" s="364"/>
      <c r="B403" s="364"/>
      <c r="C403" s="365"/>
      <c r="D403" s="365"/>
      <c r="E403" s="365"/>
      <c r="F403" s="365"/>
      <c r="G403" s="365"/>
      <c r="H403" s="383"/>
      <c r="I403" s="365"/>
      <c r="J403" s="383"/>
      <c r="K403" s="365"/>
      <c r="L403" s="365"/>
      <c r="M403" s="365"/>
      <c r="N403" s="383"/>
      <c r="O403" s="365"/>
      <c r="P403" s="365"/>
      <c r="Q403" s="365"/>
      <c r="R403" s="383"/>
      <c r="S403" s="365"/>
      <c r="T403" s="383"/>
      <c r="U403" s="365"/>
      <c r="V403" s="383"/>
      <c r="W403" s="365"/>
      <c r="X403" s="383"/>
      <c r="Y403" s="365"/>
      <c r="Z403" s="383"/>
      <c r="AA403" s="365"/>
      <c r="AB403" s="365"/>
      <c r="AC403" s="365"/>
      <c r="AD403" s="383"/>
      <c r="AE403" s="365"/>
      <c r="AF403" s="383"/>
      <c r="AG403" s="365"/>
      <c r="AH403" s="383"/>
      <c r="AI403" s="365"/>
      <c r="AJ403" s="383"/>
      <c r="AK403" s="365"/>
      <c r="AL403" s="383"/>
      <c r="AM403" s="353"/>
    </row>
    <row r="404" spans="1:39" s="352" customFormat="1">
      <c r="A404" s="364"/>
      <c r="B404" s="364"/>
      <c r="C404" s="365"/>
      <c r="D404" s="365"/>
      <c r="E404" s="365"/>
      <c r="F404" s="365"/>
      <c r="G404" s="365"/>
      <c r="H404" s="383"/>
      <c r="I404" s="365"/>
      <c r="J404" s="383"/>
      <c r="K404" s="365"/>
      <c r="L404" s="365"/>
      <c r="M404" s="365"/>
      <c r="N404" s="383"/>
      <c r="O404" s="365"/>
      <c r="P404" s="365"/>
      <c r="Q404" s="365"/>
      <c r="R404" s="383"/>
      <c r="S404" s="365"/>
      <c r="T404" s="383"/>
      <c r="U404" s="365"/>
      <c r="V404" s="383"/>
      <c r="W404" s="365"/>
      <c r="X404" s="383"/>
      <c r="Y404" s="365"/>
      <c r="Z404" s="383"/>
      <c r="AA404" s="365"/>
      <c r="AB404" s="365"/>
      <c r="AC404" s="365"/>
      <c r="AD404" s="383"/>
      <c r="AE404" s="365"/>
      <c r="AF404" s="383"/>
      <c r="AG404" s="365"/>
      <c r="AH404" s="383"/>
      <c r="AI404" s="365"/>
      <c r="AJ404" s="383"/>
      <c r="AK404" s="365"/>
      <c r="AL404" s="383"/>
      <c r="AM404" s="353"/>
    </row>
    <row r="405" spans="1:39" s="352" customFormat="1">
      <c r="A405" s="364"/>
      <c r="B405" s="364"/>
      <c r="C405" s="365"/>
      <c r="D405" s="365"/>
      <c r="E405" s="365"/>
      <c r="F405" s="365"/>
      <c r="G405" s="365"/>
      <c r="H405" s="383"/>
      <c r="I405" s="365"/>
      <c r="J405" s="383"/>
      <c r="K405" s="365"/>
      <c r="L405" s="365"/>
      <c r="M405" s="365"/>
      <c r="N405" s="383"/>
      <c r="O405" s="365"/>
      <c r="P405" s="365"/>
      <c r="Q405" s="365"/>
      <c r="R405" s="383"/>
      <c r="S405" s="365"/>
      <c r="T405" s="383"/>
      <c r="U405" s="365"/>
      <c r="V405" s="383"/>
      <c r="W405" s="365"/>
      <c r="X405" s="383"/>
      <c r="Y405" s="365"/>
      <c r="Z405" s="383"/>
      <c r="AA405" s="365"/>
      <c r="AB405" s="365"/>
      <c r="AC405" s="365"/>
      <c r="AD405" s="383"/>
      <c r="AE405" s="365"/>
      <c r="AF405" s="383"/>
      <c r="AG405" s="365"/>
      <c r="AH405" s="383"/>
      <c r="AI405" s="365"/>
      <c r="AJ405" s="383"/>
      <c r="AK405" s="365"/>
      <c r="AL405" s="383"/>
      <c r="AM405" s="353"/>
    </row>
    <row r="406" spans="1:39" s="352" customFormat="1">
      <c r="A406" s="364"/>
      <c r="B406" s="364"/>
      <c r="C406" s="365"/>
      <c r="D406" s="365"/>
      <c r="E406" s="365"/>
      <c r="F406" s="365"/>
      <c r="G406" s="365"/>
      <c r="H406" s="383"/>
      <c r="I406" s="365"/>
      <c r="J406" s="383"/>
      <c r="K406" s="365"/>
      <c r="L406" s="365"/>
      <c r="M406" s="365"/>
      <c r="N406" s="383"/>
      <c r="O406" s="365"/>
      <c r="P406" s="365"/>
      <c r="Q406" s="365"/>
      <c r="R406" s="383"/>
      <c r="S406" s="365"/>
      <c r="T406" s="383"/>
      <c r="U406" s="365"/>
      <c r="V406" s="383"/>
      <c r="W406" s="365"/>
      <c r="X406" s="383"/>
      <c r="Y406" s="365"/>
      <c r="Z406" s="383"/>
      <c r="AA406" s="365"/>
      <c r="AB406" s="365"/>
      <c r="AC406" s="365"/>
      <c r="AD406" s="383"/>
      <c r="AE406" s="365"/>
      <c r="AF406" s="383"/>
      <c r="AG406" s="365"/>
      <c r="AH406" s="383"/>
      <c r="AI406" s="365"/>
      <c r="AJ406" s="383"/>
      <c r="AK406" s="365"/>
      <c r="AL406" s="383"/>
      <c r="AM406" s="353"/>
    </row>
    <row r="407" spans="1:39" s="352" customFormat="1">
      <c r="A407" s="364"/>
      <c r="B407" s="364"/>
      <c r="C407" s="365"/>
      <c r="D407" s="365"/>
      <c r="E407" s="365"/>
      <c r="F407" s="365"/>
      <c r="G407" s="365"/>
      <c r="H407" s="383"/>
      <c r="I407" s="365"/>
      <c r="J407" s="383"/>
      <c r="K407" s="365"/>
      <c r="L407" s="365"/>
      <c r="M407" s="365"/>
      <c r="N407" s="383"/>
      <c r="O407" s="365"/>
      <c r="P407" s="365"/>
      <c r="Q407" s="365"/>
      <c r="R407" s="383"/>
      <c r="S407" s="365"/>
      <c r="T407" s="383"/>
      <c r="U407" s="365"/>
      <c r="V407" s="383"/>
      <c r="W407" s="365"/>
      <c r="X407" s="383"/>
      <c r="Y407" s="365"/>
      <c r="Z407" s="383"/>
      <c r="AA407" s="365"/>
      <c r="AB407" s="365"/>
      <c r="AC407" s="365"/>
      <c r="AD407" s="383"/>
      <c r="AE407" s="365"/>
      <c r="AF407" s="383"/>
      <c r="AG407" s="365"/>
      <c r="AH407" s="383"/>
      <c r="AI407" s="365"/>
      <c r="AJ407" s="383"/>
      <c r="AK407" s="365"/>
      <c r="AL407" s="383"/>
      <c r="AM407" s="353"/>
    </row>
    <row r="408" spans="1:39" s="352" customFormat="1">
      <c r="A408" s="364"/>
      <c r="B408" s="364"/>
      <c r="C408" s="365"/>
      <c r="D408" s="365"/>
      <c r="E408" s="365"/>
      <c r="F408" s="365"/>
      <c r="G408" s="365"/>
      <c r="H408" s="383"/>
      <c r="I408" s="365"/>
      <c r="J408" s="383"/>
      <c r="K408" s="365"/>
      <c r="L408" s="365"/>
      <c r="M408" s="365"/>
      <c r="N408" s="383"/>
      <c r="O408" s="365"/>
      <c r="P408" s="365"/>
      <c r="Q408" s="365"/>
      <c r="R408" s="383"/>
      <c r="S408" s="365"/>
      <c r="T408" s="383"/>
      <c r="U408" s="365"/>
      <c r="V408" s="383"/>
      <c r="W408" s="365"/>
      <c r="X408" s="383"/>
      <c r="Y408" s="365"/>
      <c r="Z408" s="383"/>
      <c r="AA408" s="365"/>
      <c r="AB408" s="365"/>
      <c r="AC408" s="365"/>
      <c r="AD408" s="383"/>
      <c r="AE408" s="365"/>
      <c r="AF408" s="383"/>
      <c r="AG408" s="365"/>
      <c r="AH408" s="383"/>
      <c r="AI408" s="365"/>
      <c r="AJ408" s="383"/>
      <c r="AK408" s="365"/>
      <c r="AL408" s="383"/>
      <c r="AM408" s="353"/>
    </row>
    <row r="409" spans="1:39" s="352" customFormat="1">
      <c r="A409" s="364"/>
      <c r="B409" s="364"/>
      <c r="C409" s="365"/>
      <c r="D409" s="365"/>
      <c r="E409" s="365"/>
      <c r="F409" s="365"/>
      <c r="G409" s="365"/>
      <c r="H409" s="383"/>
      <c r="I409" s="365"/>
      <c r="J409" s="383"/>
      <c r="K409" s="365"/>
      <c r="L409" s="365"/>
      <c r="M409" s="365"/>
      <c r="N409" s="383"/>
      <c r="O409" s="365"/>
      <c r="P409" s="365"/>
      <c r="Q409" s="365"/>
      <c r="R409" s="383"/>
      <c r="S409" s="365"/>
      <c r="T409" s="383"/>
      <c r="U409" s="365"/>
      <c r="V409" s="383"/>
      <c r="W409" s="365"/>
      <c r="X409" s="383"/>
      <c r="Y409" s="365"/>
      <c r="Z409" s="383"/>
      <c r="AA409" s="365"/>
      <c r="AB409" s="365"/>
      <c r="AC409" s="365"/>
      <c r="AD409" s="383"/>
      <c r="AE409" s="365"/>
      <c r="AF409" s="383"/>
      <c r="AG409" s="365"/>
      <c r="AH409" s="383"/>
      <c r="AI409" s="365"/>
      <c r="AJ409" s="383"/>
      <c r="AK409" s="365"/>
      <c r="AL409" s="383"/>
      <c r="AM409" s="353"/>
    </row>
    <row r="410" spans="1:39" s="352" customFormat="1">
      <c r="A410" s="364"/>
      <c r="B410" s="364"/>
      <c r="C410" s="365"/>
      <c r="D410" s="365"/>
      <c r="E410" s="365"/>
      <c r="F410" s="365"/>
      <c r="G410" s="365"/>
      <c r="H410" s="383"/>
      <c r="I410" s="365"/>
      <c r="J410" s="383"/>
      <c r="K410" s="365"/>
      <c r="L410" s="365"/>
      <c r="M410" s="365"/>
      <c r="N410" s="383"/>
      <c r="O410" s="365"/>
      <c r="P410" s="365"/>
      <c r="Q410" s="365"/>
      <c r="R410" s="383"/>
      <c r="S410" s="365"/>
      <c r="T410" s="383"/>
      <c r="U410" s="365"/>
      <c r="V410" s="383"/>
      <c r="W410" s="365"/>
      <c r="X410" s="383"/>
      <c r="Y410" s="365"/>
      <c r="Z410" s="383"/>
      <c r="AA410" s="365"/>
      <c r="AB410" s="365"/>
      <c r="AC410" s="365"/>
      <c r="AD410" s="383"/>
      <c r="AE410" s="365"/>
      <c r="AF410" s="383"/>
      <c r="AG410" s="365"/>
      <c r="AH410" s="383"/>
      <c r="AI410" s="365"/>
      <c r="AJ410" s="383"/>
      <c r="AK410" s="365"/>
      <c r="AL410" s="383"/>
      <c r="AM410" s="353"/>
    </row>
    <row r="411" spans="1:39" s="352" customFormat="1">
      <c r="A411" s="364"/>
      <c r="B411" s="364"/>
      <c r="C411" s="365"/>
      <c r="D411" s="365"/>
      <c r="E411" s="365"/>
      <c r="F411" s="365"/>
      <c r="G411" s="365"/>
      <c r="H411" s="383"/>
      <c r="I411" s="365"/>
      <c r="J411" s="383"/>
      <c r="K411" s="365"/>
      <c r="L411" s="365"/>
      <c r="M411" s="365"/>
      <c r="N411" s="383"/>
      <c r="O411" s="365"/>
      <c r="P411" s="365"/>
      <c r="Q411" s="365"/>
      <c r="R411" s="383"/>
      <c r="S411" s="365"/>
      <c r="T411" s="383"/>
      <c r="U411" s="365"/>
      <c r="V411" s="383"/>
      <c r="W411" s="365"/>
      <c r="X411" s="383"/>
      <c r="Y411" s="365"/>
      <c r="Z411" s="383"/>
      <c r="AA411" s="365"/>
      <c r="AB411" s="365"/>
      <c r="AC411" s="365"/>
      <c r="AD411" s="383"/>
      <c r="AE411" s="365"/>
      <c r="AF411" s="383"/>
      <c r="AG411" s="365"/>
      <c r="AH411" s="383"/>
      <c r="AI411" s="365"/>
      <c r="AJ411" s="383"/>
      <c r="AK411" s="365"/>
      <c r="AL411" s="383"/>
      <c r="AM411" s="353"/>
    </row>
    <row r="412" spans="1:39" s="352" customFormat="1">
      <c r="A412" s="364"/>
      <c r="B412" s="364"/>
      <c r="C412" s="365"/>
      <c r="D412" s="365"/>
      <c r="E412" s="365"/>
      <c r="F412" s="365"/>
      <c r="G412" s="365"/>
      <c r="H412" s="383"/>
      <c r="I412" s="365"/>
      <c r="J412" s="383"/>
      <c r="K412" s="365"/>
      <c r="L412" s="365"/>
      <c r="M412" s="365"/>
      <c r="N412" s="383"/>
      <c r="O412" s="365"/>
      <c r="P412" s="365"/>
      <c r="Q412" s="365"/>
      <c r="R412" s="383"/>
      <c r="S412" s="365"/>
      <c r="T412" s="383"/>
      <c r="U412" s="365"/>
      <c r="V412" s="383"/>
      <c r="W412" s="365"/>
      <c r="X412" s="383"/>
      <c r="Y412" s="365"/>
      <c r="Z412" s="383"/>
      <c r="AA412" s="365"/>
      <c r="AB412" s="365"/>
      <c r="AC412" s="365"/>
      <c r="AD412" s="383"/>
      <c r="AE412" s="365"/>
      <c r="AF412" s="383"/>
      <c r="AG412" s="365"/>
      <c r="AH412" s="383"/>
      <c r="AI412" s="365"/>
      <c r="AJ412" s="383"/>
      <c r="AK412" s="365"/>
      <c r="AL412" s="383"/>
      <c r="AM412" s="353"/>
    </row>
    <row r="413" spans="1:39" s="352" customFormat="1">
      <c r="A413" s="364"/>
      <c r="B413" s="364"/>
      <c r="C413" s="365"/>
      <c r="D413" s="365"/>
      <c r="E413" s="365"/>
      <c r="F413" s="365"/>
      <c r="G413" s="365"/>
      <c r="H413" s="383"/>
      <c r="I413" s="365"/>
      <c r="J413" s="383"/>
      <c r="K413" s="365"/>
      <c r="L413" s="365"/>
      <c r="M413" s="365"/>
      <c r="N413" s="383"/>
      <c r="O413" s="365"/>
      <c r="P413" s="365"/>
      <c r="Q413" s="365"/>
      <c r="R413" s="383"/>
      <c r="S413" s="365"/>
      <c r="T413" s="383"/>
      <c r="U413" s="365"/>
      <c r="V413" s="383"/>
      <c r="W413" s="365"/>
      <c r="X413" s="383"/>
      <c r="Y413" s="365"/>
      <c r="Z413" s="383"/>
      <c r="AA413" s="365"/>
      <c r="AB413" s="365"/>
      <c r="AC413" s="365"/>
      <c r="AD413" s="383"/>
      <c r="AE413" s="365"/>
      <c r="AF413" s="383"/>
      <c r="AG413" s="365"/>
      <c r="AH413" s="383"/>
      <c r="AI413" s="365"/>
      <c r="AJ413" s="383"/>
      <c r="AK413" s="365"/>
      <c r="AL413" s="383"/>
      <c r="AM413" s="353"/>
    </row>
    <row r="414" spans="1:39" s="352" customFormat="1">
      <c r="A414" s="364"/>
      <c r="B414" s="364"/>
      <c r="C414" s="365"/>
      <c r="D414" s="365"/>
      <c r="E414" s="365"/>
      <c r="F414" s="365"/>
      <c r="G414" s="365"/>
      <c r="H414" s="383"/>
      <c r="I414" s="365"/>
      <c r="J414" s="383"/>
      <c r="K414" s="365"/>
      <c r="L414" s="365"/>
      <c r="M414" s="365"/>
      <c r="N414" s="383"/>
      <c r="O414" s="365"/>
      <c r="P414" s="365"/>
      <c r="Q414" s="365"/>
      <c r="R414" s="383"/>
      <c r="S414" s="365"/>
      <c r="T414" s="383"/>
      <c r="U414" s="365"/>
      <c r="V414" s="383"/>
      <c r="W414" s="365"/>
      <c r="X414" s="383"/>
      <c r="Y414" s="365"/>
      <c r="Z414" s="383"/>
      <c r="AA414" s="365"/>
      <c r="AB414" s="365"/>
      <c r="AC414" s="365"/>
      <c r="AD414" s="383"/>
      <c r="AE414" s="365"/>
      <c r="AF414" s="383"/>
      <c r="AG414" s="365"/>
      <c r="AH414" s="383"/>
      <c r="AI414" s="365"/>
      <c r="AJ414" s="383"/>
      <c r="AK414" s="365"/>
      <c r="AL414" s="383"/>
      <c r="AM414" s="353"/>
    </row>
    <row r="415" spans="1:39" s="352" customFormat="1">
      <c r="A415" s="364"/>
      <c r="B415" s="364"/>
      <c r="C415" s="365"/>
      <c r="D415" s="365"/>
      <c r="E415" s="365"/>
      <c r="F415" s="365"/>
      <c r="G415" s="365"/>
      <c r="H415" s="383"/>
      <c r="I415" s="365"/>
      <c r="J415" s="383"/>
      <c r="K415" s="365"/>
      <c r="L415" s="365"/>
      <c r="M415" s="365"/>
      <c r="N415" s="383"/>
      <c r="O415" s="365"/>
      <c r="P415" s="365"/>
      <c r="Q415" s="365"/>
      <c r="R415" s="383"/>
      <c r="S415" s="365"/>
      <c r="T415" s="383"/>
      <c r="U415" s="365"/>
      <c r="V415" s="383"/>
      <c r="W415" s="365"/>
      <c r="X415" s="383"/>
      <c r="Y415" s="365"/>
      <c r="Z415" s="383"/>
      <c r="AA415" s="365"/>
      <c r="AB415" s="365"/>
      <c r="AC415" s="365"/>
      <c r="AD415" s="383"/>
      <c r="AE415" s="365"/>
      <c r="AF415" s="383"/>
      <c r="AG415" s="365"/>
      <c r="AH415" s="383"/>
      <c r="AI415" s="365"/>
      <c r="AJ415" s="383"/>
      <c r="AK415" s="365"/>
      <c r="AL415" s="383"/>
      <c r="AM415" s="353"/>
    </row>
    <row r="416" spans="1:39" s="352" customFormat="1">
      <c r="A416" s="364"/>
      <c r="B416" s="364"/>
      <c r="C416" s="365"/>
      <c r="D416" s="365"/>
      <c r="E416" s="365"/>
      <c r="F416" s="365"/>
      <c r="G416" s="365"/>
      <c r="H416" s="383"/>
      <c r="I416" s="365"/>
      <c r="J416" s="383"/>
      <c r="K416" s="365"/>
      <c r="L416" s="365"/>
      <c r="M416" s="365"/>
      <c r="N416" s="383"/>
      <c r="O416" s="365"/>
      <c r="P416" s="365"/>
      <c r="Q416" s="365"/>
      <c r="R416" s="383"/>
      <c r="S416" s="365"/>
      <c r="T416" s="383"/>
      <c r="U416" s="365"/>
      <c r="V416" s="383"/>
      <c r="W416" s="365"/>
      <c r="X416" s="383"/>
      <c r="Y416" s="365"/>
      <c r="Z416" s="383"/>
      <c r="AA416" s="365"/>
      <c r="AB416" s="365"/>
      <c r="AC416" s="365"/>
      <c r="AD416" s="383"/>
      <c r="AE416" s="365"/>
      <c r="AF416" s="383"/>
      <c r="AG416" s="365"/>
      <c r="AH416" s="383"/>
      <c r="AI416" s="365"/>
      <c r="AJ416" s="383"/>
      <c r="AK416" s="365"/>
      <c r="AL416" s="383"/>
      <c r="AM416" s="353"/>
    </row>
    <row r="417" spans="1:39" s="352" customFormat="1">
      <c r="A417" s="364"/>
      <c r="B417" s="364"/>
      <c r="C417" s="365"/>
      <c r="D417" s="365"/>
      <c r="E417" s="365"/>
      <c r="F417" s="365"/>
      <c r="G417" s="365"/>
      <c r="H417" s="383"/>
      <c r="I417" s="365"/>
      <c r="J417" s="383"/>
      <c r="K417" s="365"/>
      <c r="L417" s="365"/>
      <c r="M417" s="365"/>
      <c r="N417" s="383"/>
      <c r="O417" s="365"/>
      <c r="P417" s="365"/>
      <c r="Q417" s="365"/>
      <c r="R417" s="383"/>
      <c r="S417" s="365"/>
      <c r="T417" s="383"/>
      <c r="U417" s="365"/>
      <c r="V417" s="383"/>
      <c r="W417" s="365"/>
      <c r="X417" s="383"/>
      <c r="Y417" s="365"/>
      <c r="Z417" s="383"/>
      <c r="AA417" s="365"/>
      <c r="AB417" s="365"/>
      <c r="AC417" s="365"/>
      <c r="AD417" s="383"/>
      <c r="AE417" s="365"/>
      <c r="AF417" s="383"/>
      <c r="AG417" s="365"/>
      <c r="AH417" s="383"/>
      <c r="AI417" s="365"/>
      <c r="AJ417" s="383"/>
      <c r="AK417" s="365"/>
      <c r="AL417" s="383"/>
      <c r="AM417" s="353"/>
    </row>
    <row r="418" spans="1:39" s="352" customFormat="1">
      <c r="A418" s="364"/>
      <c r="B418" s="364"/>
      <c r="C418" s="365"/>
      <c r="D418" s="365"/>
      <c r="E418" s="365"/>
      <c r="F418" s="365"/>
      <c r="G418" s="365"/>
      <c r="H418" s="383"/>
      <c r="I418" s="365"/>
      <c r="J418" s="383"/>
      <c r="K418" s="365"/>
      <c r="L418" s="365"/>
      <c r="M418" s="365"/>
      <c r="N418" s="383"/>
      <c r="O418" s="365"/>
      <c r="P418" s="365"/>
      <c r="Q418" s="365"/>
      <c r="R418" s="383"/>
      <c r="S418" s="365"/>
      <c r="T418" s="383"/>
      <c r="U418" s="365"/>
      <c r="V418" s="383"/>
      <c r="W418" s="365"/>
      <c r="X418" s="383"/>
      <c r="Y418" s="365"/>
      <c r="Z418" s="383"/>
      <c r="AA418" s="365"/>
      <c r="AB418" s="365"/>
      <c r="AC418" s="365"/>
      <c r="AD418" s="383"/>
      <c r="AE418" s="365"/>
      <c r="AF418" s="383"/>
      <c r="AG418" s="365"/>
      <c r="AH418" s="383"/>
      <c r="AI418" s="365"/>
      <c r="AJ418" s="383"/>
      <c r="AK418" s="365"/>
      <c r="AL418" s="383"/>
      <c r="AM418" s="353"/>
    </row>
    <row r="419" spans="1:39" s="352" customFormat="1">
      <c r="A419" s="364"/>
      <c r="B419" s="364"/>
      <c r="C419" s="365"/>
      <c r="D419" s="365"/>
      <c r="E419" s="365"/>
      <c r="F419" s="365"/>
      <c r="G419" s="365"/>
      <c r="H419" s="383"/>
      <c r="I419" s="365"/>
      <c r="J419" s="383"/>
      <c r="K419" s="365"/>
      <c r="L419" s="365"/>
      <c r="M419" s="365"/>
      <c r="N419" s="383"/>
      <c r="O419" s="365"/>
      <c r="P419" s="365"/>
      <c r="Q419" s="365"/>
      <c r="R419" s="383"/>
      <c r="S419" s="365"/>
      <c r="T419" s="383"/>
      <c r="U419" s="365"/>
      <c r="V419" s="383"/>
      <c r="W419" s="365"/>
      <c r="X419" s="383"/>
      <c r="Y419" s="365"/>
      <c r="Z419" s="383"/>
      <c r="AA419" s="365"/>
      <c r="AB419" s="365"/>
      <c r="AC419" s="365"/>
      <c r="AD419" s="383"/>
      <c r="AE419" s="365"/>
      <c r="AF419" s="383"/>
      <c r="AG419" s="365"/>
      <c r="AH419" s="383"/>
      <c r="AI419" s="365"/>
      <c r="AJ419" s="383"/>
      <c r="AK419" s="365"/>
      <c r="AL419" s="383"/>
      <c r="AM419" s="353"/>
    </row>
    <row r="420" spans="1:39" s="352" customFormat="1">
      <c r="A420" s="364"/>
      <c r="B420" s="364"/>
      <c r="C420" s="365"/>
      <c r="D420" s="365"/>
      <c r="E420" s="365"/>
      <c r="F420" s="365"/>
      <c r="G420" s="365"/>
      <c r="H420" s="383"/>
      <c r="I420" s="365"/>
      <c r="J420" s="383"/>
      <c r="K420" s="365"/>
      <c r="L420" s="365"/>
      <c r="M420" s="365"/>
      <c r="N420" s="383"/>
      <c r="O420" s="365"/>
      <c r="P420" s="365"/>
      <c r="Q420" s="365"/>
      <c r="R420" s="383"/>
      <c r="S420" s="365"/>
      <c r="T420" s="383"/>
      <c r="U420" s="365"/>
      <c r="V420" s="383"/>
      <c r="W420" s="365"/>
      <c r="X420" s="383"/>
      <c r="Y420" s="365"/>
      <c r="Z420" s="383"/>
      <c r="AA420" s="365"/>
      <c r="AB420" s="365"/>
      <c r="AC420" s="365"/>
      <c r="AD420" s="383"/>
      <c r="AE420" s="365"/>
      <c r="AF420" s="383"/>
      <c r="AG420" s="365"/>
      <c r="AH420" s="383"/>
      <c r="AI420" s="365"/>
      <c r="AJ420" s="383"/>
      <c r="AK420" s="365"/>
      <c r="AL420" s="383"/>
      <c r="AM420" s="353"/>
    </row>
    <row r="421" spans="1:39" s="352" customFormat="1">
      <c r="A421" s="364"/>
      <c r="B421" s="364"/>
      <c r="C421" s="365"/>
      <c r="D421" s="365"/>
      <c r="E421" s="365"/>
      <c r="F421" s="365"/>
      <c r="G421" s="365"/>
      <c r="H421" s="383"/>
      <c r="I421" s="365"/>
      <c r="J421" s="383"/>
      <c r="K421" s="365"/>
      <c r="L421" s="365"/>
      <c r="M421" s="365"/>
      <c r="N421" s="383"/>
      <c r="O421" s="365"/>
      <c r="P421" s="365"/>
      <c r="Q421" s="365"/>
      <c r="R421" s="383"/>
      <c r="S421" s="365"/>
      <c r="T421" s="383"/>
      <c r="U421" s="365"/>
      <c r="V421" s="383"/>
      <c r="W421" s="365"/>
      <c r="X421" s="383"/>
      <c r="Y421" s="365"/>
      <c r="Z421" s="383"/>
      <c r="AA421" s="365"/>
      <c r="AB421" s="365"/>
      <c r="AC421" s="365"/>
      <c r="AD421" s="383"/>
      <c r="AE421" s="365"/>
      <c r="AF421" s="383"/>
      <c r="AG421" s="365"/>
      <c r="AH421" s="383"/>
      <c r="AI421" s="365"/>
      <c r="AJ421" s="383"/>
      <c r="AK421" s="365"/>
      <c r="AL421" s="383"/>
      <c r="AM421" s="353"/>
    </row>
    <row r="422" spans="1:39" s="352" customFormat="1">
      <c r="A422" s="364"/>
      <c r="B422" s="364"/>
      <c r="C422" s="365"/>
      <c r="D422" s="365"/>
      <c r="E422" s="365"/>
      <c r="F422" s="365"/>
      <c r="G422" s="365"/>
      <c r="H422" s="383"/>
      <c r="I422" s="365"/>
      <c r="J422" s="383"/>
      <c r="K422" s="365"/>
      <c r="L422" s="365"/>
      <c r="M422" s="365"/>
      <c r="N422" s="383"/>
      <c r="O422" s="365"/>
      <c r="P422" s="365"/>
      <c r="Q422" s="365"/>
      <c r="R422" s="383"/>
      <c r="S422" s="365"/>
      <c r="T422" s="383"/>
      <c r="U422" s="365"/>
      <c r="V422" s="383"/>
      <c r="W422" s="365"/>
      <c r="X422" s="383"/>
      <c r="Y422" s="365"/>
      <c r="Z422" s="383"/>
      <c r="AA422" s="365"/>
      <c r="AB422" s="365"/>
      <c r="AC422" s="365"/>
      <c r="AD422" s="383"/>
      <c r="AE422" s="365"/>
      <c r="AF422" s="383"/>
      <c r="AG422" s="365"/>
      <c r="AH422" s="383"/>
      <c r="AI422" s="365"/>
      <c r="AJ422" s="383"/>
      <c r="AK422" s="365"/>
      <c r="AL422" s="383"/>
      <c r="AM422" s="353"/>
    </row>
    <row r="423" spans="1:39" s="352" customFormat="1">
      <c r="A423" s="364"/>
      <c r="B423" s="364"/>
      <c r="C423" s="365"/>
      <c r="D423" s="365"/>
      <c r="E423" s="365"/>
      <c r="F423" s="365"/>
      <c r="G423" s="365"/>
      <c r="H423" s="383"/>
      <c r="I423" s="365"/>
      <c r="J423" s="383"/>
      <c r="K423" s="365"/>
      <c r="L423" s="365"/>
      <c r="M423" s="365"/>
      <c r="N423" s="383"/>
      <c r="O423" s="365"/>
      <c r="P423" s="365"/>
      <c r="Q423" s="365"/>
      <c r="R423" s="383"/>
      <c r="S423" s="365"/>
      <c r="T423" s="383"/>
      <c r="U423" s="365"/>
      <c r="V423" s="383"/>
      <c r="W423" s="365"/>
      <c r="X423" s="383"/>
      <c r="Y423" s="365"/>
      <c r="Z423" s="383"/>
      <c r="AA423" s="365"/>
      <c r="AB423" s="365"/>
      <c r="AC423" s="365"/>
      <c r="AD423" s="383"/>
      <c r="AE423" s="365"/>
      <c r="AF423" s="383"/>
      <c r="AG423" s="365"/>
      <c r="AH423" s="383"/>
      <c r="AI423" s="365"/>
      <c r="AJ423" s="383"/>
      <c r="AK423" s="365"/>
      <c r="AL423" s="383"/>
      <c r="AM423" s="353"/>
    </row>
    <row r="424" spans="1:39" s="352" customFormat="1">
      <c r="A424" s="364"/>
      <c r="B424" s="364"/>
      <c r="C424" s="365"/>
      <c r="D424" s="365"/>
      <c r="E424" s="365"/>
      <c r="F424" s="365"/>
      <c r="G424" s="365"/>
      <c r="H424" s="383"/>
      <c r="I424" s="365"/>
      <c r="J424" s="383"/>
      <c r="K424" s="365"/>
      <c r="L424" s="365"/>
      <c r="M424" s="365"/>
      <c r="N424" s="383"/>
      <c r="O424" s="365"/>
      <c r="P424" s="365"/>
      <c r="Q424" s="365"/>
      <c r="R424" s="383"/>
      <c r="S424" s="365"/>
      <c r="T424" s="383"/>
      <c r="U424" s="365"/>
      <c r="V424" s="383"/>
      <c r="W424" s="365"/>
      <c r="X424" s="383"/>
      <c r="Y424" s="365"/>
      <c r="Z424" s="383"/>
      <c r="AA424" s="365"/>
      <c r="AB424" s="365"/>
      <c r="AC424" s="365"/>
      <c r="AD424" s="383"/>
      <c r="AE424" s="365"/>
      <c r="AF424" s="383"/>
      <c r="AG424" s="365"/>
      <c r="AH424" s="383"/>
      <c r="AI424" s="365"/>
      <c r="AJ424" s="383"/>
      <c r="AK424" s="365"/>
      <c r="AL424" s="383"/>
      <c r="AM424" s="353"/>
    </row>
    <row r="425" spans="1:39" s="352" customFormat="1">
      <c r="A425" s="364"/>
      <c r="B425" s="364"/>
      <c r="C425" s="365"/>
      <c r="D425" s="365"/>
      <c r="E425" s="365"/>
      <c r="F425" s="365"/>
      <c r="G425" s="365"/>
      <c r="H425" s="383"/>
      <c r="I425" s="365"/>
      <c r="J425" s="383"/>
      <c r="K425" s="365"/>
      <c r="L425" s="365"/>
      <c r="M425" s="365"/>
      <c r="N425" s="383"/>
      <c r="O425" s="365"/>
      <c r="P425" s="365"/>
      <c r="Q425" s="365"/>
      <c r="R425" s="383"/>
      <c r="S425" s="365"/>
      <c r="T425" s="383"/>
      <c r="U425" s="365"/>
      <c r="V425" s="383"/>
      <c r="W425" s="365"/>
      <c r="X425" s="383"/>
      <c r="Y425" s="365"/>
      <c r="Z425" s="383"/>
      <c r="AA425" s="365"/>
      <c r="AB425" s="365"/>
      <c r="AC425" s="365"/>
      <c r="AD425" s="383"/>
      <c r="AE425" s="365"/>
      <c r="AF425" s="383"/>
      <c r="AG425" s="365"/>
      <c r="AH425" s="383"/>
      <c r="AI425" s="365"/>
      <c r="AJ425" s="383"/>
      <c r="AK425" s="365"/>
      <c r="AL425" s="383"/>
      <c r="AM425" s="353"/>
    </row>
    <row r="426" spans="1:39" s="352" customFormat="1">
      <c r="A426" s="364"/>
      <c r="B426" s="364"/>
      <c r="C426" s="365"/>
      <c r="D426" s="365"/>
      <c r="E426" s="365"/>
      <c r="F426" s="365"/>
      <c r="G426" s="365"/>
      <c r="H426" s="383"/>
      <c r="I426" s="365"/>
      <c r="J426" s="383"/>
      <c r="K426" s="365"/>
      <c r="L426" s="365"/>
      <c r="M426" s="365"/>
      <c r="N426" s="383"/>
      <c r="O426" s="365"/>
      <c r="P426" s="365"/>
      <c r="Q426" s="365"/>
      <c r="R426" s="383"/>
      <c r="S426" s="365"/>
      <c r="T426" s="383"/>
      <c r="U426" s="365"/>
      <c r="V426" s="383"/>
      <c r="W426" s="365"/>
      <c r="X426" s="383"/>
      <c r="Y426" s="365"/>
      <c r="Z426" s="383"/>
      <c r="AA426" s="365"/>
      <c r="AB426" s="365"/>
      <c r="AC426" s="365"/>
      <c r="AD426" s="383"/>
      <c r="AE426" s="365"/>
      <c r="AF426" s="383"/>
      <c r="AG426" s="365"/>
      <c r="AH426" s="383"/>
      <c r="AI426" s="365"/>
      <c r="AJ426" s="383"/>
      <c r="AK426" s="365"/>
      <c r="AL426" s="383"/>
      <c r="AM426" s="353"/>
    </row>
    <row r="427" spans="1:39" s="352" customFormat="1">
      <c r="A427" s="364"/>
      <c r="B427" s="364"/>
      <c r="C427" s="365"/>
      <c r="D427" s="365"/>
      <c r="E427" s="365"/>
      <c r="F427" s="365"/>
      <c r="G427" s="365"/>
      <c r="H427" s="383"/>
      <c r="I427" s="365"/>
      <c r="J427" s="383"/>
      <c r="K427" s="365"/>
      <c r="L427" s="365"/>
      <c r="M427" s="365"/>
      <c r="N427" s="383"/>
      <c r="O427" s="365"/>
      <c r="P427" s="365"/>
      <c r="Q427" s="365"/>
      <c r="R427" s="383"/>
      <c r="S427" s="365"/>
      <c r="T427" s="383"/>
      <c r="U427" s="365"/>
      <c r="V427" s="383"/>
      <c r="W427" s="365"/>
      <c r="X427" s="383"/>
      <c r="Y427" s="365"/>
      <c r="Z427" s="383"/>
      <c r="AA427" s="365"/>
      <c r="AB427" s="365"/>
      <c r="AC427" s="365"/>
      <c r="AD427" s="383"/>
      <c r="AE427" s="365"/>
      <c r="AF427" s="383"/>
      <c r="AG427" s="365"/>
      <c r="AH427" s="383"/>
      <c r="AI427" s="365"/>
      <c r="AJ427" s="383"/>
      <c r="AK427" s="365"/>
      <c r="AL427" s="383"/>
      <c r="AM427" s="353"/>
    </row>
    <row r="428" spans="1:39" s="352" customFormat="1">
      <c r="A428" s="364"/>
      <c r="B428" s="364"/>
      <c r="C428" s="365"/>
      <c r="D428" s="365"/>
      <c r="E428" s="365"/>
      <c r="F428" s="365"/>
      <c r="G428" s="365"/>
      <c r="H428" s="383"/>
      <c r="I428" s="365"/>
      <c r="J428" s="383"/>
      <c r="K428" s="365"/>
      <c r="L428" s="365"/>
      <c r="M428" s="365"/>
      <c r="N428" s="383"/>
      <c r="O428" s="365"/>
      <c r="P428" s="365"/>
      <c r="Q428" s="365"/>
      <c r="R428" s="383"/>
      <c r="S428" s="365"/>
      <c r="T428" s="383"/>
      <c r="U428" s="365"/>
      <c r="V428" s="383"/>
      <c r="W428" s="365"/>
      <c r="X428" s="383"/>
      <c r="Y428" s="365"/>
      <c r="Z428" s="383"/>
      <c r="AA428" s="365"/>
      <c r="AB428" s="365"/>
      <c r="AC428" s="365"/>
      <c r="AD428" s="383"/>
      <c r="AE428" s="365"/>
      <c r="AF428" s="383"/>
      <c r="AG428" s="365"/>
      <c r="AH428" s="383"/>
      <c r="AI428" s="365"/>
      <c r="AJ428" s="383"/>
      <c r="AK428" s="365"/>
      <c r="AL428" s="383"/>
      <c r="AM428" s="353"/>
    </row>
    <row r="429" spans="1:39" s="352" customFormat="1">
      <c r="A429" s="374"/>
      <c r="B429" s="374"/>
      <c r="C429" s="365"/>
      <c r="D429" s="365"/>
      <c r="E429" s="365"/>
      <c r="F429" s="365"/>
      <c r="G429" s="365"/>
      <c r="H429" s="383"/>
      <c r="I429" s="365"/>
      <c r="J429" s="383"/>
      <c r="K429" s="365"/>
      <c r="L429" s="365"/>
      <c r="M429" s="365"/>
      <c r="N429" s="383"/>
      <c r="O429" s="365"/>
      <c r="P429" s="365"/>
      <c r="Q429" s="365"/>
      <c r="R429" s="383"/>
      <c r="S429" s="365"/>
      <c r="T429" s="383"/>
      <c r="U429" s="365"/>
      <c r="V429" s="383"/>
      <c r="W429" s="365"/>
      <c r="X429" s="383"/>
      <c r="Y429" s="365"/>
      <c r="Z429" s="383"/>
      <c r="AA429" s="365"/>
      <c r="AB429" s="365"/>
      <c r="AC429" s="365"/>
      <c r="AD429" s="383"/>
      <c r="AE429" s="365"/>
      <c r="AF429" s="383"/>
      <c r="AG429" s="365"/>
      <c r="AH429" s="383"/>
      <c r="AI429" s="365"/>
      <c r="AJ429" s="383"/>
      <c r="AK429" s="365"/>
      <c r="AL429" s="383"/>
      <c r="AM429" s="353"/>
    </row>
    <row r="430" spans="1:39" s="352" customFormat="1">
      <c r="A430" s="374"/>
      <c r="B430" s="374"/>
      <c r="C430" s="365"/>
      <c r="D430" s="365"/>
      <c r="E430" s="365"/>
      <c r="F430" s="365"/>
      <c r="G430" s="365"/>
      <c r="H430" s="383"/>
      <c r="I430" s="365"/>
      <c r="J430" s="383"/>
      <c r="K430" s="365"/>
      <c r="L430" s="365"/>
      <c r="M430" s="365"/>
      <c r="N430" s="383"/>
      <c r="O430" s="365"/>
      <c r="P430" s="365"/>
      <c r="Q430" s="365"/>
      <c r="R430" s="383"/>
      <c r="S430" s="365"/>
      <c r="T430" s="383"/>
      <c r="U430" s="365"/>
      <c r="V430" s="383"/>
      <c r="W430" s="365"/>
      <c r="X430" s="383"/>
      <c r="Y430" s="365"/>
      <c r="Z430" s="383"/>
      <c r="AA430" s="365"/>
      <c r="AB430" s="365"/>
      <c r="AC430" s="365"/>
      <c r="AD430" s="383"/>
      <c r="AE430" s="365"/>
      <c r="AF430" s="383"/>
      <c r="AG430" s="365"/>
      <c r="AH430" s="383"/>
      <c r="AI430" s="365"/>
      <c r="AJ430" s="383"/>
      <c r="AK430" s="365"/>
      <c r="AL430" s="383"/>
      <c r="AM430" s="353"/>
    </row>
    <row r="431" spans="1:39" s="352" customFormat="1">
      <c r="A431" s="374"/>
      <c r="B431" s="374"/>
      <c r="C431" s="365"/>
      <c r="D431" s="365"/>
      <c r="E431" s="365"/>
      <c r="F431" s="365"/>
      <c r="G431" s="365"/>
      <c r="H431" s="383"/>
      <c r="I431" s="365"/>
      <c r="J431" s="383"/>
      <c r="K431" s="365"/>
      <c r="L431" s="365"/>
      <c r="M431" s="365"/>
      <c r="N431" s="383"/>
      <c r="O431" s="365"/>
      <c r="P431" s="365"/>
      <c r="Q431" s="365"/>
      <c r="R431" s="383"/>
      <c r="S431" s="365"/>
      <c r="T431" s="383"/>
      <c r="U431" s="365"/>
      <c r="V431" s="383"/>
      <c r="W431" s="365"/>
      <c r="X431" s="383"/>
      <c r="Y431" s="365"/>
      <c r="Z431" s="383"/>
      <c r="AA431" s="365"/>
      <c r="AB431" s="365"/>
      <c r="AC431" s="365"/>
      <c r="AD431" s="383"/>
      <c r="AE431" s="365"/>
      <c r="AF431" s="383"/>
      <c r="AG431" s="365"/>
      <c r="AH431" s="383"/>
      <c r="AI431" s="365"/>
      <c r="AJ431" s="383"/>
      <c r="AK431" s="365"/>
      <c r="AL431" s="383"/>
      <c r="AM431" s="353"/>
    </row>
    <row r="432" spans="1:39" s="352" customFormat="1">
      <c r="A432" s="374"/>
      <c r="B432" s="374"/>
      <c r="C432" s="365"/>
      <c r="D432" s="365"/>
      <c r="E432" s="365"/>
      <c r="F432" s="365"/>
      <c r="G432" s="365"/>
      <c r="H432" s="383"/>
      <c r="I432" s="365"/>
      <c r="J432" s="383"/>
      <c r="K432" s="365"/>
      <c r="L432" s="365"/>
      <c r="M432" s="365"/>
      <c r="N432" s="383"/>
      <c r="O432" s="365"/>
      <c r="P432" s="365"/>
      <c r="Q432" s="365"/>
      <c r="R432" s="383"/>
      <c r="S432" s="365"/>
      <c r="T432" s="383"/>
      <c r="U432" s="365"/>
      <c r="V432" s="383"/>
      <c r="W432" s="365"/>
      <c r="X432" s="383"/>
      <c r="Y432" s="365"/>
      <c r="Z432" s="383"/>
      <c r="AA432" s="365"/>
      <c r="AB432" s="365"/>
      <c r="AC432" s="365"/>
      <c r="AD432" s="383"/>
      <c r="AE432" s="365"/>
      <c r="AF432" s="383"/>
      <c r="AG432" s="365"/>
      <c r="AH432" s="383"/>
      <c r="AI432" s="365"/>
      <c r="AJ432" s="383"/>
      <c r="AK432" s="365"/>
      <c r="AL432" s="383"/>
      <c r="AM432" s="353"/>
    </row>
    <row r="433" spans="1:39" s="352" customFormat="1">
      <c r="A433" s="374"/>
      <c r="B433" s="374"/>
      <c r="C433" s="365"/>
      <c r="D433" s="365"/>
      <c r="E433" s="365"/>
      <c r="F433" s="365"/>
      <c r="G433" s="365"/>
      <c r="H433" s="383"/>
      <c r="I433" s="365"/>
      <c r="J433" s="383"/>
      <c r="K433" s="365"/>
      <c r="L433" s="365"/>
      <c r="M433" s="365"/>
      <c r="N433" s="383"/>
      <c r="O433" s="365"/>
      <c r="P433" s="365"/>
      <c r="Q433" s="365"/>
      <c r="R433" s="383"/>
      <c r="S433" s="365"/>
      <c r="T433" s="383"/>
      <c r="U433" s="365"/>
      <c r="V433" s="383"/>
      <c r="W433" s="365"/>
      <c r="X433" s="383"/>
      <c r="Y433" s="365"/>
      <c r="Z433" s="383"/>
      <c r="AA433" s="365"/>
      <c r="AB433" s="365"/>
      <c r="AC433" s="365"/>
      <c r="AD433" s="383"/>
      <c r="AE433" s="365"/>
      <c r="AF433" s="383"/>
      <c r="AG433" s="365"/>
      <c r="AH433" s="383"/>
      <c r="AI433" s="365"/>
      <c r="AJ433" s="383"/>
      <c r="AK433" s="365"/>
      <c r="AL433" s="383"/>
      <c r="AM433" s="353"/>
    </row>
    <row r="434" spans="1:39" s="352" customFormat="1">
      <c r="A434" s="374"/>
      <c r="B434" s="374"/>
      <c r="C434" s="365"/>
      <c r="D434" s="365"/>
      <c r="E434" s="365"/>
      <c r="F434" s="365"/>
      <c r="G434" s="365"/>
      <c r="H434" s="383"/>
      <c r="I434" s="365"/>
      <c r="J434" s="383"/>
      <c r="K434" s="365"/>
      <c r="L434" s="365"/>
      <c r="M434" s="365"/>
      <c r="N434" s="383"/>
      <c r="O434" s="365"/>
      <c r="P434" s="365"/>
      <c r="Q434" s="365"/>
      <c r="R434" s="383"/>
      <c r="S434" s="365"/>
      <c r="T434" s="383"/>
      <c r="U434" s="365"/>
      <c r="V434" s="383"/>
      <c r="W434" s="365"/>
      <c r="X434" s="383"/>
      <c r="Y434" s="365"/>
      <c r="Z434" s="383"/>
      <c r="AA434" s="365"/>
      <c r="AB434" s="365"/>
      <c r="AC434" s="365"/>
      <c r="AD434" s="383"/>
      <c r="AE434" s="365"/>
      <c r="AF434" s="383"/>
      <c r="AG434" s="365"/>
      <c r="AH434" s="383"/>
      <c r="AI434" s="365"/>
      <c r="AJ434" s="383"/>
      <c r="AK434" s="365"/>
      <c r="AL434" s="383"/>
      <c r="AM434" s="353"/>
    </row>
    <row r="435" spans="1:39" s="352" customFormat="1">
      <c r="A435" s="374"/>
      <c r="B435" s="374"/>
      <c r="C435" s="365"/>
      <c r="D435" s="365"/>
      <c r="E435" s="365"/>
      <c r="F435" s="365"/>
      <c r="G435" s="365"/>
      <c r="H435" s="383"/>
      <c r="I435" s="365"/>
      <c r="J435" s="383"/>
      <c r="K435" s="365"/>
      <c r="L435" s="365"/>
      <c r="M435" s="365"/>
      <c r="N435" s="383"/>
      <c r="O435" s="365"/>
      <c r="P435" s="365"/>
      <c r="Q435" s="365"/>
      <c r="R435" s="383"/>
      <c r="S435" s="365"/>
      <c r="T435" s="383"/>
      <c r="U435" s="365"/>
      <c r="V435" s="383"/>
      <c r="W435" s="365"/>
      <c r="X435" s="383"/>
      <c r="Y435" s="365"/>
      <c r="Z435" s="383"/>
      <c r="AA435" s="365"/>
      <c r="AB435" s="365"/>
      <c r="AC435" s="365"/>
      <c r="AD435" s="383"/>
      <c r="AE435" s="365"/>
      <c r="AF435" s="383"/>
      <c r="AG435" s="365"/>
      <c r="AH435" s="383"/>
      <c r="AI435" s="365"/>
      <c r="AJ435" s="383"/>
      <c r="AK435" s="365"/>
      <c r="AL435" s="383"/>
      <c r="AM435" s="353"/>
    </row>
    <row r="436" spans="1:39" s="352" customFormat="1">
      <c r="A436" s="374"/>
      <c r="B436" s="374"/>
      <c r="C436" s="365"/>
      <c r="D436" s="365"/>
      <c r="E436" s="365"/>
      <c r="F436" s="365"/>
      <c r="G436" s="365"/>
      <c r="H436" s="383"/>
      <c r="I436" s="365"/>
      <c r="J436" s="383"/>
      <c r="K436" s="365"/>
      <c r="L436" s="365"/>
      <c r="M436" s="365"/>
      <c r="N436" s="383"/>
      <c r="O436" s="365"/>
      <c r="P436" s="365"/>
      <c r="Q436" s="365"/>
      <c r="R436" s="383"/>
      <c r="S436" s="365"/>
      <c r="T436" s="383"/>
      <c r="U436" s="365"/>
      <c r="V436" s="383"/>
      <c r="W436" s="365"/>
      <c r="X436" s="383"/>
      <c r="Y436" s="365"/>
      <c r="Z436" s="383"/>
      <c r="AA436" s="365"/>
      <c r="AB436" s="365"/>
      <c r="AC436" s="365"/>
      <c r="AD436" s="383"/>
      <c r="AE436" s="365"/>
      <c r="AF436" s="383"/>
      <c r="AG436" s="365"/>
      <c r="AH436" s="383"/>
      <c r="AI436" s="365"/>
      <c r="AJ436" s="383"/>
      <c r="AK436" s="365"/>
      <c r="AL436" s="383"/>
      <c r="AM436" s="353"/>
    </row>
    <row r="437" spans="1:39" s="352" customFormat="1">
      <c r="A437" s="374"/>
      <c r="B437" s="374"/>
      <c r="C437" s="365"/>
      <c r="D437" s="365"/>
      <c r="E437" s="365"/>
      <c r="F437" s="365"/>
      <c r="G437" s="365"/>
      <c r="H437" s="383"/>
      <c r="I437" s="365"/>
      <c r="J437" s="383"/>
      <c r="K437" s="365"/>
      <c r="L437" s="365"/>
      <c r="M437" s="365"/>
      <c r="N437" s="383"/>
      <c r="O437" s="365"/>
      <c r="P437" s="365"/>
      <c r="Q437" s="365"/>
      <c r="R437" s="383"/>
      <c r="S437" s="365"/>
      <c r="T437" s="383"/>
      <c r="U437" s="365"/>
      <c r="V437" s="383"/>
      <c r="W437" s="365"/>
      <c r="X437" s="383"/>
      <c r="Y437" s="365"/>
      <c r="Z437" s="383"/>
      <c r="AA437" s="365"/>
      <c r="AB437" s="365"/>
      <c r="AC437" s="365"/>
      <c r="AD437" s="383"/>
      <c r="AE437" s="365"/>
      <c r="AF437" s="383"/>
      <c r="AG437" s="365"/>
      <c r="AH437" s="383"/>
      <c r="AI437" s="365"/>
      <c r="AJ437" s="383"/>
      <c r="AK437" s="365"/>
      <c r="AL437" s="383"/>
      <c r="AM437" s="353"/>
    </row>
    <row r="438" spans="1:39" s="352" customFormat="1">
      <c r="A438" s="374"/>
      <c r="B438" s="374"/>
      <c r="C438" s="365"/>
      <c r="D438" s="365"/>
      <c r="E438" s="365"/>
      <c r="F438" s="365"/>
      <c r="G438" s="365"/>
      <c r="H438" s="383"/>
      <c r="I438" s="365"/>
      <c r="J438" s="383"/>
      <c r="K438" s="365"/>
      <c r="L438" s="365"/>
      <c r="M438" s="365"/>
      <c r="N438" s="383"/>
      <c r="O438" s="365"/>
      <c r="P438" s="365"/>
      <c r="Q438" s="365"/>
      <c r="R438" s="383"/>
      <c r="S438" s="365"/>
      <c r="T438" s="383"/>
      <c r="U438" s="365"/>
      <c r="V438" s="383"/>
      <c r="W438" s="365"/>
      <c r="X438" s="383"/>
      <c r="Y438" s="365"/>
      <c r="Z438" s="383"/>
      <c r="AA438" s="365"/>
      <c r="AB438" s="365"/>
      <c r="AC438" s="365"/>
      <c r="AD438" s="383"/>
      <c r="AE438" s="365"/>
      <c r="AF438" s="383"/>
      <c r="AG438" s="365"/>
      <c r="AH438" s="383"/>
      <c r="AI438" s="365"/>
      <c r="AJ438" s="383"/>
      <c r="AK438" s="365"/>
      <c r="AL438" s="383"/>
      <c r="AM438" s="353"/>
    </row>
    <row r="439" spans="1:39" s="352" customFormat="1">
      <c r="A439" s="374"/>
      <c r="B439" s="374"/>
      <c r="C439" s="365"/>
      <c r="D439" s="365"/>
      <c r="E439" s="365"/>
      <c r="F439" s="365"/>
      <c r="G439" s="365"/>
      <c r="H439" s="383"/>
      <c r="I439" s="365"/>
      <c r="J439" s="383"/>
      <c r="K439" s="365"/>
      <c r="L439" s="365"/>
      <c r="M439" s="365"/>
      <c r="N439" s="383"/>
      <c r="O439" s="365"/>
      <c r="P439" s="365"/>
      <c r="Q439" s="365"/>
      <c r="R439" s="383"/>
      <c r="S439" s="365"/>
      <c r="T439" s="383"/>
      <c r="U439" s="365"/>
      <c r="V439" s="383"/>
      <c r="W439" s="365"/>
      <c r="X439" s="383"/>
      <c r="Y439" s="365"/>
      <c r="Z439" s="383"/>
      <c r="AA439" s="365"/>
      <c r="AB439" s="365"/>
      <c r="AC439" s="365"/>
      <c r="AD439" s="383"/>
      <c r="AE439" s="365"/>
      <c r="AF439" s="383"/>
      <c r="AG439" s="365"/>
      <c r="AH439" s="383"/>
      <c r="AI439" s="365"/>
      <c r="AJ439" s="383"/>
      <c r="AK439" s="365"/>
      <c r="AL439" s="383"/>
      <c r="AM439" s="353"/>
    </row>
    <row r="440" spans="1:39" s="352" customFormat="1">
      <c r="A440" s="374"/>
      <c r="B440" s="374"/>
      <c r="C440" s="365"/>
      <c r="D440" s="365"/>
      <c r="E440" s="365"/>
      <c r="F440" s="365"/>
      <c r="G440" s="365"/>
      <c r="H440" s="383"/>
      <c r="I440" s="365"/>
      <c r="J440" s="383"/>
      <c r="K440" s="365"/>
      <c r="L440" s="365"/>
      <c r="M440" s="365"/>
      <c r="N440" s="383"/>
      <c r="O440" s="365"/>
      <c r="P440" s="365"/>
      <c r="Q440" s="365"/>
      <c r="R440" s="383"/>
      <c r="S440" s="365"/>
      <c r="T440" s="383"/>
      <c r="U440" s="365"/>
      <c r="V440" s="383"/>
      <c r="W440" s="365"/>
      <c r="X440" s="383"/>
      <c r="Y440" s="365"/>
      <c r="Z440" s="383"/>
      <c r="AA440" s="365"/>
      <c r="AB440" s="365"/>
      <c r="AC440" s="365"/>
      <c r="AD440" s="383"/>
      <c r="AE440" s="365"/>
      <c r="AF440" s="383"/>
      <c r="AG440" s="365"/>
      <c r="AH440" s="383"/>
      <c r="AI440" s="365"/>
      <c r="AJ440" s="383"/>
      <c r="AK440" s="365"/>
      <c r="AL440" s="383"/>
      <c r="AM440" s="353"/>
    </row>
    <row r="441" spans="1:39" s="352" customFormat="1">
      <c r="A441" s="374"/>
      <c r="B441" s="374"/>
      <c r="C441" s="365"/>
      <c r="D441" s="365"/>
      <c r="E441" s="365"/>
      <c r="F441" s="365"/>
      <c r="G441" s="365"/>
      <c r="H441" s="383"/>
      <c r="I441" s="365"/>
      <c r="J441" s="383"/>
      <c r="K441" s="365"/>
      <c r="L441" s="365"/>
      <c r="M441" s="365"/>
      <c r="N441" s="383"/>
      <c r="O441" s="365"/>
      <c r="P441" s="365"/>
      <c r="Q441" s="365"/>
      <c r="R441" s="383"/>
      <c r="S441" s="365"/>
      <c r="T441" s="383"/>
      <c r="U441" s="365"/>
      <c r="V441" s="383"/>
      <c r="W441" s="365"/>
      <c r="X441" s="383"/>
      <c r="Y441" s="365"/>
      <c r="Z441" s="383"/>
      <c r="AA441" s="365"/>
      <c r="AB441" s="365"/>
      <c r="AC441" s="365"/>
      <c r="AD441" s="383"/>
      <c r="AE441" s="365"/>
      <c r="AF441" s="383"/>
      <c r="AG441" s="365"/>
      <c r="AH441" s="383"/>
      <c r="AI441" s="365"/>
      <c r="AJ441" s="383"/>
      <c r="AK441" s="365"/>
      <c r="AL441" s="383"/>
      <c r="AM441" s="353"/>
    </row>
    <row r="442" spans="1:39" s="352" customFormat="1">
      <c r="C442" s="365"/>
      <c r="D442" s="365"/>
      <c r="E442" s="365"/>
      <c r="F442" s="365"/>
      <c r="G442" s="365"/>
      <c r="H442" s="383"/>
      <c r="I442" s="365"/>
      <c r="J442" s="383"/>
      <c r="K442" s="365"/>
      <c r="L442" s="365"/>
      <c r="M442" s="365"/>
      <c r="N442" s="383"/>
      <c r="O442" s="365"/>
      <c r="P442" s="365"/>
      <c r="Q442" s="365"/>
      <c r="R442" s="383"/>
      <c r="S442" s="365"/>
      <c r="T442" s="383"/>
      <c r="U442" s="365"/>
      <c r="V442" s="383"/>
      <c r="W442" s="365"/>
      <c r="X442" s="383"/>
      <c r="Y442" s="365"/>
      <c r="Z442" s="383"/>
      <c r="AA442" s="365"/>
      <c r="AB442" s="365"/>
      <c r="AC442" s="365"/>
      <c r="AD442" s="383"/>
      <c r="AE442" s="365"/>
      <c r="AF442" s="383"/>
      <c r="AG442" s="365"/>
      <c r="AH442" s="383"/>
      <c r="AI442" s="365"/>
      <c r="AJ442" s="383"/>
      <c r="AK442" s="365"/>
      <c r="AL442" s="383"/>
      <c r="AM442" s="353"/>
    </row>
    <row r="443" spans="1:39" s="352" customFormat="1">
      <c r="C443" s="365"/>
      <c r="D443" s="365"/>
      <c r="E443" s="365"/>
      <c r="F443" s="365"/>
      <c r="G443" s="365"/>
      <c r="H443" s="383"/>
      <c r="I443" s="365"/>
      <c r="J443" s="383"/>
      <c r="K443" s="365"/>
      <c r="L443" s="365"/>
      <c r="M443" s="365"/>
      <c r="N443" s="383"/>
      <c r="O443" s="365"/>
      <c r="P443" s="365"/>
      <c r="Q443" s="365"/>
      <c r="R443" s="383"/>
      <c r="S443" s="365"/>
      <c r="T443" s="383"/>
      <c r="U443" s="365"/>
      <c r="V443" s="383"/>
      <c r="W443" s="365"/>
      <c r="X443" s="383"/>
      <c r="Y443" s="365"/>
      <c r="Z443" s="383"/>
      <c r="AA443" s="365"/>
      <c r="AB443" s="365"/>
      <c r="AC443" s="365"/>
      <c r="AD443" s="383"/>
      <c r="AE443" s="365"/>
      <c r="AF443" s="383"/>
      <c r="AG443" s="365"/>
      <c r="AH443" s="383"/>
      <c r="AI443" s="365"/>
      <c r="AJ443" s="383"/>
      <c r="AK443" s="365"/>
      <c r="AL443" s="383"/>
      <c r="AM443" s="353"/>
    </row>
    <row r="444" spans="1:39" s="352" customFormat="1">
      <c r="C444" s="365"/>
      <c r="D444" s="365"/>
      <c r="E444" s="365"/>
      <c r="F444" s="365"/>
      <c r="G444" s="365"/>
      <c r="H444" s="383"/>
      <c r="I444" s="365"/>
      <c r="J444" s="383"/>
      <c r="K444" s="365"/>
      <c r="L444" s="365"/>
      <c r="M444" s="365"/>
      <c r="N444" s="383"/>
      <c r="O444" s="365"/>
      <c r="P444" s="365"/>
      <c r="Q444" s="365"/>
      <c r="R444" s="383"/>
      <c r="S444" s="365"/>
      <c r="T444" s="383"/>
      <c r="U444" s="365"/>
      <c r="V444" s="383"/>
      <c r="W444" s="365"/>
      <c r="X444" s="383"/>
      <c r="Y444" s="365"/>
      <c r="Z444" s="383"/>
      <c r="AA444" s="365"/>
      <c r="AB444" s="365"/>
      <c r="AC444" s="365"/>
      <c r="AD444" s="383"/>
      <c r="AE444" s="365"/>
      <c r="AF444" s="383"/>
      <c r="AG444" s="365"/>
      <c r="AH444" s="383"/>
      <c r="AI444" s="365"/>
      <c r="AJ444" s="383"/>
      <c r="AK444" s="365"/>
      <c r="AL444" s="383"/>
      <c r="AM444" s="353"/>
    </row>
    <row r="445" spans="1:39" s="352" customFormat="1">
      <c r="C445" s="365"/>
      <c r="D445" s="365"/>
      <c r="E445" s="365"/>
      <c r="F445" s="365"/>
      <c r="G445" s="365"/>
      <c r="H445" s="383"/>
      <c r="I445" s="365"/>
      <c r="J445" s="383"/>
      <c r="K445" s="365"/>
      <c r="L445" s="365"/>
      <c r="M445" s="365"/>
      <c r="N445" s="383"/>
      <c r="O445" s="365"/>
      <c r="P445" s="365"/>
      <c r="Q445" s="365"/>
      <c r="R445" s="383"/>
      <c r="S445" s="365"/>
      <c r="T445" s="383"/>
      <c r="U445" s="365"/>
      <c r="V445" s="383"/>
      <c r="W445" s="365"/>
      <c r="X445" s="383"/>
      <c r="Y445" s="365"/>
      <c r="Z445" s="383"/>
      <c r="AA445" s="365"/>
      <c r="AB445" s="365"/>
      <c r="AC445" s="365"/>
      <c r="AD445" s="383"/>
      <c r="AE445" s="365"/>
      <c r="AF445" s="383"/>
      <c r="AG445" s="365"/>
      <c r="AH445" s="383"/>
      <c r="AI445" s="365"/>
      <c r="AJ445" s="383"/>
      <c r="AK445" s="365"/>
      <c r="AL445" s="383"/>
      <c r="AM445" s="353"/>
    </row>
    <row r="446" spans="1:39" s="352" customFormat="1">
      <c r="C446" s="365"/>
      <c r="D446" s="365"/>
      <c r="E446" s="365"/>
      <c r="F446" s="365"/>
      <c r="G446" s="365"/>
      <c r="H446" s="383"/>
      <c r="I446" s="365"/>
      <c r="J446" s="383"/>
      <c r="K446" s="365"/>
      <c r="L446" s="365"/>
      <c r="M446" s="365"/>
      <c r="N446" s="383"/>
      <c r="O446" s="365"/>
      <c r="P446" s="365"/>
      <c r="Q446" s="365"/>
      <c r="R446" s="383"/>
      <c r="S446" s="365"/>
      <c r="T446" s="383"/>
      <c r="U446" s="365"/>
      <c r="V446" s="383"/>
      <c r="W446" s="365"/>
      <c r="X446" s="383"/>
      <c r="Y446" s="365"/>
      <c r="Z446" s="383"/>
      <c r="AA446" s="365"/>
      <c r="AB446" s="365"/>
      <c r="AC446" s="365"/>
      <c r="AD446" s="383"/>
      <c r="AE446" s="365"/>
      <c r="AF446" s="383"/>
      <c r="AG446" s="365"/>
      <c r="AH446" s="383"/>
      <c r="AI446" s="365"/>
      <c r="AJ446" s="383"/>
      <c r="AK446" s="365"/>
      <c r="AL446" s="383"/>
      <c r="AM446" s="353"/>
    </row>
    <row r="447" spans="1:39" s="352" customFormat="1">
      <c r="C447" s="365"/>
      <c r="D447" s="365"/>
      <c r="E447" s="365"/>
      <c r="F447" s="365"/>
      <c r="G447" s="365"/>
      <c r="H447" s="383"/>
      <c r="I447" s="365"/>
      <c r="J447" s="383"/>
      <c r="K447" s="365"/>
      <c r="L447" s="365"/>
      <c r="M447" s="365"/>
      <c r="N447" s="383"/>
      <c r="O447" s="365"/>
      <c r="P447" s="365"/>
      <c r="Q447" s="365"/>
      <c r="R447" s="383"/>
      <c r="S447" s="365"/>
      <c r="T447" s="383"/>
      <c r="U447" s="365"/>
      <c r="V447" s="383"/>
      <c r="W447" s="365"/>
      <c r="X447" s="383"/>
      <c r="Y447" s="365"/>
      <c r="Z447" s="383"/>
      <c r="AA447" s="365"/>
      <c r="AB447" s="365"/>
      <c r="AC447" s="365"/>
      <c r="AD447" s="383"/>
      <c r="AE447" s="365"/>
      <c r="AF447" s="383"/>
      <c r="AG447" s="365"/>
      <c r="AH447" s="383"/>
      <c r="AI447" s="365"/>
      <c r="AJ447" s="383"/>
      <c r="AK447" s="365"/>
      <c r="AL447" s="383"/>
      <c r="AM447" s="353"/>
    </row>
    <row r="448" spans="1:39" s="352" customFormat="1">
      <c r="C448" s="365"/>
      <c r="D448" s="365"/>
      <c r="E448" s="365"/>
      <c r="F448" s="365"/>
      <c r="G448" s="365"/>
      <c r="H448" s="383"/>
      <c r="I448" s="365"/>
      <c r="J448" s="383"/>
      <c r="K448" s="365"/>
      <c r="L448" s="365"/>
      <c r="M448" s="365"/>
      <c r="N448" s="383"/>
      <c r="O448" s="365"/>
      <c r="P448" s="365"/>
      <c r="Q448" s="365"/>
      <c r="R448" s="383"/>
      <c r="S448" s="365"/>
      <c r="T448" s="383"/>
      <c r="U448" s="365"/>
      <c r="V448" s="383"/>
      <c r="W448" s="365"/>
      <c r="X448" s="383"/>
      <c r="Y448" s="365"/>
      <c r="Z448" s="383"/>
      <c r="AA448" s="365"/>
      <c r="AB448" s="365"/>
      <c r="AC448" s="365"/>
      <c r="AD448" s="383"/>
      <c r="AE448" s="365"/>
      <c r="AF448" s="383"/>
      <c r="AG448" s="365"/>
      <c r="AH448" s="383"/>
      <c r="AI448" s="365"/>
      <c r="AJ448" s="383"/>
      <c r="AK448" s="365"/>
      <c r="AL448" s="383"/>
      <c r="AM448" s="353"/>
    </row>
    <row r="449" spans="3:39" s="352" customFormat="1">
      <c r="C449" s="365"/>
      <c r="D449" s="365"/>
      <c r="E449" s="365"/>
      <c r="F449" s="365"/>
      <c r="G449" s="365"/>
      <c r="H449" s="383"/>
      <c r="I449" s="365"/>
      <c r="J449" s="383"/>
      <c r="K449" s="365"/>
      <c r="L449" s="365"/>
      <c r="M449" s="365"/>
      <c r="N449" s="383"/>
      <c r="O449" s="365"/>
      <c r="P449" s="365"/>
      <c r="Q449" s="365"/>
      <c r="R449" s="383"/>
      <c r="S449" s="365"/>
      <c r="T449" s="383"/>
      <c r="U449" s="365"/>
      <c r="V449" s="383"/>
      <c r="W449" s="365"/>
      <c r="X449" s="383"/>
      <c r="Y449" s="365"/>
      <c r="Z449" s="383"/>
      <c r="AA449" s="365"/>
      <c r="AB449" s="365"/>
      <c r="AC449" s="365"/>
      <c r="AD449" s="383"/>
      <c r="AE449" s="365"/>
      <c r="AF449" s="383"/>
      <c r="AG449" s="365"/>
      <c r="AH449" s="383"/>
      <c r="AI449" s="365"/>
      <c r="AJ449" s="383"/>
      <c r="AK449" s="365"/>
      <c r="AL449" s="383"/>
      <c r="AM449" s="353"/>
    </row>
    <row r="450" spans="3:39" s="352" customFormat="1">
      <c r="C450" s="365"/>
      <c r="D450" s="365"/>
      <c r="E450" s="365"/>
      <c r="F450" s="365"/>
      <c r="G450" s="365"/>
      <c r="H450" s="383"/>
      <c r="I450" s="365"/>
      <c r="J450" s="383"/>
      <c r="K450" s="365"/>
      <c r="L450" s="365"/>
      <c r="M450" s="365"/>
      <c r="N450" s="383"/>
      <c r="O450" s="365"/>
      <c r="P450" s="365"/>
      <c r="Q450" s="365"/>
      <c r="R450" s="383"/>
      <c r="S450" s="365"/>
      <c r="T450" s="383"/>
      <c r="U450" s="365"/>
      <c r="V450" s="383"/>
      <c r="W450" s="365"/>
      <c r="X450" s="383"/>
      <c r="Y450" s="365"/>
      <c r="Z450" s="383"/>
      <c r="AA450" s="365"/>
      <c r="AB450" s="365"/>
      <c r="AC450" s="365"/>
      <c r="AD450" s="383"/>
      <c r="AE450" s="365"/>
      <c r="AF450" s="383"/>
      <c r="AG450" s="365"/>
      <c r="AH450" s="383"/>
      <c r="AI450" s="365"/>
      <c r="AJ450" s="383"/>
      <c r="AK450" s="365"/>
      <c r="AL450" s="383"/>
      <c r="AM450" s="353"/>
    </row>
    <row r="451" spans="3:39" s="352" customFormat="1">
      <c r="C451" s="365"/>
      <c r="D451" s="365"/>
      <c r="E451" s="365"/>
      <c r="F451" s="365"/>
      <c r="G451" s="365"/>
      <c r="H451" s="383"/>
      <c r="I451" s="365"/>
      <c r="J451" s="383"/>
      <c r="K451" s="365"/>
      <c r="L451" s="365"/>
      <c r="M451" s="365"/>
      <c r="N451" s="383"/>
      <c r="O451" s="365"/>
      <c r="P451" s="365"/>
      <c r="Q451" s="365"/>
      <c r="R451" s="383"/>
      <c r="S451" s="365"/>
      <c r="T451" s="383"/>
      <c r="U451" s="365"/>
      <c r="V451" s="383"/>
      <c r="W451" s="365"/>
      <c r="X451" s="383"/>
      <c r="Y451" s="365"/>
      <c r="Z451" s="383"/>
      <c r="AA451" s="365"/>
      <c r="AB451" s="365"/>
      <c r="AC451" s="365"/>
      <c r="AD451" s="383"/>
      <c r="AE451" s="365"/>
      <c r="AF451" s="383"/>
      <c r="AG451" s="365"/>
      <c r="AH451" s="383"/>
      <c r="AI451" s="365"/>
      <c r="AJ451" s="383"/>
      <c r="AK451" s="365"/>
      <c r="AL451" s="383"/>
      <c r="AM451" s="353"/>
    </row>
    <row r="452" spans="3:39" s="352" customFormat="1">
      <c r="C452" s="365"/>
      <c r="D452" s="365"/>
      <c r="E452" s="365"/>
      <c r="F452" s="365"/>
      <c r="G452" s="365"/>
      <c r="H452" s="383"/>
      <c r="I452" s="365"/>
      <c r="J452" s="383"/>
      <c r="K452" s="365"/>
      <c r="L452" s="365"/>
      <c r="M452" s="365"/>
      <c r="N452" s="383"/>
      <c r="O452" s="365"/>
      <c r="P452" s="365"/>
      <c r="Q452" s="365"/>
      <c r="R452" s="383"/>
      <c r="S452" s="365"/>
      <c r="T452" s="383"/>
      <c r="U452" s="365"/>
      <c r="V452" s="383"/>
      <c r="W452" s="365"/>
      <c r="X452" s="383"/>
      <c r="Y452" s="365"/>
      <c r="Z452" s="383"/>
      <c r="AA452" s="365"/>
      <c r="AB452" s="365"/>
      <c r="AC452" s="365"/>
      <c r="AD452" s="383"/>
      <c r="AE452" s="365"/>
      <c r="AF452" s="383"/>
      <c r="AG452" s="365"/>
      <c r="AH452" s="383"/>
      <c r="AI452" s="365"/>
      <c r="AJ452" s="383"/>
      <c r="AK452" s="365"/>
      <c r="AL452" s="383"/>
      <c r="AM452" s="353"/>
    </row>
    <row r="453" spans="3:39" s="352" customFormat="1">
      <c r="C453" s="365"/>
      <c r="D453" s="365"/>
      <c r="E453" s="365"/>
      <c r="F453" s="365"/>
      <c r="G453" s="365"/>
      <c r="H453" s="383"/>
      <c r="I453" s="365"/>
      <c r="J453" s="383"/>
      <c r="K453" s="365"/>
      <c r="L453" s="365"/>
      <c r="M453" s="365"/>
      <c r="N453" s="383"/>
      <c r="O453" s="365"/>
      <c r="P453" s="365"/>
      <c r="Q453" s="365"/>
      <c r="R453" s="383"/>
      <c r="S453" s="365"/>
      <c r="T453" s="383"/>
      <c r="U453" s="365"/>
      <c r="V453" s="383"/>
      <c r="W453" s="365"/>
      <c r="X453" s="383"/>
      <c r="Y453" s="365"/>
      <c r="Z453" s="383"/>
      <c r="AA453" s="365"/>
      <c r="AB453" s="365"/>
      <c r="AC453" s="365"/>
      <c r="AD453" s="383"/>
      <c r="AE453" s="365"/>
      <c r="AF453" s="383"/>
      <c r="AG453" s="365"/>
      <c r="AH453" s="383"/>
      <c r="AI453" s="365"/>
      <c r="AJ453" s="383"/>
      <c r="AK453" s="365"/>
      <c r="AL453" s="383"/>
      <c r="AM453" s="353"/>
    </row>
    <row r="454" spans="3:39" s="352" customFormat="1">
      <c r="C454" s="365"/>
      <c r="D454" s="365"/>
      <c r="E454" s="365"/>
      <c r="F454" s="365"/>
      <c r="G454" s="365"/>
      <c r="H454" s="383"/>
      <c r="I454" s="365"/>
      <c r="J454" s="383"/>
      <c r="K454" s="365"/>
      <c r="L454" s="365"/>
      <c r="M454" s="365"/>
      <c r="N454" s="383"/>
      <c r="O454" s="365"/>
      <c r="P454" s="365"/>
      <c r="Q454" s="365"/>
      <c r="R454" s="383"/>
      <c r="S454" s="365"/>
      <c r="T454" s="383"/>
      <c r="U454" s="365"/>
      <c r="V454" s="383"/>
      <c r="W454" s="365"/>
      <c r="X454" s="383"/>
      <c r="Y454" s="365"/>
      <c r="Z454" s="383"/>
      <c r="AA454" s="365"/>
      <c r="AB454" s="365"/>
      <c r="AC454" s="365"/>
      <c r="AD454" s="383"/>
      <c r="AE454" s="365"/>
      <c r="AF454" s="383"/>
      <c r="AG454" s="365"/>
      <c r="AH454" s="383"/>
      <c r="AI454" s="365"/>
      <c r="AJ454" s="383"/>
      <c r="AK454" s="365"/>
      <c r="AL454" s="383"/>
      <c r="AM454" s="353"/>
    </row>
    <row r="455" spans="3:39" s="352" customFormat="1">
      <c r="C455" s="365"/>
      <c r="D455" s="365"/>
      <c r="E455" s="365"/>
      <c r="F455" s="365"/>
      <c r="G455" s="365"/>
      <c r="H455" s="383"/>
      <c r="I455" s="365"/>
      <c r="J455" s="383"/>
      <c r="K455" s="365"/>
      <c r="L455" s="365"/>
      <c r="M455" s="365"/>
      <c r="N455" s="383"/>
      <c r="O455" s="365"/>
      <c r="P455" s="365"/>
      <c r="Q455" s="365"/>
      <c r="R455" s="383"/>
      <c r="S455" s="365"/>
      <c r="T455" s="383"/>
      <c r="U455" s="365"/>
      <c r="V455" s="383"/>
      <c r="W455" s="365"/>
      <c r="X455" s="383"/>
      <c r="Y455" s="365"/>
      <c r="Z455" s="383"/>
      <c r="AA455" s="365"/>
      <c r="AB455" s="365"/>
      <c r="AC455" s="365"/>
      <c r="AD455" s="383"/>
      <c r="AE455" s="365"/>
      <c r="AF455" s="383"/>
      <c r="AG455" s="365"/>
      <c r="AH455" s="383"/>
      <c r="AI455" s="365"/>
      <c r="AJ455" s="383"/>
      <c r="AK455" s="365"/>
      <c r="AL455" s="383"/>
      <c r="AM455" s="353"/>
    </row>
    <row r="456" spans="3:39" s="352" customFormat="1">
      <c r="C456" s="365"/>
      <c r="D456" s="365"/>
      <c r="E456" s="365"/>
      <c r="F456" s="365"/>
      <c r="G456" s="365"/>
      <c r="H456" s="383"/>
      <c r="I456" s="365"/>
      <c r="J456" s="383"/>
      <c r="K456" s="365"/>
      <c r="L456" s="365"/>
      <c r="M456" s="365"/>
      <c r="N456" s="383"/>
      <c r="O456" s="365"/>
      <c r="P456" s="365"/>
      <c r="Q456" s="365"/>
      <c r="R456" s="383"/>
      <c r="S456" s="365"/>
      <c r="T456" s="383"/>
      <c r="U456" s="365"/>
      <c r="V456" s="383"/>
      <c r="W456" s="365"/>
      <c r="X456" s="383"/>
      <c r="Y456" s="365"/>
      <c r="Z456" s="383"/>
      <c r="AA456" s="365"/>
      <c r="AB456" s="365"/>
      <c r="AC456" s="365"/>
      <c r="AD456" s="383"/>
      <c r="AE456" s="365"/>
      <c r="AF456" s="383"/>
      <c r="AG456" s="365"/>
      <c r="AH456" s="383"/>
      <c r="AI456" s="365"/>
      <c r="AJ456" s="383"/>
      <c r="AK456" s="365"/>
      <c r="AL456" s="383"/>
      <c r="AM456" s="353"/>
    </row>
    <row r="457" spans="3:39" s="352" customFormat="1">
      <c r="C457" s="365"/>
      <c r="D457" s="365"/>
      <c r="E457" s="365"/>
      <c r="F457" s="365"/>
      <c r="G457" s="365"/>
      <c r="H457" s="383"/>
      <c r="I457" s="365"/>
      <c r="J457" s="383"/>
      <c r="K457" s="365"/>
      <c r="L457" s="365"/>
      <c r="M457" s="365"/>
      <c r="N457" s="383"/>
      <c r="O457" s="365"/>
      <c r="P457" s="365"/>
      <c r="Q457" s="365"/>
      <c r="R457" s="383"/>
      <c r="S457" s="365"/>
      <c r="T457" s="383"/>
      <c r="U457" s="365"/>
      <c r="V457" s="383"/>
      <c r="W457" s="365"/>
      <c r="X457" s="383"/>
      <c r="Y457" s="365"/>
      <c r="Z457" s="383"/>
      <c r="AA457" s="365"/>
      <c r="AB457" s="365"/>
      <c r="AC457" s="365"/>
      <c r="AD457" s="383"/>
      <c r="AE457" s="365"/>
      <c r="AF457" s="383"/>
      <c r="AG457" s="365"/>
      <c r="AH457" s="383"/>
      <c r="AI457" s="365"/>
      <c r="AJ457" s="383"/>
      <c r="AK457" s="365"/>
      <c r="AL457" s="383"/>
      <c r="AM457" s="353"/>
    </row>
    <row r="458" spans="3:39" s="352" customFormat="1">
      <c r="C458" s="365"/>
      <c r="D458" s="365"/>
      <c r="E458" s="365"/>
      <c r="F458" s="365"/>
      <c r="G458" s="365"/>
      <c r="H458" s="383"/>
      <c r="I458" s="365"/>
      <c r="J458" s="383"/>
      <c r="K458" s="365"/>
      <c r="L458" s="365"/>
      <c r="M458" s="365"/>
      <c r="N458" s="383"/>
      <c r="O458" s="365"/>
      <c r="P458" s="365"/>
      <c r="Q458" s="365"/>
      <c r="R458" s="383"/>
      <c r="S458" s="365"/>
      <c r="T458" s="383"/>
      <c r="U458" s="365"/>
      <c r="V458" s="383"/>
      <c r="W458" s="365"/>
      <c r="X458" s="383"/>
      <c r="Y458" s="365"/>
      <c r="Z458" s="383"/>
      <c r="AA458" s="365"/>
      <c r="AB458" s="365"/>
      <c r="AC458" s="365"/>
      <c r="AD458" s="383"/>
      <c r="AE458" s="365"/>
      <c r="AF458" s="383"/>
      <c r="AG458" s="365"/>
      <c r="AH458" s="383"/>
      <c r="AI458" s="365"/>
      <c r="AJ458" s="383"/>
      <c r="AK458" s="365"/>
      <c r="AL458" s="383"/>
      <c r="AM458" s="353"/>
    </row>
    <row r="459" spans="3:39" s="352" customFormat="1">
      <c r="C459" s="365"/>
      <c r="D459" s="365"/>
      <c r="E459" s="365"/>
      <c r="F459" s="365"/>
      <c r="G459" s="365"/>
      <c r="H459" s="383"/>
      <c r="I459" s="365"/>
      <c r="J459" s="383"/>
      <c r="K459" s="365"/>
      <c r="L459" s="365"/>
      <c r="M459" s="365"/>
      <c r="N459" s="383"/>
      <c r="O459" s="365"/>
      <c r="P459" s="365"/>
      <c r="Q459" s="365"/>
      <c r="R459" s="383"/>
      <c r="S459" s="365"/>
      <c r="T459" s="383"/>
      <c r="U459" s="365"/>
      <c r="V459" s="383"/>
      <c r="W459" s="365"/>
      <c r="X459" s="383"/>
      <c r="Y459" s="365"/>
      <c r="Z459" s="383"/>
      <c r="AA459" s="365"/>
      <c r="AB459" s="365"/>
      <c r="AC459" s="365"/>
      <c r="AD459" s="383"/>
      <c r="AE459" s="365"/>
      <c r="AF459" s="383"/>
      <c r="AG459" s="365"/>
      <c r="AH459" s="383"/>
      <c r="AI459" s="365"/>
      <c r="AJ459" s="383"/>
      <c r="AK459" s="365"/>
      <c r="AL459" s="383"/>
      <c r="AM459" s="353"/>
    </row>
    <row r="460" spans="3:39" s="352" customFormat="1">
      <c r="C460" s="365"/>
      <c r="D460" s="365"/>
      <c r="E460" s="365"/>
      <c r="F460" s="365"/>
      <c r="G460" s="365"/>
      <c r="H460" s="383"/>
      <c r="I460" s="365"/>
      <c r="J460" s="383"/>
      <c r="K460" s="365"/>
      <c r="L460" s="365"/>
      <c r="M460" s="365"/>
      <c r="N460" s="383"/>
      <c r="O460" s="365"/>
      <c r="P460" s="365"/>
      <c r="Q460" s="365"/>
      <c r="R460" s="383"/>
      <c r="S460" s="365"/>
      <c r="T460" s="383"/>
      <c r="U460" s="365"/>
      <c r="V460" s="383"/>
      <c r="W460" s="365"/>
      <c r="X460" s="383"/>
      <c r="Y460" s="365"/>
      <c r="Z460" s="383"/>
      <c r="AA460" s="365"/>
      <c r="AB460" s="365"/>
      <c r="AC460" s="365"/>
      <c r="AD460" s="383"/>
      <c r="AE460" s="365"/>
      <c r="AF460" s="383"/>
      <c r="AG460" s="365"/>
      <c r="AH460" s="383"/>
      <c r="AI460" s="365"/>
      <c r="AJ460" s="383"/>
      <c r="AK460" s="365"/>
      <c r="AL460" s="383"/>
      <c r="AM460" s="353"/>
    </row>
    <row r="461" spans="3:39" s="352" customFormat="1">
      <c r="C461" s="365"/>
      <c r="D461" s="365"/>
      <c r="E461" s="365"/>
      <c r="F461" s="365"/>
      <c r="G461" s="365"/>
      <c r="H461" s="383"/>
      <c r="I461" s="365"/>
      <c r="J461" s="383"/>
      <c r="K461" s="365"/>
      <c r="L461" s="365"/>
      <c r="M461" s="365"/>
      <c r="N461" s="383"/>
      <c r="O461" s="365"/>
      <c r="P461" s="365"/>
      <c r="Q461" s="365"/>
      <c r="R461" s="383"/>
      <c r="S461" s="365"/>
      <c r="T461" s="383"/>
      <c r="U461" s="365"/>
      <c r="V461" s="383"/>
      <c r="W461" s="365"/>
      <c r="X461" s="383"/>
      <c r="Y461" s="365"/>
      <c r="Z461" s="383"/>
      <c r="AA461" s="365"/>
      <c r="AB461" s="365"/>
      <c r="AC461" s="365"/>
      <c r="AD461" s="383"/>
      <c r="AE461" s="365"/>
      <c r="AF461" s="383"/>
      <c r="AG461" s="365"/>
      <c r="AH461" s="383"/>
      <c r="AI461" s="365"/>
      <c r="AJ461" s="383"/>
      <c r="AK461" s="365"/>
      <c r="AL461" s="383"/>
      <c r="AM461" s="353"/>
    </row>
    <row r="462" spans="3:39" s="352" customFormat="1">
      <c r="C462" s="365"/>
      <c r="D462" s="365"/>
      <c r="E462" s="365"/>
      <c r="F462" s="365"/>
      <c r="G462" s="365"/>
      <c r="H462" s="383"/>
      <c r="I462" s="365"/>
      <c r="J462" s="383"/>
      <c r="K462" s="365"/>
      <c r="L462" s="365"/>
      <c r="M462" s="365"/>
      <c r="N462" s="383"/>
      <c r="O462" s="365"/>
      <c r="P462" s="365"/>
      <c r="Q462" s="365"/>
      <c r="R462" s="383"/>
      <c r="S462" s="365"/>
      <c r="T462" s="383"/>
      <c r="U462" s="365"/>
      <c r="V462" s="383"/>
      <c r="W462" s="365"/>
      <c r="X462" s="383"/>
      <c r="Y462" s="365"/>
      <c r="Z462" s="383"/>
      <c r="AA462" s="365"/>
      <c r="AB462" s="365"/>
      <c r="AC462" s="365"/>
      <c r="AD462" s="383"/>
      <c r="AE462" s="365"/>
      <c r="AF462" s="383"/>
      <c r="AG462" s="365"/>
      <c r="AH462" s="383"/>
      <c r="AI462" s="365"/>
      <c r="AJ462" s="383"/>
      <c r="AK462" s="365"/>
      <c r="AL462" s="383"/>
      <c r="AM462" s="353"/>
    </row>
    <row r="463" spans="3:39" s="352" customFormat="1">
      <c r="C463" s="365"/>
      <c r="D463" s="365"/>
      <c r="E463" s="365"/>
      <c r="F463" s="365"/>
      <c r="G463" s="365"/>
      <c r="H463" s="383"/>
      <c r="I463" s="365"/>
      <c r="J463" s="383"/>
      <c r="K463" s="365"/>
      <c r="L463" s="365"/>
      <c r="M463" s="365"/>
      <c r="N463" s="383"/>
      <c r="O463" s="365"/>
      <c r="P463" s="365"/>
      <c r="Q463" s="365"/>
      <c r="R463" s="383"/>
      <c r="S463" s="365"/>
      <c r="T463" s="383"/>
      <c r="U463" s="365"/>
      <c r="V463" s="383"/>
      <c r="W463" s="365"/>
      <c r="X463" s="383"/>
      <c r="Y463" s="365"/>
      <c r="Z463" s="383"/>
      <c r="AA463" s="365"/>
      <c r="AB463" s="365"/>
      <c r="AC463" s="365"/>
      <c r="AD463" s="383"/>
      <c r="AE463" s="365"/>
      <c r="AF463" s="383"/>
      <c r="AG463" s="365"/>
      <c r="AH463" s="383"/>
      <c r="AI463" s="365"/>
      <c r="AJ463" s="383"/>
      <c r="AK463" s="365"/>
      <c r="AL463" s="383"/>
      <c r="AM463" s="353"/>
    </row>
    <row r="464" spans="3:39" s="352" customFormat="1">
      <c r="C464" s="365"/>
      <c r="D464" s="365"/>
      <c r="E464" s="365"/>
      <c r="F464" s="365"/>
      <c r="G464" s="365"/>
      <c r="H464" s="383"/>
      <c r="I464" s="365"/>
      <c r="J464" s="383"/>
      <c r="K464" s="365"/>
      <c r="L464" s="365"/>
      <c r="M464" s="365"/>
      <c r="N464" s="383"/>
      <c r="O464" s="365"/>
      <c r="P464" s="365"/>
      <c r="Q464" s="365"/>
      <c r="R464" s="383"/>
      <c r="S464" s="365"/>
      <c r="T464" s="383"/>
      <c r="U464" s="365"/>
      <c r="V464" s="383"/>
      <c r="W464" s="365"/>
      <c r="X464" s="383"/>
      <c r="Y464" s="365"/>
      <c r="Z464" s="383"/>
      <c r="AA464" s="365"/>
      <c r="AB464" s="365"/>
      <c r="AC464" s="365"/>
      <c r="AD464" s="383"/>
      <c r="AE464" s="365"/>
      <c r="AF464" s="383"/>
      <c r="AG464" s="365"/>
      <c r="AH464" s="383"/>
      <c r="AI464" s="365"/>
      <c r="AJ464" s="383"/>
      <c r="AK464" s="365"/>
      <c r="AL464" s="383"/>
      <c r="AM464" s="353"/>
    </row>
    <row r="465" spans="3:39" s="352" customFormat="1">
      <c r="C465" s="365"/>
      <c r="D465" s="365"/>
      <c r="E465" s="365"/>
      <c r="F465" s="365"/>
      <c r="G465" s="365"/>
      <c r="H465" s="383"/>
      <c r="I465" s="365"/>
      <c r="J465" s="383"/>
      <c r="K465" s="365"/>
      <c r="L465" s="365"/>
      <c r="M465" s="365"/>
      <c r="N465" s="383"/>
      <c r="O465" s="365"/>
      <c r="P465" s="365"/>
      <c r="Q465" s="365"/>
      <c r="R465" s="383"/>
      <c r="S465" s="365"/>
      <c r="T465" s="383"/>
      <c r="U465" s="365"/>
      <c r="V465" s="383"/>
      <c r="W465" s="365"/>
      <c r="X465" s="383"/>
      <c r="Y465" s="365"/>
      <c r="Z465" s="383"/>
      <c r="AA465" s="365"/>
      <c r="AB465" s="365"/>
      <c r="AC465" s="365"/>
      <c r="AD465" s="383"/>
      <c r="AE465" s="365"/>
      <c r="AF465" s="383"/>
      <c r="AG465" s="365"/>
      <c r="AH465" s="383"/>
      <c r="AI465" s="365"/>
      <c r="AJ465" s="383"/>
      <c r="AK465" s="365"/>
      <c r="AL465" s="383"/>
      <c r="AM465" s="353"/>
    </row>
    <row r="466" spans="3:39" s="352" customFormat="1">
      <c r="C466" s="365"/>
      <c r="D466" s="365"/>
      <c r="E466" s="365"/>
      <c r="F466" s="365"/>
      <c r="G466" s="365"/>
      <c r="H466" s="383"/>
      <c r="I466" s="365"/>
      <c r="J466" s="383"/>
      <c r="K466" s="365"/>
      <c r="L466" s="365"/>
      <c r="M466" s="365"/>
      <c r="N466" s="383"/>
      <c r="O466" s="365"/>
      <c r="P466" s="365"/>
      <c r="Q466" s="365"/>
      <c r="R466" s="383"/>
      <c r="S466" s="365"/>
      <c r="T466" s="383"/>
      <c r="U466" s="365"/>
      <c r="V466" s="383"/>
      <c r="W466" s="365"/>
      <c r="X466" s="383"/>
      <c r="Y466" s="365"/>
      <c r="Z466" s="383"/>
      <c r="AA466" s="365"/>
      <c r="AB466" s="365"/>
      <c r="AC466" s="365"/>
      <c r="AD466" s="383"/>
      <c r="AE466" s="365"/>
      <c r="AF466" s="383"/>
      <c r="AG466" s="365"/>
      <c r="AH466" s="383"/>
      <c r="AI466" s="365"/>
      <c r="AJ466" s="383"/>
      <c r="AK466" s="365"/>
      <c r="AL466" s="383"/>
      <c r="AM466" s="353"/>
    </row>
    <row r="467" spans="3:39" s="352" customFormat="1">
      <c r="C467" s="365"/>
      <c r="D467" s="365"/>
      <c r="E467" s="365"/>
      <c r="F467" s="365"/>
      <c r="G467" s="365"/>
      <c r="H467" s="383"/>
      <c r="I467" s="365"/>
      <c r="J467" s="383"/>
      <c r="K467" s="365"/>
      <c r="L467" s="365"/>
      <c r="M467" s="365"/>
      <c r="N467" s="383"/>
      <c r="O467" s="365"/>
      <c r="P467" s="365"/>
      <c r="Q467" s="365"/>
      <c r="R467" s="383"/>
      <c r="S467" s="365"/>
      <c r="T467" s="383"/>
      <c r="U467" s="365"/>
      <c r="V467" s="383"/>
      <c r="W467" s="365"/>
      <c r="X467" s="383"/>
      <c r="Y467" s="365"/>
      <c r="Z467" s="383"/>
      <c r="AA467" s="365"/>
      <c r="AB467" s="365"/>
      <c r="AC467" s="365"/>
      <c r="AD467" s="383"/>
      <c r="AE467" s="365"/>
      <c r="AF467" s="383"/>
      <c r="AG467" s="365"/>
      <c r="AH467" s="383"/>
      <c r="AI467" s="365"/>
      <c r="AJ467" s="383"/>
      <c r="AK467" s="365"/>
      <c r="AL467" s="383"/>
      <c r="AM467" s="353"/>
    </row>
    <row r="468" spans="3:39" s="352" customFormat="1">
      <c r="C468" s="365"/>
      <c r="D468" s="365"/>
      <c r="E468" s="365"/>
      <c r="F468" s="365"/>
      <c r="G468" s="365"/>
      <c r="H468" s="383"/>
      <c r="I468" s="365"/>
      <c r="J468" s="383"/>
      <c r="K468" s="365"/>
      <c r="L468" s="365"/>
      <c r="M468" s="365"/>
      <c r="N468" s="383"/>
      <c r="O468" s="365"/>
      <c r="P468" s="365"/>
      <c r="Q468" s="365"/>
      <c r="R468" s="383"/>
      <c r="S468" s="365"/>
      <c r="T468" s="383"/>
      <c r="U468" s="365"/>
      <c r="V468" s="383"/>
      <c r="W468" s="365"/>
      <c r="X468" s="383"/>
      <c r="Y468" s="365"/>
      <c r="Z468" s="383"/>
      <c r="AA468" s="365"/>
      <c r="AB468" s="365"/>
      <c r="AC468" s="365"/>
      <c r="AD468" s="383"/>
      <c r="AE468" s="365"/>
      <c r="AF468" s="383"/>
      <c r="AG468" s="365"/>
      <c r="AH468" s="383"/>
      <c r="AI468" s="365"/>
      <c r="AJ468" s="383"/>
      <c r="AK468" s="365"/>
      <c r="AL468" s="383"/>
      <c r="AM468" s="353"/>
    </row>
    <row r="469" spans="3:39" s="352" customFormat="1">
      <c r="C469" s="365"/>
      <c r="D469" s="365"/>
      <c r="E469" s="365"/>
      <c r="F469" s="365"/>
      <c r="G469" s="365"/>
      <c r="H469" s="383"/>
      <c r="I469" s="365"/>
      <c r="J469" s="383"/>
      <c r="K469" s="365"/>
      <c r="L469" s="365"/>
      <c r="M469" s="365"/>
      <c r="N469" s="383"/>
      <c r="O469" s="365"/>
      <c r="P469" s="365"/>
      <c r="Q469" s="365"/>
      <c r="R469" s="383"/>
      <c r="S469" s="365"/>
      <c r="T469" s="383"/>
      <c r="U469" s="365"/>
      <c r="V469" s="383"/>
      <c r="W469" s="365"/>
      <c r="X469" s="383"/>
      <c r="Y469" s="365"/>
      <c r="Z469" s="383"/>
      <c r="AA469" s="365"/>
      <c r="AB469" s="365"/>
      <c r="AC469" s="365"/>
      <c r="AD469" s="383"/>
      <c r="AE469" s="365"/>
      <c r="AF469" s="383"/>
      <c r="AG469" s="365"/>
      <c r="AH469" s="383"/>
      <c r="AI469" s="365"/>
      <c r="AJ469" s="383"/>
      <c r="AK469" s="365"/>
      <c r="AL469" s="383"/>
      <c r="AM469" s="353"/>
    </row>
    <row r="470" spans="3:39" s="352" customFormat="1">
      <c r="C470" s="365"/>
      <c r="D470" s="365"/>
      <c r="E470" s="365"/>
      <c r="F470" s="365"/>
      <c r="G470" s="365"/>
      <c r="H470" s="383"/>
      <c r="I470" s="365"/>
      <c r="J470" s="383"/>
      <c r="K470" s="365"/>
      <c r="L470" s="365"/>
      <c r="M470" s="365"/>
      <c r="N470" s="383"/>
      <c r="O470" s="365"/>
      <c r="P470" s="365"/>
      <c r="Q470" s="365"/>
      <c r="R470" s="383"/>
      <c r="S470" s="365"/>
      <c r="T470" s="383"/>
      <c r="U470" s="365"/>
      <c r="V470" s="383"/>
      <c r="W470" s="365"/>
      <c r="X470" s="383"/>
      <c r="Y470" s="365"/>
      <c r="Z470" s="383"/>
      <c r="AA470" s="365"/>
      <c r="AB470" s="365"/>
      <c r="AC470" s="365"/>
      <c r="AD470" s="383"/>
      <c r="AE470" s="365"/>
      <c r="AF470" s="383"/>
      <c r="AG470" s="365"/>
      <c r="AH470" s="383"/>
      <c r="AI470" s="365"/>
      <c r="AJ470" s="383"/>
      <c r="AK470" s="365"/>
      <c r="AL470" s="383"/>
      <c r="AM470" s="353"/>
    </row>
    <row r="471" spans="3:39" s="352" customFormat="1">
      <c r="C471" s="365"/>
      <c r="D471" s="365"/>
      <c r="E471" s="365"/>
      <c r="F471" s="365"/>
      <c r="G471" s="365"/>
      <c r="H471" s="383"/>
      <c r="I471" s="365"/>
      <c r="J471" s="383"/>
      <c r="K471" s="365"/>
      <c r="L471" s="365"/>
      <c r="M471" s="365"/>
      <c r="N471" s="383"/>
      <c r="O471" s="365"/>
      <c r="P471" s="365"/>
      <c r="Q471" s="365"/>
      <c r="R471" s="383"/>
      <c r="S471" s="365"/>
      <c r="T471" s="383"/>
      <c r="U471" s="365"/>
      <c r="V471" s="383"/>
      <c r="W471" s="365"/>
      <c r="X471" s="383"/>
      <c r="Y471" s="365"/>
      <c r="Z471" s="383"/>
      <c r="AA471" s="365"/>
      <c r="AB471" s="365"/>
      <c r="AC471" s="365"/>
      <c r="AD471" s="383"/>
      <c r="AE471" s="365"/>
      <c r="AF471" s="383"/>
      <c r="AG471" s="365"/>
      <c r="AH471" s="383"/>
      <c r="AI471" s="365"/>
      <c r="AJ471" s="383"/>
      <c r="AK471" s="365"/>
      <c r="AL471" s="383"/>
      <c r="AM471" s="353"/>
    </row>
    <row r="472" spans="3:39" s="352" customFormat="1">
      <c r="C472" s="365"/>
      <c r="D472" s="365"/>
      <c r="E472" s="365"/>
      <c r="F472" s="365"/>
      <c r="G472" s="365"/>
      <c r="H472" s="383"/>
      <c r="I472" s="365"/>
      <c r="J472" s="383"/>
      <c r="K472" s="365"/>
      <c r="L472" s="365"/>
      <c r="M472" s="365"/>
      <c r="N472" s="383"/>
      <c r="O472" s="365"/>
      <c r="P472" s="365"/>
      <c r="Q472" s="365"/>
      <c r="R472" s="383"/>
      <c r="S472" s="365"/>
      <c r="T472" s="383"/>
      <c r="U472" s="365"/>
      <c r="V472" s="383"/>
      <c r="W472" s="365"/>
      <c r="X472" s="383"/>
      <c r="Y472" s="365"/>
      <c r="Z472" s="383"/>
      <c r="AA472" s="365"/>
      <c r="AB472" s="365"/>
      <c r="AC472" s="365"/>
      <c r="AD472" s="383"/>
      <c r="AE472" s="365"/>
      <c r="AF472" s="383"/>
      <c r="AG472" s="365"/>
      <c r="AH472" s="383"/>
      <c r="AI472" s="365"/>
      <c r="AJ472" s="383"/>
      <c r="AK472" s="365"/>
      <c r="AL472" s="383"/>
      <c r="AM472" s="353"/>
    </row>
    <row r="473" spans="3:39" s="352" customFormat="1">
      <c r="C473" s="365"/>
      <c r="D473" s="365"/>
      <c r="E473" s="365"/>
      <c r="F473" s="365"/>
      <c r="G473" s="365"/>
      <c r="H473" s="383"/>
      <c r="I473" s="365"/>
      <c r="J473" s="383"/>
      <c r="K473" s="365"/>
      <c r="L473" s="365"/>
      <c r="M473" s="365"/>
      <c r="N473" s="383"/>
      <c r="O473" s="365"/>
      <c r="P473" s="365"/>
      <c r="Q473" s="365"/>
      <c r="R473" s="383"/>
      <c r="S473" s="365"/>
      <c r="T473" s="383"/>
      <c r="U473" s="365"/>
      <c r="V473" s="383"/>
      <c r="W473" s="365"/>
      <c r="X473" s="383"/>
      <c r="Y473" s="365"/>
      <c r="Z473" s="383"/>
      <c r="AA473" s="365"/>
      <c r="AB473" s="365"/>
      <c r="AC473" s="365"/>
      <c r="AD473" s="383"/>
      <c r="AE473" s="365"/>
      <c r="AF473" s="383"/>
      <c r="AG473" s="365"/>
      <c r="AH473" s="383"/>
      <c r="AI473" s="365"/>
      <c r="AJ473" s="383"/>
      <c r="AK473" s="365"/>
      <c r="AL473" s="383"/>
      <c r="AM473" s="353"/>
    </row>
    <row r="474" spans="3:39" s="352" customFormat="1">
      <c r="C474" s="365"/>
      <c r="D474" s="365"/>
      <c r="E474" s="365"/>
      <c r="F474" s="365"/>
      <c r="G474" s="365"/>
      <c r="H474" s="383"/>
      <c r="I474" s="365"/>
      <c r="J474" s="383"/>
      <c r="K474" s="365"/>
      <c r="L474" s="365"/>
      <c r="M474" s="365"/>
      <c r="N474" s="383"/>
      <c r="O474" s="365"/>
      <c r="P474" s="365"/>
      <c r="Q474" s="365"/>
      <c r="R474" s="383"/>
      <c r="S474" s="365"/>
      <c r="T474" s="383"/>
      <c r="U474" s="365"/>
      <c r="V474" s="383"/>
      <c r="W474" s="365"/>
      <c r="X474" s="383"/>
      <c r="Y474" s="365"/>
      <c r="Z474" s="383"/>
      <c r="AA474" s="365"/>
      <c r="AB474" s="365"/>
      <c r="AC474" s="365"/>
      <c r="AD474" s="383"/>
      <c r="AE474" s="365"/>
      <c r="AF474" s="383"/>
      <c r="AG474" s="365"/>
      <c r="AH474" s="383"/>
      <c r="AI474" s="365"/>
      <c r="AJ474" s="383"/>
      <c r="AK474" s="365"/>
      <c r="AL474" s="383"/>
      <c r="AM474" s="353"/>
    </row>
    <row r="475" spans="3:39" s="352" customFormat="1">
      <c r="C475" s="365"/>
      <c r="D475" s="365"/>
      <c r="E475" s="365"/>
      <c r="F475" s="365"/>
      <c r="G475" s="365"/>
      <c r="H475" s="383"/>
      <c r="I475" s="365"/>
      <c r="J475" s="383"/>
      <c r="K475" s="365"/>
      <c r="L475" s="365"/>
      <c r="M475" s="365"/>
      <c r="N475" s="383"/>
      <c r="O475" s="365"/>
      <c r="P475" s="365"/>
      <c r="Q475" s="365"/>
      <c r="R475" s="383"/>
      <c r="S475" s="365"/>
      <c r="T475" s="383"/>
      <c r="U475" s="365"/>
      <c r="V475" s="383"/>
      <c r="W475" s="365"/>
      <c r="X475" s="383"/>
      <c r="Y475" s="365"/>
      <c r="Z475" s="383"/>
      <c r="AA475" s="365"/>
      <c r="AB475" s="365"/>
      <c r="AC475" s="365"/>
      <c r="AD475" s="383"/>
      <c r="AE475" s="365"/>
      <c r="AF475" s="383"/>
      <c r="AG475" s="365"/>
      <c r="AH475" s="383"/>
      <c r="AI475" s="365"/>
      <c r="AJ475" s="383"/>
      <c r="AK475" s="365"/>
      <c r="AL475" s="383"/>
      <c r="AM475" s="353"/>
    </row>
    <row r="476" spans="3:39" s="352" customFormat="1">
      <c r="C476" s="365"/>
      <c r="D476" s="365"/>
      <c r="E476" s="365"/>
      <c r="F476" s="365"/>
      <c r="G476" s="365"/>
      <c r="H476" s="383"/>
      <c r="I476" s="365"/>
      <c r="J476" s="383"/>
      <c r="K476" s="365"/>
      <c r="L476" s="365"/>
      <c r="M476" s="365"/>
      <c r="N476" s="383"/>
      <c r="O476" s="365"/>
      <c r="P476" s="365"/>
      <c r="Q476" s="365"/>
      <c r="R476" s="383"/>
      <c r="S476" s="365"/>
      <c r="T476" s="383"/>
      <c r="U476" s="365"/>
      <c r="V476" s="383"/>
      <c r="W476" s="365"/>
      <c r="X476" s="383"/>
      <c r="Y476" s="365"/>
      <c r="Z476" s="383"/>
      <c r="AA476" s="365"/>
      <c r="AB476" s="365"/>
      <c r="AC476" s="365"/>
      <c r="AD476" s="383"/>
      <c r="AE476" s="365"/>
      <c r="AF476" s="383"/>
      <c r="AG476" s="365"/>
      <c r="AH476" s="383"/>
      <c r="AI476" s="365"/>
      <c r="AJ476" s="383"/>
      <c r="AK476" s="365"/>
      <c r="AL476" s="383"/>
      <c r="AM476" s="353"/>
    </row>
    <row r="477" spans="3:39" s="352" customFormat="1">
      <c r="C477" s="365"/>
      <c r="D477" s="365"/>
      <c r="E477" s="365"/>
      <c r="F477" s="365"/>
      <c r="G477" s="365"/>
      <c r="H477" s="383"/>
      <c r="I477" s="365"/>
      <c r="J477" s="383"/>
      <c r="K477" s="365"/>
      <c r="L477" s="365"/>
      <c r="M477" s="365"/>
      <c r="N477" s="383"/>
      <c r="O477" s="365"/>
      <c r="P477" s="365"/>
      <c r="Q477" s="365"/>
      <c r="R477" s="383"/>
      <c r="S477" s="365"/>
      <c r="T477" s="383"/>
      <c r="U477" s="365"/>
      <c r="V477" s="383"/>
      <c r="W477" s="365"/>
      <c r="X477" s="383"/>
      <c r="Y477" s="365"/>
      <c r="Z477" s="383"/>
      <c r="AA477" s="365"/>
      <c r="AB477" s="365"/>
      <c r="AC477" s="365"/>
      <c r="AD477" s="383"/>
      <c r="AE477" s="365"/>
      <c r="AF477" s="383"/>
      <c r="AG477" s="365"/>
      <c r="AH477" s="383"/>
      <c r="AI477" s="365"/>
      <c r="AJ477" s="383"/>
      <c r="AK477" s="365"/>
      <c r="AL477" s="383"/>
      <c r="AM477" s="353"/>
    </row>
    <row r="478" spans="3:39" s="352" customFormat="1">
      <c r="C478" s="365"/>
      <c r="D478" s="365"/>
      <c r="E478" s="365"/>
      <c r="F478" s="365"/>
      <c r="G478" s="365"/>
      <c r="H478" s="383"/>
      <c r="I478" s="365"/>
      <c r="J478" s="383"/>
      <c r="K478" s="365"/>
      <c r="L478" s="365"/>
      <c r="M478" s="365"/>
      <c r="N478" s="383"/>
      <c r="O478" s="365"/>
      <c r="P478" s="365"/>
      <c r="Q478" s="365"/>
      <c r="R478" s="383"/>
      <c r="S478" s="365"/>
      <c r="T478" s="383"/>
      <c r="U478" s="365"/>
      <c r="V478" s="383"/>
      <c r="W478" s="365"/>
      <c r="X478" s="383"/>
      <c r="Y478" s="365"/>
      <c r="Z478" s="383"/>
      <c r="AA478" s="365"/>
      <c r="AB478" s="365"/>
      <c r="AC478" s="365"/>
      <c r="AD478" s="383"/>
      <c r="AE478" s="365"/>
      <c r="AF478" s="383"/>
      <c r="AG478" s="365"/>
      <c r="AH478" s="383"/>
      <c r="AI478" s="365"/>
      <c r="AJ478" s="383"/>
      <c r="AK478" s="365"/>
      <c r="AL478" s="383"/>
      <c r="AM478" s="353"/>
    </row>
    <row r="479" spans="3:39" s="352" customFormat="1">
      <c r="C479" s="365"/>
      <c r="D479" s="365"/>
      <c r="E479" s="365"/>
      <c r="F479" s="365"/>
      <c r="G479" s="365"/>
      <c r="H479" s="383"/>
      <c r="I479" s="365"/>
      <c r="J479" s="383"/>
      <c r="K479" s="365"/>
      <c r="L479" s="365"/>
      <c r="M479" s="365"/>
      <c r="N479" s="383"/>
      <c r="O479" s="365"/>
      <c r="P479" s="365"/>
      <c r="Q479" s="365"/>
      <c r="R479" s="383"/>
      <c r="S479" s="365"/>
      <c r="T479" s="383"/>
      <c r="U479" s="365"/>
      <c r="V479" s="383"/>
      <c r="W479" s="365"/>
      <c r="X479" s="383"/>
      <c r="Y479" s="365"/>
      <c r="Z479" s="383"/>
      <c r="AA479" s="365"/>
      <c r="AB479" s="365"/>
      <c r="AC479" s="365"/>
      <c r="AD479" s="383"/>
      <c r="AE479" s="365"/>
      <c r="AF479" s="383"/>
      <c r="AG479" s="365"/>
      <c r="AH479" s="383"/>
      <c r="AI479" s="365"/>
      <c r="AJ479" s="383"/>
      <c r="AK479" s="365"/>
      <c r="AL479" s="383"/>
      <c r="AM479" s="353"/>
    </row>
    <row r="480" spans="3:39" s="352" customFormat="1">
      <c r="C480" s="365"/>
      <c r="D480" s="365"/>
      <c r="E480" s="365"/>
      <c r="F480" s="365"/>
      <c r="G480" s="365"/>
      <c r="H480" s="383"/>
      <c r="I480" s="365"/>
      <c r="J480" s="383"/>
      <c r="K480" s="365"/>
      <c r="L480" s="365"/>
      <c r="M480" s="365"/>
      <c r="N480" s="383"/>
      <c r="O480" s="365"/>
      <c r="P480" s="365"/>
      <c r="Q480" s="365"/>
      <c r="R480" s="383"/>
      <c r="S480" s="365"/>
      <c r="T480" s="383"/>
      <c r="U480" s="365"/>
      <c r="V480" s="383"/>
      <c r="W480" s="365"/>
      <c r="X480" s="383"/>
      <c r="Y480" s="365"/>
      <c r="Z480" s="383"/>
      <c r="AA480" s="365"/>
      <c r="AB480" s="365"/>
      <c r="AC480" s="365"/>
      <c r="AD480" s="383"/>
      <c r="AE480" s="365"/>
      <c r="AF480" s="383"/>
      <c r="AG480" s="365"/>
      <c r="AH480" s="383"/>
      <c r="AI480" s="365"/>
      <c r="AJ480" s="383"/>
      <c r="AK480" s="365"/>
      <c r="AL480" s="383"/>
      <c r="AM480" s="353"/>
    </row>
    <row r="481" spans="3:39" s="352" customFormat="1">
      <c r="C481" s="365"/>
      <c r="D481" s="365"/>
      <c r="E481" s="365"/>
      <c r="F481" s="365"/>
      <c r="G481" s="365"/>
      <c r="H481" s="383"/>
      <c r="I481" s="365"/>
      <c r="J481" s="383"/>
      <c r="K481" s="365"/>
      <c r="L481" s="365"/>
      <c r="M481" s="365"/>
      <c r="N481" s="383"/>
      <c r="O481" s="365"/>
      <c r="P481" s="365"/>
      <c r="Q481" s="365"/>
      <c r="R481" s="383"/>
      <c r="S481" s="365"/>
      <c r="T481" s="383"/>
      <c r="U481" s="365"/>
      <c r="V481" s="383"/>
      <c r="W481" s="365"/>
      <c r="X481" s="383"/>
      <c r="Y481" s="365"/>
      <c r="Z481" s="383"/>
      <c r="AA481" s="365"/>
      <c r="AB481" s="365"/>
      <c r="AC481" s="365"/>
      <c r="AD481" s="383"/>
      <c r="AE481" s="365"/>
      <c r="AF481" s="383"/>
      <c r="AG481" s="365"/>
      <c r="AH481" s="383"/>
      <c r="AI481" s="365"/>
      <c r="AJ481" s="383"/>
      <c r="AK481" s="365"/>
      <c r="AL481" s="383"/>
      <c r="AM481" s="353"/>
    </row>
    <row r="482" spans="3:39" s="352" customFormat="1">
      <c r="C482" s="365"/>
      <c r="D482" s="365"/>
      <c r="E482" s="365"/>
      <c r="F482" s="365"/>
      <c r="G482" s="365"/>
      <c r="H482" s="383"/>
      <c r="I482" s="365"/>
      <c r="J482" s="383"/>
      <c r="K482" s="365"/>
      <c r="L482" s="365"/>
      <c r="M482" s="365"/>
      <c r="N482" s="383"/>
      <c r="O482" s="365"/>
      <c r="P482" s="365"/>
      <c r="Q482" s="365"/>
      <c r="R482" s="383"/>
      <c r="S482" s="365"/>
      <c r="T482" s="383"/>
      <c r="U482" s="365"/>
      <c r="V482" s="383"/>
      <c r="W482" s="365"/>
      <c r="X482" s="383"/>
      <c r="Y482" s="365"/>
      <c r="Z482" s="383"/>
      <c r="AA482" s="365"/>
      <c r="AB482" s="365"/>
      <c r="AC482" s="365"/>
      <c r="AD482" s="383"/>
      <c r="AE482" s="365"/>
      <c r="AF482" s="383"/>
      <c r="AG482" s="365"/>
      <c r="AH482" s="383"/>
      <c r="AI482" s="365"/>
      <c r="AJ482" s="383"/>
      <c r="AK482" s="365"/>
      <c r="AL482" s="383"/>
      <c r="AM482" s="353"/>
    </row>
    <row r="483" spans="3:39" s="352" customFormat="1">
      <c r="C483" s="365"/>
      <c r="D483" s="365"/>
      <c r="E483" s="365"/>
      <c r="F483" s="365"/>
      <c r="G483" s="365"/>
      <c r="H483" s="383"/>
      <c r="I483" s="365"/>
      <c r="J483" s="383"/>
      <c r="K483" s="365"/>
      <c r="L483" s="365"/>
      <c r="M483" s="365"/>
      <c r="N483" s="383"/>
      <c r="O483" s="365"/>
      <c r="P483" s="365"/>
      <c r="Q483" s="365"/>
      <c r="R483" s="383"/>
      <c r="S483" s="365"/>
      <c r="T483" s="383"/>
      <c r="U483" s="365"/>
      <c r="V483" s="383"/>
      <c r="W483" s="365"/>
      <c r="X483" s="383"/>
      <c r="Y483" s="365"/>
      <c r="Z483" s="383"/>
      <c r="AA483" s="365"/>
      <c r="AB483" s="365"/>
      <c r="AC483" s="365"/>
      <c r="AD483" s="383"/>
      <c r="AE483" s="365"/>
      <c r="AF483" s="383"/>
      <c r="AG483" s="365"/>
      <c r="AH483" s="383"/>
      <c r="AI483" s="365"/>
      <c r="AJ483" s="383"/>
      <c r="AK483" s="365"/>
      <c r="AL483" s="383"/>
      <c r="AM483" s="353"/>
    </row>
    <row r="484" spans="3:39" s="352" customFormat="1">
      <c r="C484" s="365"/>
      <c r="D484" s="365"/>
      <c r="E484" s="365"/>
      <c r="F484" s="365"/>
      <c r="G484" s="365"/>
      <c r="H484" s="383"/>
      <c r="I484" s="365"/>
      <c r="J484" s="383"/>
      <c r="K484" s="365"/>
      <c r="L484" s="365"/>
      <c r="M484" s="365"/>
      <c r="N484" s="383"/>
      <c r="O484" s="365"/>
      <c r="P484" s="365"/>
      <c r="Q484" s="365"/>
      <c r="R484" s="383"/>
      <c r="S484" s="365"/>
      <c r="T484" s="383"/>
      <c r="U484" s="365"/>
      <c r="V484" s="383"/>
      <c r="W484" s="365"/>
      <c r="X484" s="383"/>
      <c r="Y484" s="365"/>
      <c r="Z484" s="383"/>
      <c r="AA484" s="365"/>
      <c r="AB484" s="365"/>
      <c r="AC484" s="365"/>
      <c r="AD484" s="383"/>
      <c r="AE484" s="365"/>
      <c r="AF484" s="383"/>
      <c r="AG484" s="365"/>
      <c r="AH484" s="383"/>
      <c r="AI484" s="365"/>
      <c r="AJ484" s="383"/>
      <c r="AK484" s="365"/>
      <c r="AL484" s="383"/>
      <c r="AM484" s="353"/>
    </row>
    <row r="485" spans="3:39" s="352" customFormat="1">
      <c r="C485" s="365"/>
      <c r="D485" s="365"/>
      <c r="E485" s="365"/>
      <c r="F485" s="365"/>
      <c r="G485" s="365"/>
      <c r="H485" s="383"/>
      <c r="I485" s="365"/>
      <c r="J485" s="383"/>
      <c r="K485" s="365"/>
      <c r="L485" s="365"/>
      <c r="M485" s="365"/>
      <c r="N485" s="383"/>
      <c r="O485" s="365"/>
      <c r="P485" s="365"/>
      <c r="Q485" s="365"/>
      <c r="R485" s="383"/>
      <c r="S485" s="365"/>
      <c r="T485" s="383"/>
      <c r="U485" s="365"/>
      <c r="V485" s="383"/>
      <c r="W485" s="365"/>
      <c r="X485" s="383"/>
      <c r="Y485" s="365"/>
      <c r="Z485" s="383"/>
      <c r="AA485" s="365"/>
      <c r="AB485" s="365"/>
      <c r="AC485" s="365"/>
      <c r="AD485" s="383"/>
      <c r="AE485" s="365"/>
      <c r="AF485" s="383"/>
      <c r="AG485" s="365"/>
      <c r="AH485" s="383"/>
      <c r="AI485" s="365"/>
      <c r="AJ485" s="383"/>
      <c r="AK485" s="365"/>
      <c r="AL485" s="383"/>
      <c r="AM485" s="353"/>
    </row>
    <row r="486" spans="3:39" s="352" customFormat="1">
      <c r="C486" s="365"/>
      <c r="D486" s="365"/>
      <c r="E486" s="365"/>
      <c r="F486" s="365"/>
      <c r="G486" s="365"/>
      <c r="H486" s="383"/>
      <c r="I486" s="365"/>
      <c r="J486" s="383"/>
      <c r="K486" s="365"/>
      <c r="L486" s="365"/>
      <c r="M486" s="365"/>
      <c r="N486" s="383"/>
      <c r="O486" s="365"/>
      <c r="P486" s="365"/>
      <c r="Q486" s="365"/>
      <c r="R486" s="383"/>
      <c r="S486" s="365"/>
      <c r="T486" s="383"/>
      <c r="U486" s="365"/>
      <c r="V486" s="383"/>
      <c r="W486" s="365"/>
      <c r="X486" s="383"/>
      <c r="Y486" s="365"/>
      <c r="Z486" s="383"/>
      <c r="AA486" s="365"/>
      <c r="AB486" s="365"/>
      <c r="AC486" s="365"/>
      <c r="AD486" s="383"/>
      <c r="AE486" s="365"/>
      <c r="AF486" s="383"/>
      <c r="AG486" s="365"/>
      <c r="AH486" s="383"/>
      <c r="AI486" s="365"/>
      <c r="AJ486" s="383"/>
      <c r="AK486" s="365"/>
      <c r="AL486" s="383"/>
      <c r="AM486" s="353"/>
    </row>
    <row r="487" spans="3:39" s="352" customFormat="1">
      <c r="C487" s="365"/>
      <c r="D487" s="365"/>
      <c r="E487" s="365"/>
      <c r="F487" s="365"/>
      <c r="G487" s="365"/>
      <c r="H487" s="383"/>
      <c r="I487" s="365"/>
      <c r="J487" s="383"/>
      <c r="K487" s="365"/>
      <c r="L487" s="365"/>
      <c r="M487" s="365"/>
      <c r="N487" s="383"/>
      <c r="O487" s="365"/>
      <c r="P487" s="365"/>
      <c r="Q487" s="365"/>
      <c r="R487" s="383"/>
      <c r="S487" s="365"/>
      <c r="T487" s="383"/>
      <c r="U487" s="365"/>
      <c r="V487" s="383"/>
      <c r="W487" s="365"/>
      <c r="X487" s="383"/>
      <c r="Y487" s="365"/>
      <c r="Z487" s="383"/>
      <c r="AA487" s="365"/>
      <c r="AB487" s="365"/>
      <c r="AC487" s="365"/>
      <c r="AD487" s="383"/>
      <c r="AE487" s="365"/>
      <c r="AF487" s="383"/>
      <c r="AG487" s="365"/>
      <c r="AH487" s="383"/>
      <c r="AI487" s="365"/>
      <c r="AJ487" s="383"/>
      <c r="AK487" s="365"/>
      <c r="AL487" s="383"/>
      <c r="AM487" s="353"/>
    </row>
    <row r="488" spans="3:39" s="352" customFormat="1">
      <c r="C488" s="365"/>
      <c r="D488" s="365"/>
      <c r="E488" s="365"/>
      <c r="F488" s="365"/>
      <c r="G488" s="365"/>
      <c r="H488" s="383"/>
      <c r="I488" s="365"/>
      <c r="J488" s="383"/>
      <c r="K488" s="365"/>
      <c r="L488" s="365"/>
      <c r="M488" s="365"/>
      <c r="N488" s="383"/>
      <c r="O488" s="365"/>
      <c r="P488" s="365"/>
      <c r="Q488" s="365"/>
      <c r="R488" s="383"/>
      <c r="S488" s="365"/>
      <c r="T488" s="383"/>
      <c r="U488" s="365"/>
      <c r="V488" s="383"/>
      <c r="W488" s="365"/>
      <c r="X488" s="383"/>
      <c r="Y488" s="365"/>
      <c r="Z488" s="383"/>
      <c r="AA488" s="365"/>
      <c r="AB488" s="365"/>
      <c r="AC488" s="365"/>
      <c r="AD488" s="383"/>
      <c r="AE488" s="365"/>
      <c r="AF488" s="383"/>
      <c r="AG488" s="365"/>
      <c r="AH488" s="383"/>
      <c r="AI488" s="365"/>
      <c r="AJ488" s="383"/>
      <c r="AK488" s="365"/>
      <c r="AL488" s="383"/>
      <c r="AM488" s="353"/>
    </row>
    <row r="489" spans="3:39" s="352" customFormat="1">
      <c r="C489" s="365"/>
      <c r="D489" s="365"/>
      <c r="E489" s="365"/>
      <c r="F489" s="365"/>
      <c r="G489" s="365"/>
      <c r="H489" s="383"/>
      <c r="I489" s="365"/>
      <c r="J489" s="383"/>
      <c r="K489" s="365"/>
      <c r="L489" s="365"/>
      <c r="M489" s="365"/>
      <c r="N489" s="383"/>
      <c r="O489" s="365"/>
      <c r="P489" s="365"/>
      <c r="Q489" s="365"/>
      <c r="R489" s="383"/>
      <c r="S489" s="365"/>
      <c r="T489" s="383"/>
      <c r="U489" s="365"/>
      <c r="V489" s="383"/>
      <c r="W489" s="365"/>
      <c r="X489" s="383"/>
      <c r="Y489" s="365"/>
      <c r="Z489" s="383"/>
      <c r="AA489" s="365"/>
      <c r="AB489" s="365"/>
      <c r="AC489" s="365"/>
      <c r="AD489" s="383"/>
      <c r="AE489" s="365"/>
      <c r="AF489" s="383"/>
      <c r="AG489" s="365"/>
      <c r="AH489" s="383"/>
      <c r="AI489" s="365"/>
      <c r="AJ489" s="383"/>
      <c r="AK489" s="365"/>
      <c r="AL489" s="383"/>
      <c r="AM489" s="353"/>
    </row>
    <row r="490" spans="3:39" s="352" customFormat="1">
      <c r="C490" s="365"/>
      <c r="D490" s="365"/>
      <c r="E490" s="365"/>
      <c r="F490" s="365"/>
      <c r="G490" s="365"/>
      <c r="H490" s="383"/>
      <c r="I490" s="365"/>
      <c r="J490" s="383"/>
      <c r="K490" s="365"/>
      <c r="L490" s="365"/>
      <c r="M490" s="365"/>
      <c r="N490" s="383"/>
      <c r="O490" s="365"/>
      <c r="P490" s="365"/>
      <c r="Q490" s="365"/>
      <c r="R490" s="383"/>
      <c r="S490" s="365"/>
      <c r="T490" s="383"/>
      <c r="U490" s="365"/>
      <c r="V490" s="383"/>
      <c r="W490" s="365"/>
      <c r="X490" s="383"/>
      <c r="Y490" s="365"/>
      <c r="Z490" s="383"/>
      <c r="AA490" s="365"/>
      <c r="AB490" s="365"/>
      <c r="AC490" s="365"/>
      <c r="AD490" s="383"/>
      <c r="AE490" s="365"/>
      <c r="AF490" s="383"/>
      <c r="AG490" s="365"/>
      <c r="AH490" s="383"/>
      <c r="AI490" s="365"/>
      <c r="AJ490" s="383"/>
      <c r="AK490" s="365"/>
      <c r="AL490" s="383"/>
      <c r="AM490" s="353"/>
    </row>
    <row r="491" spans="3:39" s="352" customFormat="1">
      <c r="C491" s="365"/>
      <c r="D491" s="365"/>
      <c r="E491" s="365"/>
      <c r="F491" s="365"/>
      <c r="G491" s="365"/>
      <c r="H491" s="383"/>
      <c r="I491" s="365"/>
      <c r="J491" s="383"/>
      <c r="K491" s="365"/>
      <c r="L491" s="365"/>
      <c r="M491" s="365"/>
      <c r="N491" s="383"/>
      <c r="O491" s="365"/>
      <c r="P491" s="365"/>
      <c r="Q491" s="365"/>
      <c r="R491" s="383"/>
      <c r="S491" s="365"/>
      <c r="T491" s="383"/>
      <c r="U491" s="365"/>
      <c r="V491" s="383"/>
      <c r="W491" s="365"/>
      <c r="X491" s="383"/>
      <c r="Y491" s="365"/>
      <c r="Z491" s="383"/>
      <c r="AA491" s="365"/>
      <c r="AB491" s="365"/>
      <c r="AC491" s="365"/>
      <c r="AD491" s="383"/>
      <c r="AE491" s="365"/>
      <c r="AF491" s="383"/>
      <c r="AG491" s="365"/>
      <c r="AH491" s="383"/>
      <c r="AI491" s="365"/>
      <c r="AJ491" s="383"/>
      <c r="AK491" s="365"/>
      <c r="AL491" s="383"/>
      <c r="AM491" s="353"/>
    </row>
    <row r="492" spans="3:39" s="352" customFormat="1">
      <c r="C492" s="365"/>
      <c r="D492" s="365"/>
      <c r="E492" s="365"/>
      <c r="F492" s="365"/>
      <c r="G492" s="365"/>
      <c r="H492" s="383"/>
      <c r="I492" s="365"/>
      <c r="J492" s="383"/>
      <c r="K492" s="365"/>
      <c r="L492" s="365"/>
      <c r="M492" s="365"/>
      <c r="N492" s="383"/>
      <c r="O492" s="365"/>
      <c r="P492" s="365"/>
      <c r="Q492" s="365"/>
      <c r="R492" s="383"/>
      <c r="S492" s="365"/>
      <c r="T492" s="383"/>
      <c r="U492" s="365"/>
      <c r="V492" s="383"/>
      <c r="W492" s="365"/>
      <c r="X492" s="383"/>
      <c r="Y492" s="365"/>
      <c r="Z492" s="383"/>
      <c r="AA492" s="365"/>
      <c r="AB492" s="365"/>
      <c r="AC492" s="365"/>
      <c r="AD492" s="383"/>
      <c r="AE492" s="365"/>
      <c r="AF492" s="383"/>
      <c r="AG492" s="365"/>
      <c r="AH492" s="383"/>
      <c r="AI492" s="365"/>
      <c r="AJ492" s="383"/>
      <c r="AK492" s="365"/>
      <c r="AL492" s="383"/>
      <c r="AM492" s="353"/>
    </row>
    <row r="493" spans="3:39" s="352" customFormat="1">
      <c r="C493" s="365"/>
      <c r="D493" s="365"/>
      <c r="E493" s="365"/>
      <c r="F493" s="365"/>
      <c r="G493" s="365"/>
      <c r="H493" s="383"/>
      <c r="I493" s="365"/>
      <c r="J493" s="383"/>
      <c r="K493" s="365"/>
      <c r="L493" s="365"/>
      <c r="M493" s="365"/>
      <c r="N493" s="383"/>
      <c r="O493" s="365"/>
      <c r="P493" s="365"/>
      <c r="Q493" s="365"/>
      <c r="R493" s="383"/>
      <c r="S493" s="365"/>
      <c r="T493" s="383"/>
      <c r="U493" s="365"/>
      <c r="V493" s="383"/>
      <c r="W493" s="365"/>
      <c r="X493" s="383"/>
      <c r="Y493" s="365"/>
      <c r="Z493" s="383"/>
      <c r="AA493" s="365"/>
      <c r="AB493" s="365"/>
      <c r="AC493" s="365"/>
      <c r="AD493" s="383"/>
      <c r="AE493" s="365"/>
      <c r="AF493" s="383"/>
      <c r="AG493" s="365"/>
      <c r="AH493" s="383"/>
      <c r="AI493" s="365"/>
      <c r="AJ493" s="383"/>
      <c r="AK493" s="365"/>
      <c r="AL493" s="383"/>
      <c r="AM493" s="353"/>
    </row>
    <row r="494" spans="3:39" s="352" customFormat="1">
      <c r="C494" s="365"/>
      <c r="D494" s="365"/>
      <c r="E494" s="365"/>
      <c r="F494" s="365"/>
      <c r="G494" s="365"/>
      <c r="H494" s="383"/>
      <c r="I494" s="365"/>
      <c r="J494" s="383"/>
      <c r="K494" s="365"/>
      <c r="L494" s="365"/>
      <c r="M494" s="365"/>
      <c r="N494" s="383"/>
      <c r="O494" s="365"/>
      <c r="P494" s="365"/>
      <c r="Q494" s="365"/>
      <c r="R494" s="383"/>
      <c r="S494" s="365"/>
      <c r="T494" s="383"/>
      <c r="U494" s="365"/>
      <c r="V494" s="383"/>
      <c r="W494" s="365"/>
      <c r="X494" s="383"/>
      <c r="Y494" s="365"/>
      <c r="Z494" s="383"/>
      <c r="AA494" s="365"/>
      <c r="AB494" s="365"/>
      <c r="AC494" s="365"/>
      <c r="AD494" s="383"/>
      <c r="AE494" s="365"/>
      <c r="AF494" s="383"/>
      <c r="AG494" s="365"/>
      <c r="AH494" s="383"/>
      <c r="AI494" s="365"/>
      <c r="AJ494" s="383"/>
      <c r="AK494" s="365"/>
      <c r="AL494" s="383"/>
      <c r="AM494" s="353"/>
    </row>
    <row r="495" spans="3:39" s="352" customFormat="1">
      <c r="C495" s="365"/>
      <c r="D495" s="365"/>
      <c r="E495" s="365"/>
      <c r="F495" s="365"/>
      <c r="G495" s="365"/>
      <c r="H495" s="383"/>
      <c r="I495" s="365"/>
      <c r="J495" s="383"/>
      <c r="K495" s="365"/>
      <c r="L495" s="365"/>
      <c r="M495" s="365"/>
      <c r="N495" s="383"/>
      <c r="O495" s="365"/>
      <c r="P495" s="365"/>
      <c r="Q495" s="365"/>
      <c r="R495" s="383"/>
      <c r="S495" s="365"/>
      <c r="T495" s="383"/>
      <c r="U495" s="365"/>
      <c r="V495" s="383"/>
      <c r="W495" s="365"/>
      <c r="X495" s="383"/>
      <c r="Y495" s="365"/>
      <c r="Z495" s="383"/>
      <c r="AA495" s="365"/>
      <c r="AB495" s="365"/>
      <c r="AC495" s="365"/>
      <c r="AD495" s="383"/>
      <c r="AE495" s="365"/>
      <c r="AF495" s="383"/>
      <c r="AG495" s="365"/>
      <c r="AH495" s="383"/>
      <c r="AI495" s="365"/>
      <c r="AJ495" s="383"/>
      <c r="AK495" s="365"/>
      <c r="AL495" s="383"/>
      <c r="AM495" s="353"/>
    </row>
    <row r="496" spans="3:39" s="352" customFormat="1">
      <c r="C496" s="365"/>
      <c r="D496" s="365"/>
      <c r="E496" s="365"/>
      <c r="F496" s="365"/>
      <c r="G496" s="365"/>
      <c r="H496" s="383"/>
      <c r="I496" s="365"/>
      <c r="J496" s="383"/>
      <c r="K496" s="365"/>
      <c r="L496" s="365"/>
      <c r="M496" s="365"/>
      <c r="N496" s="383"/>
      <c r="O496" s="365"/>
      <c r="P496" s="365"/>
      <c r="Q496" s="365"/>
      <c r="R496" s="383"/>
      <c r="S496" s="365"/>
      <c r="T496" s="383"/>
      <c r="U496" s="365"/>
      <c r="V496" s="383"/>
      <c r="W496" s="365"/>
      <c r="X496" s="383"/>
      <c r="Y496" s="365"/>
      <c r="Z496" s="383"/>
      <c r="AA496" s="365"/>
      <c r="AB496" s="365"/>
      <c r="AC496" s="365"/>
      <c r="AD496" s="383"/>
      <c r="AE496" s="365"/>
      <c r="AF496" s="383"/>
      <c r="AG496" s="365"/>
      <c r="AH496" s="383"/>
      <c r="AI496" s="365"/>
      <c r="AJ496" s="383"/>
      <c r="AK496" s="365"/>
      <c r="AL496" s="383"/>
      <c r="AM496" s="353"/>
    </row>
    <row r="497" spans="3:39" s="352" customFormat="1">
      <c r="C497" s="365"/>
      <c r="D497" s="365"/>
      <c r="E497" s="365"/>
      <c r="F497" s="365"/>
      <c r="G497" s="365"/>
      <c r="H497" s="383"/>
      <c r="I497" s="365"/>
      <c r="J497" s="383"/>
      <c r="K497" s="365"/>
      <c r="L497" s="365"/>
      <c r="M497" s="365"/>
      <c r="N497" s="383"/>
      <c r="O497" s="365"/>
      <c r="P497" s="365"/>
      <c r="Q497" s="365"/>
      <c r="R497" s="383"/>
      <c r="S497" s="365"/>
      <c r="T497" s="383"/>
      <c r="U497" s="365"/>
      <c r="V497" s="383"/>
      <c r="W497" s="365"/>
      <c r="X497" s="383"/>
      <c r="Y497" s="365"/>
      <c r="Z497" s="383"/>
      <c r="AA497" s="365"/>
      <c r="AB497" s="365"/>
      <c r="AC497" s="365"/>
      <c r="AD497" s="383"/>
      <c r="AE497" s="365"/>
      <c r="AF497" s="383"/>
      <c r="AG497" s="365"/>
      <c r="AH497" s="383"/>
      <c r="AI497" s="365"/>
      <c r="AJ497" s="383"/>
      <c r="AK497" s="365"/>
      <c r="AL497" s="383"/>
      <c r="AM497" s="353"/>
    </row>
    <row r="498" spans="3:39" s="352" customFormat="1">
      <c r="C498" s="365"/>
      <c r="D498" s="365"/>
      <c r="E498" s="365"/>
      <c r="F498" s="365"/>
      <c r="G498" s="365"/>
      <c r="H498" s="383"/>
      <c r="I498" s="365"/>
      <c r="J498" s="383"/>
      <c r="K498" s="365"/>
      <c r="L498" s="365"/>
      <c r="M498" s="365"/>
      <c r="N498" s="383"/>
      <c r="O498" s="365"/>
      <c r="P498" s="365"/>
      <c r="Q498" s="365"/>
      <c r="R498" s="383"/>
      <c r="S498" s="365"/>
      <c r="T498" s="383"/>
      <c r="U498" s="365"/>
      <c r="V498" s="383"/>
      <c r="W498" s="365"/>
      <c r="X498" s="383"/>
      <c r="Y498" s="365"/>
      <c r="Z498" s="383"/>
      <c r="AA498" s="365"/>
      <c r="AB498" s="365"/>
      <c r="AC498" s="365"/>
      <c r="AD498" s="383"/>
      <c r="AE498" s="365"/>
      <c r="AF498" s="383"/>
      <c r="AG498" s="365"/>
      <c r="AH498" s="383"/>
      <c r="AI498" s="365"/>
      <c r="AJ498" s="383"/>
      <c r="AK498" s="365"/>
      <c r="AL498" s="383"/>
      <c r="AM498" s="353"/>
    </row>
    <row r="499" spans="3:39" s="352" customFormat="1">
      <c r="C499" s="365"/>
      <c r="D499" s="365"/>
      <c r="E499" s="365"/>
      <c r="F499" s="365"/>
      <c r="G499" s="365"/>
      <c r="H499" s="383"/>
      <c r="I499" s="365"/>
      <c r="J499" s="383"/>
      <c r="K499" s="365"/>
      <c r="L499" s="365"/>
      <c r="M499" s="365"/>
      <c r="N499" s="383"/>
      <c r="O499" s="365"/>
      <c r="P499" s="365"/>
      <c r="Q499" s="365"/>
      <c r="R499" s="383"/>
      <c r="S499" s="365"/>
      <c r="T499" s="383"/>
      <c r="U499" s="365"/>
      <c r="V499" s="383"/>
      <c r="W499" s="365"/>
      <c r="X499" s="383"/>
      <c r="Y499" s="365"/>
      <c r="Z499" s="383"/>
      <c r="AA499" s="365"/>
      <c r="AB499" s="365"/>
      <c r="AC499" s="365"/>
      <c r="AD499" s="383"/>
      <c r="AE499" s="365"/>
      <c r="AF499" s="383"/>
      <c r="AG499" s="365"/>
      <c r="AH499" s="383"/>
      <c r="AI499" s="365"/>
      <c r="AJ499" s="383"/>
      <c r="AK499" s="365"/>
      <c r="AL499" s="383"/>
      <c r="AM499" s="353"/>
    </row>
  </sheetData>
  <sheetProtection password="C6DB" sheet="1" objects="1" scenarios="1" formatCells="0" formatColumns="0" formatRows="0"/>
  <mergeCells count="53">
    <mergeCell ref="A2:N2"/>
    <mergeCell ref="A3:N3"/>
    <mergeCell ref="A4:N4"/>
    <mergeCell ref="C8:N8"/>
    <mergeCell ref="O8:Z8"/>
    <mergeCell ref="C5:K5"/>
    <mergeCell ref="C6:K6"/>
    <mergeCell ref="AA8:AL8"/>
    <mergeCell ref="B8:B10"/>
    <mergeCell ref="A8:A10"/>
    <mergeCell ref="U9:V9"/>
    <mergeCell ref="W9:X9"/>
    <mergeCell ref="Y9:Z9"/>
    <mergeCell ref="AC9:AD9"/>
    <mergeCell ref="AE9:AF9"/>
    <mergeCell ref="AG9:AH9"/>
    <mergeCell ref="AI9:AJ9"/>
    <mergeCell ref="AK9:AL9"/>
    <mergeCell ref="A84:B84"/>
    <mergeCell ref="Q9:R9"/>
    <mergeCell ref="S9:T9"/>
    <mergeCell ref="E9:F9"/>
    <mergeCell ref="G9:H9"/>
    <mergeCell ref="I9:J9"/>
    <mergeCell ref="K9:L9"/>
    <mergeCell ref="M9:N9"/>
    <mergeCell ref="AA86:AL86"/>
    <mergeCell ref="AK87:AL87"/>
    <mergeCell ref="AE87:AF87"/>
    <mergeCell ref="AG87:AH87"/>
    <mergeCell ref="AI87:AJ87"/>
    <mergeCell ref="AC87:AD87"/>
    <mergeCell ref="Q87:R87"/>
    <mergeCell ref="S87:T87"/>
    <mergeCell ref="U87:V87"/>
    <mergeCell ref="W87:X87"/>
    <mergeCell ref="O86:Z86"/>
    <mergeCell ref="Y87:Z87"/>
    <mergeCell ref="B126:P126"/>
    <mergeCell ref="B123:P123"/>
    <mergeCell ref="B121:P121"/>
    <mergeCell ref="B122:P122"/>
    <mergeCell ref="B124:P124"/>
    <mergeCell ref="B125:P125"/>
    <mergeCell ref="I87:J87"/>
    <mergeCell ref="K87:L87"/>
    <mergeCell ref="C86:N86"/>
    <mergeCell ref="A89:B89"/>
    <mergeCell ref="A100:B100"/>
    <mergeCell ref="A86:B88"/>
    <mergeCell ref="E87:F87"/>
    <mergeCell ref="G87:H87"/>
    <mergeCell ref="M87:N87"/>
  </mergeCells>
  <printOptions horizontalCentered="1"/>
  <pageMargins left="0.31496062992125984" right="0.31496062992125984" top="0.74803149606299213" bottom="0.35433070866141736" header="0.31496062992125984" footer="0.31496062992125984"/>
  <pageSetup paperSize="9" scale="60" orientation="landscape" r:id="rId1"/>
  <headerFooter>
    <oddFooter>&amp;A&amp;RPage &amp;P</oddFooter>
  </headerFooter>
  <rowBreaks count="2" manualBreakCount="2">
    <brk id="50" max="37" man="1"/>
    <brk id="97" max="37" man="1"/>
  </rowBreaks>
  <colBreaks count="2" manualBreakCount="2">
    <brk id="14" max="129" man="1"/>
    <brk id="26" max="129" man="1"/>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tabColor theme="5" tint="0.79998168889431442"/>
  </sheetPr>
  <dimension ref="A1:N115"/>
  <sheetViews>
    <sheetView showGridLines="0" view="pageBreakPreview" zoomScale="85" zoomScaleNormal="110" zoomScaleSheetLayoutView="85" workbookViewId="0">
      <selection activeCell="E19" sqref="E19:I19"/>
    </sheetView>
  </sheetViews>
  <sheetFormatPr defaultRowHeight="12.75"/>
  <cols>
    <col min="1" max="1" width="46" style="2" customWidth="1"/>
    <col min="2" max="2" width="16.7109375" style="2" customWidth="1"/>
    <col min="3" max="9" width="10.7109375" style="2" customWidth="1"/>
    <col min="10" max="10" width="9.140625" style="49"/>
    <col min="11" max="11" width="16.42578125" style="2" customWidth="1"/>
    <col min="12" max="256" width="9.140625" style="2"/>
    <col min="257" max="257" width="44.7109375" style="2" customWidth="1"/>
    <col min="258" max="258" width="16.7109375" style="2" customWidth="1"/>
    <col min="259" max="265" width="10.7109375" style="2" customWidth="1"/>
    <col min="266" max="266" width="9.140625" style="2"/>
    <col min="267" max="267" width="16.42578125" style="2" customWidth="1"/>
    <col min="268" max="512" width="9.140625" style="2"/>
    <col min="513" max="513" width="44.7109375" style="2" customWidth="1"/>
    <col min="514" max="514" width="16.7109375" style="2" customWidth="1"/>
    <col min="515" max="521" width="10.7109375" style="2" customWidth="1"/>
    <col min="522" max="522" width="9.140625" style="2"/>
    <col min="523" max="523" width="16.42578125" style="2" customWidth="1"/>
    <col min="524" max="768" width="9.140625" style="2"/>
    <col min="769" max="769" width="44.7109375" style="2" customWidth="1"/>
    <col min="770" max="770" width="16.7109375" style="2" customWidth="1"/>
    <col min="771" max="777" width="10.7109375" style="2" customWidth="1"/>
    <col min="778" max="778" width="9.140625" style="2"/>
    <col min="779" max="779" width="16.42578125" style="2" customWidth="1"/>
    <col min="780" max="1024" width="9.140625" style="2"/>
    <col min="1025" max="1025" width="44.7109375" style="2" customWidth="1"/>
    <col min="1026" max="1026" width="16.7109375" style="2" customWidth="1"/>
    <col min="1027" max="1033" width="10.7109375" style="2" customWidth="1"/>
    <col min="1034" max="1034" width="9.140625" style="2"/>
    <col min="1035" max="1035" width="16.42578125" style="2" customWidth="1"/>
    <col min="1036" max="1280" width="9.140625" style="2"/>
    <col min="1281" max="1281" width="44.7109375" style="2" customWidth="1"/>
    <col min="1282" max="1282" width="16.7109375" style="2" customWidth="1"/>
    <col min="1283" max="1289" width="10.7109375" style="2" customWidth="1"/>
    <col min="1290" max="1290" width="9.140625" style="2"/>
    <col min="1291" max="1291" width="16.42578125" style="2" customWidth="1"/>
    <col min="1292" max="1536" width="9.140625" style="2"/>
    <col min="1537" max="1537" width="44.7109375" style="2" customWidth="1"/>
    <col min="1538" max="1538" width="16.7109375" style="2" customWidth="1"/>
    <col min="1539" max="1545" width="10.7109375" style="2" customWidth="1"/>
    <col min="1546" max="1546" width="9.140625" style="2"/>
    <col min="1547" max="1547" width="16.42578125" style="2" customWidth="1"/>
    <col min="1548" max="1792" width="9.140625" style="2"/>
    <col min="1793" max="1793" width="44.7109375" style="2" customWidth="1"/>
    <col min="1794" max="1794" width="16.7109375" style="2" customWidth="1"/>
    <col min="1795" max="1801" width="10.7109375" style="2" customWidth="1"/>
    <col min="1802" max="1802" width="9.140625" style="2"/>
    <col min="1803" max="1803" width="16.42578125" style="2" customWidth="1"/>
    <col min="1804" max="2048" width="9.140625" style="2"/>
    <col min="2049" max="2049" width="44.7109375" style="2" customWidth="1"/>
    <col min="2050" max="2050" width="16.7109375" style="2" customWidth="1"/>
    <col min="2051" max="2057" width="10.7109375" style="2" customWidth="1"/>
    <col min="2058" max="2058" width="9.140625" style="2"/>
    <col min="2059" max="2059" width="16.42578125" style="2" customWidth="1"/>
    <col min="2060" max="2304" width="9.140625" style="2"/>
    <col min="2305" max="2305" width="44.7109375" style="2" customWidth="1"/>
    <col min="2306" max="2306" width="16.7109375" style="2" customWidth="1"/>
    <col min="2307" max="2313" width="10.7109375" style="2" customWidth="1"/>
    <col min="2314" max="2314" width="9.140625" style="2"/>
    <col min="2315" max="2315" width="16.42578125" style="2" customWidth="1"/>
    <col min="2316" max="2560" width="9.140625" style="2"/>
    <col min="2561" max="2561" width="44.7109375" style="2" customWidth="1"/>
    <col min="2562" max="2562" width="16.7109375" style="2" customWidth="1"/>
    <col min="2563" max="2569" width="10.7109375" style="2" customWidth="1"/>
    <col min="2570" max="2570" width="9.140625" style="2"/>
    <col min="2571" max="2571" width="16.42578125" style="2" customWidth="1"/>
    <col min="2572" max="2816" width="9.140625" style="2"/>
    <col min="2817" max="2817" width="44.7109375" style="2" customWidth="1"/>
    <col min="2818" max="2818" width="16.7109375" style="2" customWidth="1"/>
    <col min="2819" max="2825" width="10.7109375" style="2" customWidth="1"/>
    <col min="2826" max="2826" width="9.140625" style="2"/>
    <col min="2827" max="2827" width="16.42578125" style="2" customWidth="1"/>
    <col min="2828" max="3072" width="9.140625" style="2"/>
    <col min="3073" max="3073" width="44.7109375" style="2" customWidth="1"/>
    <col min="3074" max="3074" width="16.7109375" style="2" customWidth="1"/>
    <col min="3075" max="3081" width="10.7109375" style="2" customWidth="1"/>
    <col min="3082" max="3082" width="9.140625" style="2"/>
    <col min="3083" max="3083" width="16.42578125" style="2" customWidth="1"/>
    <col min="3084" max="3328" width="9.140625" style="2"/>
    <col min="3329" max="3329" width="44.7109375" style="2" customWidth="1"/>
    <col min="3330" max="3330" width="16.7109375" style="2" customWidth="1"/>
    <col min="3331" max="3337" width="10.7109375" style="2" customWidth="1"/>
    <col min="3338" max="3338" width="9.140625" style="2"/>
    <col min="3339" max="3339" width="16.42578125" style="2" customWidth="1"/>
    <col min="3340" max="3584" width="9.140625" style="2"/>
    <col min="3585" max="3585" width="44.7109375" style="2" customWidth="1"/>
    <col min="3586" max="3586" width="16.7109375" style="2" customWidth="1"/>
    <col min="3587" max="3593" width="10.7109375" style="2" customWidth="1"/>
    <col min="3594" max="3594" width="9.140625" style="2"/>
    <col min="3595" max="3595" width="16.42578125" style="2" customWidth="1"/>
    <col min="3596" max="3840" width="9.140625" style="2"/>
    <col min="3841" max="3841" width="44.7109375" style="2" customWidth="1"/>
    <col min="3842" max="3842" width="16.7109375" style="2" customWidth="1"/>
    <col min="3843" max="3849" width="10.7109375" style="2" customWidth="1"/>
    <col min="3850" max="3850" width="9.140625" style="2"/>
    <col min="3851" max="3851" width="16.42578125" style="2" customWidth="1"/>
    <col min="3852" max="4096" width="9.140625" style="2"/>
    <col min="4097" max="4097" width="44.7109375" style="2" customWidth="1"/>
    <col min="4098" max="4098" width="16.7109375" style="2" customWidth="1"/>
    <col min="4099" max="4105" width="10.7109375" style="2" customWidth="1"/>
    <col min="4106" max="4106" width="9.140625" style="2"/>
    <col min="4107" max="4107" width="16.42578125" style="2" customWidth="1"/>
    <col min="4108" max="4352" width="9.140625" style="2"/>
    <col min="4353" max="4353" width="44.7109375" style="2" customWidth="1"/>
    <col min="4354" max="4354" width="16.7109375" style="2" customWidth="1"/>
    <col min="4355" max="4361" width="10.7109375" style="2" customWidth="1"/>
    <col min="4362" max="4362" width="9.140625" style="2"/>
    <col min="4363" max="4363" width="16.42578125" style="2" customWidth="1"/>
    <col min="4364" max="4608" width="9.140625" style="2"/>
    <col min="4609" max="4609" width="44.7109375" style="2" customWidth="1"/>
    <col min="4610" max="4610" width="16.7109375" style="2" customWidth="1"/>
    <col min="4611" max="4617" width="10.7109375" style="2" customWidth="1"/>
    <col min="4618" max="4618" width="9.140625" style="2"/>
    <col min="4619" max="4619" width="16.42578125" style="2" customWidth="1"/>
    <col min="4620" max="4864" width="9.140625" style="2"/>
    <col min="4865" max="4865" width="44.7109375" style="2" customWidth="1"/>
    <col min="4866" max="4866" width="16.7109375" style="2" customWidth="1"/>
    <col min="4867" max="4873" width="10.7109375" style="2" customWidth="1"/>
    <col min="4874" max="4874" width="9.140625" style="2"/>
    <col min="4875" max="4875" width="16.42578125" style="2" customWidth="1"/>
    <col min="4876" max="5120" width="9.140625" style="2"/>
    <col min="5121" max="5121" width="44.7109375" style="2" customWidth="1"/>
    <col min="5122" max="5122" width="16.7109375" style="2" customWidth="1"/>
    <col min="5123" max="5129" width="10.7109375" style="2" customWidth="1"/>
    <col min="5130" max="5130" width="9.140625" style="2"/>
    <col min="5131" max="5131" width="16.42578125" style="2" customWidth="1"/>
    <col min="5132" max="5376" width="9.140625" style="2"/>
    <col min="5377" max="5377" width="44.7109375" style="2" customWidth="1"/>
    <col min="5378" max="5378" width="16.7109375" style="2" customWidth="1"/>
    <col min="5379" max="5385" width="10.7109375" style="2" customWidth="1"/>
    <col min="5386" max="5386" width="9.140625" style="2"/>
    <col min="5387" max="5387" width="16.42578125" style="2" customWidth="1"/>
    <col min="5388" max="5632" width="9.140625" style="2"/>
    <col min="5633" max="5633" width="44.7109375" style="2" customWidth="1"/>
    <col min="5634" max="5634" width="16.7109375" style="2" customWidth="1"/>
    <col min="5635" max="5641" width="10.7109375" style="2" customWidth="1"/>
    <col min="5642" max="5642" width="9.140625" style="2"/>
    <col min="5643" max="5643" width="16.42578125" style="2" customWidth="1"/>
    <col min="5644" max="5888" width="9.140625" style="2"/>
    <col min="5889" max="5889" width="44.7109375" style="2" customWidth="1"/>
    <col min="5890" max="5890" width="16.7109375" style="2" customWidth="1"/>
    <col min="5891" max="5897" width="10.7109375" style="2" customWidth="1"/>
    <col min="5898" max="5898" width="9.140625" style="2"/>
    <col min="5899" max="5899" width="16.42578125" style="2" customWidth="1"/>
    <col min="5900" max="6144" width="9.140625" style="2"/>
    <col min="6145" max="6145" width="44.7109375" style="2" customWidth="1"/>
    <col min="6146" max="6146" width="16.7109375" style="2" customWidth="1"/>
    <col min="6147" max="6153" width="10.7109375" style="2" customWidth="1"/>
    <col min="6154" max="6154" width="9.140625" style="2"/>
    <col min="6155" max="6155" width="16.42578125" style="2" customWidth="1"/>
    <col min="6156" max="6400" width="9.140625" style="2"/>
    <col min="6401" max="6401" width="44.7109375" style="2" customWidth="1"/>
    <col min="6402" max="6402" width="16.7109375" style="2" customWidth="1"/>
    <col min="6403" max="6409" width="10.7109375" style="2" customWidth="1"/>
    <col min="6410" max="6410" width="9.140625" style="2"/>
    <col min="6411" max="6411" width="16.42578125" style="2" customWidth="1"/>
    <col min="6412" max="6656" width="9.140625" style="2"/>
    <col min="6657" max="6657" width="44.7109375" style="2" customWidth="1"/>
    <col min="6658" max="6658" width="16.7109375" style="2" customWidth="1"/>
    <col min="6659" max="6665" width="10.7109375" style="2" customWidth="1"/>
    <col min="6666" max="6666" width="9.140625" style="2"/>
    <col min="6667" max="6667" width="16.42578125" style="2" customWidth="1"/>
    <col min="6668" max="6912" width="9.140625" style="2"/>
    <col min="6913" max="6913" width="44.7109375" style="2" customWidth="1"/>
    <col min="6914" max="6914" width="16.7109375" style="2" customWidth="1"/>
    <col min="6915" max="6921" width="10.7109375" style="2" customWidth="1"/>
    <col min="6922" max="6922" width="9.140625" style="2"/>
    <col min="6923" max="6923" width="16.42578125" style="2" customWidth="1"/>
    <col min="6924" max="7168" width="9.140625" style="2"/>
    <col min="7169" max="7169" width="44.7109375" style="2" customWidth="1"/>
    <col min="7170" max="7170" width="16.7109375" style="2" customWidth="1"/>
    <col min="7171" max="7177" width="10.7109375" style="2" customWidth="1"/>
    <col min="7178" max="7178" width="9.140625" style="2"/>
    <col min="7179" max="7179" width="16.42578125" style="2" customWidth="1"/>
    <col min="7180" max="7424" width="9.140625" style="2"/>
    <col min="7425" max="7425" width="44.7109375" style="2" customWidth="1"/>
    <col min="7426" max="7426" width="16.7109375" style="2" customWidth="1"/>
    <col min="7427" max="7433" width="10.7109375" style="2" customWidth="1"/>
    <col min="7434" max="7434" width="9.140625" style="2"/>
    <col min="7435" max="7435" width="16.42578125" style="2" customWidth="1"/>
    <col min="7436" max="7680" width="9.140625" style="2"/>
    <col min="7681" max="7681" width="44.7109375" style="2" customWidth="1"/>
    <col min="7682" max="7682" width="16.7109375" style="2" customWidth="1"/>
    <col min="7683" max="7689" width="10.7109375" style="2" customWidth="1"/>
    <col min="7690" max="7690" width="9.140625" style="2"/>
    <col min="7691" max="7691" width="16.42578125" style="2" customWidth="1"/>
    <col min="7692" max="7936" width="9.140625" style="2"/>
    <col min="7937" max="7937" width="44.7109375" style="2" customWidth="1"/>
    <col min="7938" max="7938" width="16.7109375" style="2" customWidth="1"/>
    <col min="7939" max="7945" width="10.7109375" style="2" customWidth="1"/>
    <col min="7946" max="7946" width="9.140625" style="2"/>
    <col min="7947" max="7947" width="16.42578125" style="2" customWidth="1"/>
    <col min="7948" max="8192" width="9.140625" style="2"/>
    <col min="8193" max="8193" width="44.7109375" style="2" customWidth="1"/>
    <col min="8194" max="8194" width="16.7109375" style="2" customWidth="1"/>
    <col min="8195" max="8201" width="10.7109375" style="2" customWidth="1"/>
    <col min="8202" max="8202" width="9.140625" style="2"/>
    <col min="8203" max="8203" width="16.42578125" style="2" customWidth="1"/>
    <col min="8204" max="8448" width="9.140625" style="2"/>
    <col min="8449" max="8449" width="44.7109375" style="2" customWidth="1"/>
    <col min="8450" max="8450" width="16.7109375" style="2" customWidth="1"/>
    <col min="8451" max="8457" width="10.7109375" style="2" customWidth="1"/>
    <col min="8458" max="8458" width="9.140625" style="2"/>
    <col min="8459" max="8459" width="16.42578125" style="2" customWidth="1"/>
    <col min="8460" max="8704" width="9.140625" style="2"/>
    <col min="8705" max="8705" width="44.7109375" style="2" customWidth="1"/>
    <col min="8706" max="8706" width="16.7109375" style="2" customWidth="1"/>
    <col min="8707" max="8713" width="10.7109375" style="2" customWidth="1"/>
    <col min="8714" max="8714" width="9.140625" style="2"/>
    <col min="8715" max="8715" width="16.42578125" style="2" customWidth="1"/>
    <col min="8716" max="8960" width="9.140625" style="2"/>
    <col min="8961" max="8961" width="44.7109375" style="2" customWidth="1"/>
    <col min="8962" max="8962" width="16.7109375" style="2" customWidth="1"/>
    <col min="8963" max="8969" width="10.7109375" style="2" customWidth="1"/>
    <col min="8970" max="8970" width="9.140625" style="2"/>
    <col min="8971" max="8971" width="16.42578125" style="2" customWidth="1"/>
    <col min="8972" max="9216" width="9.140625" style="2"/>
    <col min="9217" max="9217" width="44.7109375" style="2" customWidth="1"/>
    <col min="9218" max="9218" width="16.7109375" style="2" customWidth="1"/>
    <col min="9219" max="9225" width="10.7109375" style="2" customWidth="1"/>
    <col min="9226" max="9226" width="9.140625" style="2"/>
    <col min="9227" max="9227" width="16.42578125" style="2" customWidth="1"/>
    <col min="9228" max="9472" width="9.140625" style="2"/>
    <col min="9473" max="9473" width="44.7109375" style="2" customWidth="1"/>
    <col min="9474" max="9474" width="16.7109375" style="2" customWidth="1"/>
    <col min="9475" max="9481" width="10.7109375" style="2" customWidth="1"/>
    <col min="9482" max="9482" width="9.140625" style="2"/>
    <col min="9483" max="9483" width="16.42578125" style="2" customWidth="1"/>
    <col min="9484" max="9728" width="9.140625" style="2"/>
    <col min="9729" max="9729" width="44.7109375" style="2" customWidth="1"/>
    <col min="9730" max="9730" width="16.7109375" style="2" customWidth="1"/>
    <col min="9731" max="9737" width="10.7109375" style="2" customWidth="1"/>
    <col min="9738" max="9738" width="9.140625" style="2"/>
    <col min="9739" max="9739" width="16.42578125" style="2" customWidth="1"/>
    <col min="9740" max="9984" width="9.140625" style="2"/>
    <col min="9985" max="9985" width="44.7109375" style="2" customWidth="1"/>
    <col min="9986" max="9986" width="16.7109375" style="2" customWidth="1"/>
    <col min="9987" max="9993" width="10.7109375" style="2" customWidth="1"/>
    <col min="9994" max="9994" width="9.140625" style="2"/>
    <col min="9995" max="9995" width="16.42578125" style="2" customWidth="1"/>
    <col min="9996" max="10240" width="9.140625" style="2"/>
    <col min="10241" max="10241" width="44.7109375" style="2" customWidth="1"/>
    <col min="10242" max="10242" width="16.7109375" style="2" customWidth="1"/>
    <col min="10243" max="10249" width="10.7109375" style="2" customWidth="1"/>
    <col min="10250" max="10250" width="9.140625" style="2"/>
    <col min="10251" max="10251" width="16.42578125" style="2" customWidth="1"/>
    <col min="10252" max="10496" width="9.140625" style="2"/>
    <col min="10497" max="10497" width="44.7109375" style="2" customWidth="1"/>
    <col min="10498" max="10498" width="16.7109375" style="2" customWidth="1"/>
    <col min="10499" max="10505" width="10.7109375" style="2" customWidth="1"/>
    <col min="10506" max="10506" width="9.140625" style="2"/>
    <col min="10507" max="10507" width="16.42578125" style="2" customWidth="1"/>
    <col min="10508" max="10752" width="9.140625" style="2"/>
    <col min="10753" max="10753" width="44.7109375" style="2" customWidth="1"/>
    <col min="10754" max="10754" width="16.7109375" style="2" customWidth="1"/>
    <col min="10755" max="10761" width="10.7109375" style="2" customWidth="1"/>
    <col min="10762" max="10762" width="9.140625" style="2"/>
    <col min="10763" max="10763" width="16.42578125" style="2" customWidth="1"/>
    <col min="10764" max="11008" width="9.140625" style="2"/>
    <col min="11009" max="11009" width="44.7109375" style="2" customWidth="1"/>
    <col min="11010" max="11010" width="16.7109375" style="2" customWidth="1"/>
    <col min="11011" max="11017" width="10.7109375" style="2" customWidth="1"/>
    <col min="11018" max="11018" width="9.140625" style="2"/>
    <col min="11019" max="11019" width="16.42578125" style="2" customWidth="1"/>
    <col min="11020" max="11264" width="9.140625" style="2"/>
    <col min="11265" max="11265" width="44.7109375" style="2" customWidth="1"/>
    <col min="11266" max="11266" width="16.7109375" style="2" customWidth="1"/>
    <col min="11267" max="11273" width="10.7109375" style="2" customWidth="1"/>
    <col min="11274" max="11274" width="9.140625" style="2"/>
    <col min="11275" max="11275" width="16.42578125" style="2" customWidth="1"/>
    <col min="11276" max="11520" width="9.140625" style="2"/>
    <col min="11521" max="11521" width="44.7109375" style="2" customWidth="1"/>
    <col min="11522" max="11522" width="16.7109375" style="2" customWidth="1"/>
    <col min="11523" max="11529" width="10.7109375" style="2" customWidth="1"/>
    <col min="11530" max="11530" width="9.140625" style="2"/>
    <col min="11531" max="11531" width="16.42578125" style="2" customWidth="1"/>
    <col min="11532" max="11776" width="9.140625" style="2"/>
    <col min="11777" max="11777" width="44.7109375" style="2" customWidth="1"/>
    <col min="11778" max="11778" width="16.7109375" style="2" customWidth="1"/>
    <col min="11779" max="11785" width="10.7109375" style="2" customWidth="1"/>
    <col min="11786" max="11786" width="9.140625" style="2"/>
    <col min="11787" max="11787" width="16.42578125" style="2" customWidth="1"/>
    <col min="11788" max="12032" width="9.140625" style="2"/>
    <col min="12033" max="12033" width="44.7109375" style="2" customWidth="1"/>
    <col min="12034" max="12034" width="16.7109375" style="2" customWidth="1"/>
    <col min="12035" max="12041" width="10.7109375" style="2" customWidth="1"/>
    <col min="12042" max="12042" width="9.140625" style="2"/>
    <col min="12043" max="12043" width="16.42578125" style="2" customWidth="1"/>
    <col min="12044" max="12288" width="9.140625" style="2"/>
    <col min="12289" max="12289" width="44.7109375" style="2" customWidth="1"/>
    <col min="12290" max="12290" width="16.7109375" style="2" customWidth="1"/>
    <col min="12291" max="12297" width="10.7109375" style="2" customWidth="1"/>
    <col min="12298" max="12298" width="9.140625" style="2"/>
    <col min="12299" max="12299" width="16.42578125" style="2" customWidth="1"/>
    <col min="12300" max="12544" width="9.140625" style="2"/>
    <col min="12545" max="12545" width="44.7109375" style="2" customWidth="1"/>
    <col min="12546" max="12546" width="16.7109375" style="2" customWidth="1"/>
    <col min="12547" max="12553" width="10.7109375" style="2" customWidth="1"/>
    <col min="12554" max="12554" width="9.140625" style="2"/>
    <col min="12555" max="12555" width="16.42578125" style="2" customWidth="1"/>
    <col min="12556" max="12800" width="9.140625" style="2"/>
    <col min="12801" max="12801" width="44.7109375" style="2" customWidth="1"/>
    <col min="12802" max="12802" width="16.7109375" style="2" customWidth="1"/>
    <col min="12803" max="12809" width="10.7109375" style="2" customWidth="1"/>
    <col min="12810" max="12810" width="9.140625" style="2"/>
    <col min="12811" max="12811" width="16.42578125" style="2" customWidth="1"/>
    <col min="12812" max="13056" width="9.140625" style="2"/>
    <col min="13057" max="13057" width="44.7109375" style="2" customWidth="1"/>
    <col min="13058" max="13058" width="16.7109375" style="2" customWidth="1"/>
    <col min="13059" max="13065" width="10.7109375" style="2" customWidth="1"/>
    <col min="13066" max="13066" width="9.140625" style="2"/>
    <col min="13067" max="13067" width="16.42578125" style="2" customWidth="1"/>
    <col min="13068" max="13312" width="9.140625" style="2"/>
    <col min="13313" max="13313" width="44.7109375" style="2" customWidth="1"/>
    <col min="13314" max="13314" width="16.7109375" style="2" customWidth="1"/>
    <col min="13315" max="13321" width="10.7109375" style="2" customWidth="1"/>
    <col min="13322" max="13322" width="9.140625" style="2"/>
    <col min="13323" max="13323" width="16.42578125" style="2" customWidth="1"/>
    <col min="13324" max="13568" width="9.140625" style="2"/>
    <col min="13569" max="13569" width="44.7109375" style="2" customWidth="1"/>
    <col min="13570" max="13570" width="16.7109375" style="2" customWidth="1"/>
    <col min="13571" max="13577" width="10.7109375" style="2" customWidth="1"/>
    <col min="13578" max="13578" width="9.140625" style="2"/>
    <col min="13579" max="13579" width="16.42578125" style="2" customWidth="1"/>
    <col min="13580" max="13824" width="9.140625" style="2"/>
    <col min="13825" max="13825" width="44.7109375" style="2" customWidth="1"/>
    <col min="13826" max="13826" width="16.7109375" style="2" customWidth="1"/>
    <col min="13827" max="13833" width="10.7109375" style="2" customWidth="1"/>
    <col min="13834" max="13834" width="9.140625" style="2"/>
    <col min="13835" max="13835" width="16.42578125" style="2" customWidth="1"/>
    <col min="13836" max="14080" width="9.140625" style="2"/>
    <col min="14081" max="14081" width="44.7109375" style="2" customWidth="1"/>
    <col min="14082" max="14082" width="16.7109375" style="2" customWidth="1"/>
    <col min="14083" max="14089" width="10.7109375" style="2" customWidth="1"/>
    <col min="14090" max="14090" width="9.140625" style="2"/>
    <col min="14091" max="14091" width="16.42578125" style="2" customWidth="1"/>
    <col min="14092" max="14336" width="9.140625" style="2"/>
    <col min="14337" max="14337" width="44.7109375" style="2" customWidth="1"/>
    <col min="14338" max="14338" width="16.7109375" style="2" customWidth="1"/>
    <col min="14339" max="14345" width="10.7109375" style="2" customWidth="1"/>
    <col min="14346" max="14346" width="9.140625" style="2"/>
    <col min="14347" max="14347" width="16.42578125" style="2" customWidth="1"/>
    <col min="14348" max="14592" width="9.140625" style="2"/>
    <col min="14593" max="14593" width="44.7109375" style="2" customWidth="1"/>
    <col min="14594" max="14594" width="16.7109375" style="2" customWidth="1"/>
    <col min="14595" max="14601" width="10.7109375" style="2" customWidth="1"/>
    <col min="14602" max="14602" width="9.140625" style="2"/>
    <col min="14603" max="14603" width="16.42578125" style="2" customWidth="1"/>
    <col min="14604" max="14848" width="9.140625" style="2"/>
    <col min="14849" max="14849" width="44.7109375" style="2" customWidth="1"/>
    <col min="14850" max="14850" width="16.7109375" style="2" customWidth="1"/>
    <col min="14851" max="14857" width="10.7109375" style="2" customWidth="1"/>
    <col min="14858" max="14858" width="9.140625" style="2"/>
    <col min="14859" max="14859" width="16.42578125" style="2" customWidth="1"/>
    <col min="14860" max="15104" width="9.140625" style="2"/>
    <col min="15105" max="15105" width="44.7109375" style="2" customWidth="1"/>
    <col min="15106" max="15106" width="16.7109375" style="2" customWidth="1"/>
    <col min="15107" max="15113" width="10.7109375" style="2" customWidth="1"/>
    <col min="15114" max="15114" width="9.140625" style="2"/>
    <col min="15115" max="15115" width="16.42578125" style="2" customWidth="1"/>
    <col min="15116" max="15360" width="9.140625" style="2"/>
    <col min="15361" max="15361" width="44.7109375" style="2" customWidth="1"/>
    <col min="15362" max="15362" width="16.7109375" style="2" customWidth="1"/>
    <col min="15363" max="15369" width="10.7109375" style="2" customWidth="1"/>
    <col min="15370" max="15370" width="9.140625" style="2"/>
    <col min="15371" max="15371" width="16.42578125" style="2" customWidth="1"/>
    <col min="15372" max="15616" width="9.140625" style="2"/>
    <col min="15617" max="15617" width="44.7109375" style="2" customWidth="1"/>
    <col min="15618" max="15618" width="16.7109375" style="2" customWidth="1"/>
    <col min="15619" max="15625" width="10.7109375" style="2" customWidth="1"/>
    <col min="15626" max="15626" width="9.140625" style="2"/>
    <col min="15627" max="15627" width="16.42578125" style="2" customWidth="1"/>
    <col min="15628" max="15872" width="9.140625" style="2"/>
    <col min="15873" max="15873" width="44.7109375" style="2" customWidth="1"/>
    <col min="15874" max="15874" width="16.7109375" style="2" customWidth="1"/>
    <col min="15875" max="15881" width="10.7109375" style="2" customWidth="1"/>
    <col min="15882" max="15882" width="9.140625" style="2"/>
    <col min="15883" max="15883" width="16.42578125" style="2" customWidth="1"/>
    <col min="15884" max="16128" width="9.140625" style="2"/>
    <col min="16129" max="16129" width="44.7109375" style="2" customWidth="1"/>
    <col min="16130" max="16130" width="16.7109375" style="2" customWidth="1"/>
    <col min="16131" max="16137" width="10.7109375" style="2" customWidth="1"/>
    <col min="16138" max="16138" width="9.140625" style="2"/>
    <col min="16139" max="16139" width="16.42578125" style="2" customWidth="1"/>
    <col min="16140" max="16384" width="9.140625" style="2"/>
  </cols>
  <sheetData>
    <row r="1" spans="1:14" ht="13.5">
      <c r="A1"/>
      <c r="B1"/>
      <c r="C1"/>
      <c r="D1"/>
      <c r="E1"/>
      <c r="F1"/>
      <c r="G1"/>
      <c r="H1" s="50"/>
      <c r="I1" s="51" t="s">
        <v>344</v>
      </c>
      <c r="J1" s="55"/>
      <c r="K1" s="3"/>
      <c r="L1" s="3"/>
      <c r="M1" s="3"/>
    </row>
    <row r="2" spans="1:14" s="56" customFormat="1" ht="36.75" customHeight="1">
      <c r="A2" s="3653" t="s">
        <v>819</v>
      </c>
      <c r="B2" s="3653"/>
      <c r="C2" s="3653"/>
      <c r="D2" s="3653"/>
      <c r="E2" s="3653"/>
      <c r="F2" s="3653"/>
      <c r="G2" s="3653"/>
      <c r="H2" s="3653"/>
      <c r="I2" s="3653"/>
      <c r="J2" s="156"/>
      <c r="K2" s="4"/>
      <c r="L2" s="3"/>
      <c r="M2" s="3"/>
    </row>
    <row r="3" spans="1:14" s="232" customFormat="1" ht="18.75">
      <c r="A3" s="3652" t="str">
        <f>'1. Анкетна карта'!A3:J3</f>
        <v>на "ВОДОСНАБДЯВАНЕ И КАНАЛИЗАЦИЯ ДОБРИЧ" АД, гр. Добрич</v>
      </c>
      <c r="B3" s="3652"/>
      <c r="C3" s="3652"/>
      <c r="D3" s="3652"/>
      <c r="E3" s="3652"/>
      <c r="F3" s="3652"/>
      <c r="G3" s="3652"/>
      <c r="H3" s="3652"/>
      <c r="I3" s="3652"/>
      <c r="J3" s="158"/>
      <c r="K3" s="239"/>
      <c r="L3" s="240"/>
      <c r="M3" s="240"/>
    </row>
    <row r="4" spans="1:14" s="232" customFormat="1" ht="18.75">
      <c r="A4" s="3652" t="str">
        <f>'1. Анкетна карта'!A4:J4</f>
        <v>ЕИК по БУЛСТАТ: 204219357</v>
      </c>
      <c r="B4" s="3652"/>
      <c r="C4" s="3652"/>
      <c r="D4" s="3652"/>
      <c r="E4" s="3652"/>
      <c r="F4" s="3652"/>
      <c r="G4" s="3652"/>
      <c r="H4" s="3652"/>
      <c r="I4" s="3652"/>
      <c r="J4" s="158"/>
      <c r="K4" s="239"/>
      <c r="L4" s="240"/>
      <c r="M4" s="240"/>
      <c r="N4" s="387"/>
    </row>
    <row r="5" spans="1:14" ht="12" customHeight="1" thickBot="1">
      <c r="A5" s="58"/>
      <c r="B5" s="59"/>
      <c r="C5" s="59"/>
      <c r="D5" s="59"/>
      <c r="E5" s="59"/>
      <c r="F5" s="59"/>
      <c r="G5" s="59"/>
      <c r="H5" s="59"/>
      <c r="I5" s="59"/>
      <c r="J5" s="60"/>
      <c r="K5" s="4"/>
      <c r="L5" s="3"/>
      <c r="M5" s="3"/>
    </row>
    <row r="6" spans="1:14" ht="13.5" thickBot="1">
      <c r="A6" s="1612" t="s">
        <v>345</v>
      </c>
      <c r="B6" s="116" t="s">
        <v>346</v>
      </c>
      <c r="C6" s="1612" t="s">
        <v>252</v>
      </c>
      <c r="D6" s="1614" t="s">
        <v>253</v>
      </c>
      <c r="E6" s="1615"/>
      <c r="F6" s="1615"/>
      <c r="G6" s="1615"/>
      <c r="H6" s="1615"/>
      <c r="I6" s="1616"/>
      <c r="J6" s="60"/>
      <c r="K6" s="4"/>
      <c r="L6"/>
      <c r="M6"/>
    </row>
    <row r="7" spans="1:14" ht="13.5" thickBot="1">
      <c r="A7" s="1613"/>
      <c r="B7" s="2472"/>
      <c r="C7" s="2158" t="str">
        <f>'Приложение '!$G12</f>
        <v>2015 г.</v>
      </c>
      <c r="D7" s="2158" t="str">
        <f>'Приложение '!$G13</f>
        <v>2016 г.</v>
      </c>
      <c r="E7" s="1860" t="str">
        <f>'Приложение '!$G14</f>
        <v>2017 г.</v>
      </c>
      <c r="F7" s="1859" t="str">
        <f>'Приложение '!$G15</f>
        <v>2018 г.</v>
      </c>
      <c r="G7" s="1860" t="str">
        <f>'Приложение '!$G16</f>
        <v>2019 г.</v>
      </c>
      <c r="H7" s="1859" t="str">
        <f>'Приложение '!$G17</f>
        <v>2020 г.</v>
      </c>
      <c r="I7" s="1861" t="str">
        <f>'Приложение '!$G18</f>
        <v>2021 г.</v>
      </c>
      <c r="J7" s="61"/>
      <c r="K7" s="4"/>
      <c r="L7"/>
      <c r="M7"/>
    </row>
    <row r="8" spans="1:14" ht="15" customHeight="1">
      <c r="A8" s="1852" t="s">
        <v>347</v>
      </c>
      <c r="B8" s="62" t="s">
        <v>348</v>
      </c>
      <c r="C8" s="3161">
        <v>2.0099999999999998</v>
      </c>
      <c r="D8" s="3162">
        <v>2.11</v>
      </c>
      <c r="E8" s="2473">
        <f>'20.Цени за дост.,отв. и преч.'!D9</f>
        <v>2.1001912468777331</v>
      </c>
      <c r="F8" s="2473">
        <f>'20.Цени за дост.,отв. и преч.'!E9</f>
        <v>2.117155941886268</v>
      </c>
      <c r="G8" s="2473">
        <f>'20.Цени за дост.,отв. и преч.'!F9</f>
        <v>2.1176297589308919</v>
      </c>
      <c r="H8" s="2473">
        <f>'20.Цени за дост.,отв. и преч.'!G9</f>
        <v>2.1187406473565016</v>
      </c>
      <c r="I8" s="2474">
        <f>'20.Цени за дост.,отв. и преч.'!H9</f>
        <v>2.1209376700140878</v>
      </c>
      <c r="J8" s="61"/>
      <c r="K8" s="4"/>
      <c r="L8"/>
      <c r="M8"/>
    </row>
    <row r="9" spans="1:14" ht="15" customHeight="1">
      <c r="A9" s="1853" t="s">
        <v>349</v>
      </c>
      <c r="B9" s="63" t="s">
        <v>348</v>
      </c>
      <c r="C9" s="3161">
        <v>0.13</v>
      </c>
      <c r="D9" s="3162">
        <v>0.12</v>
      </c>
      <c r="E9" s="2475">
        <f>'20.Цени за дост.,отв. и преч.'!I9</f>
        <v>0.2420973935533578</v>
      </c>
      <c r="F9" s="2475">
        <f>'20.Цени за дост.,отв. и преч.'!J9</f>
        <v>0.25681204484231335</v>
      </c>
      <c r="G9" s="2475">
        <f>'20.Цени за дост.,отв. и преч.'!K9</f>
        <v>0.26081459906603999</v>
      </c>
      <c r="H9" s="2475">
        <f>'20.Цени за дост.,отв. и преч.'!L9</f>
        <v>0.26375753046447564</v>
      </c>
      <c r="I9" s="2476">
        <f>'20.Цени за дост.,отв. и преч.'!M9</f>
        <v>0.26726654707034736</v>
      </c>
      <c r="J9" s="61"/>
      <c r="K9" s="4"/>
      <c r="L9"/>
      <c r="M9"/>
    </row>
    <row r="10" spans="1:14" ht="15" customHeight="1">
      <c r="A10" s="1853" t="s">
        <v>350</v>
      </c>
      <c r="B10" s="63" t="s">
        <v>348</v>
      </c>
      <c r="C10" s="3161">
        <v>0.23</v>
      </c>
      <c r="D10" s="3162">
        <v>0.24</v>
      </c>
      <c r="E10" s="2475">
        <f>'20.Цени за дост.,отв. и преч.'!N9</f>
        <v>0.36190350345313943</v>
      </c>
      <c r="F10" s="2475">
        <f>'20.Цени за дост.,отв. и преч.'!O9</f>
        <v>0.3632018393206114</v>
      </c>
      <c r="G10" s="2475">
        <f>'20.Цени за дост.,отв. и преч.'!P9</f>
        <v>0.3648395326460448</v>
      </c>
      <c r="H10" s="2475">
        <f>'20.Цени за дост.,отв. и преч.'!Q9</f>
        <v>0.36568556286986809</v>
      </c>
      <c r="I10" s="2476">
        <f>'20.Цени за дост.,отв. и преч.'!R9</f>
        <v>0.36858371558341224</v>
      </c>
      <c r="J10" s="64"/>
      <c r="K10" s="4"/>
      <c r="L10" s="3"/>
      <c r="M10"/>
    </row>
    <row r="11" spans="1:14" ht="15" customHeight="1">
      <c r="A11" s="1855" t="s">
        <v>254</v>
      </c>
      <c r="B11" s="65" t="s">
        <v>351</v>
      </c>
      <c r="C11" s="2920">
        <f t="shared" ref="C11:I11" si="0">SUM(C8:C10)*1.2</f>
        <v>2.8439999999999994</v>
      </c>
      <c r="D11" s="2920">
        <f t="shared" si="0"/>
        <v>2.9639999999999995</v>
      </c>
      <c r="E11" s="2477">
        <f t="shared" si="0"/>
        <v>3.2450305726610762</v>
      </c>
      <c r="F11" s="2477">
        <f t="shared" si="0"/>
        <v>3.2846037912590313</v>
      </c>
      <c r="G11" s="2477">
        <f t="shared" si="0"/>
        <v>3.2919406687715718</v>
      </c>
      <c r="H11" s="2477">
        <f t="shared" si="0"/>
        <v>3.2978204888290139</v>
      </c>
      <c r="I11" s="2478">
        <f t="shared" si="0"/>
        <v>3.3081455192014171</v>
      </c>
      <c r="J11" s="64"/>
      <c r="K11" s="4"/>
      <c r="L11" s="3"/>
      <c r="M11"/>
    </row>
    <row r="12" spans="1:14" ht="15" customHeight="1">
      <c r="A12" s="1853" t="s">
        <v>352</v>
      </c>
      <c r="B12" s="63" t="s">
        <v>353</v>
      </c>
      <c r="C12" s="2921">
        <v>2.8</v>
      </c>
      <c r="D12" s="2921">
        <v>2.8</v>
      </c>
      <c r="E12" s="2475">
        <v>2.8</v>
      </c>
      <c r="F12" s="2479">
        <v>2.8</v>
      </c>
      <c r="G12" s="2475">
        <v>2.8</v>
      </c>
      <c r="H12" s="2479">
        <v>2.8</v>
      </c>
      <c r="I12" s="2476">
        <v>2.8</v>
      </c>
      <c r="J12" s="64"/>
      <c r="K12" s="4"/>
      <c r="L12" s="3"/>
      <c r="M12"/>
    </row>
    <row r="13" spans="1:14" ht="15" customHeight="1">
      <c r="A13" s="1853" t="s">
        <v>488</v>
      </c>
      <c r="B13" s="63" t="s">
        <v>354</v>
      </c>
      <c r="C13" s="2922">
        <f t="shared" ref="C13:I13" si="1">C11*C12</f>
        <v>7.9631999999999978</v>
      </c>
      <c r="D13" s="2922">
        <f t="shared" si="1"/>
        <v>8.299199999999999</v>
      </c>
      <c r="E13" s="2480">
        <f t="shared" si="1"/>
        <v>9.0860856034510125</v>
      </c>
      <c r="F13" s="2481">
        <f t="shared" si="1"/>
        <v>9.1968906155252874</v>
      </c>
      <c r="G13" s="2480">
        <f t="shared" si="1"/>
        <v>9.2174338725604006</v>
      </c>
      <c r="H13" s="2480">
        <f t="shared" si="1"/>
        <v>9.2338973687212391</v>
      </c>
      <c r="I13" s="2482">
        <f t="shared" si="1"/>
        <v>9.2628074537639673</v>
      </c>
      <c r="J13" s="64"/>
      <c r="K13" s="4"/>
      <c r="L13" s="3"/>
      <c r="M13"/>
    </row>
    <row r="14" spans="1:14" ht="15" customHeight="1">
      <c r="A14" s="1856" t="s">
        <v>355</v>
      </c>
      <c r="B14" s="63" t="s">
        <v>356</v>
      </c>
      <c r="C14" s="2250">
        <v>612</v>
      </c>
      <c r="D14" s="2921">
        <f t="shared" ref="D14:I14" si="2">C14*(1+D15)</f>
        <v>627.91200000000003</v>
      </c>
      <c r="E14" s="2475">
        <f t="shared" si="2"/>
        <v>649.26100800000006</v>
      </c>
      <c r="F14" s="2479">
        <f t="shared" si="2"/>
        <v>671.33588227200005</v>
      </c>
      <c r="G14" s="2475">
        <f t="shared" si="2"/>
        <v>694.16130226924804</v>
      </c>
      <c r="H14" s="2479">
        <f t="shared" si="2"/>
        <v>717.76278654640248</v>
      </c>
      <c r="I14" s="2483">
        <f t="shared" si="2"/>
        <v>742.16672128898017</v>
      </c>
      <c r="J14" s="64"/>
      <c r="K14" s="4"/>
      <c r="L14" s="3"/>
      <c r="M14"/>
    </row>
    <row r="15" spans="1:14" ht="24">
      <c r="A15" s="1857" t="s">
        <v>818</v>
      </c>
      <c r="B15" s="444" t="s">
        <v>226</v>
      </c>
      <c r="C15" s="1858"/>
      <c r="D15" s="2923">
        <v>2.5999999999999999E-2</v>
      </c>
      <c r="E15" s="2484">
        <v>3.4000000000000002E-2</v>
      </c>
      <c r="F15" s="2485">
        <v>3.4000000000000002E-2</v>
      </c>
      <c r="G15" s="2484">
        <v>3.4000000000000002E-2</v>
      </c>
      <c r="H15" s="2484">
        <v>3.4000000000000002E-2</v>
      </c>
      <c r="I15" s="2486">
        <v>3.4000000000000002E-2</v>
      </c>
      <c r="J15" s="64"/>
      <c r="K15" s="4"/>
      <c r="L15" s="3"/>
      <c r="M15"/>
    </row>
    <row r="16" spans="1:14" ht="15" customHeight="1" thickBot="1">
      <c r="A16" s="1857" t="s">
        <v>1009</v>
      </c>
      <c r="B16" s="66" t="s">
        <v>354</v>
      </c>
      <c r="C16" s="2924">
        <f t="shared" ref="C16:I16" si="3">C14*2.5%</f>
        <v>15.3</v>
      </c>
      <c r="D16" s="2924">
        <f t="shared" si="3"/>
        <v>15.697800000000001</v>
      </c>
      <c r="E16" s="2487">
        <f t="shared" si="3"/>
        <v>16.231525200000004</v>
      </c>
      <c r="F16" s="2488">
        <f t="shared" si="3"/>
        <v>16.783397056800002</v>
      </c>
      <c r="G16" s="2487">
        <f t="shared" si="3"/>
        <v>17.354032556731202</v>
      </c>
      <c r="H16" s="2487">
        <f t="shared" si="3"/>
        <v>17.944069663660063</v>
      </c>
      <c r="I16" s="2489">
        <f t="shared" si="3"/>
        <v>18.554168032224506</v>
      </c>
      <c r="J16" s="67"/>
      <c r="K16" s="4"/>
      <c r="L16" s="3"/>
      <c r="M16"/>
    </row>
    <row r="17" spans="1:13" ht="20.25" customHeight="1" thickBot="1">
      <c r="A17" s="1854" t="s">
        <v>357</v>
      </c>
      <c r="B17" s="68" t="s">
        <v>358</v>
      </c>
      <c r="C17" s="2925">
        <f>C16/C12</f>
        <v>5.4642857142857153</v>
      </c>
      <c r="D17" s="2925">
        <f t="shared" ref="D17:I17" si="4">D16/D12</f>
        <v>5.6063571428571439</v>
      </c>
      <c r="E17" s="2490">
        <f t="shared" si="4"/>
        <v>5.7969732857142873</v>
      </c>
      <c r="F17" s="2491">
        <f t="shared" si="4"/>
        <v>5.9940703774285726</v>
      </c>
      <c r="G17" s="2490">
        <f t="shared" si="4"/>
        <v>6.1978687702611435</v>
      </c>
      <c r="H17" s="2490">
        <f t="shared" si="4"/>
        <v>6.408596308450023</v>
      </c>
      <c r="I17" s="2492">
        <f t="shared" si="4"/>
        <v>6.6264885829373243</v>
      </c>
      <c r="K17" s="4"/>
      <c r="L17" s="3"/>
      <c r="M17"/>
    </row>
    <row r="18" spans="1:13" ht="13.5" thickBot="1">
      <c r="A18"/>
      <c r="B18" s="1850"/>
      <c r="C18" s="1850"/>
      <c r="D18" s="1850"/>
      <c r="E18" s="1850"/>
      <c r="F18" s="1850"/>
      <c r="G18" s="1850"/>
      <c r="H18" s="1850"/>
      <c r="I18" s="1850"/>
      <c r="J18" s="52"/>
      <c r="K18" s="4"/>
      <c r="L18" s="3"/>
      <c r="M18"/>
    </row>
    <row r="19" spans="1:13" ht="27" customHeight="1" thickBot="1">
      <c r="A19" s="1854" t="s">
        <v>357</v>
      </c>
      <c r="B19" s="130" t="s">
        <v>226</v>
      </c>
      <c r="C19" s="2926">
        <f>C13/C14</f>
        <v>1.3011764705882349E-2</v>
      </c>
      <c r="D19" s="2927">
        <f t="shared" ref="D19:I19" si="5">D13/D14</f>
        <v>1.3217138707334784E-2</v>
      </c>
      <c r="E19" s="2928">
        <f t="shared" si="5"/>
        <v>1.3994503738088353E-2</v>
      </c>
      <c r="F19" s="2929">
        <f t="shared" si="5"/>
        <v>1.369938783012801E-2</v>
      </c>
      <c r="G19" s="2928">
        <f t="shared" si="5"/>
        <v>1.3278518756992284E-2</v>
      </c>
      <c r="H19" s="2928">
        <f t="shared" si="5"/>
        <v>1.2864831587537701E-2</v>
      </c>
      <c r="I19" s="2930">
        <f t="shared" si="5"/>
        <v>1.248076367217936E-2</v>
      </c>
      <c r="J19" s="52"/>
      <c r="K19" s="4"/>
      <c r="L19" s="3"/>
      <c r="M19"/>
    </row>
    <row r="20" spans="1:13">
      <c r="A20"/>
      <c r="B20"/>
      <c r="C20"/>
      <c r="D20"/>
      <c r="E20"/>
      <c r="F20"/>
      <c r="G20"/>
      <c r="H20"/>
      <c r="I20"/>
      <c r="J20" s="52"/>
      <c r="K20" s="4"/>
      <c r="L20" s="3"/>
      <c r="M20"/>
    </row>
    <row r="21" spans="1:13" ht="15">
      <c r="A21"/>
      <c r="B21"/>
      <c r="C21"/>
      <c r="D21"/>
      <c r="E21" s="367"/>
      <c r="F21" s="385"/>
      <c r="G21" s="367"/>
      <c r="H21" s="385"/>
      <c r="I21" s="367"/>
      <c r="K21" s="4"/>
      <c r="L21" s="3"/>
      <c r="M21"/>
    </row>
    <row r="22" spans="1:13">
      <c r="A22"/>
      <c r="B22"/>
      <c r="C22"/>
      <c r="D22"/>
      <c r="E22" s="292" t="str">
        <f>'12.1.Разходи-увелич.и нам.'!AE118</f>
        <v>Главен счетоводител:</v>
      </c>
      <c r="F22" s="289"/>
      <c r="G22" s="219" t="s">
        <v>262</v>
      </c>
      <c r="H22" s="199"/>
      <c r="I22" s="217"/>
      <c r="K22" s="4"/>
      <c r="L22" s="3"/>
      <c r="M22"/>
    </row>
    <row r="23" spans="1:13">
      <c r="A23" s="20" t="str">
        <f>'12.1.Разходи-увелич.и нам.'!B116</f>
        <v>Дата: 10.11.2017 г.</v>
      </c>
      <c r="B23" s="23"/>
      <c r="C23" s="23"/>
      <c r="D23" s="23"/>
      <c r="E23" s="288"/>
      <c r="F23" s="220"/>
      <c r="G23" s="290"/>
      <c r="H23" s="291" t="s">
        <v>5</v>
      </c>
      <c r="I23" s="217"/>
      <c r="K23" s="4"/>
      <c r="L23" s="3"/>
      <c r="M23"/>
    </row>
    <row r="24" spans="1:13">
      <c r="A24" s="19"/>
      <c r="B24" s="19"/>
      <c r="C24" s="19"/>
      <c r="D24" s="18"/>
      <c r="E24" s="288"/>
      <c r="F24" s="220"/>
      <c r="G24" s="290"/>
      <c r="H24" s="291"/>
      <c r="I24" s="217"/>
      <c r="K24" s="41"/>
      <c r="L24" s="3"/>
      <c r="M24"/>
    </row>
    <row r="25" spans="1:13">
      <c r="A25" s="23"/>
      <c r="B25" s="23"/>
      <c r="C25" s="23"/>
      <c r="D25" s="22"/>
      <c r="E25" s="288"/>
      <c r="F25" s="220"/>
      <c r="G25" s="290"/>
      <c r="H25" s="291"/>
      <c r="I25" s="217"/>
      <c r="K25" s="41"/>
      <c r="L25" s="3"/>
      <c r="M25"/>
    </row>
    <row r="26" spans="1:13">
      <c r="A26" s="23"/>
      <c r="B26" s="23"/>
      <c r="C26" s="23"/>
      <c r="D26" s="18"/>
      <c r="E26" s="288"/>
      <c r="F26" s="220"/>
      <c r="G26" s="290"/>
      <c r="H26" s="291"/>
      <c r="I26" s="217"/>
      <c r="K26" s="4"/>
      <c r="L26" s="3"/>
      <c r="M26"/>
    </row>
    <row r="27" spans="1:13" ht="15">
      <c r="A27" s="23"/>
      <c r="B27" s="23"/>
      <c r="C27" s="23"/>
      <c r="D27" s="24"/>
      <c r="E27" s="352"/>
      <c r="F27" s="292" t="str">
        <f>'12.1.Разходи-увелич.и нам.'!AF124</f>
        <v>Управител:</v>
      </c>
      <c r="G27" s="219" t="s">
        <v>262</v>
      </c>
      <c r="H27" s="217"/>
      <c r="I27" s="217"/>
      <c r="K27" s="4"/>
      <c r="L27" s="3"/>
      <c r="M27"/>
    </row>
    <row r="28" spans="1:13">
      <c r="A28" s="23"/>
      <c r="B28" s="23"/>
      <c r="C28" s="23"/>
      <c r="D28" s="22"/>
      <c r="E28" s="288"/>
      <c r="F28" s="293"/>
      <c r="G28" s="290"/>
      <c r="H28" s="291" t="s">
        <v>6</v>
      </c>
      <c r="I28" s="290"/>
      <c r="K28" s="4"/>
      <c r="L28" s="3"/>
      <c r="M28"/>
    </row>
    <row r="29" spans="1:13">
      <c r="A29" s="3654" t="s">
        <v>247</v>
      </c>
      <c r="B29" s="3654"/>
      <c r="C29" s="3654"/>
      <c r="D29" s="3654"/>
      <c r="E29" s="47"/>
      <c r="F29" s="47"/>
      <c r="G29" s="47"/>
      <c r="H29" s="47"/>
      <c r="K29" s="4"/>
      <c r="L29" s="3"/>
      <c r="M29"/>
    </row>
    <row r="30" spans="1:13">
      <c r="A30" s="3655" t="s">
        <v>248</v>
      </c>
      <c r="B30" s="3655"/>
      <c r="C30" s="3655"/>
      <c r="D30" s="3655"/>
      <c r="E30" s="47"/>
      <c r="F30" s="47"/>
      <c r="G30" s="47"/>
      <c r="H30" s="47"/>
      <c r="K30" s="42"/>
      <c r="L30"/>
      <c r="M30"/>
    </row>
    <row r="31" spans="1:13">
      <c r="A31" s="3656" t="s">
        <v>1537</v>
      </c>
      <c r="B31" s="3656"/>
      <c r="C31" s="3656"/>
      <c r="D31" s="3656"/>
      <c r="E31" s="3656"/>
      <c r="F31" s="3656"/>
      <c r="G31" s="3656"/>
      <c r="H31" s="3656"/>
      <c r="K31" s="42"/>
      <c r="L31"/>
      <c r="M31"/>
    </row>
    <row r="32" spans="1:13">
      <c r="K32" s="42"/>
      <c r="L32"/>
      <c r="M32"/>
    </row>
    <row r="33" spans="11:13">
      <c r="K33" s="41"/>
      <c r="L33"/>
      <c r="M33"/>
    </row>
    <row r="34" spans="11:13">
      <c r="K34" s="3"/>
      <c r="L34"/>
      <c r="M34"/>
    </row>
    <row r="40" spans="11:13" ht="11.25" customHeight="1"/>
    <row r="61" spans="8:8">
      <c r="H61" s="2" t="s">
        <v>263</v>
      </c>
    </row>
    <row r="100" spans="11:11">
      <c r="K100" s="69"/>
    </row>
    <row r="101" spans="11:11">
      <c r="K101" s="69"/>
    </row>
    <row r="102" spans="11:11">
      <c r="K102" s="69"/>
    </row>
    <row r="103" spans="11:11">
      <c r="K103" s="69"/>
    </row>
    <row r="104" spans="11:11">
      <c r="K104" s="69"/>
    </row>
    <row r="105" spans="11:11">
      <c r="K105" s="69"/>
    </row>
    <row r="106" spans="11:11">
      <c r="K106" s="69"/>
    </row>
    <row r="107" spans="11:11">
      <c r="K107" s="69"/>
    </row>
    <row r="108" spans="11:11">
      <c r="K108" s="69"/>
    </row>
    <row r="109" spans="11:11">
      <c r="K109" s="69"/>
    </row>
    <row r="110" spans="11:11">
      <c r="K110" s="69"/>
    </row>
    <row r="111" spans="11:11">
      <c r="K111" s="69"/>
    </row>
    <row r="112" spans="11:11">
      <c r="K112" s="69"/>
    </row>
    <row r="113" spans="11:11">
      <c r="K113" s="69"/>
    </row>
    <row r="114" spans="11:11">
      <c r="K114" s="69"/>
    </row>
    <row r="115" spans="11:11">
      <c r="K115" s="69"/>
    </row>
  </sheetData>
  <sheetProtection password="C6DB" sheet="1" objects="1" scenarios="1" formatCells="0" formatColumns="0" formatRows="0"/>
  <mergeCells count="6">
    <mergeCell ref="A2:I2"/>
    <mergeCell ref="A29:D29"/>
    <mergeCell ref="A30:D30"/>
    <mergeCell ref="A31:H31"/>
    <mergeCell ref="A3:I3"/>
    <mergeCell ref="A4:I4"/>
  </mergeCells>
  <conditionalFormatting sqref="C19:I19">
    <cfRule type="cellIs" dxfId="1" priority="1" operator="greaterThan">
      <formula>0.025</formula>
    </cfRule>
  </conditionalFormatting>
  <printOptions horizontalCentered="1"/>
  <pageMargins left="0.70866141732283472" right="0.59055118110236227" top="0.82677165354330717" bottom="0.74803149606299213" header="0.31496062992125984" footer="0.31496062992125984"/>
  <pageSetup paperSize="9" scale="85" orientation="landscape" r:id="rId1"/>
  <ignoredErrors>
    <ignoredError sqref="D14:I14" unlockedFormula="1"/>
    <ignoredError sqref="C19:I19" evalError="1"/>
    <ignoredError sqref="E8:I13" evalError="1" unlockedFormula="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8" tint="0.79998168889431442"/>
  </sheetPr>
  <dimension ref="A1:N58"/>
  <sheetViews>
    <sheetView tabSelected="1" view="pageBreakPreview" zoomScaleNormal="100" zoomScaleSheetLayoutView="100" workbookViewId="0">
      <pane xSplit="8" ySplit="6" topLeftCell="I28" activePane="bottomRight" state="frozen"/>
      <selection pane="topRight" activeCell="I1" sqref="I1"/>
      <selection pane="bottomLeft" activeCell="A7" sqref="A7"/>
      <selection pane="bottomRight" activeCell="C35" sqref="C35"/>
    </sheetView>
  </sheetViews>
  <sheetFormatPr defaultColWidth="9.140625" defaultRowHeight="12.75"/>
  <cols>
    <col min="1" max="1" width="49.140625" style="172" customWidth="1"/>
    <col min="2" max="6" width="9.7109375" style="172" customWidth="1"/>
    <col min="7" max="8" width="9.140625" style="183"/>
    <col min="9" max="16384" width="9.140625" style="133"/>
  </cols>
  <sheetData>
    <row r="1" spans="1:10" ht="13.5">
      <c r="H1" s="51" t="s">
        <v>500</v>
      </c>
    </row>
    <row r="2" spans="1:10" ht="36.75" customHeight="1">
      <c r="A2" s="3486" t="s">
        <v>1418</v>
      </c>
      <c r="B2" s="3486"/>
      <c r="C2" s="3486"/>
      <c r="D2" s="3486"/>
      <c r="E2" s="3486"/>
      <c r="F2" s="3486"/>
      <c r="G2" s="3486"/>
      <c r="H2" s="3486"/>
    </row>
    <row r="3" spans="1:10" ht="15.75">
      <c r="A3" s="3493" t="str">
        <f>'1. Анкетна карта'!A3:J3</f>
        <v>на "ВОДОСНАБДЯВАНЕ И КАНАЛИЗАЦИЯ ДОБРИЧ" АД, гр. Добрич</v>
      </c>
      <c r="B3" s="3493"/>
      <c r="C3" s="3493"/>
      <c r="D3" s="3493"/>
      <c r="E3" s="3493"/>
      <c r="F3" s="3493"/>
      <c r="G3" s="3493"/>
      <c r="H3" s="3493"/>
    </row>
    <row r="4" spans="1:10" ht="15.75">
      <c r="A4" s="3493" t="str">
        <f>'1. Анкетна карта'!A4:J4</f>
        <v>ЕИК по БУЛСТАТ: 204219357</v>
      </c>
      <c r="B4" s="3493"/>
      <c r="C4" s="3493"/>
      <c r="D4" s="3493"/>
      <c r="E4" s="3493"/>
      <c r="F4" s="3493"/>
      <c r="G4" s="3493"/>
      <c r="H4" s="3493"/>
    </row>
    <row r="5" spans="1:10" ht="13.5" thickBot="1">
      <c r="A5" s="190"/>
      <c r="B5" s="190"/>
      <c r="C5" s="190"/>
      <c r="D5" s="190"/>
      <c r="E5" s="190"/>
      <c r="F5" s="190"/>
      <c r="H5" s="38" t="s">
        <v>250</v>
      </c>
    </row>
    <row r="6" spans="1:10" ht="13.5" thickBot="1">
      <c r="A6" s="2141" t="s">
        <v>681</v>
      </c>
      <c r="B6" s="2142" t="str">
        <f>'Приложение '!$G12</f>
        <v>2015 г.</v>
      </c>
      <c r="C6" s="2143" t="str">
        <f>'Приложение '!$G13</f>
        <v>2016 г.</v>
      </c>
      <c r="D6" s="2144" t="str">
        <f>'Приложение '!$G14</f>
        <v>2017 г.</v>
      </c>
      <c r="E6" s="2145" t="str">
        <f>'Приложение '!$G15</f>
        <v>2018 г.</v>
      </c>
      <c r="F6" s="2145" t="str">
        <f>'Приложение '!$G16</f>
        <v>2019 г.</v>
      </c>
      <c r="G6" s="2145" t="str">
        <f>'Приложение '!$G17</f>
        <v>2020 г.</v>
      </c>
      <c r="H6" s="2146" t="str">
        <f>'Приложение '!$G18</f>
        <v>2021 г.</v>
      </c>
    </row>
    <row r="7" spans="1:10" ht="14.25">
      <c r="A7" s="2135" t="s">
        <v>682</v>
      </c>
      <c r="B7" s="2136">
        <f>B8+B17</f>
        <v>25124</v>
      </c>
      <c r="C7" s="2137">
        <f t="shared" ref="C7:H7" si="0">C8+C17</f>
        <v>27824</v>
      </c>
      <c r="D7" s="2138">
        <f t="shared" si="0"/>
        <v>29168.356518097236</v>
      </c>
      <c r="E7" s="2139">
        <f t="shared" si="0"/>
        <v>29603.952873967657</v>
      </c>
      <c r="F7" s="2139">
        <f t="shared" si="0"/>
        <v>29798.882288147081</v>
      </c>
      <c r="G7" s="2139">
        <f t="shared" si="0"/>
        <v>29775.387402728389</v>
      </c>
      <c r="H7" s="2140">
        <f t="shared" si="0"/>
        <v>30081.517299945233</v>
      </c>
      <c r="I7" s="185"/>
      <c r="J7" s="185"/>
    </row>
    <row r="8" spans="1:10">
      <c r="A8" s="2109" t="s">
        <v>683</v>
      </c>
      <c r="B8" s="2130">
        <f>SUM(B9:B16)</f>
        <v>24627</v>
      </c>
      <c r="C8" s="2124">
        <f t="shared" ref="C8:H8" si="1">SUM(C9:C16)</f>
        <v>27824</v>
      </c>
      <c r="D8" s="2105">
        <f t="shared" si="1"/>
        <v>29168.356518097236</v>
      </c>
      <c r="E8" s="1166">
        <f t="shared" si="1"/>
        <v>29603.952873967657</v>
      </c>
      <c r="F8" s="1166">
        <f t="shared" si="1"/>
        <v>29798.882288147081</v>
      </c>
      <c r="G8" s="1166">
        <f t="shared" si="1"/>
        <v>29775.387402728389</v>
      </c>
      <c r="H8" s="2099">
        <f t="shared" si="1"/>
        <v>30081.517299945233</v>
      </c>
    </row>
    <row r="9" spans="1:10">
      <c r="A9" s="2110" t="s">
        <v>1455</v>
      </c>
      <c r="B9" s="2250">
        <v>17449</v>
      </c>
      <c r="C9" s="2250">
        <v>16820</v>
      </c>
      <c r="D9" s="1467">
        <f>'16. Необходими приходи'!F11+'16. Необходими приходи'!M11+'16. Необходими приходи'!T11</f>
        <v>20172.439298097237</v>
      </c>
      <c r="E9" s="830">
        <f>'16. Необходими приходи'!G11+'16. Необходими приходи'!N11+'16. Необходими приходи'!U11</f>
        <v>20429.286207300989</v>
      </c>
      <c r="F9" s="830">
        <f>'16. Необходими приходи'!H11+'16. Необходими приходи'!O11+'16. Необходими приходи'!V11</f>
        <v>20450.882288147081</v>
      </c>
      <c r="G9" s="830">
        <f>'16. Необходими приходи'!I11+'16. Необходими приходи'!P11+'16. Необходими приходи'!W11</f>
        <v>20388.387402728389</v>
      </c>
      <c r="H9" s="828">
        <f>'16. Необходими приходи'!J11+'16. Необходими приходи'!Q11+'16. Необходими приходи'!X11</f>
        <v>20464.517299945233</v>
      </c>
    </row>
    <row r="10" spans="1:10">
      <c r="A10" s="2110" t="s">
        <v>1456</v>
      </c>
      <c r="B10" s="2250">
        <v>3831</v>
      </c>
      <c r="C10" s="2250">
        <v>3831</v>
      </c>
      <c r="D10" s="2248">
        <v>3831</v>
      </c>
      <c r="E10" s="786">
        <v>3831</v>
      </c>
      <c r="F10" s="786">
        <v>3831</v>
      </c>
      <c r="G10" s="786">
        <v>3831</v>
      </c>
      <c r="H10" s="2286">
        <v>3831</v>
      </c>
    </row>
    <row r="11" spans="1:10">
      <c r="A11" s="2111" t="s">
        <v>684</v>
      </c>
      <c r="B11" s="2250">
        <f>2687+660</f>
        <v>3347</v>
      </c>
      <c r="C11" s="2250">
        <v>3347</v>
      </c>
      <c r="D11" s="2248">
        <v>3347</v>
      </c>
      <c r="E11" s="786">
        <v>3347</v>
      </c>
      <c r="F11" s="786">
        <v>3347</v>
      </c>
      <c r="G11" s="786">
        <v>3347</v>
      </c>
      <c r="H11" s="2286">
        <v>3347</v>
      </c>
    </row>
    <row r="12" spans="1:10">
      <c r="A12" s="2112" t="s">
        <v>685</v>
      </c>
      <c r="B12" s="2250"/>
      <c r="C12" s="3119">
        <f>'9.Инвестиционна програма'!F70</f>
        <v>3826</v>
      </c>
      <c r="D12" s="3120">
        <f>'9.Инвестиционна програма'!G70</f>
        <v>1817.91722</v>
      </c>
      <c r="E12" s="3121">
        <f>'9.Инвестиционна програма'!H70</f>
        <v>1996.6666666666665</v>
      </c>
      <c r="F12" s="3121">
        <f>'9.Инвестиционна програма'!I70</f>
        <v>2170</v>
      </c>
      <c r="G12" s="3121">
        <f>'9.Инвестиционна програма'!J70</f>
        <v>2209</v>
      </c>
      <c r="H12" s="3122">
        <f>'9.Инвестиционна програма'!K70</f>
        <v>2439</v>
      </c>
    </row>
    <row r="13" spans="1:10">
      <c r="A13" s="2113" t="s">
        <v>686</v>
      </c>
      <c r="B13" s="2250"/>
      <c r="C13" s="2250"/>
      <c r="D13" s="2248"/>
      <c r="E13" s="786"/>
      <c r="F13" s="786"/>
      <c r="G13" s="786"/>
      <c r="H13" s="2286"/>
    </row>
    <row r="14" spans="1:10">
      <c r="A14" s="2113" t="s">
        <v>1452</v>
      </c>
      <c r="B14" s="2250"/>
      <c r="C14" s="2250"/>
      <c r="D14" s="2248"/>
      <c r="E14" s="786"/>
      <c r="F14" s="786"/>
      <c r="G14" s="786"/>
      <c r="H14" s="2286"/>
    </row>
    <row r="15" spans="1:10">
      <c r="A15" s="2114" t="s">
        <v>1447</v>
      </c>
      <c r="B15" s="2250"/>
      <c r="C15" s="2250"/>
      <c r="D15" s="2248"/>
      <c r="E15" s="786"/>
      <c r="F15" s="786"/>
      <c r="G15" s="786"/>
      <c r="H15" s="2286"/>
    </row>
    <row r="16" spans="1:10">
      <c r="A16" s="2114" t="s">
        <v>1448</v>
      </c>
      <c r="B16" s="2250"/>
      <c r="C16" s="2250"/>
      <c r="D16" s="2248"/>
      <c r="E16" s="786"/>
      <c r="F16" s="786"/>
      <c r="G16" s="786"/>
      <c r="H16" s="2286"/>
    </row>
    <row r="17" spans="1:14">
      <c r="A17" s="2115" t="s">
        <v>687</v>
      </c>
      <c r="B17" s="2130">
        <f>SUM(B18:B21)</f>
        <v>497</v>
      </c>
      <c r="C17" s="2124">
        <f t="shared" ref="C17:H17" si="2">SUM(C18:C21)</f>
        <v>0</v>
      </c>
      <c r="D17" s="2105">
        <f t="shared" si="2"/>
        <v>0</v>
      </c>
      <c r="E17" s="1166">
        <f t="shared" si="2"/>
        <v>0</v>
      </c>
      <c r="F17" s="1166">
        <f t="shared" si="2"/>
        <v>0</v>
      </c>
      <c r="G17" s="1166">
        <f t="shared" si="2"/>
        <v>0</v>
      </c>
      <c r="H17" s="2099">
        <f t="shared" si="2"/>
        <v>0</v>
      </c>
    </row>
    <row r="18" spans="1:14">
      <c r="A18" s="2111" t="s">
        <v>688</v>
      </c>
      <c r="B18" s="2250"/>
      <c r="C18" s="2250"/>
      <c r="D18" s="2248"/>
      <c r="E18" s="786"/>
      <c r="F18" s="786"/>
      <c r="G18" s="786"/>
      <c r="H18" s="2286"/>
    </row>
    <row r="19" spans="1:14">
      <c r="A19" s="2113" t="s">
        <v>689</v>
      </c>
      <c r="B19" s="2250">
        <v>497</v>
      </c>
      <c r="C19" s="2250"/>
      <c r="D19" s="2248"/>
      <c r="E19" s="786"/>
      <c r="F19" s="786"/>
      <c r="G19" s="786"/>
      <c r="H19" s="2286"/>
    </row>
    <row r="20" spans="1:14">
      <c r="A20" s="2113" t="s">
        <v>690</v>
      </c>
      <c r="B20" s="2250"/>
      <c r="C20" s="2250"/>
      <c r="D20" s="2248"/>
      <c r="E20" s="786"/>
      <c r="F20" s="786"/>
      <c r="G20" s="786"/>
      <c r="H20" s="2286"/>
    </row>
    <row r="21" spans="1:14">
      <c r="A21" s="2111" t="s">
        <v>691</v>
      </c>
      <c r="B21" s="2250"/>
      <c r="C21" s="2250"/>
      <c r="D21" s="2248"/>
      <c r="E21" s="786"/>
      <c r="F21" s="786"/>
      <c r="G21" s="786"/>
      <c r="H21" s="2286"/>
    </row>
    <row r="22" spans="1:14" ht="14.25">
      <c r="A22" s="2116" t="s">
        <v>692</v>
      </c>
      <c r="B22" s="2129">
        <f>B23+B37</f>
        <v>25078.789578668911</v>
      </c>
      <c r="C22" s="2123">
        <f t="shared" ref="C22:H22" si="3">C23+C37</f>
        <v>27914.045326842883</v>
      </c>
      <c r="D22" s="2104">
        <f t="shared" si="3"/>
        <v>23627.273122644518</v>
      </c>
      <c r="E22" s="1165">
        <f t="shared" si="3"/>
        <v>23913.892417136209</v>
      </c>
      <c r="F22" s="1165">
        <f t="shared" si="3"/>
        <v>23962.286791428476</v>
      </c>
      <c r="G22" s="1165">
        <f t="shared" si="3"/>
        <v>23799.161439213371</v>
      </c>
      <c r="H22" s="2098">
        <f t="shared" si="3"/>
        <v>23960.612303427806</v>
      </c>
      <c r="I22" s="185"/>
      <c r="J22" s="185"/>
    </row>
    <row r="23" spans="1:14">
      <c r="A23" s="2109" t="s">
        <v>693</v>
      </c>
      <c r="B23" s="2130">
        <f>SUM(B24:B36)</f>
        <v>23182.489578668912</v>
      </c>
      <c r="C23" s="2124">
        <f t="shared" ref="C23:H23" si="4">SUM(C24:C36)</f>
        <v>26859.345326842882</v>
      </c>
      <c r="D23" s="2105">
        <f t="shared" si="4"/>
        <v>22581.173122644519</v>
      </c>
      <c r="E23" s="1166">
        <f t="shared" si="4"/>
        <v>22876.392417136209</v>
      </c>
      <c r="F23" s="1166">
        <f t="shared" si="4"/>
        <v>22933.386791428475</v>
      </c>
      <c r="G23" s="1166">
        <f t="shared" si="4"/>
        <v>22778.911439213371</v>
      </c>
      <c r="H23" s="2099">
        <f t="shared" si="4"/>
        <v>22948.962303427805</v>
      </c>
    </row>
    <row r="24" spans="1:14">
      <c r="A24" s="2111" t="s">
        <v>694</v>
      </c>
      <c r="B24" s="2131">
        <f>'12. Разходи'!C11+'12. Разходи'!J11+'12. Разходи'!Q11</f>
        <v>11193</v>
      </c>
      <c r="C24" s="2125">
        <f>'12. Разходи'!D11+'12. Разходи'!K11+'12. Разходи'!R11</f>
        <v>10211</v>
      </c>
      <c r="D24" s="1467">
        <f>'12. Разходи'!E11+'12. Разходи'!L11+'12. Разходи'!S11</f>
        <v>9099.4</v>
      </c>
      <c r="E24" s="830">
        <f>'12. Разходи'!F11+'12. Разходи'!M11+'12. Разходи'!T11</f>
        <v>8892.6</v>
      </c>
      <c r="F24" s="830">
        <f>'12. Разходи'!G11+'12. Разходи'!N11+'12. Разходи'!U11</f>
        <v>8430.4</v>
      </c>
      <c r="G24" s="830">
        <f>'12. Разходи'!H11+'12. Разходи'!O11+'12. Разходи'!V11</f>
        <v>8061</v>
      </c>
      <c r="H24" s="828">
        <f>'12. Разходи'!I11+'12. Разходи'!P11+'12. Разходи'!W11</f>
        <v>7692.8</v>
      </c>
      <c r="I24" s="389"/>
      <c r="J24" s="389"/>
      <c r="K24" s="389"/>
      <c r="L24" s="389"/>
      <c r="M24" s="389"/>
      <c r="N24" s="389"/>
    </row>
    <row r="25" spans="1:14">
      <c r="A25" s="2111" t="s">
        <v>695</v>
      </c>
      <c r="B25" s="2131">
        <f>'12. Разходи'!C28+'12. Разходи'!J28+'12. Разходи'!Q28</f>
        <v>1054.8737041230765</v>
      </c>
      <c r="C25" s="2125">
        <f>'12. Разходи'!D28+'12. Разходи'!K28+'12. Разходи'!R28</f>
        <v>2633.183892639915</v>
      </c>
      <c r="D25" s="1467">
        <f>'12. Разходи'!E28+'12. Разходи'!L28+'12. Разходи'!S28</f>
        <v>1014.6285846201913</v>
      </c>
      <c r="E25" s="830">
        <f>'12. Разходи'!F28+'12. Разходи'!M28+'12. Разходи'!T28</f>
        <v>1006.4285846201913</v>
      </c>
      <c r="F25" s="830">
        <f>'12. Разходи'!G28+'12. Разходи'!N28+'12. Разходи'!U28</f>
        <v>974.6285846201913</v>
      </c>
      <c r="G25" s="830">
        <f>'12. Разходи'!H28+'12. Разходи'!O28+'12. Разходи'!V28</f>
        <v>947.02858462019117</v>
      </c>
      <c r="H25" s="828">
        <f>'12. Разходи'!I28+'12. Разходи'!P28+'12. Разходи'!W28</f>
        <v>913.22858462019121</v>
      </c>
      <c r="I25" s="389"/>
      <c r="J25" s="389"/>
      <c r="K25" s="389"/>
      <c r="L25" s="389"/>
      <c r="M25" s="389"/>
      <c r="N25" s="389"/>
    </row>
    <row r="26" spans="1:14">
      <c r="A26" s="2111" t="s">
        <v>624</v>
      </c>
      <c r="B26" s="2131">
        <f>'12. Разходи'!C57+'12. Разходи'!J57+'12. Разходи'!Q57</f>
        <v>4380</v>
      </c>
      <c r="C26" s="2125">
        <f>'12. Разходи'!D57+'12. Разходи'!K57+'12. Разходи'!R57</f>
        <v>4649</v>
      </c>
      <c r="D26" s="1467">
        <f>'12. Разходи'!E57+'12. Разходи'!L57+'12. Разходи'!S57</f>
        <v>4621.3507405711434</v>
      </c>
      <c r="E26" s="830">
        <f>'12. Разходи'!F57+'12. Разходи'!M57+'12. Разходи'!T57</f>
        <v>4760.3054844512872</v>
      </c>
      <c r="F26" s="830">
        <f>'12. Разходи'!G57+'12. Разходи'!N57+'12. Разходи'!U57</f>
        <v>4931.2917583226308</v>
      </c>
      <c r="G26" s="830">
        <f>'12. Разходи'!H57+'12. Разходи'!O57+'12. Разходи'!V57</f>
        <v>5079.3456265224158</v>
      </c>
      <c r="H26" s="828">
        <f>'12. Разходи'!I57+'12. Разходи'!P57+'12. Разходи'!W57</f>
        <v>5240.6633252241791</v>
      </c>
      <c r="I26" s="389"/>
      <c r="J26" s="389"/>
      <c r="K26" s="389"/>
      <c r="L26" s="389"/>
      <c r="M26" s="389"/>
      <c r="N26" s="389"/>
    </row>
    <row r="27" spans="1:14">
      <c r="A27" s="2111" t="s">
        <v>696</v>
      </c>
      <c r="B27" s="2131">
        <f>'12. Разходи'!C61+'12. Разходи'!J61+'12. Разходи'!Q61</f>
        <v>796</v>
      </c>
      <c r="C27" s="2125">
        <f>'12. Разходи'!D61+'12. Разходи'!K61+'12. Разходи'!R61</f>
        <v>856</v>
      </c>
      <c r="D27" s="1467">
        <f>'12. Разходи'!E61+'12. Разходи'!L61+'12. Разходи'!S61</f>
        <v>850.1322016549716</v>
      </c>
      <c r="E27" s="830">
        <f>'12. Разходи'!F61+'12. Разходи'!M61+'12. Разходи'!T61</f>
        <v>878.85642499146661</v>
      </c>
      <c r="F27" s="830">
        <f>'12. Разходи'!G61+'12. Разходи'!N61+'12. Разходи'!U61</f>
        <v>913.53886086186037</v>
      </c>
      <c r="G27" s="830">
        <f>'12. Разходи'!H61+'12. Разходи'!O61+'12. Разходи'!V61</f>
        <v>941.2573818033959</v>
      </c>
      <c r="H27" s="828">
        <f>'12. Разходи'!I61+'12. Разходи'!P61+'12. Разходи'!W61</f>
        <v>973.80882820539546</v>
      </c>
      <c r="I27" s="389"/>
      <c r="J27" s="389"/>
      <c r="K27" s="389"/>
      <c r="L27" s="389"/>
      <c r="M27" s="389"/>
      <c r="N27" s="389"/>
    </row>
    <row r="28" spans="1:14">
      <c r="A28" s="2111" t="s">
        <v>697</v>
      </c>
      <c r="B28" s="2131">
        <f>'12. Разходи'!C53+'12. Разходи'!J53+'12. Разходи'!Q53</f>
        <v>1824.6158745458326</v>
      </c>
      <c r="C28" s="2125">
        <f>'12. Разходи'!D53+'12. Разходи'!K53+'12. Разходи'!R53</f>
        <v>1908.1394342029671</v>
      </c>
      <c r="D28" s="1467">
        <f>'12. Разходи'!E53+'12. Разходи'!L53+'12. Разходи'!S53</f>
        <v>2313.0941777982139</v>
      </c>
      <c r="E28" s="830">
        <f>'12. Разходи'!F53+'12. Разходи'!M53+'12. Разходи'!T53</f>
        <v>2489.1436244648803</v>
      </c>
      <c r="F28" s="830">
        <f>'12. Разходи'!G53+'12. Разходи'!N53+'12. Разходи'!U53</f>
        <v>2680.9769577982138</v>
      </c>
      <c r="G28" s="830">
        <f>'12. Разходи'!H53+'12. Разходи'!O53+'12. Разходи'!V53</f>
        <v>2718.0769577982142</v>
      </c>
      <c r="H28" s="828">
        <f>'12. Разходи'!I53+'12. Разходи'!P53+'12. Разходи'!W53</f>
        <v>2873.6769577982141</v>
      </c>
      <c r="I28" s="389"/>
      <c r="J28" s="389"/>
      <c r="K28" s="389"/>
      <c r="L28" s="389"/>
      <c r="M28" s="389"/>
      <c r="N28" s="389"/>
    </row>
    <row r="29" spans="1:14">
      <c r="A29" s="2111" t="s">
        <v>698</v>
      </c>
      <c r="B29" s="2250"/>
      <c r="C29" s="2250"/>
      <c r="D29" s="2248"/>
      <c r="E29" s="786"/>
      <c r="F29" s="786"/>
      <c r="G29" s="786"/>
      <c r="H29" s="2286"/>
    </row>
    <row r="30" spans="1:14">
      <c r="A30" s="2112" t="s">
        <v>699</v>
      </c>
      <c r="B30" s="2250">
        <v>500</v>
      </c>
      <c r="C30" s="3119">
        <f>'9.Инвестиционна програма'!F70</f>
        <v>3826</v>
      </c>
      <c r="D30" s="3120">
        <f>'9.Инвестиционна програма'!G70</f>
        <v>1817.91722</v>
      </c>
      <c r="E30" s="3121">
        <f>'9.Инвестиционна програма'!H70</f>
        <v>1996.6666666666665</v>
      </c>
      <c r="F30" s="3121">
        <f>'9.Инвестиционна програма'!I70</f>
        <v>2170</v>
      </c>
      <c r="G30" s="3121">
        <f>'9.Инвестиционна програма'!J70</f>
        <v>2209</v>
      </c>
      <c r="H30" s="3122">
        <f>'9.Инвестиционна програма'!K70</f>
        <v>2439</v>
      </c>
    </row>
    <row r="31" spans="1:14">
      <c r="A31" s="2111" t="s">
        <v>626</v>
      </c>
      <c r="B31" s="2131">
        <f>'12. Разходи'!C66+'12. Разходи'!J66+'12. Разходи'!Q66</f>
        <v>811</v>
      </c>
      <c r="C31" s="2125">
        <f>'12. Разходи'!D66+'12. Разходи'!K66+'12. Разходи'!R66</f>
        <v>833</v>
      </c>
      <c r="D31" s="1467">
        <f>'12. Разходи'!E66+'12. Разходи'!L66+'12. Разходи'!S66</f>
        <v>999.89119800000003</v>
      </c>
      <c r="E31" s="830">
        <f>'12. Разходи'!F66+'12. Разходи'!M66+'12. Разходи'!T66</f>
        <v>980.73563194171595</v>
      </c>
      <c r="F31" s="830">
        <f>'12. Разходи'!G66+'12. Разходи'!N66+'12. Разходи'!U66</f>
        <v>954.91462982557994</v>
      </c>
      <c r="G31" s="830">
        <f>'12. Разходи'!H66+'12. Разходи'!O66+'12. Разходи'!V66</f>
        <v>939.58688846915595</v>
      </c>
      <c r="H31" s="828">
        <f>'12. Разходи'!I66+'12. Разходи'!P66+'12. Разходи'!W66</f>
        <v>927.38460757982</v>
      </c>
    </row>
    <row r="32" spans="1:14">
      <c r="A32" s="2113" t="s">
        <v>700</v>
      </c>
      <c r="B32" s="2131">
        <f>('12. Разходи'!C72+'12. Разходи'!J72+'12. Разходи'!Q72)</f>
        <v>130</v>
      </c>
      <c r="C32" s="2125">
        <f>('12. Разходи'!D72+'12. Разходи'!K72+'12. Разходи'!R72)</f>
        <v>221</v>
      </c>
      <c r="D32" s="1467">
        <f>('12. Разходи'!E72+'12. Разходи'!L72+'12. Разходи'!S72)</f>
        <v>130</v>
      </c>
      <c r="E32" s="830">
        <f>('12. Разходи'!F72+'12. Разходи'!M72+'12. Разходи'!T72)</f>
        <v>130</v>
      </c>
      <c r="F32" s="830">
        <f>('12. Разходи'!G72+'12. Разходи'!N72+'12. Разходи'!U72)</f>
        <v>130</v>
      </c>
      <c r="G32" s="830">
        <f>('12. Разходи'!H72+'12. Разходи'!O72+'12. Разходи'!V72)</f>
        <v>130</v>
      </c>
      <c r="H32" s="828">
        <f>('12. Разходи'!I72+'12. Разходи'!P72+'12. Разходи'!W72)</f>
        <v>130</v>
      </c>
    </row>
    <row r="33" spans="1:10">
      <c r="A33" s="2113" t="s">
        <v>288</v>
      </c>
      <c r="B33" s="2131">
        <f>'12. Разходи'!X84</f>
        <v>303</v>
      </c>
      <c r="C33" s="2125">
        <f>'12. Разходи'!Y84</f>
        <v>307.02199999999999</v>
      </c>
      <c r="D33" s="1467">
        <f>'12. Разходи'!Z84</f>
        <v>319.75900000000001</v>
      </c>
      <c r="E33" s="830">
        <f>'12. Разходи'!AA84</f>
        <v>326.65600000000001</v>
      </c>
      <c r="F33" s="830">
        <f>'12. Разходи'!AB84</f>
        <v>332.63600000000002</v>
      </c>
      <c r="G33" s="830">
        <f>'12. Разходи'!AC84</f>
        <v>338.61599999999999</v>
      </c>
      <c r="H33" s="828">
        <f>'12. Разходи'!AD84</f>
        <v>343.4</v>
      </c>
    </row>
    <row r="34" spans="1:10">
      <c r="A34" s="2114" t="s">
        <v>1444</v>
      </c>
      <c r="B34" s="3208">
        <f>2149-664-70+710+9+56</f>
        <v>2190</v>
      </c>
      <c r="C34" s="3208">
        <v>1415</v>
      </c>
      <c r="D34" s="3209">
        <v>1415</v>
      </c>
      <c r="E34" s="3210">
        <v>1415</v>
      </c>
      <c r="F34" s="3210">
        <v>1415</v>
      </c>
      <c r="G34" s="3210">
        <v>1415</v>
      </c>
      <c r="H34" s="3211">
        <v>1415</v>
      </c>
    </row>
    <row r="35" spans="1:10">
      <c r="A35" s="2114" t="s">
        <v>1445</v>
      </c>
      <c r="B35" s="2250"/>
      <c r="C35" s="2250"/>
      <c r="D35" s="2248"/>
      <c r="E35" s="786"/>
      <c r="F35" s="786"/>
      <c r="G35" s="786"/>
      <c r="H35" s="2286"/>
    </row>
    <row r="36" spans="1:10">
      <c r="A36" s="2114" t="s">
        <v>1446</v>
      </c>
      <c r="B36" s="2250"/>
      <c r="C36" s="2250"/>
      <c r="D36" s="2248"/>
      <c r="E36" s="786"/>
      <c r="F36" s="786"/>
      <c r="G36" s="786"/>
      <c r="H36" s="2286"/>
    </row>
    <row r="37" spans="1:10">
      <c r="A37" s="2117" t="s">
        <v>701</v>
      </c>
      <c r="B37" s="2130">
        <f>SUM(B38:B41)</f>
        <v>1896.3</v>
      </c>
      <c r="C37" s="2124">
        <f t="shared" ref="C37:H37" si="5">SUM(C38:C41)</f>
        <v>1054.7</v>
      </c>
      <c r="D37" s="2105">
        <f t="shared" si="5"/>
        <v>1046.0999999999999</v>
      </c>
      <c r="E37" s="1166">
        <f t="shared" si="5"/>
        <v>1037.5</v>
      </c>
      <c r="F37" s="1166">
        <f>SUM(F38:F41)</f>
        <v>1028.9000000000001</v>
      </c>
      <c r="G37" s="1166">
        <f>SUM(G38:G41)</f>
        <v>1020.25</v>
      </c>
      <c r="H37" s="2099">
        <f t="shared" si="5"/>
        <v>1011.65</v>
      </c>
    </row>
    <row r="38" spans="1:10">
      <c r="A38" s="2111" t="s">
        <v>702</v>
      </c>
      <c r="B38" s="3118">
        <f>'10. Финансиране на ИП'!C39+'10. Финансиране на ИП'!J39+'10. Финансиране на ИП'!Q39+'10. Финансиране на ИП'!C51+'10. Финансиране на ИП'!J51+'10. Финансиране на ИП'!C63+'10. Финансиране на ИП'!J63</f>
        <v>55.3</v>
      </c>
      <c r="C38" s="3119">
        <f>'10. Финансиране на ИП'!D39+'10. Финансиране на ИП'!K39+'10. Финансиране на ИП'!R39+'10. Финансиране на ИП'!D51+'10. Финансиране на ИП'!K51+'10. Финансиране на ИП'!D63+'10. Финансиране на ИП'!K63</f>
        <v>46.7</v>
      </c>
      <c r="D38" s="3120">
        <f>'10. Финансиране на ИП'!E39+'10. Финансиране на ИП'!L39+'10. Финансиране на ИП'!S39+'10. Финансиране на ИП'!E51+'10. Финансиране на ИП'!L51+'10. Финансиране на ИП'!E63+'10. Финансиране на ИП'!L63</f>
        <v>38.1</v>
      </c>
      <c r="E38" s="3121">
        <f>'10. Финансиране на ИП'!F39+'10. Финансиране на ИП'!M39+'10. Финансиране на ИП'!T39+'10. Финансиране на ИП'!F51+'10. Финансиране на ИП'!M51+'10. Финансиране на ИП'!F63+'10. Финансиране на ИП'!M63</f>
        <v>29.5</v>
      </c>
      <c r="F38" s="3121">
        <f>'10. Финансиране на ИП'!G39+'10. Финансиране на ИП'!N39+'10. Финансиране на ИП'!U39+'10. Финансиране на ИП'!G51+'10. Финансиране на ИП'!N51+'10. Финансиране на ИП'!G63+'10. Финансиране на ИП'!N63</f>
        <v>20.9</v>
      </c>
      <c r="G38" s="3121">
        <f>'10. Финансиране на ИП'!H39+'10. Финансиране на ИП'!O39+'10. Финансиране на ИП'!V39+'10. Финансиране на ИП'!H51+'10. Финансиране на ИП'!O51+'10. Финансиране на ИП'!H63+'10. Финансиране на ИП'!O63</f>
        <v>12.25</v>
      </c>
      <c r="H38" s="3122">
        <f>'10. Финансиране на ИП'!I39+'10. Финансиране на ИП'!P39+'10. Финансиране на ИП'!W39+'10. Финансиране на ИП'!I51+'10. Финансиране на ИП'!P51+'10. Финансиране на ИП'!I63+'10. Финансиране на ИП'!P63</f>
        <v>3.65</v>
      </c>
    </row>
    <row r="39" spans="1:10">
      <c r="A39" s="2111" t="s">
        <v>703</v>
      </c>
      <c r="B39" s="2250"/>
      <c r="C39" s="2250"/>
      <c r="D39" s="2248"/>
      <c r="E39" s="786"/>
      <c r="F39" s="786"/>
      <c r="G39" s="786"/>
      <c r="H39" s="2286"/>
    </row>
    <row r="40" spans="1:10">
      <c r="A40" s="2111" t="s">
        <v>704</v>
      </c>
      <c r="B40" s="2250">
        <v>833</v>
      </c>
      <c r="C40" s="2250"/>
      <c r="D40" s="2248"/>
      <c r="E40" s="786"/>
      <c r="F40" s="786"/>
      <c r="G40" s="786"/>
      <c r="H40" s="2286"/>
    </row>
    <row r="41" spans="1:10">
      <c r="A41" s="2118" t="s">
        <v>705</v>
      </c>
      <c r="B41" s="2250">
        <f>963+100-55</f>
        <v>1008</v>
      </c>
      <c r="C41" s="2250">
        <v>1008</v>
      </c>
      <c r="D41" s="2248">
        <v>1008</v>
      </c>
      <c r="E41" s="786">
        <v>1008</v>
      </c>
      <c r="F41" s="786">
        <v>1008</v>
      </c>
      <c r="G41" s="786">
        <v>1008</v>
      </c>
      <c r="H41" s="2286">
        <v>1008</v>
      </c>
    </row>
    <row r="42" spans="1:10" ht="14.25">
      <c r="A42" s="2119" t="s">
        <v>706</v>
      </c>
      <c r="B42" s="2133">
        <f t="shared" ref="B42:H42" si="6">B8-B23</f>
        <v>1444.5104213310879</v>
      </c>
      <c r="C42" s="2127">
        <f t="shared" si="6"/>
        <v>964.65467315711794</v>
      </c>
      <c r="D42" s="2107">
        <f t="shared" si="6"/>
        <v>6587.1833954527174</v>
      </c>
      <c r="E42" s="1168">
        <f t="shared" si="6"/>
        <v>6727.5604568314484</v>
      </c>
      <c r="F42" s="1168">
        <f t="shared" si="6"/>
        <v>6865.4954967186059</v>
      </c>
      <c r="G42" s="1168">
        <f t="shared" si="6"/>
        <v>6996.4759635150185</v>
      </c>
      <c r="H42" s="2101">
        <f t="shared" si="6"/>
        <v>7132.5549965174287</v>
      </c>
      <c r="I42" s="185"/>
      <c r="J42" s="185"/>
    </row>
    <row r="43" spans="1:10" ht="14.25">
      <c r="A43" s="2119" t="s">
        <v>707</v>
      </c>
      <c r="B43" s="2133">
        <f t="shared" ref="B43:H43" si="7">B7-B22</f>
        <v>45.210421331088583</v>
      </c>
      <c r="C43" s="2127">
        <f t="shared" si="7"/>
        <v>-90.045326842882787</v>
      </c>
      <c r="D43" s="2107">
        <f t="shared" si="7"/>
        <v>5541.0833954527188</v>
      </c>
      <c r="E43" s="1168">
        <f t="shared" si="7"/>
        <v>5690.0604568314484</v>
      </c>
      <c r="F43" s="1168">
        <f t="shared" si="7"/>
        <v>5836.5954967186044</v>
      </c>
      <c r="G43" s="1168">
        <f t="shared" si="7"/>
        <v>5976.2259635150185</v>
      </c>
      <c r="H43" s="2101">
        <f t="shared" si="7"/>
        <v>6120.9049965174272</v>
      </c>
      <c r="I43" s="185"/>
      <c r="J43" s="185"/>
    </row>
    <row r="44" spans="1:10">
      <c r="A44" s="2120" t="s">
        <v>708</v>
      </c>
      <c r="B44" s="2250">
        <v>0</v>
      </c>
      <c r="C44" s="2125">
        <f t="shared" ref="C44:H44" si="8">10%*(C43-C29)</f>
        <v>-9.0045326842882787</v>
      </c>
      <c r="D44" s="1467">
        <f t="shared" si="8"/>
        <v>554.10833954527186</v>
      </c>
      <c r="E44" s="830">
        <f t="shared" si="8"/>
        <v>569.00604568314486</v>
      </c>
      <c r="F44" s="830">
        <f t="shared" si="8"/>
        <v>583.65954967186042</v>
      </c>
      <c r="G44" s="830">
        <f t="shared" si="8"/>
        <v>597.6225963515019</v>
      </c>
      <c r="H44" s="828">
        <f t="shared" si="8"/>
        <v>612.09049965174279</v>
      </c>
    </row>
    <row r="45" spans="1:10">
      <c r="A45" s="2121" t="s">
        <v>709</v>
      </c>
      <c r="B45" s="2250">
        <v>35</v>
      </c>
      <c r="C45" s="2250"/>
      <c r="D45" s="2248"/>
      <c r="E45" s="786"/>
      <c r="F45" s="786"/>
      <c r="G45" s="786"/>
      <c r="H45" s="2286"/>
    </row>
    <row r="46" spans="1:10" ht="15" thickBot="1">
      <c r="A46" s="2122" t="s">
        <v>710</v>
      </c>
      <c r="B46" s="2134">
        <f>B43-B44-B45</f>
        <v>10.210421331088583</v>
      </c>
      <c r="C46" s="2128">
        <f t="shared" ref="C46:H46" si="9">C43-C44-C45</f>
        <v>-81.040794158594508</v>
      </c>
      <c r="D46" s="2108">
        <f t="shared" si="9"/>
        <v>4986.9750559074473</v>
      </c>
      <c r="E46" s="2102">
        <f t="shared" si="9"/>
        <v>5121.0544111483032</v>
      </c>
      <c r="F46" s="2102">
        <f t="shared" si="9"/>
        <v>5252.9359470467443</v>
      </c>
      <c r="G46" s="2102">
        <f t="shared" si="9"/>
        <v>5378.6033671635169</v>
      </c>
      <c r="H46" s="2103">
        <f t="shared" si="9"/>
        <v>5508.8144968656843</v>
      </c>
      <c r="I46" s="185"/>
      <c r="J46" s="185"/>
    </row>
    <row r="47" spans="1:10" ht="14.25">
      <c r="I47" s="185"/>
      <c r="J47" s="185"/>
    </row>
    <row r="49" spans="1:13" s="199" customFormat="1">
      <c r="A49" s="194"/>
      <c r="B49" s="194"/>
      <c r="C49" s="194"/>
      <c r="D49" s="292" t="str">
        <f>'13. Соц. поносимост'!E22</f>
        <v>Главен счетоводител:</v>
      </c>
      <c r="E49" s="289"/>
      <c r="F49" s="219" t="s">
        <v>262</v>
      </c>
      <c r="I49" s="217"/>
      <c r="K49" s="390"/>
      <c r="L49" s="391"/>
      <c r="M49" s="194"/>
    </row>
    <row r="50" spans="1:13" s="199" customFormat="1">
      <c r="A50" s="214" t="str">
        <f>'13. Соц. поносимост'!A23</f>
        <v>Дата: 10.11.2017 г.</v>
      </c>
      <c r="B50" s="221"/>
      <c r="C50" s="221"/>
      <c r="D50" s="288"/>
      <c r="E50" s="220"/>
      <c r="F50" s="290"/>
      <c r="G50" s="291" t="s">
        <v>5</v>
      </c>
      <c r="I50" s="217"/>
      <c r="K50" s="390"/>
      <c r="L50" s="391"/>
      <c r="M50" s="194"/>
    </row>
    <row r="51" spans="1:13" s="199" customFormat="1">
      <c r="A51" s="212"/>
      <c r="B51" s="212"/>
      <c r="C51" s="212"/>
      <c r="D51" s="288"/>
      <c r="E51" s="220"/>
      <c r="F51" s="290"/>
      <c r="G51" s="291"/>
      <c r="I51" s="217"/>
      <c r="K51" s="392"/>
      <c r="L51" s="391"/>
      <c r="M51" s="194"/>
    </row>
    <row r="52" spans="1:13" s="199" customFormat="1">
      <c r="A52" s="221"/>
      <c r="B52" s="221"/>
      <c r="C52" s="221"/>
      <c r="D52" s="288"/>
      <c r="E52" s="220"/>
      <c r="F52" s="290"/>
      <c r="G52" s="291"/>
      <c r="I52" s="217"/>
      <c r="K52" s="392"/>
      <c r="L52" s="391"/>
      <c r="M52" s="194"/>
    </row>
    <row r="53" spans="1:13" s="199" customFormat="1">
      <c r="A53" s="221"/>
      <c r="B53" s="221"/>
      <c r="C53" s="221"/>
      <c r="D53" s="288"/>
      <c r="E53" s="220"/>
      <c r="F53" s="290"/>
      <c r="G53" s="291"/>
      <c r="I53" s="217"/>
      <c r="K53" s="390"/>
      <c r="L53" s="391"/>
      <c r="M53" s="194"/>
    </row>
    <row r="54" spans="1:13" s="199" customFormat="1" ht="15">
      <c r="A54" s="221"/>
      <c r="B54" s="221"/>
      <c r="C54" s="221"/>
      <c r="D54" s="352"/>
      <c r="E54" s="292" t="str">
        <f>'13. Соц. поносимост'!F27</f>
        <v>Управител:</v>
      </c>
      <c r="F54" s="219" t="s">
        <v>262</v>
      </c>
      <c r="G54" s="217"/>
      <c r="I54" s="217"/>
      <c r="K54" s="390"/>
      <c r="L54" s="391"/>
      <c r="M54" s="194"/>
    </row>
    <row r="55" spans="1:13" s="199" customFormat="1">
      <c r="A55" s="221"/>
      <c r="B55" s="221"/>
      <c r="C55" s="221"/>
      <c r="D55" s="288"/>
      <c r="E55" s="293"/>
      <c r="F55" s="290"/>
      <c r="G55" s="291" t="s">
        <v>6</v>
      </c>
      <c r="I55" s="290"/>
      <c r="K55" s="390"/>
      <c r="L55" s="391"/>
      <c r="M55" s="194"/>
    </row>
    <row r="56" spans="1:13" s="199" customFormat="1">
      <c r="A56" s="3658" t="s">
        <v>247</v>
      </c>
      <c r="B56" s="3658"/>
      <c r="C56" s="3658"/>
      <c r="D56" s="3658"/>
      <c r="E56" s="176"/>
      <c r="F56" s="176"/>
      <c r="G56" s="176"/>
      <c r="H56" s="176"/>
      <c r="K56" s="390"/>
      <c r="L56" s="391"/>
      <c r="M56" s="194"/>
    </row>
    <row r="57" spans="1:13" s="199" customFormat="1">
      <c r="A57" s="3659" t="s">
        <v>248</v>
      </c>
      <c r="B57" s="3659"/>
      <c r="C57" s="3659"/>
      <c r="D57" s="3659"/>
      <c r="E57" s="176"/>
      <c r="F57" s="176"/>
      <c r="G57" s="176"/>
      <c r="H57" s="176"/>
      <c r="K57" s="393"/>
      <c r="L57" s="194"/>
      <c r="M57" s="194"/>
    </row>
    <row r="58" spans="1:13">
      <c r="A58" s="3657" t="s">
        <v>1538</v>
      </c>
      <c r="B58" s="3657"/>
      <c r="C58" s="3657"/>
      <c r="G58" s="172"/>
      <c r="H58" s="172"/>
    </row>
  </sheetData>
  <sheetProtection password="C6DB" sheet="1" objects="1" scenarios="1" formatCells="0" formatColumns="0" formatRows="0"/>
  <mergeCells count="6">
    <mergeCell ref="A58:C58"/>
    <mergeCell ref="A56:D56"/>
    <mergeCell ref="A57:D57"/>
    <mergeCell ref="A2:H2"/>
    <mergeCell ref="A3:H3"/>
    <mergeCell ref="A4:H4"/>
  </mergeCells>
  <printOptions horizontalCentered="1"/>
  <pageMargins left="0.51181102362204722" right="0.31496062992125984" top="0.74803149606299213" bottom="0.55118110236220474" header="0.31496062992125984" footer="0.31496062992125984"/>
  <pageSetup paperSize="9" scale="8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8" tint="0.79998168889431442"/>
  </sheetPr>
  <dimension ref="A1:M62"/>
  <sheetViews>
    <sheetView view="pageBreakPreview" zoomScale="110" zoomScaleNormal="100" zoomScaleSheetLayoutView="110" workbookViewId="0">
      <pane xSplit="8" ySplit="6" topLeftCell="I7" activePane="bottomRight" state="frozen"/>
      <selection pane="topRight" activeCell="I1" sqref="I1"/>
      <selection pane="bottomLeft" activeCell="A7" sqref="A7"/>
      <selection pane="bottomRight" activeCell="B30" sqref="B30"/>
    </sheetView>
  </sheetViews>
  <sheetFormatPr defaultColWidth="9.140625" defaultRowHeight="12.75"/>
  <cols>
    <col min="1" max="1" width="58.140625" style="172" customWidth="1"/>
    <col min="2" max="6" width="9.7109375" style="172" customWidth="1"/>
    <col min="7" max="8" width="9.140625" style="183"/>
    <col min="9" max="16384" width="9.140625" style="133"/>
  </cols>
  <sheetData>
    <row r="1" spans="1:9" ht="13.5">
      <c r="G1" s="388"/>
      <c r="H1" s="51" t="str">
        <f>'14. ОПР'!H1</f>
        <v>Приложение № 5</v>
      </c>
    </row>
    <row r="2" spans="1:9" ht="38.25" customHeight="1">
      <c r="A2" s="3486" t="s">
        <v>1419</v>
      </c>
      <c r="B2" s="3486"/>
      <c r="C2" s="3486"/>
      <c r="D2" s="3486"/>
      <c r="E2" s="3486"/>
      <c r="F2" s="3486"/>
    </row>
    <row r="3" spans="1:9" ht="15.75">
      <c r="A3" s="3493" t="str">
        <f>'1. Анкетна карта'!A3:J3</f>
        <v>на "ВОДОСНАБДЯВАНЕ И КАНАЛИЗАЦИЯ ДОБРИЧ" АД, гр. Добрич</v>
      </c>
      <c r="B3" s="3493"/>
      <c r="C3" s="3493"/>
      <c r="D3" s="3493"/>
      <c r="E3" s="3493"/>
      <c r="F3" s="3493"/>
    </row>
    <row r="4" spans="1:9" ht="15.75">
      <c r="A4" s="3493" t="str">
        <f>'1. Анкетна карта'!A4:J4</f>
        <v>ЕИК по БУЛСТАТ: 204219357</v>
      </c>
      <c r="B4" s="3493"/>
      <c r="C4" s="3493"/>
      <c r="D4" s="3493"/>
      <c r="E4" s="3493"/>
      <c r="F4" s="3493"/>
    </row>
    <row r="5" spans="1:9" ht="13.5" thickBot="1">
      <c r="A5" s="190"/>
      <c r="B5" s="190"/>
      <c r="C5" s="190"/>
      <c r="D5" s="190"/>
      <c r="E5" s="190"/>
      <c r="F5" s="190"/>
    </row>
    <row r="6" spans="1:9" ht="13.5" thickBot="1">
      <c r="A6" s="2141" t="s">
        <v>681</v>
      </c>
      <c r="B6" s="2142" t="str">
        <f>'Приложение '!$G12</f>
        <v>2015 г.</v>
      </c>
      <c r="C6" s="2143" t="str">
        <f>'Приложение '!$G13</f>
        <v>2016 г.</v>
      </c>
      <c r="D6" s="2144" t="str">
        <f>'Приложение '!$G14</f>
        <v>2017 г.</v>
      </c>
      <c r="E6" s="2145" t="str">
        <f>'Приложение '!$G15</f>
        <v>2018 г.</v>
      </c>
      <c r="F6" s="2145" t="str">
        <f>'Приложение '!$G16</f>
        <v>2019 г.</v>
      </c>
      <c r="G6" s="2145" t="str">
        <f>'Приложение '!$G17</f>
        <v>2020 г.</v>
      </c>
      <c r="H6" s="2146" t="str">
        <f>'Приложение '!$G18</f>
        <v>2021 г.</v>
      </c>
    </row>
    <row r="7" spans="1:9" ht="14.25">
      <c r="A7" s="2135" t="s">
        <v>711</v>
      </c>
      <c r="B7" s="2136">
        <f t="shared" ref="B7:H7" si="0">B8+B15</f>
        <v>21115</v>
      </c>
      <c r="C7" s="2137">
        <f t="shared" si="0"/>
        <v>24915.599999999999</v>
      </c>
      <c r="D7" s="2138">
        <f t="shared" si="0"/>
        <v>28113.527157716686</v>
      </c>
      <c r="E7" s="2139">
        <f t="shared" si="0"/>
        <v>28421.743448761186</v>
      </c>
      <c r="F7" s="2139">
        <f t="shared" si="0"/>
        <v>28447.658745776498</v>
      </c>
      <c r="G7" s="2139">
        <f t="shared" si="0"/>
        <v>28372.664883274068</v>
      </c>
      <c r="H7" s="2140">
        <f t="shared" si="0"/>
        <v>28464.020759934279</v>
      </c>
      <c r="I7" s="185"/>
    </row>
    <row r="8" spans="1:9">
      <c r="A8" s="2109" t="s">
        <v>712</v>
      </c>
      <c r="B8" s="2130">
        <f t="shared" ref="B8:H8" si="1">SUM(B9:B14)</f>
        <v>18234.333333333332</v>
      </c>
      <c r="C8" s="2124">
        <f t="shared" si="1"/>
        <v>20714</v>
      </c>
      <c r="D8" s="2105">
        <f t="shared" si="1"/>
        <v>24066.439298097237</v>
      </c>
      <c r="E8" s="1166">
        <f t="shared" si="1"/>
        <v>24323.286207300989</v>
      </c>
      <c r="F8" s="1166">
        <f t="shared" si="1"/>
        <v>24344.882288147081</v>
      </c>
      <c r="G8" s="1166">
        <f t="shared" si="1"/>
        <v>24282.387402728389</v>
      </c>
      <c r="H8" s="2099">
        <f t="shared" si="1"/>
        <v>24358.517299945233</v>
      </c>
    </row>
    <row r="9" spans="1:9">
      <c r="A9" s="2110" t="s">
        <v>1453</v>
      </c>
      <c r="B9" s="2250">
        <f>(21039-B10)/1.2</f>
        <v>14340</v>
      </c>
      <c r="C9" s="2250">
        <f>16820</f>
        <v>16820</v>
      </c>
      <c r="D9" s="1467">
        <f>'16. Необходими приходи'!F11+'16. Необходими приходи'!M11+'16. Необходими приходи'!T11</f>
        <v>20172.439298097237</v>
      </c>
      <c r="E9" s="830">
        <f>'16. Необходими приходи'!G11+'16. Необходими приходи'!N11+'16. Необходими приходи'!U11</f>
        <v>20429.286207300989</v>
      </c>
      <c r="F9" s="830">
        <f>'16. Необходими приходи'!H11+'16. Необходими приходи'!O11+'16. Необходими приходи'!V11</f>
        <v>20450.882288147081</v>
      </c>
      <c r="G9" s="830">
        <f>'16. Необходими приходи'!I11+'16. Необходими приходи'!P11+'16. Необходими приходи'!W11</f>
        <v>20388.387402728389</v>
      </c>
      <c r="H9" s="828">
        <f>'16. Необходими приходи'!J11+'16. Необходими приходи'!Q11+'16. Необходими приходи'!X11</f>
        <v>20464.517299945233</v>
      </c>
    </row>
    <row r="10" spans="1:9">
      <c r="A10" s="2110" t="s">
        <v>1454</v>
      </c>
      <c r="B10" s="2250">
        <f>3831</f>
        <v>3831</v>
      </c>
      <c r="C10" s="2250">
        <v>3831</v>
      </c>
      <c r="D10" s="2248">
        <v>3831</v>
      </c>
      <c r="E10" s="786">
        <v>3831</v>
      </c>
      <c r="F10" s="786">
        <v>3831</v>
      </c>
      <c r="G10" s="786">
        <v>3831</v>
      </c>
      <c r="H10" s="2286">
        <v>3831</v>
      </c>
    </row>
    <row r="11" spans="1:9" ht="14.25" customHeight="1">
      <c r="A11" s="2113" t="s">
        <v>713</v>
      </c>
      <c r="B11" s="2250"/>
      <c r="C11" s="2250"/>
      <c r="D11" s="2248"/>
      <c r="E11" s="786"/>
      <c r="F11" s="786"/>
      <c r="G11" s="786"/>
      <c r="H11" s="2286"/>
    </row>
    <row r="12" spans="1:9" ht="14.25" customHeight="1">
      <c r="A12" s="2113" t="s">
        <v>1451</v>
      </c>
      <c r="B12" s="2250">
        <f>76/1.2</f>
        <v>63.333333333333336</v>
      </c>
      <c r="C12" s="2250">
        <v>63</v>
      </c>
      <c r="D12" s="2248">
        <v>63</v>
      </c>
      <c r="E12" s="786">
        <v>63</v>
      </c>
      <c r="F12" s="786">
        <v>63</v>
      </c>
      <c r="G12" s="786">
        <v>63</v>
      </c>
      <c r="H12" s="2286">
        <v>63</v>
      </c>
    </row>
    <row r="13" spans="1:9" ht="14.25" customHeight="1">
      <c r="A13" s="2114" t="s">
        <v>1449</v>
      </c>
      <c r="B13" s="2250"/>
      <c r="C13" s="2250"/>
      <c r="D13" s="2248"/>
      <c r="E13" s="786"/>
      <c r="F13" s="786"/>
      <c r="G13" s="786"/>
      <c r="H13" s="2286"/>
    </row>
    <row r="14" spans="1:9" ht="14.25" customHeight="1">
      <c r="A14" s="2114" t="s">
        <v>1450</v>
      </c>
      <c r="B14" s="2250"/>
      <c r="C14" s="2250"/>
      <c r="D14" s="2248"/>
      <c r="E14" s="786"/>
      <c r="F14" s="786"/>
      <c r="G14" s="786"/>
      <c r="H14" s="2286"/>
    </row>
    <row r="15" spans="1:9">
      <c r="A15" s="2115" t="s">
        <v>714</v>
      </c>
      <c r="B15" s="2130">
        <f>SUM(B16:B19)</f>
        <v>2880.6666666666665</v>
      </c>
      <c r="C15" s="2124">
        <f>SUM(C16:C19)</f>
        <v>4201.6000000000004</v>
      </c>
      <c r="D15" s="2124">
        <f t="shared" ref="D15:H15" si="2">SUM(D16:D19)</f>
        <v>4047.0878596194475</v>
      </c>
      <c r="E15" s="2124">
        <f t="shared" si="2"/>
        <v>4098.457241460198</v>
      </c>
      <c r="F15" s="2124">
        <f t="shared" si="2"/>
        <v>4102.7764576294167</v>
      </c>
      <c r="G15" s="2124">
        <f t="shared" si="2"/>
        <v>4090.2774805456779</v>
      </c>
      <c r="H15" s="2124">
        <f t="shared" si="2"/>
        <v>4105.5034599890469</v>
      </c>
    </row>
    <row r="16" spans="1:9">
      <c r="A16" s="2111" t="s">
        <v>715</v>
      </c>
      <c r="B16" s="2250"/>
      <c r="C16" s="2250"/>
      <c r="D16" s="2248"/>
      <c r="E16" s="786"/>
      <c r="F16" s="786"/>
      <c r="G16" s="786"/>
      <c r="H16" s="2286"/>
    </row>
    <row r="17" spans="1:9">
      <c r="A17" s="2111" t="s">
        <v>716</v>
      </c>
      <c r="B17" s="3118">
        <f>'10. Финансиране на ИП'!C15+'10. Финансиране на ИП'!C18+'10. Финансиране на ИП'!J15+'10. Финансиране на ИП'!J18+'10. Финансиране на ИП'!Q15+'10. Финансиране на ИП'!Q18</f>
        <v>0</v>
      </c>
      <c r="C17" s="3119">
        <f>'10. Финансиране на ИП'!D15+'10. Финансиране на ИП'!D18+'10. Финансиране на ИП'!K15+'10. Финансиране на ИП'!K18+'10. Финансиране на ИП'!R15+'10. Финансиране на ИП'!R18</f>
        <v>0</v>
      </c>
      <c r="D17" s="3120">
        <f>'10. Финансиране на ИП'!E15+'10. Финансиране на ИП'!E18+'10. Финансиране на ИП'!L15+'10. Финансиране на ИП'!L18+'10. Финансиране на ИП'!S15+'10. Финансиране на ИП'!S18</f>
        <v>0</v>
      </c>
      <c r="E17" s="3121">
        <f>'10. Финансиране на ИП'!F15+'10. Финансиране на ИП'!F18+'10. Финансиране на ИП'!M15+'10. Финансиране на ИП'!M18+'10. Финансиране на ИП'!T15+'10. Финансиране на ИП'!T18</f>
        <v>0</v>
      </c>
      <c r="F17" s="3121">
        <f>'10. Финансиране на ИП'!G15+'10. Финансиране на ИП'!G18+'10. Финансиране на ИП'!N15+'10. Финансиране на ИП'!N18+'10. Финансиране на ИП'!U15+'10. Финансиране на ИП'!U18</f>
        <v>0</v>
      </c>
      <c r="G17" s="3121">
        <f>'10. Финансиране на ИП'!H15+'10. Финансиране на ИП'!H18+'10. Финансиране на ИП'!O15+'10. Финансиране на ИП'!O18+'10. Финансиране на ИП'!V15+'10. Финансиране на ИП'!V18</f>
        <v>0</v>
      </c>
      <c r="H17" s="3122">
        <f>'10. Финансиране на ИП'!I15+'10. Финансиране на ИП'!I18+'10. Финансиране на ИП'!P15+'10. Финансиране на ИП'!P18+'10. Финансиране на ИП'!W15+'10. Финансиране на ИП'!W18</f>
        <v>0</v>
      </c>
    </row>
    <row r="18" spans="1:9">
      <c r="A18" s="2111" t="s">
        <v>717</v>
      </c>
      <c r="B18" s="2250"/>
      <c r="C18" s="2250">
        <v>825</v>
      </c>
      <c r="D18" s="2248"/>
      <c r="E18" s="786"/>
      <c r="F18" s="786"/>
      <c r="G18" s="786"/>
      <c r="H18" s="2286"/>
    </row>
    <row r="19" spans="1:9">
      <c r="A19" s="3197" t="s">
        <v>1628</v>
      </c>
      <c r="B19" s="3206">
        <f>SUM(B8-B10)*20%</f>
        <v>2880.6666666666665</v>
      </c>
      <c r="C19" s="3204">
        <f>SUM(C8-C10)*20%</f>
        <v>3376.6000000000004</v>
      </c>
      <c r="D19" s="3205">
        <f>SUM(D8-D10)*20%</f>
        <v>4047.0878596194475</v>
      </c>
      <c r="E19" s="3203">
        <f t="shared" ref="E19:H19" si="3">SUM(E8-E10)*20%</f>
        <v>4098.457241460198</v>
      </c>
      <c r="F19" s="3203">
        <f t="shared" si="3"/>
        <v>4102.7764576294167</v>
      </c>
      <c r="G19" s="3203">
        <f t="shared" si="3"/>
        <v>4090.2774805456779</v>
      </c>
      <c r="H19" s="3204">
        <f t="shared" si="3"/>
        <v>4105.5034599890469</v>
      </c>
    </row>
    <row r="20" spans="1:9" ht="14.25">
      <c r="A20" s="2116" t="s">
        <v>718</v>
      </c>
      <c r="B20" s="2129">
        <f t="shared" ref="B20:H20" si="4">B21+B34+B37</f>
        <v>-21088.340000000004</v>
      </c>
      <c r="C20" s="2123">
        <f t="shared" si="4"/>
        <v>-28929.673963981593</v>
      </c>
      <c r="D20" s="2104">
        <f t="shared" si="4"/>
        <v>-21789.454188676362</v>
      </c>
      <c r="E20" s="1165">
        <f t="shared" si="4"/>
        <v>-22481.22610555686</v>
      </c>
      <c r="F20" s="1165">
        <f t="shared" si="4"/>
        <v>-22247.690969817781</v>
      </c>
      <c r="G20" s="1165">
        <f t="shared" si="4"/>
        <v>-21922.61009867513</v>
      </c>
      <c r="H20" s="2098">
        <f t="shared" si="4"/>
        <v>-21769.311630125831</v>
      </c>
      <c r="I20" s="185"/>
    </row>
    <row r="21" spans="1:9">
      <c r="A21" s="2109" t="s">
        <v>719</v>
      </c>
      <c r="B21" s="2130">
        <f t="shared" ref="B21:H21" si="5">SUM(B22:B33)</f>
        <v>-16178.54</v>
      </c>
      <c r="C21" s="2124">
        <f t="shared" si="5"/>
        <v>-21125.205892639915</v>
      </c>
      <c r="D21" s="2105">
        <f t="shared" si="5"/>
        <v>-18450.161724846308</v>
      </c>
      <c r="E21" s="1166">
        <f t="shared" si="5"/>
        <v>-18390.582126004661</v>
      </c>
      <c r="F21" s="1166">
        <f t="shared" si="5"/>
        <v>-18082.40983363026</v>
      </c>
      <c r="G21" s="1166">
        <f t="shared" si="5"/>
        <v>-17851.834481415157</v>
      </c>
      <c r="H21" s="2099">
        <f t="shared" si="5"/>
        <v>-17636.285345629585</v>
      </c>
    </row>
    <row r="22" spans="1:9">
      <c r="A22" s="2111" t="s">
        <v>694</v>
      </c>
      <c r="B22" s="2250">
        <f>(-10870-397+4800-1395)/1.2</f>
        <v>-6551.666666666667</v>
      </c>
      <c r="C22" s="2125">
        <f>-'14. ОПР'!C24</f>
        <v>-10211</v>
      </c>
      <c r="D22" s="1467">
        <f>-'14. ОПР'!D24</f>
        <v>-9099.4</v>
      </c>
      <c r="E22" s="830">
        <f>-'14. ОПР'!E24</f>
        <v>-8892.6</v>
      </c>
      <c r="F22" s="830">
        <f>-'14. ОПР'!F24</f>
        <v>-8430.4</v>
      </c>
      <c r="G22" s="830">
        <f>-'14. ОПР'!G24</f>
        <v>-8061</v>
      </c>
      <c r="H22" s="828">
        <f>-'14. ОПР'!H24</f>
        <v>-7692.8</v>
      </c>
    </row>
    <row r="23" spans="1:9">
      <c r="A23" s="2111" t="s">
        <v>695</v>
      </c>
      <c r="B23" s="2250">
        <f>(-1763-215)/1.2</f>
        <v>-1648.3333333333335</v>
      </c>
      <c r="C23" s="2125">
        <f>-'14. ОПР'!C25</f>
        <v>-2633.183892639915</v>
      </c>
      <c r="D23" s="1467">
        <f>-'14. ОПР'!D25</f>
        <v>-1014.6285846201913</v>
      </c>
      <c r="E23" s="830">
        <f>-'14. ОПР'!E25</f>
        <v>-1006.4285846201913</v>
      </c>
      <c r="F23" s="830">
        <f>-'14. ОПР'!F25</f>
        <v>-974.6285846201913</v>
      </c>
      <c r="G23" s="830">
        <f>-'14. ОПР'!G25</f>
        <v>-947.02858462019117</v>
      </c>
      <c r="H23" s="828">
        <f>-'14. ОПР'!H25</f>
        <v>-913.22858462019121</v>
      </c>
    </row>
    <row r="24" spans="1:9">
      <c r="A24" s="2111" t="s">
        <v>720</v>
      </c>
      <c r="B24" s="2250">
        <f>-4180</f>
        <v>-4180</v>
      </c>
      <c r="C24" s="2125">
        <f>-'14. ОПР'!C26</f>
        <v>-4649</v>
      </c>
      <c r="D24" s="1467">
        <f>-'14. ОПР'!D26</f>
        <v>-4621.3507405711434</v>
      </c>
      <c r="E24" s="830">
        <f>-'14. ОПР'!E26</f>
        <v>-4760.3054844512872</v>
      </c>
      <c r="F24" s="830">
        <f>-'14. ОПР'!F26</f>
        <v>-4931.2917583226308</v>
      </c>
      <c r="G24" s="830">
        <f>-'14. ОПР'!G26</f>
        <v>-5079.3456265224158</v>
      </c>
      <c r="H24" s="828">
        <f>-'14. ОПР'!H26</f>
        <v>-5240.6633252241791</v>
      </c>
    </row>
    <row r="25" spans="1:9">
      <c r="A25" s="2111" t="s">
        <v>721</v>
      </c>
      <c r="B25" s="2250">
        <f>-796</f>
        <v>-796</v>
      </c>
      <c r="C25" s="2125">
        <f>-'14. ОПР'!C27</f>
        <v>-856</v>
      </c>
      <c r="D25" s="1467">
        <f>-'14. ОПР'!D27</f>
        <v>-850.1322016549716</v>
      </c>
      <c r="E25" s="830">
        <f>-'14. ОПР'!E27</f>
        <v>-878.85642499146661</v>
      </c>
      <c r="F25" s="830">
        <f>-'14. ОПР'!F27</f>
        <v>-913.53886086186037</v>
      </c>
      <c r="G25" s="830">
        <f>-'14. ОПР'!G27</f>
        <v>-941.2573818033959</v>
      </c>
      <c r="H25" s="828">
        <f>-'14. ОПР'!H27</f>
        <v>-973.80882820539546</v>
      </c>
    </row>
    <row r="26" spans="1:9">
      <c r="A26" s="2111" t="s">
        <v>722</v>
      </c>
      <c r="B26" s="2250"/>
      <c r="C26" s="2125">
        <f>-('12. Разходи'!D69+'12. Разходи'!K69+'12. Разходи'!R69)</f>
        <v>-680</v>
      </c>
      <c r="D26" s="1467">
        <f>-('12. Разходи'!E69+'12. Разходи'!L69+'12. Разходи'!S69)</f>
        <v>-855.89119800000003</v>
      </c>
      <c r="E26" s="830">
        <f>-('12. Разходи'!F69+'12. Разходи'!M69+'12. Разходи'!T69)</f>
        <v>-836.73563194171595</v>
      </c>
      <c r="F26" s="830">
        <f>-('12. Разходи'!G69+'12. Разходи'!N69+'12. Разходи'!U69)</f>
        <v>-810.91462982557994</v>
      </c>
      <c r="G26" s="830">
        <f>-('12. Разходи'!H69+'12. Разходи'!O69+'12. Разходи'!V69)</f>
        <v>-795.58688846915595</v>
      </c>
      <c r="H26" s="828">
        <f>-('12. Разходи'!I69+'12. Разходи'!P69+'12. Разходи'!W69)</f>
        <v>-783.38460757982</v>
      </c>
    </row>
    <row r="27" spans="1:9">
      <c r="A27" s="2111" t="s">
        <v>723</v>
      </c>
      <c r="B27" s="2250"/>
      <c r="C27" s="2125">
        <f>-('12. Разходи'!D70+'12. Разходи'!K70+'12. Разходи'!R70)</f>
        <v>-29</v>
      </c>
      <c r="D27" s="1467">
        <f>-('12. Разходи'!E70+'12. Разходи'!L70+'12. Разходи'!S70)</f>
        <v>-25</v>
      </c>
      <c r="E27" s="830">
        <f>-('12. Разходи'!F70+'12. Разходи'!M70+'12. Разходи'!T70)</f>
        <v>-25</v>
      </c>
      <c r="F27" s="830">
        <f>-('12. Разходи'!G70+'12. Разходи'!N70+'12. Разходи'!U70)</f>
        <v>-25</v>
      </c>
      <c r="G27" s="830">
        <f>-('12. Разходи'!H70+'12. Разходи'!O70+'12. Разходи'!V70)</f>
        <v>-25</v>
      </c>
      <c r="H27" s="828">
        <f>-('12. Разходи'!I70+'12. Разходи'!P70+'12. Разходи'!W70)</f>
        <v>-25</v>
      </c>
    </row>
    <row r="28" spans="1:9">
      <c r="A28" s="2113" t="s">
        <v>724</v>
      </c>
      <c r="B28" s="2250"/>
      <c r="C28" s="2125">
        <f>-('12. Разходи'!D68+'12. Разходи'!K68+'12. Разходи'!R68)</f>
        <v>-42</v>
      </c>
      <c r="D28" s="1467">
        <f>-('12. Разходи'!E68+'12. Разходи'!L68+'12. Разходи'!S68)</f>
        <v>-42</v>
      </c>
      <c r="E28" s="830">
        <f>-('12. Разходи'!F68+'12. Разходи'!M68+'12. Разходи'!T68)</f>
        <v>-42</v>
      </c>
      <c r="F28" s="830">
        <f>-('12. Разходи'!G68+'12. Разходи'!N68+'12. Разходи'!U68)</f>
        <v>-42</v>
      </c>
      <c r="G28" s="830">
        <f>-('12. Разходи'!H68+'12. Разходи'!O68+'12. Разходи'!V68)</f>
        <v>-42</v>
      </c>
      <c r="H28" s="828">
        <f>-('12. Разходи'!I68+'12. Разходи'!P68+'12. Разходи'!W68)</f>
        <v>-42</v>
      </c>
    </row>
    <row r="29" spans="1:9">
      <c r="A29" s="2113" t="s">
        <v>725</v>
      </c>
      <c r="B29" s="2250">
        <f>-18/1.2</f>
        <v>-15</v>
      </c>
      <c r="C29" s="2125">
        <f>-'14. ОПР'!C31-'14. ОПР'!C32-SUM(C26:C28)</f>
        <v>-303</v>
      </c>
      <c r="D29" s="1467">
        <f>-'14. ОПР'!D31-'14. ОПР'!D32-SUM(D26:D28)</f>
        <v>-207</v>
      </c>
      <c r="E29" s="830">
        <f>-'14. ОПР'!E31-'14. ОПР'!E32-SUM(E26:E28)</f>
        <v>-206.99999999999989</v>
      </c>
      <c r="F29" s="830">
        <f>-'14. ОПР'!F31-'14. ОПР'!F32-SUM(F26:F28)</f>
        <v>-207.00000000000011</v>
      </c>
      <c r="G29" s="830">
        <f>-'14. ОПР'!G31-'14. ОПР'!G32-SUM(G26:G28)</f>
        <v>-206.99999999999989</v>
      </c>
      <c r="H29" s="828">
        <f>-'14. ОПР'!H31-'14. ОПР'!H32-SUM(H26:H28)</f>
        <v>-207.00000000000011</v>
      </c>
    </row>
    <row r="30" spans="1:9">
      <c r="A30" s="2113" t="s">
        <v>288</v>
      </c>
      <c r="B30" s="3208">
        <f>-129/1.2</f>
        <v>-107.5</v>
      </c>
      <c r="C30" s="2126">
        <f>-'14. ОПР'!C33</f>
        <v>-307.02199999999999</v>
      </c>
      <c r="D30" s="2106">
        <f>-'14. ОПР'!D33</f>
        <v>-319.75900000000001</v>
      </c>
      <c r="E30" s="1167">
        <f>-'14. ОПР'!E33</f>
        <v>-326.65600000000001</v>
      </c>
      <c r="F30" s="1167">
        <f>-'14. ОПР'!F33</f>
        <v>-332.63600000000002</v>
      </c>
      <c r="G30" s="1167">
        <f>-'14. ОПР'!G33</f>
        <v>-338.61599999999999</v>
      </c>
      <c r="H30" s="2100">
        <f>-'14. ОПР'!H33</f>
        <v>-343.4</v>
      </c>
    </row>
    <row r="31" spans="1:9">
      <c r="A31" s="2114" t="s">
        <v>1444</v>
      </c>
      <c r="B31" s="3208">
        <f>-1077.04-2918-80-200+1395</f>
        <v>-2880.04</v>
      </c>
      <c r="C31" s="2250">
        <f>-'14. ОПР'!C34</f>
        <v>-1415</v>
      </c>
      <c r="D31" s="2248">
        <f>-'14. ОПР'!D34</f>
        <v>-1415</v>
      </c>
      <c r="E31" s="786">
        <f>-'14. ОПР'!E34</f>
        <v>-1415</v>
      </c>
      <c r="F31" s="786">
        <f>-'14. ОПР'!F34</f>
        <v>-1415</v>
      </c>
      <c r="G31" s="786">
        <f>-'14. ОПР'!G34</f>
        <v>-1415</v>
      </c>
      <c r="H31" s="2286">
        <f>-'14. ОПР'!H34</f>
        <v>-1415</v>
      </c>
    </row>
    <row r="32" spans="1:9">
      <c r="A32" s="2114" t="s">
        <v>1445</v>
      </c>
      <c r="B32" s="2250"/>
      <c r="C32" s="2126">
        <f>-'14. ОПР'!C35</f>
        <v>0</v>
      </c>
      <c r="D32" s="2106">
        <f>-'14. ОПР'!D35</f>
        <v>0</v>
      </c>
      <c r="E32" s="1167">
        <f>-'14. ОПР'!E35</f>
        <v>0</v>
      </c>
      <c r="F32" s="1167">
        <f>-'14. ОПР'!F35</f>
        <v>0</v>
      </c>
      <c r="G32" s="1167">
        <f>-'14. ОПР'!G35</f>
        <v>0</v>
      </c>
      <c r="H32" s="2100">
        <f>-'14. ОПР'!H35</f>
        <v>0</v>
      </c>
    </row>
    <row r="33" spans="1:9">
      <c r="A33" s="2114" t="s">
        <v>1446</v>
      </c>
      <c r="B33" s="2250"/>
      <c r="C33" s="2126">
        <f>-'14. ОПР'!C36</f>
        <v>0</v>
      </c>
      <c r="D33" s="2106">
        <f>-'14. ОПР'!D36</f>
        <v>0</v>
      </c>
      <c r="E33" s="1167">
        <f>-'14. ОПР'!E36</f>
        <v>0</v>
      </c>
      <c r="F33" s="1167">
        <f>-'14. ОПР'!F36</f>
        <v>0</v>
      </c>
      <c r="G33" s="1167">
        <f>-'14. ОПР'!G36</f>
        <v>0</v>
      </c>
      <c r="H33" s="2100">
        <f>-'14. ОПР'!H36</f>
        <v>0</v>
      </c>
    </row>
    <row r="34" spans="1:9">
      <c r="A34" s="2117" t="s">
        <v>726</v>
      </c>
      <c r="B34" s="2130">
        <f>SUM(B35:B36)</f>
        <v>-996.66666666666674</v>
      </c>
      <c r="C34" s="2124">
        <f t="shared" ref="C34:H34" si="6">SUM(C35:C36)</f>
        <v>-3831</v>
      </c>
      <c r="D34" s="2105">
        <f t="shared" si="6"/>
        <v>-1936.91722</v>
      </c>
      <c r="E34" s="1166">
        <f t="shared" si="6"/>
        <v>-2173.6666666666665</v>
      </c>
      <c r="F34" s="1166">
        <f t="shared" si="6"/>
        <v>-2365</v>
      </c>
      <c r="G34" s="1166">
        <f t="shared" si="6"/>
        <v>-2396</v>
      </c>
      <c r="H34" s="2099">
        <f t="shared" si="6"/>
        <v>-2576</v>
      </c>
    </row>
    <row r="35" spans="1:9">
      <c r="A35" s="2111" t="s">
        <v>409</v>
      </c>
      <c r="B35" s="2250">
        <f>-1196/1.2</f>
        <v>-996.66666666666674</v>
      </c>
      <c r="C35" s="2125">
        <f>-'9.Инвестиционна програма'!F68</f>
        <v>-3831</v>
      </c>
      <c r="D35" s="1467">
        <f>-'9.Инвестиционна програма'!G68</f>
        <v>-1936.91722</v>
      </c>
      <c r="E35" s="830">
        <f>-'9.Инвестиционна програма'!H68</f>
        <v>-2173.6666666666665</v>
      </c>
      <c r="F35" s="830">
        <f>-'9.Инвестиционна програма'!I68</f>
        <v>-2365</v>
      </c>
      <c r="G35" s="830">
        <f>-'9.Инвестиционна програма'!J68</f>
        <v>-2396</v>
      </c>
      <c r="H35" s="828">
        <f>-'9.Инвестиционна програма'!K68</f>
        <v>-2576</v>
      </c>
    </row>
    <row r="36" spans="1:9">
      <c r="A36" s="2118" t="s">
        <v>727</v>
      </c>
      <c r="B36" s="2250"/>
      <c r="C36" s="2250"/>
      <c r="D36" s="2248"/>
      <c r="E36" s="786"/>
      <c r="F36" s="786"/>
      <c r="G36" s="786"/>
      <c r="H36" s="2286"/>
    </row>
    <row r="37" spans="1:9">
      <c r="A37" s="2117" t="s">
        <v>728</v>
      </c>
      <c r="B37" s="2130">
        <f t="shared" ref="B37:H37" si="7">SUM(B38:B44)</f>
        <v>-3913.1333333333332</v>
      </c>
      <c r="C37" s="2124">
        <f t="shared" si="7"/>
        <v>-3973.4680713416801</v>
      </c>
      <c r="D37" s="2105">
        <f t="shared" si="7"/>
        <v>-1402.3752438300548</v>
      </c>
      <c r="E37" s="1166">
        <f t="shared" si="7"/>
        <v>-1916.9773128855322</v>
      </c>
      <c r="F37" s="1166">
        <f t="shared" si="7"/>
        <v>-1800.2811361875197</v>
      </c>
      <c r="G37" s="1166">
        <f t="shared" si="7"/>
        <v>-1674.7756172599734</v>
      </c>
      <c r="H37" s="2099">
        <f t="shared" si="7"/>
        <v>-1557.0262844962458</v>
      </c>
    </row>
    <row r="38" spans="1:9">
      <c r="A38" s="2111" t="s">
        <v>729</v>
      </c>
      <c r="B38" s="2132">
        <f>-'14. ОПР'!B38</f>
        <v>-55.3</v>
      </c>
      <c r="C38" s="2126">
        <f>-'14. ОПР'!C38</f>
        <v>-46.7</v>
      </c>
      <c r="D38" s="2106">
        <f>-'14. ОПР'!D38</f>
        <v>-38.1</v>
      </c>
      <c r="E38" s="1167">
        <f>-'14. ОПР'!E38</f>
        <v>-29.5</v>
      </c>
      <c r="F38" s="1167">
        <f>-'14. ОПР'!F38</f>
        <v>-20.9</v>
      </c>
      <c r="G38" s="1167">
        <f>-'14. ОПР'!G38</f>
        <v>-12.25</v>
      </c>
      <c r="H38" s="2100">
        <f>-'14. ОПР'!H38</f>
        <v>-3.65</v>
      </c>
    </row>
    <row r="39" spans="1:9">
      <c r="A39" s="2111" t="s">
        <v>730</v>
      </c>
      <c r="B39" s="2250">
        <v>-977</v>
      </c>
      <c r="C39" s="2250">
        <f>-'10. Финансиране на ИП'!D50</f>
        <v>-281.28571428571428</v>
      </c>
      <c r="D39" s="2248">
        <f>-'10. Финансиране на ИП'!E50</f>
        <v>-281.28571428571428</v>
      </c>
      <c r="E39" s="786">
        <f>-'10. Финансиране на ИП'!F50</f>
        <v>-281.28571428571428</v>
      </c>
      <c r="F39" s="786">
        <f>-'10. Финансиране на ИП'!G50</f>
        <v>-281.28571428571428</v>
      </c>
      <c r="G39" s="786">
        <f>-'10. Финансиране на ИП'!H50</f>
        <v>-281.28571428571428</v>
      </c>
      <c r="H39" s="2286">
        <f>-'10. Финансиране на ИП'!I50</f>
        <v>-260.28571428571428</v>
      </c>
    </row>
    <row r="40" spans="1:9">
      <c r="A40" s="2118" t="s">
        <v>731</v>
      </c>
      <c r="B40" s="2250">
        <f>-163+55</f>
        <v>-108</v>
      </c>
      <c r="C40" s="2250">
        <v>-108</v>
      </c>
      <c r="D40" s="2248">
        <v>-108</v>
      </c>
      <c r="E40" s="786">
        <v>-108</v>
      </c>
      <c r="F40" s="786">
        <v>-108</v>
      </c>
      <c r="G40" s="786">
        <v>-108</v>
      </c>
      <c r="H40" s="2286">
        <v>-108</v>
      </c>
    </row>
    <row r="41" spans="1:9">
      <c r="A41" s="2118" t="s">
        <v>732</v>
      </c>
      <c r="B41" s="2250"/>
      <c r="C41" s="2125">
        <f>-'14. ОПР'!B44</f>
        <v>0</v>
      </c>
      <c r="D41" s="1467">
        <f>-'14. ОПР'!C44</f>
        <v>9.0045326842882787</v>
      </c>
      <c r="E41" s="830">
        <f>-'14. ОПР'!D44</f>
        <v>-554.10833954527186</v>
      </c>
      <c r="F41" s="830">
        <f>-'14. ОПР'!E44</f>
        <v>-569.00604568314486</v>
      </c>
      <c r="G41" s="830">
        <f>-'14. ОПР'!F44</f>
        <v>-583.65954967186042</v>
      </c>
      <c r="H41" s="828">
        <f>-'14. ОПР'!G44</f>
        <v>-597.6225963515019</v>
      </c>
    </row>
    <row r="42" spans="1:9">
      <c r="A42" s="3198" t="s">
        <v>1629</v>
      </c>
      <c r="B42" s="3207">
        <f>SUM(B22+B23+B29+B30+B32+B33+B35)*20%</f>
        <v>-1863.8333333333333</v>
      </c>
      <c r="C42" s="3201">
        <f>SUM(C22+C23+C29+C30+C32+C33+C35)*20%</f>
        <v>-3457.041178527983</v>
      </c>
      <c r="D42" s="3202">
        <f t="shared" ref="D42:H42" si="8">SUM(D22+D23+D29+D30+D32+D33+D35)*20%</f>
        <v>-2515.5409609240382</v>
      </c>
      <c r="E42" s="3203">
        <f t="shared" si="8"/>
        <v>-2521.270250257372</v>
      </c>
      <c r="F42" s="3203">
        <f t="shared" si="8"/>
        <v>-2461.9329169240386</v>
      </c>
      <c r="G42" s="3203">
        <f t="shared" si="8"/>
        <v>-2389.9289169240383</v>
      </c>
      <c r="H42" s="3204">
        <f t="shared" si="8"/>
        <v>-2346.4857169240381</v>
      </c>
    </row>
    <row r="43" spans="1:9">
      <c r="A43" s="2118" t="s">
        <v>733</v>
      </c>
      <c r="B43" s="3208">
        <v>-909</v>
      </c>
      <c r="C43" s="3119">
        <f t="shared" ref="C43:H43" si="9">20%*(C9+C11+C12+C13+C14)+20%*(C22+C23+C29+C30+C32+C33+C35)</f>
        <v>-80.441178527982629</v>
      </c>
      <c r="D43" s="3120">
        <f t="shared" si="9"/>
        <v>1531.5468986954093</v>
      </c>
      <c r="E43" s="3121">
        <f t="shared" si="9"/>
        <v>1577.186991202826</v>
      </c>
      <c r="F43" s="3121">
        <f t="shared" si="9"/>
        <v>1640.843540705378</v>
      </c>
      <c r="G43" s="3121">
        <f t="shared" si="9"/>
        <v>1700.3485636216396</v>
      </c>
      <c r="H43" s="3122">
        <f t="shared" si="9"/>
        <v>1759.0177430650087</v>
      </c>
    </row>
    <row r="44" spans="1:9">
      <c r="A44" s="2118" t="s">
        <v>734</v>
      </c>
      <c r="B44" s="2250"/>
      <c r="C44" s="2250"/>
      <c r="D44" s="2248"/>
      <c r="E44" s="786"/>
      <c r="F44" s="786"/>
      <c r="G44" s="786"/>
      <c r="H44" s="2286"/>
    </row>
    <row r="45" spans="1:9" ht="14.25">
      <c r="A45" s="2152" t="s">
        <v>735</v>
      </c>
      <c r="B45" s="2129">
        <f t="shared" ref="B45:H45" si="10">B8+B21</f>
        <v>2055.7933333333312</v>
      </c>
      <c r="C45" s="2123">
        <f t="shared" si="10"/>
        <v>-411.20589263991496</v>
      </c>
      <c r="D45" s="2104">
        <f t="shared" si="10"/>
        <v>5616.277573250929</v>
      </c>
      <c r="E45" s="1165">
        <f t="shared" si="10"/>
        <v>5932.7040812963278</v>
      </c>
      <c r="F45" s="1165">
        <f t="shared" si="10"/>
        <v>6262.472454516821</v>
      </c>
      <c r="G45" s="1165">
        <f t="shared" si="10"/>
        <v>6430.5529213132322</v>
      </c>
      <c r="H45" s="2098">
        <f t="shared" si="10"/>
        <v>6722.2319543156482</v>
      </c>
      <c r="I45" s="185"/>
    </row>
    <row r="46" spans="1:9" ht="14.25">
      <c r="A46" s="2152" t="s">
        <v>736</v>
      </c>
      <c r="B46" s="2129">
        <f>B45+B34</f>
        <v>1059.1266666666645</v>
      </c>
      <c r="C46" s="2123">
        <f t="shared" ref="C46:H46" si="11">C45+C34</f>
        <v>-4242.205892639915</v>
      </c>
      <c r="D46" s="2104">
        <f t="shared" si="11"/>
        <v>3679.3603532509287</v>
      </c>
      <c r="E46" s="1165">
        <f t="shared" si="11"/>
        <v>3759.0374146296613</v>
      </c>
      <c r="F46" s="1165">
        <f t="shared" si="11"/>
        <v>3897.472454516821</v>
      </c>
      <c r="G46" s="1165">
        <f t="shared" si="11"/>
        <v>4034.5529213132322</v>
      </c>
      <c r="H46" s="2098">
        <f t="shared" si="11"/>
        <v>4146.2319543156482</v>
      </c>
      <c r="I46" s="185"/>
    </row>
    <row r="47" spans="1:9" ht="14.25">
      <c r="A47" s="2152" t="s">
        <v>737</v>
      </c>
      <c r="B47" s="2129">
        <f t="shared" ref="B47:H47" si="12">B46+(B15+B37)</f>
        <v>26.659999999997808</v>
      </c>
      <c r="C47" s="2123">
        <f t="shared" si="12"/>
        <v>-4014.0739639815947</v>
      </c>
      <c r="D47" s="2104">
        <f t="shared" si="12"/>
        <v>6324.0729690403214</v>
      </c>
      <c r="E47" s="1165">
        <f t="shared" si="12"/>
        <v>5940.5173432043266</v>
      </c>
      <c r="F47" s="1165">
        <f t="shared" si="12"/>
        <v>6199.9677759587175</v>
      </c>
      <c r="G47" s="1165">
        <f t="shared" si="12"/>
        <v>6450.0547845989367</v>
      </c>
      <c r="H47" s="2098">
        <f t="shared" si="12"/>
        <v>6694.7091298084488</v>
      </c>
      <c r="I47" s="185"/>
    </row>
    <row r="48" spans="1:9">
      <c r="A48" s="2153" t="s">
        <v>738</v>
      </c>
      <c r="B48" s="2250">
        <v>141</v>
      </c>
      <c r="C48" s="2155">
        <f t="shared" ref="C48:H48" si="13">B49</f>
        <v>167.65999999999781</v>
      </c>
      <c r="D48" s="2150">
        <f t="shared" si="13"/>
        <v>-3846.4139639815967</v>
      </c>
      <c r="E48" s="1169">
        <f t="shared" si="13"/>
        <v>2477.6590050587247</v>
      </c>
      <c r="F48" s="1169">
        <f t="shared" si="13"/>
        <v>8418.1763482630522</v>
      </c>
      <c r="G48" s="1169">
        <f t="shared" si="13"/>
        <v>14618.14412422177</v>
      </c>
      <c r="H48" s="2147">
        <f t="shared" si="13"/>
        <v>21068.198908820705</v>
      </c>
    </row>
    <row r="49" spans="1:13" ht="13.5" thickBot="1">
      <c r="A49" s="2154" t="s">
        <v>739</v>
      </c>
      <c r="B49" s="2157">
        <f t="shared" ref="B49:H49" si="14">SUM(B47:B48)</f>
        <v>167.65999999999781</v>
      </c>
      <c r="C49" s="2156">
        <f t="shared" si="14"/>
        <v>-3846.4139639815967</v>
      </c>
      <c r="D49" s="2151">
        <f t="shared" si="14"/>
        <v>2477.6590050587247</v>
      </c>
      <c r="E49" s="2148">
        <f t="shared" si="14"/>
        <v>8418.1763482630522</v>
      </c>
      <c r="F49" s="2148">
        <f t="shared" si="14"/>
        <v>14618.14412422177</v>
      </c>
      <c r="G49" s="2148">
        <f t="shared" si="14"/>
        <v>21068.198908820705</v>
      </c>
      <c r="H49" s="2149">
        <f t="shared" si="14"/>
        <v>27762.908038629153</v>
      </c>
    </row>
    <row r="50" spans="1:13">
      <c r="A50" s="191"/>
      <c r="B50" s="191"/>
      <c r="C50" s="192"/>
      <c r="D50" s="193"/>
      <c r="E50" s="193"/>
      <c r="F50" s="193"/>
    </row>
    <row r="51" spans="1:13">
      <c r="B51" s="3199"/>
    </row>
    <row r="52" spans="1:13" s="199" customFormat="1">
      <c r="A52" s="194"/>
      <c r="B52" s="3200"/>
      <c r="C52" s="194"/>
      <c r="D52" s="292" t="str">
        <f>'14. ОПР'!D49</f>
        <v>Главен счетоводител:</v>
      </c>
      <c r="E52" s="289"/>
      <c r="F52" s="219" t="s">
        <v>262</v>
      </c>
      <c r="I52" s="217"/>
      <c r="K52" s="390"/>
      <c r="L52" s="391"/>
      <c r="M52" s="194"/>
    </row>
    <row r="53" spans="1:13" s="199" customFormat="1">
      <c r="A53" s="214" t="str">
        <f>'14. ОПР'!A50</f>
        <v>Дата: 10.11.2017 г.</v>
      </c>
      <c r="B53" s="221"/>
      <c r="C53" s="221"/>
      <c r="D53" s="288"/>
      <c r="E53" s="220"/>
      <c r="F53" s="290"/>
      <c r="G53" s="291" t="s">
        <v>5</v>
      </c>
      <c r="I53" s="217"/>
      <c r="K53" s="390"/>
      <c r="L53" s="391"/>
      <c r="M53" s="194"/>
    </row>
    <row r="54" spans="1:13" s="199" customFormat="1">
      <c r="A54" s="212"/>
      <c r="B54" s="212"/>
      <c r="C54" s="212"/>
      <c r="D54" s="288"/>
      <c r="E54" s="220"/>
      <c r="F54" s="290"/>
      <c r="G54" s="291"/>
      <c r="I54" s="217"/>
      <c r="K54" s="392"/>
      <c r="L54" s="391"/>
      <c r="M54" s="194"/>
    </row>
    <row r="55" spans="1:13" s="199" customFormat="1">
      <c r="A55" s="221"/>
      <c r="B55" s="221"/>
      <c r="C55" s="221"/>
      <c r="D55" s="288"/>
      <c r="E55" s="220"/>
      <c r="F55" s="290"/>
      <c r="G55" s="291"/>
      <c r="I55" s="217"/>
      <c r="K55" s="392"/>
      <c r="L55" s="391"/>
      <c r="M55" s="194"/>
    </row>
    <row r="56" spans="1:13" s="199" customFormat="1">
      <c r="A56" s="221"/>
      <c r="B56" s="221"/>
      <c r="C56" s="221"/>
      <c r="D56" s="288"/>
      <c r="E56" s="220"/>
      <c r="F56" s="290"/>
      <c r="G56" s="291"/>
      <c r="I56" s="217"/>
      <c r="K56" s="390"/>
      <c r="L56" s="391"/>
      <c r="M56" s="194"/>
    </row>
    <row r="57" spans="1:13" s="199" customFormat="1" ht="15">
      <c r="A57" s="221"/>
      <c r="B57" s="221"/>
      <c r="C57" s="221"/>
      <c r="D57" s="352"/>
      <c r="E57" s="292" t="str">
        <f>'14. ОПР'!E54</f>
        <v>Управител:</v>
      </c>
      <c r="F57" s="219" t="s">
        <v>262</v>
      </c>
      <c r="G57" s="217"/>
      <c r="I57" s="217"/>
      <c r="K57" s="390"/>
      <c r="L57" s="391"/>
      <c r="M57" s="194"/>
    </row>
    <row r="58" spans="1:13" s="199" customFormat="1">
      <c r="A58" s="221"/>
      <c r="B58" s="221"/>
      <c r="C58" s="221"/>
      <c r="D58" s="288"/>
      <c r="E58" s="293"/>
      <c r="F58" s="290"/>
      <c r="G58" s="291" t="s">
        <v>6</v>
      </c>
      <c r="I58" s="290"/>
      <c r="K58" s="390"/>
      <c r="L58" s="391"/>
      <c r="M58" s="194"/>
    </row>
    <row r="59" spans="1:13" s="199" customFormat="1">
      <c r="A59" s="3658" t="s">
        <v>247</v>
      </c>
      <c r="B59" s="3658"/>
      <c r="C59" s="3658"/>
      <c r="D59" s="3658"/>
      <c r="E59" s="176"/>
      <c r="F59" s="176"/>
      <c r="G59" s="176"/>
      <c r="H59" s="176"/>
      <c r="K59" s="390"/>
      <c r="L59" s="391"/>
      <c r="M59" s="194"/>
    </row>
    <row r="60" spans="1:13" s="199" customFormat="1">
      <c r="A60" s="3502" t="s">
        <v>248</v>
      </c>
      <c r="B60" s="3502"/>
      <c r="C60" s="3502"/>
      <c r="D60" s="3502"/>
      <c r="E60" s="176"/>
      <c r="F60" s="176"/>
      <c r="G60" s="176"/>
      <c r="H60" s="176"/>
      <c r="K60" s="393"/>
      <c r="L60" s="194"/>
      <c r="M60" s="194"/>
    </row>
    <row r="61" spans="1:13">
      <c r="A61" s="3660" t="s">
        <v>974</v>
      </c>
      <c r="B61" s="3660"/>
      <c r="C61" s="3660"/>
      <c r="D61" s="3660"/>
    </row>
    <row r="62" spans="1:13">
      <c r="A62" s="3657" t="s">
        <v>1539</v>
      </c>
      <c r="B62" s="3657"/>
      <c r="C62" s="3657"/>
    </row>
  </sheetData>
  <sheetProtection formatCells="0" formatColumns="0" formatRows="0"/>
  <mergeCells count="7">
    <mergeCell ref="A62:C62"/>
    <mergeCell ref="A61:D61"/>
    <mergeCell ref="A59:D59"/>
    <mergeCell ref="A60:D60"/>
    <mergeCell ref="A2:F2"/>
    <mergeCell ref="A3:F3"/>
    <mergeCell ref="A4:F4"/>
  </mergeCells>
  <printOptions horizontalCentered="1"/>
  <pageMargins left="0.51181102362204722" right="0.31496062992125984" top="0.74803149606299213" bottom="0.55118110236220474" header="0.31496062992125984" footer="0.31496062992125984"/>
  <pageSetup paperSize="9" scale="7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K62"/>
  <sheetViews>
    <sheetView view="pageBreakPreview" zoomScaleNormal="90" zoomScaleSheetLayoutView="100" workbookViewId="0">
      <selection activeCell="G28" sqref="G28:J28"/>
    </sheetView>
  </sheetViews>
  <sheetFormatPr defaultRowHeight="12.75"/>
  <cols>
    <col min="1" max="1" width="5.42578125" style="199" customWidth="1"/>
    <col min="2" max="2" width="7.7109375" style="199" customWidth="1"/>
    <col min="3" max="4" width="6.140625" style="199" customWidth="1"/>
    <col min="5" max="5" width="6.42578125" style="199" customWidth="1"/>
    <col min="6" max="6" width="6.85546875" style="199" customWidth="1"/>
    <col min="7" max="7" width="12.5703125" style="199" customWidth="1"/>
    <col min="8" max="8" width="12" style="199" customWidth="1"/>
    <col min="9" max="9" width="44.42578125" style="199" customWidth="1"/>
    <col min="10" max="10" width="14.28515625" style="199" customWidth="1"/>
    <col min="11" max="256" width="9.140625" style="199"/>
    <col min="257" max="257" width="5.42578125" style="199" customWidth="1"/>
    <col min="258" max="258" width="7.7109375" style="199" customWidth="1"/>
    <col min="259" max="260" width="6.140625" style="199" customWidth="1"/>
    <col min="261" max="261" width="6.42578125" style="199" customWidth="1"/>
    <col min="262" max="262" width="6.85546875" style="199" customWidth="1"/>
    <col min="263" max="263" width="12.5703125" style="199" customWidth="1"/>
    <col min="264" max="264" width="12" style="199" customWidth="1"/>
    <col min="265" max="265" width="12.140625" style="199" customWidth="1"/>
    <col min="266" max="266" width="14.28515625" style="199" customWidth="1"/>
    <col min="267" max="512" width="9.140625" style="199"/>
    <col min="513" max="513" width="5.42578125" style="199" customWidth="1"/>
    <col min="514" max="514" width="7.7109375" style="199" customWidth="1"/>
    <col min="515" max="516" width="6.140625" style="199" customWidth="1"/>
    <col min="517" max="517" width="6.42578125" style="199" customWidth="1"/>
    <col min="518" max="518" width="6.85546875" style="199" customWidth="1"/>
    <col min="519" max="519" width="12.5703125" style="199" customWidth="1"/>
    <col min="520" max="520" width="12" style="199" customWidth="1"/>
    <col min="521" max="521" width="12.140625" style="199" customWidth="1"/>
    <col min="522" max="522" width="14.28515625" style="199" customWidth="1"/>
    <col min="523" max="768" width="9.140625" style="199"/>
    <col min="769" max="769" width="5.42578125" style="199" customWidth="1"/>
    <col min="770" max="770" width="7.7109375" style="199" customWidth="1"/>
    <col min="771" max="772" width="6.140625" style="199" customWidth="1"/>
    <col min="773" max="773" width="6.42578125" style="199" customWidth="1"/>
    <col min="774" max="774" width="6.85546875" style="199" customWidth="1"/>
    <col min="775" max="775" width="12.5703125" style="199" customWidth="1"/>
    <col min="776" max="776" width="12" style="199" customWidth="1"/>
    <col min="777" max="777" width="12.140625" style="199" customWidth="1"/>
    <col min="778" max="778" width="14.28515625" style="199" customWidth="1"/>
    <col min="779" max="1024" width="9.140625" style="199"/>
    <col min="1025" max="1025" width="5.42578125" style="199" customWidth="1"/>
    <col min="1026" max="1026" width="7.7109375" style="199" customWidth="1"/>
    <col min="1027" max="1028" width="6.140625" style="199" customWidth="1"/>
    <col min="1029" max="1029" width="6.42578125" style="199" customWidth="1"/>
    <col min="1030" max="1030" width="6.85546875" style="199" customWidth="1"/>
    <col min="1031" max="1031" width="12.5703125" style="199" customWidth="1"/>
    <col min="1032" max="1032" width="12" style="199" customWidth="1"/>
    <col min="1033" max="1033" width="12.140625" style="199" customWidth="1"/>
    <col min="1034" max="1034" width="14.28515625" style="199" customWidth="1"/>
    <col min="1035" max="1280" width="9.140625" style="199"/>
    <col min="1281" max="1281" width="5.42578125" style="199" customWidth="1"/>
    <col min="1282" max="1282" width="7.7109375" style="199" customWidth="1"/>
    <col min="1283" max="1284" width="6.140625" style="199" customWidth="1"/>
    <col min="1285" max="1285" width="6.42578125" style="199" customWidth="1"/>
    <col min="1286" max="1286" width="6.85546875" style="199" customWidth="1"/>
    <col min="1287" max="1287" width="12.5703125" style="199" customWidth="1"/>
    <col min="1288" max="1288" width="12" style="199" customWidth="1"/>
    <col min="1289" max="1289" width="12.140625" style="199" customWidth="1"/>
    <col min="1290" max="1290" width="14.28515625" style="199" customWidth="1"/>
    <col min="1291" max="1536" width="9.140625" style="199"/>
    <col min="1537" max="1537" width="5.42578125" style="199" customWidth="1"/>
    <col min="1538" max="1538" width="7.7109375" style="199" customWidth="1"/>
    <col min="1539" max="1540" width="6.140625" style="199" customWidth="1"/>
    <col min="1541" max="1541" width="6.42578125" style="199" customWidth="1"/>
    <col min="1542" max="1542" width="6.85546875" style="199" customWidth="1"/>
    <col min="1543" max="1543" width="12.5703125" style="199" customWidth="1"/>
    <col min="1544" max="1544" width="12" style="199" customWidth="1"/>
    <col min="1545" max="1545" width="12.140625" style="199" customWidth="1"/>
    <col min="1546" max="1546" width="14.28515625" style="199" customWidth="1"/>
    <col min="1547" max="1792" width="9.140625" style="199"/>
    <col min="1793" max="1793" width="5.42578125" style="199" customWidth="1"/>
    <col min="1794" max="1794" width="7.7109375" style="199" customWidth="1"/>
    <col min="1795" max="1796" width="6.140625" style="199" customWidth="1"/>
    <col min="1797" max="1797" width="6.42578125" style="199" customWidth="1"/>
    <col min="1798" max="1798" width="6.85546875" style="199" customWidth="1"/>
    <col min="1799" max="1799" width="12.5703125" style="199" customWidth="1"/>
    <col min="1800" max="1800" width="12" style="199" customWidth="1"/>
    <col min="1801" max="1801" width="12.140625" style="199" customWidth="1"/>
    <col min="1802" max="1802" width="14.28515625" style="199" customWidth="1"/>
    <col min="1803" max="2048" width="9.140625" style="199"/>
    <col min="2049" max="2049" width="5.42578125" style="199" customWidth="1"/>
    <col min="2050" max="2050" width="7.7109375" style="199" customWidth="1"/>
    <col min="2051" max="2052" width="6.140625" style="199" customWidth="1"/>
    <col min="2053" max="2053" width="6.42578125" style="199" customWidth="1"/>
    <col min="2054" max="2054" width="6.85546875" style="199" customWidth="1"/>
    <col min="2055" max="2055" width="12.5703125" style="199" customWidth="1"/>
    <col min="2056" max="2056" width="12" style="199" customWidth="1"/>
    <col min="2057" max="2057" width="12.140625" style="199" customWidth="1"/>
    <col min="2058" max="2058" width="14.28515625" style="199" customWidth="1"/>
    <col min="2059" max="2304" width="9.140625" style="199"/>
    <col min="2305" max="2305" width="5.42578125" style="199" customWidth="1"/>
    <col min="2306" max="2306" width="7.7109375" style="199" customWidth="1"/>
    <col min="2307" max="2308" width="6.140625" style="199" customWidth="1"/>
    <col min="2309" max="2309" width="6.42578125" style="199" customWidth="1"/>
    <col min="2310" max="2310" width="6.85546875" style="199" customWidth="1"/>
    <col min="2311" max="2311" width="12.5703125" style="199" customWidth="1"/>
    <col min="2312" max="2312" width="12" style="199" customWidth="1"/>
    <col min="2313" max="2313" width="12.140625" style="199" customWidth="1"/>
    <col min="2314" max="2314" width="14.28515625" style="199" customWidth="1"/>
    <col min="2315" max="2560" width="9.140625" style="199"/>
    <col min="2561" max="2561" width="5.42578125" style="199" customWidth="1"/>
    <col min="2562" max="2562" width="7.7109375" style="199" customWidth="1"/>
    <col min="2563" max="2564" width="6.140625" style="199" customWidth="1"/>
    <col min="2565" max="2565" width="6.42578125" style="199" customWidth="1"/>
    <col min="2566" max="2566" width="6.85546875" style="199" customWidth="1"/>
    <col min="2567" max="2567" width="12.5703125" style="199" customWidth="1"/>
    <col min="2568" max="2568" width="12" style="199" customWidth="1"/>
    <col min="2569" max="2569" width="12.140625" style="199" customWidth="1"/>
    <col min="2570" max="2570" width="14.28515625" style="199" customWidth="1"/>
    <col min="2571" max="2816" width="9.140625" style="199"/>
    <col min="2817" max="2817" width="5.42578125" style="199" customWidth="1"/>
    <col min="2818" max="2818" width="7.7109375" style="199" customWidth="1"/>
    <col min="2819" max="2820" width="6.140625" style="199" customWidth="1"/>
    <col min="2821" max="2821" width="6.42578125" style="199" customWidth="1"/>
    <col min="2822" max="2822" width="6.85546875" style="199" customWidth="1"/>
    <col min="2823" max="2823" width="12.5703125" style="199" customWidth="1"/>
    <col min="2824" max="2824" width="12" style="199" customWidth="1"/>
    <col min="2825" max="2825" width="12.140625" style="199" customWidth="1"/>
    <col min="2826" max="2826" width="14.28515625" style="199" customWidth="1"/>
    <col min="2827" max="3072" width="9.140625" style="199"/>
    <col min="3073" max="3073" width="5.42578125" style="199" customWidth="1"/>
    <col min="3074" max="3074" width="7.7109375" style="199" customWidth="1"/>
    <col min="3075" max="3076" width="6.140625" style="199" customWidth="1"/>
    <col min="3077" max="3077" width="6.42578125" style="199" customWidth="1"/>
    <col min="3078" max="3078" width="6.85546875" style="199" customWidth="1"/>
    <col min="3079" max="3079" width="12.5703125" style="199" customWidth="1"/>
    <col min="3080" max="3080" width="12" style="199" customWidth="1"/>
    <col min="3081" max="3081" width="12.140625" style="199" customWidth="1"/>
    <col min="3082" max="3082" width="14.28515625" style="199" customWidth="1"/>
    <col min="3083" max="3328" width="9.140625" style="199"/>
    <col min="3329" max="3329" width="5.42578125" style="199" customWidth="1"/>
    <col min="3330" max="3330" width="7.7109375" style="199" customWidth="1"/>
    <col min="3331" max="3332" width="6.140625" style="199" customWidth="1"/>
    <col min="3333" max="3333" width="6.42578125" style="199" customWidth="1"/>
    <col min="3334" max="3334" width="6.85546875" style="199" customWidth="1"/>
    <col min="3335" max="3335" width="12.5703125" style="199" customWidth="1"/>
    <col min="3336" max="3336" width="12" style="199" customWidth="1"/>
    <col min="3337" max="3337" width="12.140625" style="199" customWidth="1"/>
    <col min="3338" max="3338" width="14.28515625" style="199" customWidth="1"/>
    <col min="3339" max="3584" width="9.140625" style="199"/>
    <col min="3585" max="3585" width="5.42578125" style="199" customWidth="1"/>
    <col min="3586" max="3586" width="7.7109375" style="199" customWidth="1"/>
    <col min="3587" max="3588" width="6.140625" style="199" customWidth="1"/>
    <col min="3589" max="3589" width="6.42578125" style="199" customWidth="1"/>
    <col min="3590" max="3590" width="6.85546875" style="199" customWidth="1"/>
    <col min="3591" max="3591" width="12.5703125" style="199" customWidth="1"/>
    <col min="3592" max="3592" width="12" style="199" customWidth="1"/>
    <col min="3593" max="3593" width="12.140625" style="199" customWidth="1"/>
    <col min="3594" max="3594" width="14.28515625" style="199" customWidth="1"/>
    <col min="3595" max="3840" width="9.140625" style="199"/>
    <col min="3841" max="3841" width="5.42578125" style="199" customWidth="1"/>
    <col min="3842" max="3842" width="7.7109375" style="199" customWidth="1"/>
    <col min="3843" max="3844" width="6.140625" style="199" customWidth="1"/>
    <col min="3845" max="3845" width="6.42578125" style="199" customWidth="1"/>
    <col min="3846" max="3846" width="6.85546875" style="199" customWidth="1"/>
    <col min="3847" max="3847" width="12.5703125" style="199" customWidth="1"/>
    <col min="3848" max="3848" width="12" style="199" customWidth="1"/>
    <col min="3849" max="3849" width="12.140625" style="199" customWidth="1"/>
    <col min="3850" max="3850" width="14.28515625" style="199" customWidth="1"/>
    <col min="3851" max="4096" width="9.140625" style="199"/>
    <col min="4097" max="4097" width="5.42578125" style="199" customWidth="1"/>
    <col min="4098" max="4098" width="7.7109375" style="199" customWidth="1"/>
    <col min="4099" max="4100" width="6.140625" style="199" customWidth="1"/>
    <col min="4101" max="4101" width="6.42578125" style="199" customWidth="1"/>
    <col min="4102" max="4102" width="6.85546875" style="199" customWidth="1"/>
    <col min="4103" max="4103" width="12.5703125" style="199" customWidth="1"/>
    <col min="4104" max="4104" width="12" style="199" customWidth="1"/>
    <col min="4105" max="4105" width="12.140625" style="199" customWidth="1"/>
    <col min="4106" max="4106" width="14.28515625" style="199" customWidth="1"/>
    <col min="4107" max="4352" width="9.140625" style="199"/>
    <col min="4353" max="4353" width="5.42578125" style="199" customWidth="1"/>
    <col min="4354" max="4354" width="7.7109375" style="199" customWidth="1"/>
    <col min="4355" max="4356" width="6.140625" style="199" customWidth="1"/>
    <col min="4357" max="4357" width="6.42578125" style="199" customWidth="1"/>
    <col min="4358" max="4358" width="6.85546875" style="199" customWidth="1"/>
    <col min="4359" max="4359" width="12.5703125" style="199" customWidth="1"/>
    <col min="4360" max="4360" width="12" style="199" customWidth="1"/>
    <col min="4361" max="4361" width="12.140625" style="199" customWidth="1"/>
    <col min="4362" max="4362" width="14.28515625" style="199" customWidth="1"/>
    <col min="4363" max="4608" width="9.140625" style="199"/>
    <col min="4609" max="4609" width="5.42578125" style="199" customWidth="1"/>
    <col min="4610" max="4610" width="7.7109375" style="199" customWidth="1"/>
    <col min="4611" max="4612" width="6.140625" style="199" customWidth="1"/>
    <col min="4613" max="4613" width="6.42578125" style="199" customWidth="1"/>
    <col min="4614" max="4614" width="6.85546875" style="199" customWidth="1"/>
    <col min="4615" max="4615" width="12.5703125" style="199" customWidth="1"/>
    <col min="4616" max="4616" width="12" style="199" customWidth="1"/>
    <col min="4617" max="4617" width="12.140625" style="199" customWidth="1"/>
    <col min="4618" max="4618" width="14.28515625" style="199" customWidth="1"/>
    <col min="4619" max="4864" width="9.140625" style="199"/>
    <col min="4865" max="4865" width="5.42578125" style="199" customWidth="1"/>
    <col min="4866" max="4866" width="7.7109375" style="199" customWidth="1"/>
    <col min="4867" max="4868" width="6.140625" style="199" customWidth="1"/>
    <col min="4869" max="4869" width="6.42578125" style="199" customWidth="1"/>
    <col min="4870" max="4870" width="6.85546875" style="199" customWidth="1"/>
    <col min="4871" max="4871" width="12.5703125" style="199" customWidth="1"/>
    <col min="4872" max="4872" width="12" style="199" customWidth="1"/>
    <col min="4873" max="4873" width="12.140625" style="199" customWidth="1"/>
    <col min="4874" max="4874" width="14.28515625" style="199" customWidth="1"/>
    <col min="4875" max="5120" width="9.140625" style="199"/>
    <col min="5121" max="5121" width="5.42578125" style="199" customWidth="1"/>
    <col min="5122" max="5122" width="7.7109375" style="199" customWidth="1"/>
    <col min="5123" max="5124" width="6.140625" style="199" customWidth="1"/>
    <col min="5125" max="5125" width="6.42578125" style="199" customWidth="1"/>
    <col min="5126" max="5126" width="6.85546875" style="199" customWidth="1"/>
    <col min="5127" max="5127" width="12.5703125" style="199" customWidth="1"/>
    <col min="5128" max="5128" width="12" style="199" customWidth="1"/>
    <col min="5129" max="5129" width="12.140625" style="199" customWidth="1"/>
    <col min="5130" max="5130" width="14.28515625" style="199" customWidth="1"/>
    <col min="5131" max="5376" width="9.140625" style="199"/>
    <col min="5377" max="5377" width="5.42578125" style="199" customWidth="1"/>
    <col min="5378" max="5378" width="7.7109375" style="199" customWidth="1"/>
    <col min="5379" max="5380" width="6.140625" style="199" customWidth="1"/>
    <col min="5381" max="5381" width="6.42578125" style="199" customWidth="1"/>
    <col min="5382" max="5382" width="6.85546875" style="199" customWidth="1"/>
    <col min="5383" max="5383" width="12.5703125" style="199" customWidth="1"/>
    <col min="5384" max="5384" width="12" style="199" customWidth="1"/>
    <col min="5385" max="5385" width="12.140625" style="199" customWidth="1"/>
    <col min="5386" max="5386" width="14.28515625" style="199" customWidth="1"/>
    <col min="5387" max="5632" width="9.140625" style="199"/>
    <col min="5633" max="5633" width="5.42578125" style="199" customWidth="1"/>
    <col min="5634" max="5634" width="7.7109375" style="199" customWidth="1"/>
    <col min="5635" max="5636" width="6.140625" style="199" customWidth="1"/>
    <col min="5637" max="5637" width="6.42578125" style="199" customWidth="1"/>
    <col min="5638" max="5638" width="6.85546875" style="199" customWidth="1"/>
    <col min="5639" max="5639" width="12.5703125" style="199" customWidth="1"/>
    <col min="5640" max="5640" width="12" style="199" customWidth="1"/>
    <col min="5641" max="5641" width="12.140625" style="199" customWidth="1"/>
    <col min="5642" max="5642" width="14.28515625" style="199" customWidth="1"/>
    <col min="5643" max="5888" width="9.140625" style="199"/>
    <col min="5889" max="5889" width="5.42578125" style="199" customWidth="1"/>
    <col min="5890" max="5890" width="7.7109375" style="199" customWidth="1"/>
    <col min="5891" max="5892" width="6.140625" style="199" customWidth="1"/>
    <col min="5893" max="5893" width="6.42578125" style="199" customWidth="1"/>
    <col min="5894" max="5894" width="6.85546875" style="199" customWidth="1"/>
    <col min="5895" max="5895" width="12.5703125" style="199" customWidth="1"/>
    <col min="5896" max="5896" width="12" style="199" customWidth="1"/>
    <col min="5897" max="5897" width="12.140625" style="199" customWidth="1"/>
    <col min="5898" max="5898" width="14.28515625" style="199" customWidth="1"/>
    <col min="5899" max="6144" width="9.140625" style="199"/>
    <col min="6145" max="6145" width="5.42578125" style="199" customWidth="1"/>
    <col min="6146" max="6146" width="7.7109375" style="199" customWidth="1"/>
    <col min="6147" max="6148" width="6.140625" style="199" customWidth="1"/>
    <col min="6149" max="6149" width="6.42578125" style="199" customWidth="1"/>
    <col min="6150" max="6150" width="6.85546875" style="199" customWidth="1"/>
    <col min="6151" max="6151" width="12.5703125" style="199" customWidth="1"/>
    <col min="6152" max="6152" width="12" style="199" customWidth="1"/>
    <col min="6153" max="6153" width="12.140625" style="199" customWidth="1"/>
    <col min="6154" max="6154" width="14.28515625" style="199" customWidth="1"/>
    <col min="6155" max="6400" width="9.140625" style="199"/>
    <col min="6401" max="6401" width="5.42578125" style="199" customWidth="1"/>
    <col min="6402" max="6402" width="7.7109375" style="199" customWidth="1"/>
    <col min="6403" max="6404" width="6.140625" style="199" customWidth="1"/>
    <col min="6405" max="6405" width="6.42578125" style="199" customWidth="1"/>
    <col min="6406" max="6406" width="6.85546875" style="199" customWidth="1"/>
    <col min="6407" max="6407" width="12.5703125" style="199" customWidth="1"/>
    <col min="6408" max="6408" width="12" style="199" customWidth="1"/>
    <col min="6409" max="6409" width="12.140625" style="199" customWidth="1"/>
    <col min="6410" max="6410" width="14.28515625" style="199" customWidth="1"/>
    <col min="6411" max="6656" width="9.140625" style="199"/>
    <col min="6657" max="6657" width="5.42578125" style="199" customWidth="1"/>
    <col min="6658" max="6658" width="7.7109375" style="199" customWidth="1"/>
    <col min="6659" max="6660" width="6.140625" style="199" customWidth="1"/>
    <col min="6661" max="6661" width="6.42578125" style="199" customWidth="1"/>
    <col min="6662" max="6662" width="6.85546875" style="199" customWidth="1"/>
    <col min="6663" max="6663" width="12.5703125" style="199" customWidth="1"/>
    <col min="6664" max="6664" width="12" style="199" customWidth="1"/>
    <col min="6665" max="6665" width="12.140625" style="199" customWidth="1"/>
    <col min="6666" max="6666" width="14.28515625" style="199" customWidth="1"/>
    <col min="6667" max="6912" width="9.140625" style="199"/>
    <col min="6913" max="6913" width="5.42578125" style="199" customWidth="1"/>
    <col min="6914" max="6914" width="7.7109375" style="199" customWidth="1"/>
    <col min="6915" max="6916" width="6.140625" style="199" customWidth="1"/>
    <col min="6917" max="6917" width="6.42578125" style="199" customWidth="1"/>
    <col min="6918" max="6918" width="6.85546875" style="199" customWidth="1"/>
    <col min="6919" max="6919" width="12.5703125" style="199" customWidth="1"/>
    <col min="6920" max="6920" width="12" style="199" customWidth="1"/>
    <col min="6921" max="6921" width="12.140625" style="199" customWidth="1"/>
    <col min="6922" max="6922" width="14.28515625" style="199" customWidth="1"/>
    <col min="6923" max="7168" width="9.140625" style="199"/>
    <col min="7169" max="7169" width="5.42578125" style="199" customWidth="1"/>
    <col min="7170" max="7170" width="7.7109375" style="199" customWidth="1"/>
    <col min="7171" max="7172" width="6.140625" style="199" customWidth="1"/>
    <col min="7173" max="7173" width="6.42578125" style="199" customWidth="1"/>
    <col min="7174" max="7174" width="6.85546875" style="199" customWidth="1"/>
    <col min="7175" max="7175" width="12.5703125" style="199" customWidth="1"/>
    <col min="7176" max="7176" width="12" style="199" customWidth="1"/>
    <col min="7177" max="7177" width="12.140625" style="199" customWidth="1"/>
    <col min="7178" max="7178" width="14.28515625" style="199" customWidth="1"/>
    <col min="7179" max="7424" width="9.140625" style="199"/>
    <col min="7425" max="7425" width="5.42578125" style="199" customWidth="1"/>
    <col min="7426" max="7426" width="7.7109375" style="199" customWidth="1"/>
    <col min="7427" max="7428" width="6.140625" style="199" customWidth="1"/>
    <col min="7429" max="7429" width="6.42578125" style="199" customWidth="1"/>
    <col min="7430" max="7430" width="6.85546875" style="199" customWidth="1"/>
    <col min="7431" max="7431" width="12.5703125" style="199" customWidth="1"/>
    <col min="7432" max="7432" width="12" style="199" customWidth="1"/>
    <col min="7433" max="7433" width="12.140625" style="199" customWidth="1"/>
    <col min="7434" max="7434" width="14.28515625" style="199" customWidth="1"/>
    <col min="7435" max="7680" width="9.140625" style="199"/>
    <col min="7681" max="7681" width="5.42578125" style="199" customWidth="1"/>
    <col min="7682" max="7682" width="7.7109375" style="199" customWidth="1"/>
    <col min="7683" max="7684" width="6.140625" style="199" customWidth="1"/>
    <col min="7685" max="7685" width="6.42578125" style="199" customWidth="1"/>
    <col min="7686" max="7686" width="6.85546875" style="199" customWidth="1"/>
    <col min="7687" max="7687" width="12.5703125" style="199" customWidth="1"/>
    <col min="7688" max="7688" width="12" style="199" customWidth="1"/>
    <col min="7689" max="7689" width="12.140625" style="199" customWidth="1"/>
    <col min="7690" max="7690" width="14.28515625" style="199" customWidth="1"/>
    <col min="7691" max="7936" width="9.140625" style="199"/>
    <col min="7937" max="7937" width="5.42578125" style="199" customWidth="1"/>
    <col min="7938" max="7938" width="7.7109375" style="199" customWidth="1"/>
    <col min="7939" max="7940" width="6.140625" style="199" customWidth="1"/>
    <col min="7941" max="7941" width="6.42578125" style="199" customWidth="1"/>
    <col min="7942" max="7942" width="6.85546875" style="199" customWidth="1"/>
    <col min="7943" max="7943" width="12.5703125" style="199" customWidth="1"/>
    <col min="7944" max="7944" width="12" style="199" customWidth="1"/>
    <col min="7945" max="7945" width="12.140625" style="199" customWidth="1"/>
    <col min="7946" max="7946" width="14.28515625" style="199" customWidth="1"/>
    <col min="7947" max="8192" width="9.140625" style="199"/>
    <col min="8193" max="8193" width="5.42578125" style="199" customWidth="1"/>
    <col min="8194" max="8194" width="7.7109375" style="199" customWidth="1"/>
    <col min="8195" max="8196" width="6.140625" style="199" customWidth="1"/>
    <col min="8197" max="8197" width="6.42578125" style="199" customWidth="1"/>
    <col min="8198" max="8198" width="6.85546875" style="199" customWidth="1"/>
    <col min="8199" max="8199" width="12.5703125" style="199" customWidth="1"/>
    <col min="8200" max="8200" width="12" style="199" customWidth="1"/>
    <col min="8201" max="8201" width="12.140625" style="199" customWidth="1"/>
    <col min="8202" max="8202" width="14.28515625" style="199" customWidth="1"/>
    <col min="8203" max="8448" width="9.140625" style="199"/>
    <col min="8449" max="8449" width="5.42578125" style="199" customWidth="1"/>
    <col min="8450" max="8450" width="7.7109375" style="199" customWidth="1"/>
    <col min="8451" max="8452" width="6.140625" style="199" customWidth="1"/>
    <col min="8453" max="8453" width="6.42578125" style="199" customWidth="1"/>
    <col min="8454" max="8454" width="6.85546875" style="199" customWidth="1"/>
    <col min="8455" max="8455" width="12.5703125" style="199" customWidth="1"/>
    <col min="8456" max="8456" width="12" style="199" customWidth="1"/>
    <col min="8457" max="8457" width="12.140625" style="199" customWidth="1"/>
    <col min="8458" max="8458" width="14.28515625" style="199" customWidth="1"/>
    <col min="8459" max="8704" width="9.140625" style="199"/>
    <col min="8705" max="8705" width="5.42578125" style="199" customWidth="1"/>
    <col min="8706" max="8706" width="7.7109375" style="199" customWidth="1"/>
    <col min="8707" max="8708" width="6.140625" style="199" customWidth="1"/>
    <col min="8709" max="8709" width="6.42578125" style="199" customWidth="1"/>
    <col min="8710" max="8710" width="6.85546875" style="199" customWidth="1"/>
    <col min="8711" max="8711" width="12.5703125" style="199" customWidth="1"/>
    <col min="8712" max="8712" width="12" style="199" customWidth="1"/>
    <col min="8713" max="8713" width="12.140625" style="199" customWidth="1"/>
    <col min="8714" max="8714" width="14.28515625" style="199" customWidth="1"/>
    <col min="8715" max="8960" width="9.140625" style="199"/>
    <col min="8961" max="8961" width="5.42578125" style="199" customWidth="1"/>
    <col min="8962" max="8962" width="7.7109375" style="199" customWidth="1"/>
    <col min="8963" max="8964" width="6.140625" style="199" customWidth="1"/>
    <col min="8965" max="8965" width="6.42578125" style="199" customWidth="1"/>
    <col min="8966" max="8966" width="6.85546875" style="199" customWidth="1"/>
    <col min="8967" max="8967" width="12.5703125" style="199" customWidth="1"/>
    <col min="8968" max="8968" width="12" style="199" customWidth="1"/>
    <col min="8969" max="8969" width="12.140625" style="199" customWidth="1"/>
    <col min="8970" max="8970" width="14.28515625" style="199" customWidth="1"/>
    <col min="8971" max="9216" width="9.140625" style="199"/>
    <col min="9217" max="9217" width="5.42578125" style="199" customWidth="1"/>
    <col min="9218" max="9218" width="7.7109375" style="199" customWidth="1"/>
    <col min="9219" max="9220" width="6.140625" style="199" customWidth="1"/>
    <col min="9221" max="9221" width="6.42578125" style="199" customWidth="1"/>
    <col min="9222" max="9222" width="6.85546875" style="199" customWidth="1"/>
    <col min="9223" max="9223" width="12.5703125" style="199" customWidth="1"/>
    <col min="9224" max="9224" width="12" style="199" customWidth="1"/>
    <col min="9225" max="9225" width="12.140625" style="199" customWidth="1"/>
    <col min="9226" max="9226" width="14.28515625" style="199" customWidth="1"/>
    <col min="9227" max="9472" width="9.140625" style="199"/>
    <col min="9473" max="9473" width="5.42578125" style="199" customWidth="1"/>
    <col min="9474" max="9474" width="7.7109375" style="199" customWidth="1"/>
    <col min="9475" max="9476" width="6.140625" style="199" customWidth="1"/>
    <col min="9477" max="9477" width="6.42578125" style="199" customWidth="1"/>
    <col min="9478" max="9478" width="6.85546875" style="199" customWidth="1"/>
    <col min="9479" max="9479" width="12.5703125" style="199" customWidth="1"/>
    <col min="9480" max="9480" width="12" style="199" customWidth="1"/>
    <col min="9481" max="9481" width="12.140625" style="199" customWidth="1"/>
    <col min="9482" max="9482" width="14.28515625" style="199" customWidth="1"/>
    <col min="9483" max="9728" width="9.140625" style="199"/>
    <col min="9729" max="9729" width="5.42578125" style="199" customWidth="1"/>
    <col min="9730" max="9730" width="7.7109375" style="199" customWidth="1"/>
    <col min="9731" max="9732" width="6.140625" style="199" customWidth="1"/>
    <col min="9733" max="9733" width="6.42578125" style="199" customWidth="1"/>
    <col min="9734" max="9734" width="6.85546875" style="199" customWidth="1"/>
    <col min="9735" max="9735" width="12.5703125" style="199" customWidth="1"/>
    <col min="9736" max="9736" width="12" style="199" customWidth="1"/>
    <col min="9737" max="9737" width="12.140625" style="199" customWidth="1"/>
    <col min="9738" max="9738" width="14.28515625" style="199" customWidth="1"/>
    <col min="9739" max="9984" width="9.140625" style="199"/>
    <col min="9985" max="9985" width="5.42578125" style="199" customWidth="1"/>
    <col min="9986" max="9986" width="7.7109375" style="199" customWidth="1"/>
    <col min="9987" max="9988" width="6.140625" style="199" customWidth="1"/>
    <col min="9989" max="9989" width="6.42578125" style="199" customWidth="1"/>
    <col min="9990" max="9990" width="6.85546875" style="199" customWidth="1"/>
    <col min="9991" max="9991" width="12.5703125" style="199" customWidth="1"/>
    <col min="9992" max="9992" width="12" style="199" customWidth="1"/>
    <col min="9993" max="9993" width="12.140625" style="199" customWidth="1"/>
    <col min="9994" max="9994" width="14.28515625" style="199" customWidth="1"/>
    <col min="9995" max="10240" width="9.140625" style="199"/>
    <col min="10241" max="10241" width="5.42578125" style="199" customWidth="1"/>
    <col min="10242" max="10242" width="7.7109375" style="199" customWidth="1"/>
    <col min="10243" max="10244" width="6.140625" style="199" customWidth="1"/>
    <col min="10245" max="10245" width="6.42578125" style="199" customWidth="1"/>
    <col min="10246" max="10246" width="6.85546875" style="199" customWidth="1"/>
    <col min="10247" max="10247" width="12.5703125" style="199" customWidth="1"/>
    <col min="10248" max="10248" width="12" style="199" customWidth="1"/>
    <col min="10249" max="10249" width="12.140625" style="199" customWidth="1"/>
    <col min="10250" max="10250" width="14.28515625" style="199" customWidth="1"/>
    <col min="10251" max="10496" width="9.140625" style="199"/>
    <col min="10497" max="10497" width="5.42578125" style="199" customWidth="1"/>
    <col min="10498" max="10498" width="7.7109375" style="199" customWidth="1"/>
    <col min="10499" max="10500" width="6.140625" style="199" customWidth="1"/>
    <col min="10501" max="10501" width="6.42578125" style="199" customWidth="1"/>
    <col min="10502" max="10502" width="6.85546875" style="199" customWidth="1"/>
    <col min="10503" max="10503" width="12.5703125" style="199" customWidth="1"/>
    <col min="10504" max="10504" width="12" style="199" customWidth="1"/>
    <col min="10505" max="10505" width="12.140625" style="199" customWidth="1"/>
    <col min="10506" max="10506" width="14.28515625" style="199" customWidth="1"/>
    <col min="10507" max="10752" width="9.140625" style="199"/>
    <col min="10753" max="10753" width="5.42578125" style="199" customWidth="1"/>
    <col min="10754" max="10754" width="7.7109375" style="199" customWidth="1"/>
    <col min="10755" max="10756" width="6.140625" style="199" customWidth="1"/>
    <col min="10757" max="10757" width="6.42578125" style="199" customWidth="1"/>
    <col min="10758" max="10758" width="6.85546875" style="199" customWidth="1"/>
    <col min="10759" max="10759" width="12.5703125" style="199" customWidth="1"/>
    <col min="10760" max="10760" width="12" style="199" customWidth="1"/>
    <col min="10761" max="10761" width="12.140625" style="199" customWidth="1"/>
    <col min="10762" max="10762" width="14.28515625" style="199" customWidth="1"/>
    <col min="10763" max="11008" width="9.140625" style="199"/>
    <col min="11009" max="11009" width="5.42578125" style="199" customWidth="1"/>
    <col min="11010" max="11010" width="7.7109375" style="199" customWidth="1"/>
    <col min="11011" max="11012" width="6.140625" style="199" customWidth="1"/>
    <col min="11013" max="11013" width="6.42578125" style="199" customWidth="1"/>
    <col min="11014" max="11014" width="6.85546875" style="199" customWidth="1"/>
    <col min="11015" max="11015" width="12.5703125" style="199" customWidth="1"/>
    <col min="11016" max="11016" width="12" style="199" customWidth="1"/>
    <col min="11017" max="11017" width="12.140625" style="199" customWidth="1"/>
    <col min="11018" max="11018" width="14.28515625" style="199" customWidth="1"/>
    <col min="11019" max="11264" width="9.140625" style="199"/>
    <col min="11265" max="11265" width="5.42578125" style="199" customWidth="1"/>
    <col min="11266" max="11266" width="7.7109375" style="199" customWidth="1"/>
    <col min="11267" max="11268" width="6.140625" style="199" customWidth="1"/>
    <col min="11269" max="11269" width="6.42578125" style="199" customWidth="1"/>
    <col min="11270" max="11270" width="6.85546875" style="199" customWidth="1"/>
    <col min="11271" max="11271" width="12.5703125" style="199" customWidth="1"/>
    <col min="11272" max="11272" width="12" style="199" customWidth="1"/>
    <col min="11273" max="11273" width="12.140625" style="199" customWidth="1"/>
    <col min="11274" max="11274" width="14.28515625" style="199" customWidth="1"/>
    <col min="11275" max="11520" width="9.140625" style="199"/>
    <col min="11521" max="11521" width="5.42578125" style="199" customWidth="1"/>
    <col min="11522" max="11522" width="7.7109375" style="199" customWidth="1"/>
    <col min="11523" max="11524" width="6.140625" style="199" customWidth="1"/>
    <col min="11525" max="11525" width="6.42578125" style="199" customWidth="1"/>
    <col min="11526" max="11526" width="6.85546875" style="199" customWidth="1"/>
    <col min="11527" max="11527" width="12.5703125" style="199" customWidth="1"/>
    <col min="11528" max="11528" width="12" style="199" customWidth="1"/>
    <col min="11529" max="11529" width="12.140625" style="199" customWidth="1"/>
    <col min="11530" max="11530" width="14.28515625" style="199" customWidth="1"/>
    <col min="11531" max="11776" width="9.140625" style="199"/>
    <col min="11777" max="11777" width="5.42578125" style="199" customWidth="1"/>
    <col min="11778" max="11778" width="7.7109375" style="199" customWidth="1"/>
    <col min="11779" max="11780" width="6.140625" style="199" customWidth="1"/>
    <col min="11781" max="11781" width="6.42578125" style="199" customWidth="1"/>
    <col min="11782" max="11782" width="6.85546875" style="199" customWidth="1"/>
    <col min="11783" max="11783" width="12.5703125" style="199" customWidth="1"/>
    <col min="11784" max="11784" width="12" style="199" customWidth="1"/>
    <col min="11785" max="11785" width="12.140625" style="199" customWidth="1"/>
    <col min="11786" max="11786" width="14.28515625" style="199" customWidth="1"/>
    <col min="11787" max="12032" width="9.140625" style="199"/>
    <col min="12033" max="12033" width="5.42578125" style="199" customWidth="1"/>
    <col min="12034" max="12034" width="7.7109375" style="199" customWidth="1"/>
    <col min="12035" max="12036" width="6.140625" style="199" customWidth="1"/>
    <col min="12037" max="12037" width="6.42578125" style="199" customWidth="1"/>
    <col min="12038" max="12038" width="6.85546875" style="199" customWidth="1"/>
    <col min="12039" max="12039" width="12.5703125" style="199" customWidth="1"/>
    <col min="12040" max="12040" width="12" style="199" customWidth="1"/>
    <col min="12041" max="12041" width="12.140625" style="199" customWidth="1"/>
    <col min="12042" max="12042" width="14.28515625" style="199" customWidth="1"/>
    <col min="12043" max="12288" width="9.140625" style="199"/>
    <col min="12289" max="12289" width="5.42578125" style="199" customWidth="1"/>
    <col min="12290" max="12290" width="7.7109375" style="199" customWidth="1"/>
    <col min="12291" max="12292" width="6.140625" style="199" customWidth="1"/>
    <col min="12293" max="12293" width="6.42578125" style="199" customWidth="1"/>
    <col min="12294" max="12294" width="6.85546875" style="199" customWidth="1"/>
    <col min="12295" max="12295" width="12.5703125" style="199" customWidth="1"/>
    <col min="12296" max="12296" width="12" style="199" customWidth="1"/>
    <col min="12297" max="12297" width="12.140625" style="199" customWidth="1"/>
    <col min="12298" max="12298" width="14.28515625" style="199" customWidth="1"/>
    <col min="12299" max="12544" width="9.140625" style="199"/>
    <col min="12545" max="12545" width="5.42578125" style="199" customWidth="1"/>
    <col min="12546" max="12546" width="7.7109375" style="199" customWidth="1"/>
    <col min="12547" max="12548" width="6.140625" style="199" customWidth="1"/>
    <col min="12549" max="12549" width="6.42578125" style="199" customWidth="1"/>
    <col min="12550" max="12550" width="6.85546875" style="199" customWidth="1"/>
    <col min="12551" max="12551" width="12.5703125" style="199" customWidth="1"/>
    <col min="12552" max="12552" width="12" style="199" customWidth="1"/>
    <col min="12553" max="12553" width="12.140625" style="199" customWidth="1"/>
    <col min="12554" max="12554" width="14.28515625" style="199" customWidth="1"/>
    <col min="12555" max="12800" width="9.140625" style="199"/>
    <col min="12801" max="12801" width="5.42578125" style="199" customWidth="1"/>
    <col min="12802" max="12802" width="7.7109375" style="199" customWidth="1"/>
    <col min="12803" max="12804" width="6.140625" style="199" customWidth="1"/>
    <col min="12805" max="12805" width="6.42578125" style="199" customWidth="1"/>
    <col min="12806" max="12806" width="6.85546875" style="199" customWidth="1"/>
    <col min="12807" max="12807" width="12.5703125" style="199" customWidth="1"/>
    <col min="12808" max="12808" width="12" style="199" customWidth="1"/>
    <col min="12809" max="12809" width="12.140625" style="199" customWidth="1"/>
    <col min="12810" max="12810" width="14.28515625" style="199" customWidth="1"/>
    <col min="12811" max="13056" width="9.140625" style="199"/>
    <col min="13057" max="13057" width="5.42578125" style="199" customWidth="1"/>
    <col min="13058" max="13058" width="7.7109375" style="199" customWidth="1"/>
    <col min="13059" max="13060" width="6.140625" style="199" customWidth="1"/>
    <col min="13061" max="13061" width="6.42578125" style="199" customWidth="1"/>
    <col min="13062" max="13062" width="6.85546875" style="199" customWidth="1"/>
    <col min="13063" max="13063" width="12.5703125" style="199" customWidth="1"/>
    <col min="13064" max="13064" width="12" style="199" customWidth="1"/>
    <col min="13065" max="13065" width="12.140625" style="199" customWidth="1"/>
    <col min="13066" max="13066" width="14.28515625" style="199" customWidth="1"/>
    <col min="13067" max="13312" width="9.140625" style="199"/>
    <col min="13313" max="13313" width="5.42578125" style="199" customWidth="1"/>
    <col min="13314" max="13314" width="7.7109375" style="199" customWidth="1"/>
    <col min="13315" max="13316" width="6.140625" style="199" customWidth="1"/>
    <col min="13317" max="13317" width="6.42578125" style="199" customWidth="1"/>
    <col min="13318" max="13318" width="6.85546875" style="199" customWidth="1"/>
    <col min="13319" max="13319" width="12.5703125" style="199" customWidth="1"/>
    <col min="13320" max="13320" width="12" style="199" customWidth="1"/>
    <col min="13321" max="13321" width="12.140625" style="199" customWidth="1"/>
    <col min="13322" max="13322" width="14.28515625" style="199" customWidth="1"/>
    <col min="13323" max="13568" width="9.140625" style="199"/>
    <col min="13569" max="13569" width="5.42578125" style="199" customWidth="1"/>
    <col min="13570" max="13570" width="7.7109375" style="199" customWidth="1"/>
    <col min="13571" max="13572" width="6.140625" style="199" customWidth="1"/>
    <col min="13573" max="13573" width="6.42578125" style="199" customWidth="1"/>
    <col min="13574" max="13574" width="6.85546875" style="199" customWidth="1"/>
    <col min="13575" max="13575" width="12.5703125" style="199" customWidth="1"/>
    <col min="13576" max="13576" width="12" style="199" customWidth="1"/>
    <col min="13577" max="13577" width="12.140625" style="199" customWidth="1"/>
    <col min="13578" max="13578" width="14.28515625" style="199" customWidth="1"/>
    <col min="13579" max="13824" width="9.140625" style="199"/>
    <col min="13825" max="13825" width="5.42578125" style="199" customWidth="1"/>
    <col min="13826" max="13826" width="7.7109375" style="199" customWidth="1"/>
    <col min="13827" max="13828" width="6.140625" style="199" customWidth="1"/>
    <col min="13829" max="13829" width="6.42578125" style="199" customWidth="1"/>
    <col min="13830" max="13830" width="6.85546875" style="199" customWidth="1"/>
    <col min="13831" max="13831" width="12.5703125" style="199" customWidth="1"/>
    <col min="13832" max="13832" width="12" style="199" customWidth="1"/>
    <col min="13833" max="13833" width="12.140625" style="199" customWidth="1"/>
    <col min="13834" max="13834" width="14.28515625" style="199" customWidth="1"/>
    <col min="13835" max="14080" width="9.140625" style="199"/>
    <col min="14081" max="14081" width="5.42578125" style="199" customWidth="1"/>
    <col min="14082" max="14082" width="7.7109375" style="199" customWidth="1"/>
    <col min="14083" max="14084" width="6.140625" style="199" customWidth="1"/>
    <col min="14085" max="14085" width="6.42578125" style="199" customWidth="1"/>
    <col min="14086" max="14086" width="6.85546875" style="199" customWidth="1"/>
    <col min="14087" max="14087" width="12.5703125" style="199" customWidth="1"/>
    <col min="14088" max="14088" width="12" style="199" customWidth="1"/>
    <col min="14089" max="14089" width="12.140625" style="199" customWidth="1"/>
    <col min="14090" max="14090" width="14.28515625" style="199" customWidth="1"/>
    <col min="14091" max="14336" width="9.140625" style="199"/>
    <col min="14337" max="14337" width="5.42578125" style="199" customWidth="1"/>
    <col min="14338" max="14338" width="7.7109375" style="199" customWidth="1"/>
    <col min="14339" max="14340" width="6.140625" style="199" customWidth="1"/>
    <col min="14341" max="14341" width="6.42578125" style="199" customWidth="1"/>
    <col min="14342" max="14342" width="6.85546875" style="199" customWidth="1"/>
    <col min="14343" max="14343" width="12.5703125" style="199" customWidth="1"/>
    <col min="14344" max="14344" width="12" style="199" customWidth="1"/>
    <col min="14345" max="14345" width="12.140625" style="199" customWidth="1"/>
    <col min="14346" max="14346" width="14.28515625" style="199" customWidth="1"/>
    <col min="14347" max="14592" width="9.140625" style="199"/>
    <col min="14593" max="14593" width="5.42578125" style="199" customWidth="1"/>
    <col min="14594" max="14594" width="7.7109375" style="199" customWidth="1"/>
    <col min="14595" max="14596" width="6.140625" style="199" customWidth="1"/>
    <col min="14597" max="14597" width="6.42578125" style="199" customWidth="1"/>
    <col min="14598" max="14598" width="6.85546875" style="199" customWidth="1"/>
    <col min="14599" max="14599" width="12.5703125" style="199" customWidth="1"/>
    <col min="14600" max="14600" width="12" style="199" customWidth="1"/>
    <col min="14601" max="14601" width="12.140625" style="199" customWidth="1"/>
    <col min="14602" max="14602" width="14.28515625" style="199" customWidth="1"/>
    <col min="14603" max="14848" width="9.140625" style="199"/>
    <col min="14849" max="14849" width="5.42578125" style="199" customWidth="1"/>
    <col min="14850" max="14850" width="7.7109375" style="199" customWidth="1"/>
    <col min="14851" max="14852" width="6.140625" style="199" customWidth="1"/>
    <col min="14853" max="14853" width="6.42578125" style="199" customWidth="1"/>
    <col min="14854" max="14854" width="6.85546875" style="199" customWidth="1"/>
    <col min="14855" max="14855" width="12.5703125" style="199" customWidth="1"/>
    <col min="14856" max="14856" width="12" style="199" customWidth="1"/>
    <col min="14857" max="14857" width="12.140625" style="199" customWidth="1"/>
    <col min="14858" max="14858" width="14.28515625" style="199" customWidth="1"/>
    <col min="14859" max="15104" width="9.140625" style="199"/>
    <col min="15105" max="15105" width="5.42578125" style="199" customWidth="1"/>
    <col min="15106" max="15106" width="7.7109375" style="199" customWidth="1"/>
    <col min="15107" max="15108" width="6.140625" style="199" customWidth="1"/>
    <col min="15109" max="15109" width="6.42578125" style="199" customWidth="1"/>
    <col min="15110" max="15110" width="6.85546875" style="199" customWidth="1"/>
    <col min="15111" max="15111" width="12.5703125" style="199" customWidth="1"/>
    <col min="15112" max="15112" width="12" style="199" customWidth="1"/>
    <col min="15113" max="15113" width="12.140625" style="199" customWidth="1"/>
    <col min="15114" max="15114" width="14.28515625" style="199" customWidth="1"/>
    <col min="15115" max="15360" width="9.140625" style="199"/>
    <col min="15361" max="15361" width="5.42578125" style="199" customWidth="1"/>
    <col min="15362" max="15362" width="7.7109375" style="199" customWidth="1"/>
    <col min="15363" max="15364" width="6.140625" style="199" customWidth="1"/>
    <col min="15365" max="15365" width="6.42578125" style="199" customWidth="1"/>
    <col min="15366" max="15366" width="6.85546875" style="199" customWidth="1"/>
    <col min="15367" max="15367" width="12.5703125" style="199" customWidth="1"/>
    <col min="15368" max="15368" width="12" style="199" customWidth="1"/>
    <col min="15369" max="15369" width="12.140625" style="199" customWidth="1"/>
    <col min="15370" max="15370" width="14.28515625" style="199" customWidth="1"/>
    <col min="15371" max="15616" width="9.140625" style="199"/>
    <col min="15617" max="15617" width="5.42578125" style="199" customWidth="1"/>
    <col min="15618" max="15618" width="7.7109375" style="199" customWidth="1"/>
    <col min="15619" max="15620" width="6.140625" style="199" customWidth="1"/>
    <col min="15621" max="15621" width="6.42578125" style="199" customWidth="1"/>
    <col min="15622" max="15622" width="6.85546875" style="199" customWidth="1"/>
    <col min="15623" max="15623" width="12.5703125" style="199" customWidth="1"/>
    <col min="15624" max="15624" width="12" style="199" customWidth="1"/>
    <col min="15625" max="15625" width="12.140625" style="199" customWidth="1"/>
    <col min="15626" max="15626" width="14.28515625" style="199" customWidth="1"/>
    <col min="15627" max="15872" width="9.140625" style="199"/>
    <col min="15873" max="15873" width="5.42578125" style="199" customWidth="1"/>
    <col min="15874" max="15874" width="7.7109375" style="199" customWidth="1"/>
    <col min="15875" max="15876" width="6.140625" style="199" customWidth="1"/>
    <col min="15877" max="15877" width="6.42578125" style="199" customWidth="1"/>
    <col min="15878" max="15878" width="6.85546875" style="199" customWidth="1"/>
    <col min="15879" max="15879" width="12.5703125" style="199" customWidth="1"/>
    <col min="15880" max="15880" width="12" style="199" customWidth="1"/>
    <col min="15881" max="15881" width="12.140625" style="199" customWidth="1"/>
    <col min="15882" max="15882" width="14.28515625" style="199" customWidth="1"/>
    <col min="15883" max="16128" width="9.140625" style="199"/>
    <col min="16129" max="16129" width="5.42578125" style="199" customWidth="1"/>
    <col min="16130" max="16130" width="7.7109375" style="199" customWidth="1"/>
    <col min="16131" max="16132" width="6.140625" style="199" customWidth="1"/>
    <col min="16133" max="16133" width="6.42578125" style="199" customWidth="1"/>
    <col min="16134" max="16134" width="6.85546875" style="199" customWidth="1"/>
    <col min="16135" max="16135" width="12.5703125" style="199" customWidth="1"/>
    <col min="16136" max="16136" width="12" style="199" customWidth="1"/>
    <col min="16137" max="16137" width="12.140625" style="199" customWidth="1"/>
    <col min="16138" max="16138" width="14.28515625" style="199" customWidth="1"/>
    <col min="16139" max="16384" width="9.140625" style="199"/>
  </cols>
  <sheetData>
    <row r="1" spans="1:10" ht="13.5">
      <c r="J1" s="200" t="s">
        <v>191</v>
      </c>
    </row>
    <row r="2" spans="1:10" ht="44.25" customHeight="1">
      <c r="A2" s="3313" t="s">
        <v>192</v>
      </c>
      <c r="B2" s="3314"/>
      <c r="C2" s="3314"/>
      <c r="D2" s="3314"/>
      <c r="E2" s="3314"/>
      <c r="F2" s="3314"/>
      <c r="G2" s="3314"/>
      <c r="H2" s="3314"/>
      <c r="I2" s="3314"/>
      <c r="J2" s="3314"/>
    </row>
    <row r="3" spans="1:10" ht="15.75" customHeight="1">
      <c r="A3" s="3315" t="str">
        <f>'Приложение '!A3:J3</f>
        <v>на "ВОДОСНАБДЯВАНЕ И КАНАЛИЗАЦИЯ ДОБРИЧ" АД, гр. Добрич</v>
      </c>
      <c r="B3" s="3315"/>
      <c r="C3" s="3315"/>
      <c r="D3" s="3315"/>
      <c r="E3" s="3315"/>
      <c r="F3" s="3315"/>
      <c r="G3" s="3315"/>
      <c r="H3" s="3315"/>
      <c r="I3" s="3315"/>
      <c r="J3" s="3315"/>
    </row>
    <row r="4" spans="1:10" ht="16.5" customHeight="1">
      <c r="A4" s="3315" t="str">
        <f>'Приложение '!A4:J4</f>
        <v>ЕИК по БУЛСТАТ: 204219357</v>
      </c>
      <c r="B4" s="3315"/>
      <c r="C4" s="3315"/>
      <c r="D4" s="3315"/>
      <c r="E4" s="3315"/>
      <c r="F4" s="3315"/>
      <c r="G4" s="3315"/>
      <c r="H4" s="3315"/>
      <c r="I4" s="3315"/>
      <c r="J4" s="3315"/>
    </row>
    <row r="5" spans="1:10" ht="13.5" thickBot="1"/>
    <row r="6" spans="1:10" ht="15.75">
      <c r="A6" s="3316" t="s">
        <v>1</v>
      </c>
      <c r="B6" s="3318" t="s">
        <v>94</v>
      </c>
      <c r="C6" s="3319"/>
      <c r="D6" s="3319"/>
      <c r="E6" s="3319"/>
      <c r="F6" s="3319"/>
      <c r="G6" s="3319"/>
      <c r="H6" s="3319"/>
      <c r="I6" s="3319"/>
      <c r="J6" s="3320"/>
    </row>
    <row r="7" spans="1:10" ht="16.5" thickBot="1">
      <c r="A7" s="3317"/>
      <c r="B7" s="3321" t="s">
        <v>95</v>
      </c>
      <c r="C7" s="3322"/>
      <c r="D7" s="3322"/>
      <c r="E7" s="3322"/>
      <c r="F7" s="3323"/>
      <c r="G7" s="3324" t="s">
        <v>96</v>
      </c>
      <c r="H7" s="3325"/>
      <c r="I7" s="3325"/>
      <c r="J7" s="3326"/>
    </row>
    <row r="8" spans="1:10" ht="16.5" thickBot="1">
      <c r="A8" s="201" t="s">
        <v>193</v>
      </c>
      <c r="B8" s="3327" t="s">
        <v>194</v>
      </c>
      <c r="C8" s="3328"/>
      <c r="D8" s="3328"/>
      <c r="E8" s="3328"/>
      <c r="F8" s="3329"/>
      <c r="G8" s="3330"/>
      <c r="H8" s="3331"/>
      <c r="I8" s="3331"/>
      <c r="J8" s="3332"/>
    </row>
    <row r="9" spans="1:10" ht="15.75">
      <c r="A9" s="202" t="s">
        <v>98</v>
      </c>
      <c r="B9" s="3333" t="s">
        <v>195</v>
      </c>
      <c r="C9" s="3334"/>
      <c r="D9" s="3334"/>
      <c r="E9" s="3334"/>
      <c r="F9" s="3335"/>
      <c r="G9" s="2741" t="str">
        <f>'Приложение '!G8&amp;", "&amp;'Приложение '!G9:J9</f>
        <v>"ВОДОСНАБДЯВАНЕ И КАНАЛИЗАЦИЯ ДОБРИЧ" АД, Добрич</v>
      </c>
      <c r="H9" s="2742"/>
      <c r="I9" s="2742"/>
      <c r="J9" s="2743"/>
    </row>
    <row r="10" spans="1:10" ht="15.75">
      <c r="A10" s="202"/>
      <c r="B10" s="3310" t="s">
        <v>102</v>
      </c>
      <c r="C10" s="3311"/>
      <c r="D10" s="3311"/>
      <c r="E10" s="3311"/>
      <c r="F10" s="3312"/>
      <c r="G10" s="2744" t="str">
        <f>'Приложение '!G10:J10</f>
        <v>204219357</v>
      </c>
      <c r="H10" s="2745"/>
      <c r="I10" s="2745"/>
      <c r="J10" s="2746"/>
    </row>
    <row r="11" spans="1:10" ht="15.75">
      <c r="A11" s="203" t="s">
        <v>101</v>
      </c>
      <c r="B11" s="3310" t="s">
        <v>196</v>
      </c>
      <c r="C11" s="3311"/>
      <c r="D11" s="3311"/>
      <c r="E11" s="3311"/>
      <c r="F11" s="3312"/>
      <c r="G11" s="3336" t="s">
        <v>1559</v>
      </c>
      <c r="H11" s="3337"/>
      <c r="I11" s="3337"/>
      <c r="J11" s="3338"/>
    </row>
    <row r="12" spans="1:10" ht="15.75">
      <c r="A12" s="203" t="s">
        <v>197</v>
      </c>
      <c r="B12" s="3310" t="s">
        <v>198</v>
      </c>
      <c r="C12" s="3311"/>
      <c r="D12" s="3311"/>
      <c r="E12" s="3311"/>
      <c r="F12" s="3312"/>
      <c r="G12" s="3336" t="s">
        <v>1560</v>
      </c>
      <c r="H12" s="3337"/>
      <c r="I12" s="3337"/>
      <c r="J12" s="3338"/>
    </row>
    <row r="13" spans="1:10" ht="15.75">
      <c r="A13" s="203" t="s">
        <v>199</v>
      </c>
      <c r="B13" s="3310" t="s">
        <v>200</v>
      </c>
      <c r="C13" s="3311"/>
      <c r="D13" s="3311"/>
      <c r="E13" s="3311"/>
      <c r="F13" s="3312"/>
      <c r="G13" s="3336" t="s">
        <v>1618</v>
      </c>
      <c r="H13" s="3337"/>
      <c r="I13" s="3337"/>
      <c r="J13" s="3338"/>
    </row>
    <row r="14" spans="1:10" ht="15.75">
      <c r="A14" s="203" t="s">
        <v>201</v>
      </c>
      <c r="B14" s="3310" t="s">
        <v>202</v>
      </c>
      <c r="C14" s="3311"/>
      <c r="D14" s="3311"/>
      <c r="E14" s="3311"/>
      <c r="F14" s="3312"/>
      <c r="G14" s="3336" t="s">
        <v>1561</v>
      </c>
      <c r="H14" s="3337"/>
      <c r="I14" s="3337"/>
      <c r="J14" s="3338"/>
    </row>
    <row r="15" spans="1:10" ht="15.75">
      <c r="A15" s="203" t="s">
        <v>203</v>
      </c>
      <c r="B15" s="3310" t="s">
        <v>204</v>
      </c>
      <c r="C15" s="3311"/>
      <c r="D15" s="3311"/>
      <c r="E15" s="3311"/>
      <c r="F15" s="3312"/>
      <c r="G15" s="3336" t="s">
        <v>1581</v>
      </c>
      <c r="H15" s="3337"/>
      <c r="I15" s="3337"/>
      <c r="J15" s="3338"/>
    </row>
    <row r="16" spans="1:10" ht="15.75">
      <c r="A16" s="203" t="s">
        <v>205</v>
      </c>
      <c r="B16" s="3310" t="s">
        <v>206</v>
      </c>
      <c r="C16" s="3311"/>
      <c r="D16" s="3311"/>
      <c r="E16" s="3311"/>
      <c r="F16" s="3312"/>
      <c r="G16" s="3336" t="s">
        <v>1619</v>
      </c>
      <c r="H16" s="3337"/>
      <c r="I16" s="3337"/>
      <c r="J16" s="3338"/>
    </row>
    <row r="17" spans="1:10" ht="15.75">
      <c r="A17" s="203" t="s">
        <v>207</v>
      </c>
      <c r="B17" s="3310" t="s">
        <v>208</v>
      </c>
      <c r="C17" s="3311"/>
      <c r="D17" s="3311"/>
      <c r="E17" s="3311"/>
      <c r="F17" s="3312"/>
      <c r="G17" s="3336" t="s">
        <v>1584</v>
      </c>
      <c r="H17" s="3337"/>
      <c r="I17" s="3337"/>
      <c r="J17" s="12"/>
    </row>
    <row r="18" spans="1:10" ht="15.75">
      <c r="A18" s="203"/>
      <c r="B18" s="1386"/>
      <c r="C18" s="1387"/>
      <c r="D18" s="1387"/>
      <c r="E18" s="1387"/>
      <c r="F18" s="1388"/>
      <c r="G18" s="3336" t="s">
        <v>1583</v>
      </c>
      <c r="H18" s="3337"/>
      <c r="I18" s="3337"/>
      <c r="J18" s="12"/>
    </row>
    <row r="19" spans="1:10" ht="15.75">
      <c r="A19" s="203"/>
      <c r="B19" s="1386"/>
      <c r="C19" s="1387"/>
      <c r="D19" s="1387"/>
      <c r="E19" s="1387"/>
      <c r="F19" s="1388"/>
      <c r="G19" s="3336"/>
      <c r="H19" s="3337"/>
      <c r="I19" s="3337"/>
      <c r="J19" s="12"/>
    </row>
    <row r="20" spans="1:10" ht="15.75">
      <c r="A20" s="203"/>
      <c r="B20" s="3310"/>
      <c r="C20" s="3311"/>
      <c r="D20" s="3311"/>
      <c r="E20" s="3311"/>
      <c r="F20" s="3312"/>
      <c r="G20" s="3336"/>
      <c r="H20" s="3337"/>
      <c r="I20" s="3337"/>
      <c r="J20" s="12"/>
    </row>
    <row r="21" spans="1:10" ht="15.75">
      <c r="A21" s="203"/>
      <c r="B21" s="3310"/>
      <c r="C21" s="3311"/>
      <c r="D21" s="3311"/>
      <c r="E21" s="3311"/>
      <c r="F21" s="3312"/>
      <c r="G21" s="3336"/>
      <c r="H21" s="3337"/>
      <c r="I21" s="3337"/>
      <c r="J21" s="12"/>
    </row>
    <row r="22" spans="1:10" ht="15.75">
      <c r="A22" s="203"/>
      <c r="B22" s="3310"/>
      <c r="C22" s="3311"/>
      <c r="D22" s="3311"/>
      <c r="E22" s="3311"/>
      <c r="F22" s="3312"/>
      <c r="G22" s="3336"/>
      <c r="H22" s="3337"/>
      <c r="I22" s="3337"/>
      <c r="J22" s="12"/>
    </row>
    <row r="23" spans="1:10" ht="16.5" thickBot="1">
      <c r="A23" s="204"/>
      <c r="B23" s="3342"/>
      <c r="C23" s="3343"/>
      <c r="D23" s="3343"/>
      <c r="E23" s="3343"/>
      <c r="F23" s="3344"/>
      <c r="G23" s="3357"/>
      <c r="H23" s="3358"/>
      <c r="I23" s="3358"/>
      <c r="J23" s="17"/>
    </row>
    <row r="24" spans="1:10" ht="16.5" thickBot="1">
      <c r="A24" s="201" t="s">
        <v>103</v>
      </c>
      <c r="B24" s="3327" t="s">
        <v>209</v>
      </c>
      <c r="C24" s="3328"/>
      <c r="D24" s="3328"/>
      <c r="E24" s="3328"/>
      <c r="F24" s="3329"/>
      <c r="G24" s="205"/>
      <c r="H24" s="206"/>
      <c r="I24" s="206"/>
      <c r="J24" s="207"/>
    </row>
    <row r="25" spans="1:10" ht="15.75">
      <c r="A25" s="208" t="s">
        <v>105</v>
      </c>
      <c r="B25" s="3345" t="s">
        <v>210</v>
      </c>
      <c r="C25" s="3346"/>
      <c r="D25" s="3346"/>
      <c r="E25" s="3346"/>
      <c r="F25" s="3347"/>
      <c r="G25" s="3359" t="s">
        <v>1577</v>
      </c>
      <c r="H25" s="3360"/>
      <c r="I25" s="3360"/>
      <c r="J25" s="3361"/>
    </row>
    <row r="26" spans="1:10" ht="15.75">
      <c r="A26" s="209" t="s">
        <v>107</v>
      </c>
      <c r="B26" s="3339" t="s">
        <v>211</v>
      </c>
      <c r="C26" s="3340"/>
      <c r="D26" s="3340"/>
      <c r="E26" s="3340"/>
      <c r="F26" s="3341"/>
      <c r="G26" s="2747"/>
      <c r="H26" s="2748"/>
      <c r="I26" s="2748"/>
      <c r="J26" s="2749"/>
    </row>
    <row r="27" spans="1:10" ht="15.75">
      <c r="A27" s="203" t="s">
        <v>212</v>
      </c>
      <c r="B27" s="3351" t="s">
        <v>928</v>
      </c>
      <c r="C27" s="3352"/>
      <c r="D27" s="3352"/>
      <c r="E27" s="3352"/>
      <c r="F27" s="3353"/>
      <c r="G27" s="3362" t="s">
        <v>1627</v>
      </c>
      <c r="H27" s="3363"/>
      <c r="I27" s="3363"/>
      <c r="J27" s="3364"/>
    </row>
    <row r="28" spans="1:10" ht="15.75">
      <c r="A28" s="203"/>
      <c r="B28" s="3348" t="s">
        <v>213</v>
      </c>
      <c r="C28" s="3349"/>
      <c r="D28" s="3349"/>
      <c r="E28" s="3349"/>
      <c r="F28" s="3350"/>
      <c r="G28" s="3362" t="s">
        <v>1582</v>
      </c>
      <c r="H28" s="3363"/>
      <c r="I28" s="3363"/>
      <c r="J28" s="3364"/>
    </row>
    <row r="29" spans="1:10" ht="15.75">
      <c r="A29" s="203"/>
      <c r="B29" s="3348" t="s">
        <v>214</v>
      </c>
      <c r="C29" s="3349"/>
      <c r="D29" s="3349"/>
      <c r="E29" s="3349"/>
      <c r="F29" s="3350"/>
      <c r="G29" s="3362"/>
      <c r="H29" s="3363"/>
      <c r="I29" s="3363"/>
      <c r="J29" s="3364"/>
    </row>
    <row r="30" spans="1:10" ht="15.75">
      <c r="A30" s="203"/>
      <c r="B30" s="3348" t="s">
        <v>215</v>
      </c>
      <c r="C30" s="3349"/>
      <c r="D30" s="3349"/>
      <c r="E30" s="3349"/>
      <c r="F30" s="3350"/>
      <c r="G30" s="3362" t="s">
        <v>1585</v>
      </c>
      <c r="H30" s="3363"/>
      <c r="I30" s="3363"/>
      <c r="J30" s="3364"/>
    </row>
    <row r="31" spans="1:10" ht="15.75">
      <c r="A31" s="203"/>
      <c r="B31" s="3348" t="s">
        <v>216</v>
      </c>
      <c r="C31" s="3349"/>
      <c r="D31" s="3349"/>
      <c r="E31" s="3349"/>
      <c r="F31" s="3350"/>
      <c r="G31" s="3365" t="s">
        <v>1586</v>
      </c>
      <c r="H31" s="3366"/>
      <c r="I31" s="3366"/>
      <c r="J31" s="3367"/>
    </row>
    <row r="32" spans="1:10" ht="15.75">
      <c r="A32" s="203" t="s">
        <v>217</v>
      </c>
      <c r="B32" s="3351" t="s">
        <v>929</v>
      </c>
      <c r="C32" s="3352"/>
      <c r="D32" s="3352"/>
      <c r="E32" s="3352"/>
      <c r="F32" s="3353"/>
      <c r="G32" s="3362" t="s">
        <v>1588</v>
      </c>
      <c r="H32" s="3363"/>
      <c r="I32" s="3363"/>
      <c r="J32" s="3364"/>
    </row>
    <row r="33" spans="1:10" ht="15.75">
      <c r="A33" s="203"/>
      <c r="B33" s="3348" t="s">
        <v>213</v>
      </c>
      <c r="C33" s="3349"/>
      <c r="D33" s="3349"/>
      <c r="E33" s="3349"/>
      <c r="F33" s="3350"/>
      <c r="G33" s="3362" t="s">
        <v>1587</v>
      </c>
      <c r="H33" s="3363"/>
      <c r="I33" s="3363"/>
      <c r="J33" s="3364"/>
    </row>
    <row r="34" spans="1:10" ht="15.75">
      <c r="A34" s="203"/>
      <c r="B34" s="3348" t="s">
        <v>214</v>
      </c>
      <c r="C34" s="3349"/>
      <c r="D34" s="3349"/>
      <c r="E34" s="3349"/>
      <c r="F34" s="3350"/>
      <c r="G34" s="3362"/>
      <c r="H34" s="3363"/>
      <c r="I34" s="3363"/>
      <c r="J34" s="3364"/>
    </row>
    <row r="35" spans="1:10" ht="15.75">
      <c r="A35" s="203"/>
      <c r="B35" s="3348" t="s">
        <v>215</v>
      </c>
      <c r="C35" s="3349"/>
      <c r="D35" s="3349"/>
      <c r="E35" s="3349"/>
      <c r="F35" s="3350"/>
      <c r="G35" s="3362"/>
      <c r="H35" s="3363"/>
      <c r="I35" s="3363"/>
      <c r="J35" s="3364"/>
    </row>
    <row r="36" spans="1:10" ht="15.75">
      <c r="A36" s="203"/>
      <c r="B36" s="3348" t="s">
        <v>216</v>
      </c>
      <c r="C36" s="3349"/>
      <c r="D36" s="3349"/>
      <c r="E36" s="3349"/>
      <c r="F36" s="3350"/>
      <c r="G36" s="3365" t="s">
        <v>1589</v>
      </c>
      <c r="H36" s="3366"/>
      <c r="I36" s="3366"/>
      <c r="J36" s="3367"/>
    </row>
    <row r="37" spans="1:10" ht="15.75">
      <c r="A37" s="203" t="s">
        <v>218</v>
      </c>
      <c r="B37" s="3351" t="s">
        <v>930</v>
      </c>
      <c r="C37" s="3352"/>
      <c r="D37" s="3352"/>
      <c r="E37" s="3352"/>
      <c r="F37" s="3353"/>
      <c r="G37" s="3362"/>
      <c r="H37" s="3363"/>
      <c r="I37" s="3363"/>
      <c r="J37" s="3364"/>
    </row>
    <row r="38" spans="1:10" ht="15.75">
      <c r="A38" s="203"/>
      <c r="B38" s="3348" t="s">
        <v>213</v>
      </c>
      <c r="C38" s="3349"/>
      <c r="D38" s="3349"/>
      <c r="E38" s="3349"/>
      <c r="F38" s="3350"/>
      <c r="G38" s="3362"/>
      <c r="H38" s="3363"/>
      <c r="I38" s="3363"/>
      <c r="J38" s="3364"/>
    </row>
    <row r="39" spans="1:10" ht="15.75">
      <c r="A39" s="203"/>
      <c r="B39" s="3348" t="s">
        <v>214</v>
      </c>
      <c r="C39" s="3349"/>
      <c r="D39" s="3349"/>
      <c r="E39" s="3349"/>
      <c r="F39" s="3350"/>
      <c r="G39" s="3362"/>
      <c r="H39" s="3363"/>
      <c r="I39" s="3363"/>
      <c r="J39" s="3364"/>
    </row>
    <row r="40" spans="1:10" ht="15.75">
      <c r="A40" s="203"/>
      <c r="B40" s="3348" t="s">
        <v>215</v>
      </c>
      <c r="C40" s="3349"/>
      <c r="D40" s="3349"/>
      <c r="E40" s="3349"/>
      <c r="F40" s="3350"/>
      <c r="G40" s="3362"/>
      <c r="H40" s="3363"/>
      <c r="I40" s="3363"/>
      <c r="J40" s="3364"/>
    </row>
    <row r="41" spans="1:10" ht="15.75">
      <c r="A41" s="203"/>
      <c r="B41" s="3348" t="s">
        <v>216</v>
      </c>
      <c r="C41" s="3349"/>
      <c r="D41" s="3349"/>
      <c r="E41" s="3349"/>
      <c r="F41" s="3350"/>
      <c r="G41" s="3365"/>
      <c r="H41" s="3366"/>
      <c r="I41" s="3366"/>
      <c r="J41" s="3367"/>
    </row>
    <row r="42" spans="1:10" ht="15.75">
      <c r="A42" s="203" t="s">
        <v>219</v>
      </c>
      <c r="B42" s="3351" t="s">
        <v>1513</v>
      </c>
      <c r="C42" s="3352"/>
      <c r="D42" s="3352"/>
      <c r="E42" s="3352"/>
      <c r="F42" s="3353"/>
      <c r="G42" s="3362" t="s">
        <v>1588</v>
      </c>
      <c r="H42" s="3363"/>
      <c r="I42" s="3363"/>
      <c r="J42" s="3364"/>
    </row>
    <row r="43" spans="1:10" ht="15.75">
      <c r="A43" s="203"/>
      <c r="B43" s="3348" t="s">
        <v>213</v>
      </c>
      <c r="C43" s="3349"/>
      <c r="D43" s="3349"/>
      <c r="E43" s="3349"/>
      <c r="F43" s="3350"/>
      <c r="G43" s="3362"/>
      <c r="H43" s="3363"/>
      <c r="I43" s="3363"/>
      <c r="J43" s="3364"/>
    </row>
    <row r="44" spans="1:10" ht="15.75">
      <c r="A44" s="203"/>
      <c r="B44" s="3348" t="s">
        <v>214</v>
      </c>
      <c r="C44" s="3349"/>
      <c r="D44" s="3349"/>
      <c r="E44" s="3349"/>
      <c r="F44" s="3350"/>
      <c r="G44" s="3362"/>
      <c r="H44" s="3363"/>
      <c r="I44" s="3363"/>
      <c r="J44" s="3364"/>
    </row>
    <row r="45" spans="1:10" ht="15.75">
      <c r="A45" s="203"/>
      <c r="B45" s="3348" t="s">
        <v>215</v>
      </c>
      <c r="C45" s="3349"/>
      <c r="D45" s="3349"/>
      <c r="E45" s="3349"/>
      <c r="F45" s="3350"/>
      <c r="G45" s="3362"/>
      <c r="H45" s="3363"/>
      <c r="I45" s="3363"/>
      <c r="J45" s="3364"/>
    </row>
    <row r="46" spans="1:10" ht="15.75">
      <c r="A46" s="203"/>
      <c r="B46" s="3348" t="s">
        <v>216</v>
      </c>
      <c r="C46" s="3349"/>
      <c r="D46" s="3349"/>
      <c r="E46" s="3349"/>
      <c r="F46" s="3350"/>
      <c r="G46" s="3365" t="s">
        <v>1589</v>
      </c>
      <c r="H46" s="3366"/>
      <c r="I46" s="3366"/>
      <c r="J46" s="3367"/>
    </row>
    <row r="47" spans="1:10" ht="15.75">
      <c r="A47" s="203" t="s">
        <v>220</v>
      </c>
      <c r="B47" s="3351" t="s">
        <v>221</v>
      </c>
      <c r="C47" s="3352"/>
      <c r="D47" s="3352"/>
      <c r="E47" s="3352"/>
      <c r="F47" s="3353"/>
      <c r="G47" s="3362"/>
      <c r="H47" s="3363"/>
      <c r="I47" s="3363"/>
      <c r="J47" s="3364"/>
    </row>
    <row r="48" spans="1:10" ht="15.75">
      <c r="A48" s="203"/>
      <c r="B48" s="3348" t="s">
        <v>213</v>
      </c>
      <c r="C48" s="3349"/>
      <c r="D48" s="3349"/>
      <c r="E48" s="3349"/>
      <c r="F48" s="3350"/>
      <c r="G48" s="3362"/>
      <c r="H48" s="3363"/>
      <c r="I48" s="3363"/>
      <c r="J48" s="3364"/>
    </row>
    <row r="49" spans="1:11" ht="15.75">
      <c r="A49" s="203"/>
      <c r="B49" s="3348" t="s">
        <v>215</v>
      </c>
      <c r="C49" s="3349"/>
      <c r="D49" s="3349"/>
      <c r="E49" s="3349"/>
      <c r="F49" s="3350"/>
      <c r="G49" s="3362"/>
      <c r="H49" s="3363"/>
      <c r="I49" s="3363"/>
      <c r="J49" s="3364"/>
    </row>
    <row r="50" spans="1:11" ht="16.5" thickBot="1">
      <c r="A50" s="210"/>
      <c r="B50" s="3354" t="s">
        <v>216</v>
      </c>
      <c r="C50" s="3355"/>
      <c r="D50" s="3355"/>
      <c r="E50" s="3355"/>
      <c r="F50" s="3356"/>
      <c r="G50" s="3368"/>
      <c r="H50" s="3369"/>
      <c r="I50" s="3369"/>
      <c r="J50" s="3370"/>
    </row>
    <row r="52" spans="1:11" ht="22.5" customHeight="1"/>
    <row r="53" spans="1:11">
      <c r="H53" s="211" t="str">
        <f>'Приложение '!H56</f>
        <v>Главен счетоводител:</v>
      </c>
      <c r="I53" s="212" t="s">
        <v>4</v>
      </c>
      <c r="K53" s="213"/>
    </row>
    <row r="54" spans="1:11">
      <c r="B54" s="214" t="str">
        <f>'Приложение '!B56</f>
        <v>Дата: 10.11.2017 г.</v>
      </c>
      <c r="G54" s="215"/>
      <c r="H54" s="216"/>
      <c r="I54" s="217"/>
      <c r="J54" s="218" t="s">
        <v>5</v>
      </c>
    </row>
    <row r="55" spans="1:11">
      <c r="B55" s="214"/>
      <c r="G55" s="215"/>
      <c r="H55" s="216"/>
      <c r="I55" s="217"/>
      <c r="J55" s="218"/>
    </row>
    <row r="56" spans="1:11">
      <c r="B56" s="214"/>
      <c r="G56" s="215"/>
      <c r="H56" s="216"/>
      <c r="I56" s="217"/>
      <c r="J56" s="218"/>
    </row>
    <row r="57" spans="1:11">
      <c r="F57" s="219"/>
      <c r="G57" s="220"/>
      <c r="H57" s="211" t="str">
        <f>'Приложение '!H60</f>
        <v>Управител:</v>
      </c>
      <c r="I57" s="212" t="s">
        <v>4</v>
      </c>
      <c r="J57" s="221"/>
      <c r="K57" s="217"/>
    </row>
    <row r="58" spans="1:11">
      <c r="F58" s="217"/>
      <c r="G58" s="217"/>
      <c r="H58" s="211"/>
      <c r="J58" s="218" t="s">
        <v>6</v>
      </c>
      <c r="K58" s="217"/>
    </row>
    <row r="59" spans="1:11">
      <c r="F59" s="217"/>
      <c r="G59" s="217"/>
      <c r="H59" s="216"/>
      <c r="I59" s="217"/>
      <c r="K59" s="222"/>
    </row>
    <row r="60" spans="1:11" s="225" customFormat="1" ht="15.75">
      <c r="A60" s="215" t="s">
        <v>757</v>
      </c>
      <c r="F60" s="226"/>
      <c r="G60" s="227"/>
      <c r="H60" s="226"/>
      <c r="I60" s="228"/>
    </row>
    <row r="61" spans="1:11" s="221" customFormat="1">
      <c r="A61" s="229" t="s">
        <v>248</v>
      </c>
      <c r="B61" s="230"/>
      <c r="C61" s="230"/>
      <c r="D61" s="230"/>
      <c r="E61" s="231"/>
      <c r="F61" s="231"/>
      <c r="G61" s="231"/>
    </row>
    <row r="62" spans="1:11">
      <c r="F62" s="219"/>
      <c r="G62" s="223"/>
      <c r="H62" s="219"/>
      <c r="I62" s="224"/>
    </row>
  </sheetData>
  <sheetProtection password="C6DB" sheet="1" objects="1" scenarios="1" formatCells="0" formatColumns="0"/>
  <mergeCells count="87">
    <mergeCell ref="G50:J50"/>
    <mergeCell ref="G45:J45"/>
    <mergeCell ref="G46:J46"/>
    <mergeCell ref="G47:J47"/>
    <mergeCell ref="G48:J48"/>
    <mergeCell ref="G49:J49"/>
    <mergeCell ref="G40:J40"/>
    <mergeCell ref="G41:J41"/>
    <mergeCell ref="G42:J42"/>
    <mergeCell ref="G43:J43"/>
    <mergeCell ref="G44:J44"/>
    <mergeCell ref="G35:J35"/>
    <mergeCell ref="G36:J36"/>
    <mergeCell ref="G37:J37"/>
    <mergeCell ref="G38:J38"/>
    <mergeCell ref="G39:J39"/>
    <mergeCell ref="G30:J30"/>
    <mergeCell ref="G31:J31"/>
    <mergeCell ref="G32:J32"/>
    <mergeCell ref="G33:J33"/>
    <mergeCell ref="G34:J34"/>
    <mergeCell ref="G23:I23"/>
    <mergeCell ref="G25:J25"/>
    <mergeCell ref="G27:J27"/>
    <mergeCell ref="G28:J28"/>
    <mergeCell ref="G29:J29"/>
    <mergeCell ref="G18:I18"/>
    <mergeCell ref="G19:I19"/>
    <mergeCell ref="G20:I20"/>
    <mergeCell ref="G21:I21"/>
    <mergeCell ref="G22:I22"/>
    <mergeCell ref="G13:J13"/>
    <mergeCell ref="G14:J14"/>
    <mergeCell ref="G15:J15"/>
    <mergeCell ref="G16:J16"/>
    <mergeCell ref="G17:I17"/>
    <mergeCell ref="B50:F50"/>
    <mergeCell ref="B39:F39"/>
    <mergeCell ref="B40:F40"/>
    <mergeCell ref="B41:F41"/>
    <mergeCell ref="B42:F42"/>
    <mergeCell ref="B43:F43"/>
    <mergeCell ref="B44:F44"/>
    <mergeCell ref="B45:F45"/>
    <mergeCell ref="B46:F46"/>
    <mergeCell ref="B47:F47"/>
    <mergeCell ref="B48:F48"/>
    <mergeCell ref="B49:F49"/>
    <mergeCell ref="B38:F38"/>
    <mergeCell ref="B27:F27"/>
    <mergeCell ref="B28:F28"/>
    <mergeCell ref="B29:F29"/>
    <mergeCell ref="B30:F30"/>
    <mergeCell ref="B31:F31"/>
    <mergeCell ref="B32:F32"/>
    <mergeCell ref="B33:F33"/>
    <mergeCell ref="B34:F34"/>
    <mergeCell ref="B35:F35"/>
    <mergeCell ref="B36:F36"/>
    <mergeCell ref="B37:F37"/>
    <mergeCell ref="B26:F26"/>
    <mergeCell ref="B13:F13"/>
    <mergeCell ref="B14:F14"/>
    <mergeCell ref="B15:F15"/>
    <mergeCell ref="B16:F16"/>
    <mergeCell ref="B17:F17"/>
    <mergeCell ref="B20:F20"/>
    <mergeCell ref="B21:F21"/>
    <mergeCell ref="B22:F22"/>
    <mergeCell ref="B23:F23"/>
    <mergeCell ref="B24:F24"/>
    <mergeCell ref="B25:F25"/>
    <mergeCell ref="B12:F12"/>
    <mergeCell ref="A2:J2"/>
    <mergeCell ref="A3:J3"/>
    <mergeCell ref="A4:J4"/>
    <mergeCell ref="A6:A7"/>
    <mergeCell ref="B6:J6"/>
    <mergeCell ref="B7:F7"/>
    <mergeCell ref="G7:J7"/>
    <mergeCell ref="B8:F8"/>
    <mergeCell ref="G8:J8"/>
    <mergeCell ref="B9:F9"/>
    <mergeCell ref="B11:F11"/>
    <mergeCell ref="B10:F10"/>
    <mergeCell ref="G11:J11"/>
    <mergeCell ref="G12:J12"/>
  </mergeCells>
  <printOptions horizontalCentered="1"/>
  <pageMargins left="0.94488188976377963" right="0.74803149606299213" top="0.59055118110236227" bottom="0.59055118110236227" header="0.51181102362204722" footer="0.51181102362204722"/>
  <pageSetup paperSize="9" scale="70" orientation="portrait" r:id="rId1"/>
  <headerFooter alignWithMargins="0"/>
  <ignoredErrors>
    <ignoredError sqref="A11:A17 A8:A9" numberStoredAsText="1"/>
    <ignoredError sqref="G9:G10" unlockedFormula="1"/>
  </ignoredErrors>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70C0"/>
  </sheetPr>
  <dimension ref="A1:X41"/>
  <sheetViews>
    <sheetView showGridLines="0" view="pageBreakPreview" topLeftCell="C1" zoomScaleNormal="100" zoomScaleSheetLayoutView="100" workbookViewId="0">
      <selection activeCell="F11" activeCellId="2" sqref="T11 M11 F11"/>
    </sheetView>
  </sheetViews>
  <sheetFormatPr defaultRowHeight="12.75"/>
  <cols>
    <col min="1" max="1" width="6.42578125" customWidth="1"/>
    <col min="2" max="2" width="47" customWidth="1"/>
    <col min="3" max="3" width="10.28515625" style="1850" customWidth="1"/>
    <col min="4" max="4" width="7.5703125" style="1850" customWidth="1"/>
    <col min="5" max="5" width="7.140625" style="1850" customWidth="1"/>
    <col min="6" max="6" width="6.42578125" style="1850" customWidth="1"/>
    <col min="7" max="7" width="7" style="1850" customWidth="1"/>
    <col min="8" max="10" width="7.7109375" style="1850" customWidth="1"/>
    <col min="11" max="12" width="6" style="1850" bestFit="1" customWidth="1"/>
    <col min="13" max="13" width="6.42578125" style="1850" customWidth="1"/>
    <col min="14" max="14" width="6.5703125" style="1850" customWidth="1"/>
    <col min="15" max="15" width="6.42578125" style="1850" customWidth="1"/>
    <col min="16" max="16" width="6.7109375" style="1850" customWidth="1"/>
    <col min="17" max="17" width="6.5703125" style="1850" customWidth="1"/>
    <col min="18" max="19" width="6" style="1850" customWidth="1"/>
    <col min="20" max="21" width="6.42578125" style="1850" customWidth="1"/>
    <col min="22" max="22" width="6.5703125" style="1850" customWidth="1"/>
    <col min="23" max="23" width="6.42578125" style="1850" customWidth="1"/>
    <col min="24" max="24" width="7" style="1850" customWidth="1"/>
    <col min="270" max="270" width="6.42578125" customWidth="1"/>
    <col min="271" max="271" width="60.5703125" customWidth="1"/>
    <col min="272" max="272" width="10.28515625" customWidth="1"/>
    <col min="273" max="273" width="13.85546875" customWidth="1"/>
    <col min="274" max="274" width="13.5703125" customWidth="1"/>
    <col min="275" max="275" width="14.140625" customWidth="1"/>
    <col min="276" max="276" width="8.28515625" customWidth="1"/>
    <col min="277" max="277" width="11" customWidth="1"/>
    <col min="526" max="526" width="6.42578125" customWidth="1"/>
    <col min="527" max="527" width="60.5703125" customWidth="1"/>
    <col min="528" max="528" width="10.28515625" customWidth="1"/>
    <col min="529" max="529" width="13.85546875" customWidth="1"/>
    <col min="530" max="530" width="13.5703125" customWidth="1"/>
    <col min="531" max="531" width="14.140625" customWidth="1"/>
    <col min="532" max="532" width="8.28515625" customWidth="1"/>
    <col min="533" max="533" width="11" customWidth="1"/>
    <col min="782" max="782" width="6.42578125" customWidth="1"/>
    <col min="783" max="783" width="60.5703125" customWidth="1"/>
    <col min="784" max="784" width="10.28515625" customWidth="1"/>
    <col min="785" max="785" width="13.85546875" customWidth="1"/>
    <col min="786" max="786" width="13.5703125" customWidth="1"/>
    <col min="787" max="787" width="14.140625" customWidth="1"/>
    <col min="788" max="788" width="8.28515625" customWidth="1"/>
    <col min="789" max="789" width="11" customWidth="1"/>
    <col min="1038" max="1038" width="6.42578125" customWidth="1"/>
    <col min="1039" max="1039" width="60.5703125" customWidth="1"/>
    <col min="1040" max="1040" width="10.28515625" customWidth="1"/>
    <col min="1041" max="1041" width="13.85546875" customWidth="1"/>
    <col min="1042" max="1042" width="13.5703125" customWidth="1"/>
    <col min="1043" max="1043" width="14.140625" customWidth="1"/>
    <col min="1044" max="1044" width="8.28515625" customWidth="1"/>
    <col min="1045" max="1045" width="11" customWidth="1"/>
    <col min="1294" max="1294" width="6.42578125" customWidth="1"/>
    <col min="1295" max="1295" width="60.5703125" customWidth="1"/>
    <col min="1296" max="1296" width="10.28515625" customWidth="1"/>
    <col min="1297" max="1297" width="13.85546875" customWidth="1"/>
    <col min="1298" max="1298" width="13.5703125" customWidth="1"/>
    <col min="1299" max="1299" width="14.140625" customWidth="1"/>
    <col min="1300" max="1300" width="8.28515625" customWidth="1"/>
    <col min="1301" max="1301" width="11" customWidth="1"/>
    <col min="1550" max="1550" width="6.42578125" customWidth="1"/>
    <col min="1551" max="1551" width="60.5703125" customWidth="1"/>
    <col min="1552" max="1552" width="10.28515625" customWidth="1"/>
    <col min="1553" max="1553" width="13.85546875" customWidth="1"/>
    <col min="1554" max="1554" width="13.5703125" customWidth="1"/>
    <col min="1555" max="1555" width="14.140625" customWidth="1"/>
    <col min="1556" max="1556" width="8.28515625" customWidth="1"/>
    <col min="1557" max="1557" width="11" customWidth="1"/>
    <col min="1806" max="1806" width="6.42578125" customWidth="1"/>
    <col min="1807" max="1807" width="60.5703125" customWidth="1"/>
    <col min="1808" max="1808" width="10.28515625" customWidth="1"/>
    <col min="1809" max="1809" width="13.85546875" customWidth="1"/>
    <col min="1810" max="1810" width="13.5703125" customWidth="1"/>
    <col min="1811" max="1811" width="14.140625" customWidth="1"/>
    <col min="1812" max="1812" width="8.28515625" customWidth="1"/>
    <col min="1813" max="1813" width="11" customWidth="1"/>
    <col min="2062" max="2062" width="6.42578125" customWidth="1"/>
    <col min="2063" max="2063" width="60.5703125" customWidth="1"/>
    <col min="2064" max="2064" width="10.28515625" customWidth="1"/>
    <col min="2065" max="2065" width="13.85546875" customWidth="1"/>
    <col min="2066" max="2066" width="13.5703125" customWidth="1"/>
    <col min="2067" max="2067" width="14.140625" customWidth="1"/>
    <col min="2068" max="2068" width="8.28515625" customWidth="1"/>
    <col min="2069" max="2069" width="11" customWidth="1"/>
    <col min="2318" max="2318" width="6.42578125" customWidth="1"/>
    <col min="2319" max="2319" width="60.5703125" customWidth="1"/>
    <col min="2320" max="2320" width="10.28515625" customWidth="1"/>
    <col min="2321" max="2321" width="13.85546875" customWidth="1"/>
    <col min="2322" max="2322" width="13.5703125" customWidth="1"/>
    <col min="2323" max="2323" width="14.140625" customWidth="1"/>
    <col min="2324" max="2324" width="8.28515625" customWidth="1"/>
    <col min="2325" max="2325" width="11" customWidth="1"/>
    <col min="2574" max="2574" width="6.42578125" customWidth="1"/>
    <col min="2575" max="2575" width="60.5703125" customWidth="1"/>
    <col min="2576" max="2576" width="10.28515625" customWidth="1"/>
    <col min="2577" max="2577" width="13.85546875" customWidth="1"/>
    <col min="2578" max="2578" width="13.5703125" customWidth="1"/>
    <col min="2579" max="2579" width="14.140625" customWidth="1"/>
    <col min="2580" max="2580" width="8.28515625" customWidth="1"/>
    <col min="2581" max="2581" width="11" customWidth="1"/>
    <col min="2830" max="2830" width="6.42578125" customWidth="1"/>
    <col min="2831" max="2831" width="60.5703125" customWidth="1"/>
    <col min="2832" max="2832" width="10.28515625" customWidth="1"/>
    <col min="2833" max="2833" width="13.85546875" customWidth="1"/>
    <col min="2834" max="2834" width="13.5703125" customWidth="1"/>
    <col min="2835" max="2835" width="14.140625" customWidth="1"/>
    <col min="2836" max="2836" width="8.28515625" customWidth="1"/>
    <col min="2837" max="2837" width="11" customWidth="1"/>
    <col min="3086" max="3086" width="6.42578125" customWidth="1"/>
    <col min="3087" max="3087" width="60.5703125" customWidth="1"/>
    <col min="3088" max="3088" width="10.28515625" customWidth="1"/>
    <col min="3089" max="3089" width="13.85546875" customWidth="1"/>
    <col min="3090" max="3090" width="13.5703125" customWidth="1"/>
    <col min="3091" max="3091" width="14.140625" customWidth="1"/>
    <col min="3092" max="3092" width="8.28515625" customWidth="1"/>
    <col min="3093" max="3093" width="11" customWidth="1"/>
    <col min="3342" max="3342" width="6.42578125" customWidth="1"/>
    <col min="3343" max="3343" width="60.5703125" customWidth="1"/>
    <col min="3344" max="3344" width="10.28515625" customWidth="1"/>
    <col min="3345" max="3345" width="13.85546875" customWidth="1"/>
    <col min="3346" max="3346" width="13.5703125" customWidth="1"/>
    <col min="3347" max="3347" width="14.140625" customWidth="1"/>
    <col min="3348" max="3348" width="8.28515625" customWidth="1"/>
    <col min="3349" max="3349" width="11" customWidth="1"/>
    <col min="3598" max="3598" width="6.42578125" customWidth="1"/>
    <col min="3599" max="3599" width="60.5703125" customWidth="1"/>
    <col min="3600" max="3600" width="10.28515625" customWidth="1"/>
    <col min="3601" max="3601" width="13.85546875" customWidth="1"/>
    <col min="3602" max="3602" width="13.5703125" customWidth="1"/>
    <col min="3603" max="3603" width="14.140625" customWidth="1"/>
    <col min="3604" max="3604" width="8.28515625" customWidth="1"/>
    <col min="3605" max="3605" width="11" customWidth="1"/>
    <col min="3854" max="3854" width="6.42578125" customWidth="1"/>
    <col min="3855" max="3855" width="60.5703125" customWidth="1"/>
    <col min="3856" max="3856" width="10.28515625" customWidth="1"/>
    <col min="3857" max="3857" width="13.85546875" customWidth="1"/>
    <col min="3858" max="3858" width="13.5703125" customWidth="1"/>
    <col min="3859" max="3859" width="14.140625" customWidth="1"/>
    <col min="3860" max="3860" width="8.28515625" customWidth="1"/>
    <col min="3861" max="3861" width="11" customWidth="1"/>
    <col min="4110" max="4110" width="6.42578125" customWidth="1"/>
    <col min="4111" max="4111" width="60.5703125" customWidth="1"/>
    <col min="4112" max="4112" width="10.28515625" customWidth="1"/>
    <col min="4113" max="4113" width="13.85546875" customWidth="1"/>
    <col min="4114" max="4114" width="13.5703125" customWidth="1"/>
    <col min="4115" max="4115" width="14.140625" customWidth="1"/>
    <col min="4116" max="4116" width="8.28515625" customWidth="1"/>
    <col min="4117" max="4117" width="11" customWidth="1"/>
    <col min="4366" max="4366" width="6.42578125" customWidth="1"/>
    <col min="4367" max="4367" width="60.5703125" customWidth="1"/>
    <col min="4368" max="4368" width="10.28515625" customWidth="1"/>
    <col min="4369" max="4369" width="13.85546875" customWidth="1"/>
    <col min="4370" max="4370" width="13.5703125" customWidth="1"/>
    <col min="4371" max="4371" width="14.140625" customWidth="1"/>
    <col min="4372" max="4372" width="8.28515625" customWidth="1"/>
    <col min="4373" max="4373" width="11" customWidth="1"/>
    <col min="4622" max="4622" width="6.42578125" customWidth="1"/>
    <col min="4623" max="4623" width="60.5703125" customWidth="1"/>
    <col min="4624" max="4624" width="10.28515625" customWidth="1"/>
    <col min="4625" max="4625" width="13.85546875" customWidth="1"/>
    <col min="4626" max="4626" width="13.5703125" customWidth="1"/>
    <col min="4627" max="4627" width="14.140625" customWidth="1"/>
    <col min="4628" max="4628" width="8.28515625" customWidth="1"/>
    <col min="4629" max="4629" width="11" customWidth="1"/>
    <col min="4878" max="4878" width="6.42578125" customWidth="1"/>
    <col min="4879" max="4879" width="60.5703125" customWidth="1"/>
    <col min="4880" max="4880" width="10.28515625" customWidth="1"/>
    <col min="4881" max="4881" width="13.85546875" customWidth="1"/>
    <col min="4882" max="4882" width="13.5703125" customWidth="1"/>
    <col min="4883" max="4883" width="14.140625" customWidth="1"/>
    <col min="4884" max="4884" width="8.28515625" customWidth="1"/>
    <col min="4885" max="4885" width="11" customWidth="1"/>
    <col min="5134" max="5134" width="6.42578125" customWidth="1"/>
    <col min="5135" max="5135" width="60.5703125" customWidth="1"/>
    <col min="5136" max="5136" width="10.28515625" customWidth="1"/>
    <col min="5137" max="5137" width="13.85546875" customWidth="1"/>
    <col min="5138" max="5138" width="13.5703125" customWidth="1"/>
    <col min="5139" max="5139" width="14.140625" customWidth="1"/>
    <col min="5140" max="5140" width="8.28515625" customWidth="1"/>
    <col min="5141" max="5141" width="11" customWidth="1"/>
    <col min="5390" max="5390" width="6.42578125" customWidth="1"/>
    <col min="5391" max="5391" width="60.5703125" customWidth="1"/>
    <col min="5392" max="5392" width="10.28515625" customWidth="1"/>
    <col min="5393" max="5393" width="13.85546875" customWidth="1"/>
    <col min="5394" max="5394" width="13.5703125" customWidth="1"/>
    <col min="5395" max="5395" width="14.140625" customWidth="1"/>
    <col min="5396" max="5396" width="8.28515625" customWidth="1"/>
    <col min="5397" max="5397" width="11" customWidth="1"/>
    <col min="5646" max="5646" width="6.42578125" customWidth="1"/>
    <col min="5647" max="5647" width="60.5703125" customWidth="1"/>
    <col min="5648" max="5648" width="10.28515625" customWidth="1"/>
    <col min="5649" max="5649" width="13.85546875" customWidth="1"/>
    <col min="5650" max="5650" width="13.5703125" customWidth="1"/>
    <col min="5651" max="5651" width="14.140625" customWidth="1"/>
    <col min="5652" max="5652" width="8.28515625" customWidth="1"/>
    <col min="5653" max="5653" width="11" customWidth="1"/>
    <col min="5902" max="5902" width="6.42578125" customWidth="1"/>
    <col min="5903" max="5903" width="60.5703125" customWidth="1"/>
    <col min="5904" max="5904" width="10.28515625" customWidth="1"/>
    <col min="5905" max="5905" width="13.85546875" customWidth="1"/>
    <col min="5906" max="5906" width="13.5703125" customWidth="1"/>
    <col min="5907" max="5907" width="14.140625" customWidth="1"/>
    <col min="5908" max="5908" width="8.28515625" customWidth="1"/>
    <col min="5909" max="5909" width="11" customWidth="1"/>
    <col min="6158" max="6158" width="6.42578125" customWidth="1"/>
    <col min="6159" max="6159" width="60.5703125" customWidth="1"/>
    <col min="6160" max="6160" width="10.28515625" customWidth="1"/>
    <col min="6161" max="6161" width="13.85546875" customWidth="1"/>
    <col min="6162" max="6162" width="13.5703125" customWidth="1"/>
    <col min="6163" max="6163" width="14.140625" customWidth="1"/>
    <col min="6164" max="6164" width="8.28515625" customWidth="1"/>
    <col min="6165" max="6165" width="11" customWidth="1"/>
    <col min="6414" max="6414" width="6.42578125" customWidth="1"/>
    <col min="6415" max="6415" width="60.5703125" customWidth="1"/>
    <col min="6416" max="6416" width="10.28515625" customWidth="1"/>
    <col min="6417" max="6417" width="13.85546875" customWidth="1"/>
    <col min="6418" max="6418" width="13.5703125" customWidth="1"/>
    <col min="6419" max="6419" width="14.140625" customWidth="1"/>
    <col min="6420" max="6420" width="8.28515625" customWidth="1"/>
    <col min="6421" max="6421" width="11" customWidth="1"/>
    <col min="6670" max="6670" width="6.42578125" customWidth="1"/>
    <col min="6671" max="6671" width="60.5703125" customWidth="1"/>
    <col min="6672" max="6672" width="10.28515625" customWidth="1"/>
    <col min="6673" max="6673" width="13.85546875" customWidth="1"/>
    <col min="6674" max="6674" width="13.5703125" customWidth="1"/>
    <col min="6675" max="6675" width="14.140625" customWidth="1"/>
    <col min="6676" max="6676" width="8.28515625" customWidth="1"/>
    <col min="6677" max="6677" width="11" customWidth="1"/>
    <col min="6926" max="6926" width="6.42578125" customWidth="1"/>
    <col min="6927" max="6927" width="60.5703125" customWidth="1"/>
    <col min="6928" max="6928" width="10.28515625" customWidth="1"/>
    <col min="6929" max="6929" width="13.85546875" customWidth="1"/>
    <col min="6930" max="6930" width="13.5703125" customWidth="1"/>
    <col min="6931" max="6931" width="14.140625" customWidth="1"/>
    <col min="6932" max="6932" width="8.28515625" customWidth="1"/>
    <col min="6933" max="6933" width="11" customWidth="1"/>
    <col min="7182" max="7182" width="6.42578125" customWidth="1"/>
    <col min="7183" max="7183" width="60.5703125" customWidth="1"/>
    <col min="7184" max="7184" width="10.28515625" customWidth="1"/>
    <col min="7185" max="7185" width="13.85546875" customWidth="1"/>
    <col min="7186" max="7186" width="13.5703125" customWidth="1"/>
    <col min="7187" max="7187" width="14.140625" customWidth="1"/>
    <col min="7188" max="7188" width="8.28515625" customWidth="1"/>
    <col min="7189" max="7189" width="11" customWidth="1"/>
    <col min="7438" max="7438" width="6.42578125" customWidth="1"/>
    <col min="7439" max="7439" width="60.5703125" customWidth="1"/>
    <col min="7440" max="7440" width="10.28515625" customWidth="1"/>
    <col min="7441" max="7441" width="13.85546875" customWidth="1"/>
    <col min="7442" max="7442" width="13.5703125" customWidth="1"/>
    <col min="7443" max="7443" width="14.140625" customWidth="1"/>
    <col min="7444" max="7444" width="8.28515625" customWidth="1"/>
    <col min="7445" max="7445" width="11" customWidth="1"/>
    <col min="7694" max="7694" width="6.42578125" customWidth="1"/>
    <col min="7695" max="7695" width="60.5703125" customWidth="1"/>
    <col min="7696" max="7696" width="10.28515625" customWidth="1"/>
    <col min="7697" max="7697" width="13.85546875" customWidth="1"/>
    <col min="7698" max="7698" width="13.5703125" customWidth="1"/>
    <col min="7699" max="7699" width="14.140625" customWidth="1"/>
    <col min="7700" max="7700" width="8.28515625" customWidth="1"/>
    <col min="7701" max="7701" width="11" customWidth="1"/>
    <col min="7950" max="7950" width="6.42578125" customWidth="1"/>
    <col min="7951" max="7951" width="60.5703125" customWidth="1"/>
    <col min="7952" max="7952" width="10.28515625" customWidth="1"/>
    <col min="7953" max="7953" width="13.85546875" customWidth="1"/>
    <col min="7954" max="7954" width="13.5703125" customWidth="1"/>
    <col min="7955" max="7955" width="14.140625" customWidth="1"/>
    <col min="7956" max="7956" width="8.28515625" customWidth="1"/>
    <col min="7957" max="7957" width="11" customWidth="1"/>
    <col min="8206" max="8206" width="6.42578125" customWidth="1"/>
    <col min="8207" max="8207" width="60.5703125" customWidth="1"/>
    <col min="8208" max="8208" width="10.28515625" customWidth="1"/>
    <col min="8209" max="8209" width="13.85546875" customWidth="1"/>
    <col min="8210" max="8210" width="13.5703125" customWidth="1"/>
    <col min="8211" max="8211" width="14.140625" customWidth="1"/>
    <col min="8212" max="8212" width="8.28515625" customWidth="1"/>
    <col min="8213" max="8213" width="11" customWidth="1"/>
    <col min="8462" max="8462" width="6.42578125" customWidth="1"/>
    <col min="8463" max="8463" width="60.5703125" customWidth="1"/>
    <col min="8464" max="8464" width="10.28515625" customWidth="1"/>
    <col min="8465" max="8465" width="13.85546875" customWidth="1"/>
    <col min="8466" max="8466" width="13.5703125" customWidth="1"/>
    <col min="8467" max="8467" width="14.140625" customWidth="1"/>
    <col min="8468" max="8468" width="8.28515625" customWidth="1"/>
    <col min="8469" max="8469" width="11" customWidth="1"/>
    <col min="8718" max="8718" width="6.42578125" customWidth="1"/>
    <col min="8719" max="8719" width="60.5703125" customWidth="1"/>
    <col min="8720" max="8720" width="10.28515625" customWidth="1"/>
    <col min="8721" max="8721" width="13.85546875" customWidth="1"/>
    <col min="8722" max="8722" width="13.5703125" customWidth="1"/>
    <col min="8723" max="8723" width="14.140625" customWidth="1"/>
    <col min="8724" max="8724" width="8.28515625" customWidth="1"/>
    <col min="8725" max="8725" width="11" customWidth="1"/>
    <col min="8974" max="8974" width="6.42578125" customWidth="1"/>
    <col min="8975" max="8975" width="60.5703125" customWidth="1"/>
    <col min="8976" max="8976" width="10.28515625" customWidth="1"/>
    <col min="8977" max="8977" width="13.85546875" customWidth="1"/>
    <col min="8978" max="8978" width="13.5703125" customWidth="1"/>
    <col min="8979" max="8979" width="14.140625" customWidth="1"/>
    <col min="8980" max="8980" width="8.28515625" customWidth="1"/>
    <col min="8981" max="8981" width="11" customWidth="1"/>
    <col min="9230" max="9230" width="6.42578125" customWidth="1"/>
    <col min="9231" max="9231" width="60.5703125" customWidth="1"/>
    <col min="9232" max="9232" width="10.28515625" customWidth="1"/>
    <col min="9233" max="9233" width="13.85546875" customWidth="1"/>
    <col min="9234" max="9234" width="13.5703125" customWidth="1"/>
    <col min="9235" max="9235" width="14.140625" customWidth="1"/>
    <col min="9236" max="9236" width="8.28515625" customWidth="1"/>
    <col min="9237" max="9237" width="11" customWidth="1"/>
    <col min="9486" max="9486" width="6.42578125" customWidth="1"/>
    <col min="9487" max="9487" width="60.5703125" customWidth="1"/>
    <col min="9488" max="9488" width="10.28515625" customWidth="1"/>
    <col min="9489" max="9489" width="13.85546875" customWidth="1"/>
    <col min="9490" max="9490" width="13.5703125" customWidth="1"/>
    <col min="9491" max="9491" width="14.140625" customWidth="1"/>
    <col min="9492" max="9492" width="8.28515625" customWidth="1"/>
    <col min="9493" max="9493" width="11" customWidth="1"/>
    <col min="9742" max="9742" width="6.42578125" customWidth="1"/>
    <col min="9743" max="9743" width="60.5703125" customWidth="1"/>
    <col min="9744" max="9744" width="10.28515625" customWidth="1"/>
    <col min="9745" max="9745" width="13.85546875" customWidth="1"/>
    <col min="9746" max="9746" width="13.5703125" customWidth="1"/>
    <col min="9747" max="9747" width="14.140625" customWidth="1"/>
    <col min="9748" max="9748" width="8.28515625" customWidth="1"/>
    <col min="9749" max="9749" width="11" customWidth="1"/>
    <col min="9998" max="9998" width="6.42578125" customWidth="1"/>
    <col min="9999" max="9999" width="60.5703125" customWidth="1"/>
    <col min="10000" max="10000" width="10.28515625" customWidth="1"/>
    <col min="10001" max="10001" width="13.85546875" customWidth="1"/>
    <col min="10002" max="10002" width="13.5703125" customWidth="1"/>
    <col min="10003" max="10003" width="14.140625" customWidth="1"/>
    <col min="10004" max="10004" width="8.28515625" customWidth="1"/>
    <col min="10005" max="10005" width="11" customWidth="1"/>
    <col min="10254" max="10254" width="6.42578125" customWidth="1"/>
    <col min="10255" max="10255" width="60.5703125" customWidth="1"/>
    <col min="10256" max="10256" width="10.28515625" customWidth="1"/>
    <col min="10257" max="10257" width="13.85546875" customWidth="1"/>
    <col min="10258" max="10258" width="13.5703125" customWidth="1"/>
    <col min="10259" max="10259" width="14.140625" customWidth="1"/>
    <col min="10260" max="10260" width="8.28515625" customWidth="1"/>
    <col min="10261" max="10261" width="11" customWidth="1"/>
    <col min="10510" max="10510" width="6.42578125" customWidth="1"/>
    <col min="10511" max="10511" width="60.5703125" customWidth="1"/>
    <col min="10512" max="10512" width="10.28515625" customWidth="1"/>
    <col min="10513" max="10513" width="13.85546875" customWidth="1"/>
    <col min="10514" max="10514" width="13.5703125" customWidth="1"/>
    <col min="10515" max="10515" width="14.140625" customWidth="1"/>
    <col min="10516" max="10516" width="8.28515625" customWidth="1"/>
    <col min="10517" max="10517" width="11" customWidth="1"/>
    <col min="10766" max="10766" width="6.42578125" customWidth="1"/>
    <col min="10767" max="10767" width="60.5703125" customWidth="1"/>
    <col min="10768" max="10768" width="10.28515625" customWidth="1"/>
    <col min="10769" max="10769" width="13.85546875" customWidth="1"/>
    <col min="10770" max="10770" width="13.5703125" customWidth="1"/>
    <col min="10771" max="10771" width="14.140625" customWidth="1"/>
    <col min="10772" max="10772" width="8.28515625" customWidth="1"/>
    <col min="10773" max="10773" width="11" customWidth="1"/>
    <col min="11022" max="11022" width="6.42578125" customWidth="1"/>
    <col min="11023" max="11023" width="60.5703125" customWidth="1"/>
    <col min="11024" max="11024" width="10.28515625" customWidth="1"/>
    <col min="11025" max="11025" width="13.85546875" customWidth="1"/>
    <col min="11026" max="11026" width="13.5703125" customWidth="1"/>
    <col min="11027" max="11027" width="14.140625" customWidth="1"/>
    <col min="11028" max="11028" width="8.28515625" customWidth="1"/>
    <col min="11029" max="11029" width="11" customWidth="1"/>
    <col min="11278" max="11278" width="6.42578125" customWidth="1"/>
    <col min="11279" max="11279" width="60.5703125" customWidth="1"/>
    <col min="11280" max="11280" width="10.28515625" customWidth="1"/>
    <col min="11281" max="11281" width="13.85546875" customWidth="1"/>
    <col min="11282" max="11282" width="13.5703125" customWidth="1"/>
    <col min="11283" max="11283" width="14.140625" customWidth="1"/>
    <col min="11284" max="11284" width="8.28515625" customWidth="1"/>
    <col min="11285" max="11285" width="11" customWidth="1"/>
    <col min="11534" max="11534" width="6.42578125" customWidth="1"/>
    <col min="11535" max="11535" width="60.5703125" customWidth="1"/>
    <col min="11536" max="11536" width="10.28515625" customWidth="1"/>
    <col min="11537" max="11537" width="13.85546875" customWidth="1"/>
    <col min="11538" max="11538" width="13.5703125" customWidth="1"/>
    <col min="11539" max="11539" width="14.140625" customWidth="1"/>
    <col min="11540" max="11540" width="8.28515625" customWidth="1"/>
    <col min="11541" max="11541" width="11" customWidth="1"/>
    <col min="11790" max="11790" width="6.42578125" customWidth="1"/>
    <col min="11791" max="11791" width="60.5703125" customWidth="1"/>
    <col min="11792" max="11792" width="10.28515625" customWidth="1"/>
    <col min="11793" max="11793" width="13.85546875" customWidth="1"/>
    <col min="11794" max="11794" width="13.5703125" customWidth="1"/>
    <col min="11795" max="11795" width="14.140625" customWidth="1"/>
    <col min="11796" max="11796" width="8.28515625" customWidth="1"/>
    <col min="11797" max="11797" width="11" customWidth="1"/>
    <col min="12046" max="12046" width="6.42578125" customWidth="1"/>
    <col min="12047" max="12047" width="60.5703125" customWidth="1"/>
    <col min="12048" max="12048" width="10.28515625" customWidth="1"/>
    <col min="12049" max="12049" width="13.85546875" customWidth="1"/>
    <col min="12050" max="12050" width="13.5703125" customWidth="1"/>
    <col min="12051" max="12051" width="14.140625" customWidth="1"/>
    <col min="12052" max="12052" width="8.28515625" customWidth="1"/>
    <col min="12053" max="12053" width="11" customWidth="1"/>
    <col min="12302" max="12302" width="6.42578125" customWidth="1"/>
    <col min="12303" max="12303" width="60.5703125" customWidth="1"/>
    <col min="12304" max="12304" width="10.28515625" customWidth="1"/>
    <col min="12305" max="12305" width="13.85546875" customWidth="1"/>
    <col min="12306" max="12306" width="13.5703125" customWidth="1"/>
    <col min="12307" max="12307" width="14.140625" customWidth="1"/>
    <col min="12308" max="12308" width="8.28515625" customWidth="1"/>
    <col min="12309" max="12309" width="11" customWidth="1"/>
    <col min="12558" max="12558" width="6.42578125" customWidth="1"/>
    <col min="12559" max="12559" width="60.5703125" customWidth="1"/>
    <col min="12560" max="12560" width="10.28515625" customWidth="1"/>
    <col min="12561" max="12561" width="13.85546875" customWidth="1"/>
    <col min="12562" max="12562" width="13.5703125" customWidth="1"/>
    <col min="12563" max="12563" width="14.140625" customWidth="1"/>
    <col min="12564" max="12564" width="8.28515625" customWidth="1"/>
    <col min="12565" max="12565" width="11" customWidth="1"/>
    <col min="12814" max="12814" width="6.42578125" customWidth="1"/>
    <col min="12815" max="12815" width="60.5703125" customWidth="1"/>
    <col min="12816" max="12816" width="10.28515625" customWidth="1"/>
    <col min="12817" max="12817" width="13.85546875" customWidth="1"/>
    <col min="12818" max="12818" width="13.5703125" customWidth="1"/>
    <col min="12819" max="12819" width="14.140625" customWidth="1"/>
    <col min="12820" max="12820" width="8.28515625" customWidth="1"/>
    <col min="12821" max="12821" width="11" customWidth="1"/>
    <col min="13070" max="13070" width="6.42578125" customWidth="1"/>
    <col min="13071" max="13071" width="60.5703125" customWidth="1"/>
    <col min="13072" max="13072" width="10.28515625" customWidth="1"/>
    <col min="13073" max="13073" width="13.85546875" customWidth="1"/>
    <col min="13074" max="13074" width="13.5703125" customWidth="1"/>
    <col min="13075" max="13075" width="14.140625" customWidth="1"/>
    <col min="13076" max="13076" width="8.28515625" customWidth="1"/>
    <col min="13077" max="13077" width="11" customWidth="1"/>
    <col min="13326" max="13326" width="6.42578125" customWidth="1"/>
    <col min="13327" max="13327" width="60.5703125" customWidth="1"/>
    <col min="13328" max="13328" width="10.28515625" customWidth="1"/>
    <col min="13329" max="13329" width="13.85546875" customWidth="1"/>
    <col min="13330" max="13330" width="13.5703125" customWidth="1"/>
    <col min="13331" max="13331" width="14.140625" customWidth="1"/>
    <col min="13332" max="13332" width="8.28515625" customWidth="1"/>
    <col min="13333" max="13333" width="11" customWidth="1"/>
    <col min="13582" max="13582" width="6.42578125" customWidth="1"/>
    <col min="13583" max="13583" width="60.5703125" customWidth="1"/>
    <col min="13584" max="13584" width="10.28515625" customWidth="1"/>
    <col min="13585" max="13585" width="13.85546875" customWidth="1"/>
    <col min="13586" max="13586" width="13.5703125" customWidth="1"/>
    <col min="13587" max="13587" width="14.140625" customWidth="1"/>
    <col min="13588" max="13588" width="8.28515625" customWidth="1"/>
    <col min="13589" max="13589" width="11" customWidth="1"/>
    <col min="13838" max="13838" width="6.42578125" customWidth="1"/>
    <col min="13839" max="13839" width="60.5703125" customWidth="1"/>
    <col min="13840" max="13840" width="10.28515625" customWidth="1"/>
    <col min="13841" max="13841" width="13.85546875" customWidth="1"/>
    <col min="13842" max="13842" width="13.5703125" customWidth="1"/>
    <col min="13843" max="13843" width="14.140625" customWidth="1"/>
    <col min="13844" max="13844" width="8.28515625" customWidth="1"/>
    <col min="13845" max="13845" width="11" customWidth="1"/>
    <col min="14094" max="14094" width="6.42578125" customWidth="1"/>
    <col min="14095" max="14095" width="60.5703125" customWidth="1"/>
    <col min="14096" max="14096" width="10.28515625" customWidth="1"/>
    <col min="14097" max="14097" width="13.85546875" customWidth="1"/>
    <col min="14098" max="14098" width="13.5703125" customWidth="1"/>
    <col min="14099" max="14099" width="14.140625" customWidth="1"/>
    <col min="14100" max="14100" width="8.28515625" customWidth="1"/>
    <col min="14101" max="14101" width="11" customWidth="1"/>
    <col min="14350" max="14350" width="6.42578125" customWidth="1"/>
    <col min="14351" max="14351" width="60.5703125" customWidth="1"/>
    <col min="14352" max="14352" width="10.28515625" customWidth="1"/>
    <col min="14353" max="14353" width="13.85546875" customWidth="1"/>
    <col min="14354" max="14354" width="13.5703125" customWidth="1"/>
    <col min="14355" max="14355" width="14.140625" customWidth="1"/>
    <col min="14356" max="14356" width="8.28515625" customWidth="1"/>
    <col min="14357" max="14357" width="11" customWidth="1"/>
    <col min="14606" max="14606" width="6.42578125" customWidth="1"/>
    <col min="14607" max="14607" width="60.5703125" customWidth="1"/>
    <col min="14608" max="14608" width="10.28515625" customWidth="1"/>
    <col min="14609" max="14609" width="13.85546875" customWidth="1"/>
    <col min="14610" max="14610" width="13.5703125" customWidth="1"/>
    <col min="14611" max="14611" width="14.140625" customWidth="1"/>
    <col min="14612" max="14612" width="8.28515625" customWidth="1"/>
    <col min="14613" max="14613" width="11" customWidth="1"/>
    <col min="14862" max="14862" width="6.42578125" customWidth="1"/>
    <col min="14863" max="14863" width="60.5703125" customWidth="1"/>
    <col min="14864" max="14864" width="10.28515625" customWidth="1"/>
    <col min="14865" max="14865" width="13.85546875" customWidth="1"/>
    <col min="14866" max="14866" width="13.5703125" customWidth="1"/>
    <col min="14867" max="14867" width="14.140625" customWidth="1"/>
    <col min="14868" max="14868" width="8.28515625" customWidth="1"/>
    <col min="14869" max="14869" width="11" customWidth="1"/>
    <col min="15118" max="15118" width="6.42578125" customWidth="1"/>
    <col min="15119" max="15119" width="60.5703125" customWidth="1"/>
    <col min="15120" max="15120" width="10.28515625" customWidth="1"/>
    <col min="15121" max="15121" width="13.85546875" customWidth="1"/>
    <col min="15122" max="15122" width="13.5703125" customWidth="1"/>
    <col min="15123" max="15123" width="14.140625" customWidth="1"/>
    <col min="15124" max="15124" width="8.28515625" customWidth="1"/>
    <col min="15125" max="15125" width="11" customWidth="1"/>
    <col min="15374" max="15374" width="6.42578125" customWidth="1"/>
    <col min="15375" max="15375" width="60.5703125" customWidth="1"/>
    <col min="15376" max="15376" width="10.28515625" customWidth="1"/>
    <col min="15377" max="15377" width="13.85546875" customWidth="1"/>
    <col min="15378" max="15378" width="13.5703125" customWidth="1"/>
    <col min="15379" max="15379" width="14.140625" customWidth="1"/>
    <col min="15380" max="15380" width="8.28515625" customWidth="1"/>
    <col min="15381" max="15381" width="11" customWidth="1"/>
    <col min="15630" max="15630" width="6.42578125" customWidth="1"/>
    <col min="15631" max="15631" width="60.5703125" customWidth="1"/>
    <col min="15632" max="15632" width="10.28515625" customWidth="1"/>
    <col min="15633" max="15633" width="13.85546875" customWidth="1"/>
    <col min="15634" max="15634" width="13.5703125" customWidth="1"/>
    <col min="15635" max="15635" width="14.140625" customWidth="1"/>
    <col min="15636" max="15636" width="8.28515625" customWidth="1"/>
    <col min="15637" max="15637" width="11" customWidth="1"/>
    <col min="15886" max="15886" width="6.42578125" customWidth="1"/>
    <col min="15887" max="15887" width="60.5703125" customWidth="1"/>
    <col min="15888" max="15888" width="10.28515625" customWidth="1"/>
    <col min="15889" max="15889" width="13.85546875" customWidth="1"/>
    <col min="15890" max="15890" width="13.5703125" customWidth="1"/>
    <col min="15891" max="15891" width="14.140625" customWidth="1"/>
    <col min="15892" max="15892" width="8.28515625" customWidth="1"/>
    <col min="15893" max="15893" width="11" customWidth="1"/>
    <col min="16142" max="16142" width="6.42578125" customWidth="1"/>
    <col min="16143" max="16143" width="60.5703125" customWidth="1"/>
    <col min="16144" max="16144" width="10.28515625" customWidth="1"/>
    <col min="16145" max="16145" width="13.85546875" customWidth="1"/>
    <col min="16146" max="16146" width="13.5703125" customWidth="1"/>
    <col min="16147" max="16147" width="14.140625" customWidth="1"/>
    <col min="16148" max="16148" width="8.28515625" customWidth="1"/>
    <col min="16149" max="16149" width="11" customWidth="1"/>
  </cols>
  <sheetData>
    <row r="1" spans="1:24" ht="13.5">
      <c r="X1" s="50" t="s">
        <v>745</v>
      </c>
    </row>
    <row r="2" spans="1:24" s="70" customFormat="1" ht="18.75">
      <c r="A2" s="3673" t="s">
        <v>746</v>
      </c>
      <c r="B2" s="3673"/>
      <c r="C2" s="3673"/>
      <c r="D2" s="3673"/>
      <c r="E2" s="3673"/>
      <c r="F2" s="3673"/>
      <c r="G2" s="3673"/>
      <c r="H2" s="3673"/>
      <c r="I2" s="3673"/>
      <c r="J2" s="3673"/>
      <c r="K2" s="3673"/>
      <c r="L2" s="3673"/>
      <c r="M2" s="3673"/>
      <c r="N2" s="3673"/>
      <c r="O2" s="3673"/>
      <c r="P2" s="3673"/>
      <c r="Q2" s="3673"/>
      <c r="R2" s="3673"/>
      <c r="S2" s="3673"/>
      <c r="T2" s="3673"/>
      <c r="U2" s="3673"/>
      <c r="V2" s="3673"/>
      <c r="W2" s="3673"/>
      <c r="X2" s="3673"/>
    </row>
    <row r="3" spans="1:24" ht="18.75">
      <c r="A3" s="3673" t="s">
        <v>1420</v>
      </c>
      <c r="B3" s="3673"/>
      <c r="C3" s="3673"/>
      <c r="D3" s="3673"/>
      <c r="E3" s="3673"/>
      <c r="F3" s="3673"/>
      <c r="G3" s="3673"/>
      <c r="H3" s="3673"/>
      <c r="I3" s="3673"/>
      <c r="J3" s="3673"/>
      <c r="K3" s="3673"/>
      <c r="L3" s="3673"/>
      <c r="M3" s="3673"/>
      <c r="N3" s="3673"/>
      <c r="O3" s="3673"/>
      <c r="P3" s="3673"/>
      <c r="Q3" s="3673"/>
      <c r="R3" s="3673"/>
      <c r="S3" s="3673"/>
      <c r="T3" s="3673"/>
      <c r="U3" s="3673"/>
      <c r="V3" s="3673"/>
      <c r="W3" s="3673"/>
      <c r="X3" s="3673"/>
    </row>
    <row r="4" spans="1:24" s="127" customFormat="1" ht="15" customHeight="1">
      <c r="A4" s="3674" t="str">
        <f>'1. Анкетна карта'!A3:J3</f>
        <v>на "ВОДОСНАБДЯВАНЕ И КАНАЛИЗАЦИЯ ДОБРИЧ" АД, гр. Добрич</v>
      </c>
      <c r="B4" s="3674"/>
      <c r="C4" s="3674"/>
      <c r="D4" s="3674"/>
      <c r="E4" s="3674"/>
      <c r="F4" s="3674"/>
      <c r="G4" s="3674"/>
      <c r="H4" s="3674"/>
      <c r="I4" s="3674"/>
      <c r="J4" s="3674"/>
      <c r="K4" s="3674"/>
      <c r="L4" s="3674"/>
      <c r="M4" s="3674"/>
      <c r="N4" s="3674"/>
      <c r="O4" s="3674"/>
      <c r="P4" s="3674"/>
      <c r="Q4" s="3674"/>
      <c r="R4" s="3674"/>
      <c r="S4" s="3674"/>
      <c r="T4" s="3674"/>
      <c r="U4" s="3674"/>
      <c r="V4" s="3674"/>
      <c r="W4" s="3674"/>
      <c r="X4" s="3674"/>
    </row>
    <row r="5" spans="1:24" s="127" customFormat="1" ht="13.5" customHeight="1">
      <c r="A5" s="3674" t="str">
        <f>'1. Анкетна карта'!A4:J4</f>
        <v>ЕИК по БУЛСТАТ: 204219357</v>
      </c>
      <c r="B5" s="3674"/>
      <c r="C5" s="3674"/>
      <c r="D5" s="3674"/>
      <c r="E5" s="3674"/>
      <c r="F5" s="3674"/>
      <c r="G5" s="3674"/>
      <c r="H5" s="3674"/>
      <c r="I5" s="3674"/>
      <c r="J5" s="3674"/>
      <c r="K5" s="3674"/>
      <c r="L5" s="3674"/>
      <c r="M5" s="3674"/>
      <c r="N5" s="3674"/>
      <c r="O5" s="3674"/>
      <c r="P5" s="3674"/>
      <c r="Q5" s="3674"/>
      <c r="R5" s="3674"/>
      <c r="S5" s="3674"/>
      <c r="T5" s="3674"/>
      <c r="U5" s="3674"/>
      <c r="V5" s="3674"/>
      <c r="W5" s="3674"/>
      <c r="X5" s="3674"/>
    </row>
    <row r="6" spans="1:24" ht="13.5" customHeight="1" thickBot="1">
      <c r="A6" s="157"/>
      <c r="B6" s="157"/>
      <c r="C6" s="157"/>
      <c r="D6" s="1193"/>
      <c r="E6" s="1193"/>
      <c r="F6" s="1193"/>
      <c r="G6" s="1193"/>
      <c r="H6" s="1193"/>
      <c r="I6" s="1193"/>
      <c r="J6" s="1193"/>
      <c r="K6" s="1193"/>
      <c r="L6" s="1193"/>
      <c r="M6" s="157"/>
      <c r="N6" s="157"/>
      <c r="O6" s="157"/>
      <c r="P6" s="157"/>
      <c r="Q6" s="157"/>
      <c r="R6" s="157"/>
      <c r="S6" s="157"/>
      <c r="T6" s="157"/>
      <c r="U6" s="157"/>
      <c r="V6" s="157"/>
      <c r="W6" s="157"/>
      <c r="X6" s="157"/>
    </row>
    <row r="7" spans="1:24" ht="13.5" customHeight="1">
      <c r="A7" s="3667" t="s">
        <v>1</v>
      </c>
      <c r="B7" s="3669" t="s">
        <v>359</v>
      </c>
      <c r="C7" s="3671" t="s">
        <v>222</v>
      </c>
      <c r="D7" s="3675" t="s">
        <v>273</v>
      </c>
      <c r="E7" s="3676"/>
      <c r="F7" s="3676"/>
      <c r="G7" s="3676"/>
      <c r="H7" s="3676"/>
      <c r="I7" s="3676"/>
      <c r="J7" s="3677"/>
      <c r="K7" s="3675" t="s">
        <v>230</v>
      </c>
      <c r="L7" s="3676"/>
      <c r="M7" s="3676"/>
      <c r="N7" s="3676"/>
      <c r="O7" s="3676"/>
      <c r="P7" s="3676"/>
      <c r="Q7" s="3677"/>
      <c r="R7" s="3675" t="s">
        <v>241</v>
      </c>
      <c r="S7" s="3676"/>
      <c r="T7" s="3676"/>
      <c r="U7" s="3676"/>
      <c r="V7" s="3676"/>
      <c r="W7" s="3676"/>
      <c r="X7" s="3677"/>
    </row>
    <row r="8" spans="1:24" ht="13.5" thickBot="1">
      <c r="A8" s="3668"/>
      <c r="B8" s="3670"/>
      <c r="C8" s="3672"/>
      <c r="D8" s="2493" t="str">
        <f>'Приложение '!$G12</f>
        <v>2015 г.</v>
      </c>
      <c r="E8" s="2494" t="str">
        <f>'Приложение '!$G13</f>
        <v>2016 г.</v>
      </c>
      <c r="F8" s="2497" t="str">
        <f>'Приложение '!$G14</f>
        <v>2017 г.</v>
      </c>
      <c r="G8" s="2497" t="str">
        <f>'Приложение '!$G15</f>
        <v>2018 г.</v>
      </c>
      <c r="H8" s="2497" t="str">
        <f>'Приложение '!$G16</f>
        <v>2019 г.</v>
      </c>
      <c r="I8" s="2497" t="str">
        <f>'Приложение '!$G17</f>
        <v>2020 г.</v>
      </c>
      <c r="J8" s="2498" t="str">
        <f>'Приложение '!$G18</f>
        <v>2021 г.</v>
      </c>
      <c r="K8" s="2163" t="str">
        <f t="shared" ref="K8:X8" si="0">D8</f>
        <v>2015 г.</v>
      </c>
      <c r="L8" s="2161" t="str">
        <f t="shared" si="0"/>
        <v>2016 г.</v>
      </c>
      <c r="M8" s="2161" t="str">
        <f t="shared" si="0"/>
        <v>2017 г.</v>
      </c>
      <c r="N8" s="2161" t="str">
        <f t="shared" si="0"/>
        <v>2018 г.</v>
      </c>
      <c r="O8" s="2161" t="str">
        <f t="shared" si="0"/>
        <v>2019 г.</v>
      </c>
      <c r="P8" s="2161" t="str">
        <f t="shared" si="0"/>
        <v>2020 г.</v>
      </c>
      <c r="Q8" s="2162" t="str">
        <f t="shared" si="0"/>
        <v>2021 г.</v>
      </c>
      <c r="R8" s="2163" t="str">
        <f t="shared" si="0"/>
        <v>2015 г.</v>
      </c>
      <c r="S8" s="2161" t="str">
        <f t="shared" si="0"/>
        <v>2016 г.</v>
      </c>
      <c r="T8" s="2161" t="str">
        <f t="shared" si="0"/>
        <v>2017 г.</v>
      </c>
      <c r="U8" s="2161" t="str">
        <f t="shared" si="0"/>
        <v>2018 г.</v>
      </c>
      <c r="V8" s="2161" t="str">
        <f t="shared" si="0"/>
        <v>2019 г.</v>
      </c>
      <c r="W8" s="2161" t="str">
        <f t="shared" si="0"/>
        <v>2020 г.</v>
      </c>
      <c r="X8" s="2162" t="str">
        <f t="shared" si="0"/>
        <v>2021 г.</v>
      </c>
    </row>
    <row r="9" spans="1:24" ht="15" customHeight="1">
      <c r="A9" s="1006">
        <v>1</v>
      </c>
      <c r="B9" s="1007" t="s">
        <v>360</v>
      </c>
      <c r="C9" s="1008" t="s">
        <v>361</v>
      </c>
      <c r="D9" s="809">
        <v>816</v>
      </c>
      <c r="E9" s="806">
        <v>816</v>
      </c>
      <c r="F9" s="2499">
        <f>'19. HB'!F30</f>
        <v>1015.8194039198366</v>
      </c>
      <c r="G9" s="2500">
        <f>'19. HB'!G30</f>
        <v>1114.8995400484512</v>
      </c>
      <c r="H9" s="2500">
        <f>'19. HB'!H30</f>
        <v>1208.5280917583159</v>
      </c>
      <c r="I9" s="2500">
        <f>'19. HB'!I30</f>
        <v>1301.8869078761882</v>
      </c>
      <c r="J9" s="2501">
        <f>'19. HB'!J30</f>
        <v>1408.8755718509815</v>
      </c>
      <c r="K9" s="809">
        <v>58</v>
      </c>
      <c r="L9" s="806">
        <v>58</v>
      </c>
      <c r="M9" s="2499">
        <f>'19. HB'!F31</f>
        <v>58.920930887246513</v>
      </c>
      <c r="N9" s="2500">
        <f>'19. HB'!G31</f>
        <v>76.299337710215923</v>
      </c>
      <c r="O9" s="2500">
        <f>'19. HB'!H31</f>
        <v>93.642820726128392</v>
      </c>
      <c r="P9" s="2500">
        <f>'19. HB'!I31</f>
        <v>107.98021623209921</v>
      </c>
      <c r="Q9" s="2501">
        <f>'19. HB'!J31</f>
        <v>118.95016305803443</v>
      </c>
      <c r="R9" s="786">
        <v>137</v>
      </c>
      <c r="S9" s="786">
        <v>137</v>
      </c>
      <c r="T9" s="2159">
        <f>'19. HB'!F32</f>
        <v>69.202060645634845</v>
      </c>
      <c r="U9" s="2159">
        <f>'19. HB'!G32</f>
        <v>100.01757907278174</v>
      </c>
      <c r="V9" s="2159">
        <f>'19. HB'!H32</f>
        <v>132.96058423416079</v>
      </c>
      <c r="W9" s="2159">
        <f>'19. HB'!I32</f>
        <v>162.22483940672419</v>
      </c>
      <c r="X9" s="2160">
        <f>'19. HB'!J32</f>
        <v>185.12926160841664</v>
      </c>
    </row>
    <row r="10" spans="1:24" ht="15" customHeight="1">
      <c r="A10" s="1009">
        <v>2</v>
      </c>
      <c r="B10" s="1010" t="s">
        <v>362</v>
      </c>
      <c r="C10" s="1011" t="s">
        <v>361</v>
      </c>
      <c r="D10" s="785">
        <v>16343</v>
      </c>
      <c r="E10" s="786">
        <v>16343</v>
      </c>
      <c r="F10" s="1865">
        <f>'12. Разходи'!E84</f>
        <v>15882.524977181471</v>
      </c>
      <c r="G10" s="1863">
        <f>'12. Разходи'!F84</f>
        <v>15818.788202871179</v>
      </c>
      <c r="H10" s="1863">
        <f>'12. Разходи'!G84</f>
        <v>15605.993230088519</v>
      </c>
      <c r="I10" s="1863">
        <f>'12. Разходи'!H84</f>
        <v>15386.181892825643</v>
      </c>
      <c r="J10" s="1864">
        <f>'12. Разходи'!I84</f>
        <v>15334.403182541793</v>
      </c>
      <c r="K10" s="785">
        <v>862</v>
      </c>
      <c r="L10" s="786">
        <v>862</v>
      </c>
      <c r="M10" s="1865">
        <f>'12. Разходи'!L84</f>
        <v>1159.0555618465091</v>
      </c>
      <c r="N10" s="1863">
        <f>'12. Разходи'!M84</f>
        <v>1308.3408102397532</v>
      </c>
      <c r="O10" s="1863">
        <f>'12. Разходи'!N84</f>
        <v>1323.2710892607956</v>
      </c>
      <c r="P10" s="1863">
        <f>'12. Разходи'!O84</f>
        <v>1324.657846600209</v>
      </c>
      <c r="Q10" s="1864">
        <f>'12. Разходи'!P84</f>
        <v>1323.660580203132</v>
      </c>
      <c r="R10" s="786">
        <v>1319</v>
      </c>
      <c r="S10" s="786">
        <v>1319</v>
      </c>
      <c r="T10" s="1863">
        <f>'12. Разходи'!S84</f>
        <v>1986.9163636165413</v>
      </c>
      <c r="U10" s="1863">
        <f>'12. Разходи'!T84</f>
        <v>2010.9407373586082</v>
      </c>
      <c r="V10" s="1863">
        <f>'12. Разходи'!U84</f>
        <v>2086.4864720791611</v>
      </c>
      <c r="W10" s="1863">
        <f>'12. Разходи'!V84</f>
        <v>2105.4556997875225</v>
      </c>
      <c r="X10" s="1864">
        <f>'12. Разходи'!W84</f>
        <v>2093.498540682875</v>
      </c>
    </row>
    <row r="11" spans="1:24" ht="15" customHeight="1">
      <c r="A11" s="1009">
        <v>3</v>
      </c>
      <c r="B11" s="1010" t="s">
        <v>363</v>
      </c>
      <c r="C11" s="1011" t="s">
        <v>361</v>
      </c>
      <c r="D11" s="1866">
        <f t="shared" ref="D11:X11" si="1">D9+D10</f>
        <v>17159</v>
      </c>
      <c r="E11" s="1867">
        <f t="shared" si="1"/>
        <v>17159</v>
      </c>
      <c r="F11" s="1867">
        <f t="shared" si="1"/>
        <v>16898.344381101306</v>
      </c>
      <c r="G11" s="1867">
        <f t="shared" si="1"/>
        <v>16933.687742919632</v>
      </c>
      <c r="H11" s="1867">
        <f t="shared" si="1"/>
        <v>16814.521321846834</v>
      </c>
      <c r="I11" s="1867">
        <f t="shared" si="1"/>
        <v>16688.068800701833</v>
      </c>
      <c r="J11" s="1868">
        <f t="shared" si="1"/>
        <v>16743.278754392773</v>
      </c>
      <c r="K11" s="1866">
        <f t="shared" si="1"/>
        <v>920</v>
      </c>
      <c r="L11" s="1869">
        <f t="shared" si="1"/>
        <v>920</v>
      </c>
      <c r="M11" s="1869">
        <f t="shared" si="1"/>
        <v>1217.9764927337555</v>
      </c>
      <c r="N11" s="1867">
        <f t="shared" si="1"/>
        <v>1384.6401479499691</v>
      </c>
      <c r="O11" s="1867">
        <f t="shared" si="1"/>
        <v>1416.913909986924</v>
      </c>
      <c r="P11" s="1867">
        <f t="shared" si="1"/>
        <v>1432.6380628323082</v>
      </c>
      <c r="Q11" s="1868">
        <f t="shared" si="1"/>
        <v>1442.6107432611664</v>
      </c>
      <c r="R11" s="1866">
        <f t="shared" si="1"/>
        <v>1456</v>
      </c>
      <c r="S11" s="1869">
        <f t="shared" si="1"/>
        <v>1456</v>
      </c>
      <c r="T11" s="1867">
        <f t="shared" si="1"/>
        <v>2056.1184242621762</v>
      </c>
      <c r="U11" s="1867">
        <f t="shared" si="1"/>
        <v>2110.9583164313899</v>
      </c>
      <c r="V11" s="1867">
        <f t="shared" si="1"/>
        <v>2219.4470563133218</v>
      </c>
      <c r="W11" s="1867">
        <f t="shared" si="1"/>
        <v>2267.6805391942466</v>
      </c>
      <c r="X11" s="1868">
        <f t="shared" si="1"/>
        <v>2278.6278022912916</v>
      </c>
    </row>
    <row r="12" spans="1:24" ht="15" customHeight="1">
      <c r="A12" s="1012" t="s">
        <v>111</v>
      </c>
      <c r="B12" s="1010" t="s">
        <v>489</v>
      </c>
      <c r="C12" s="1013" t="s">
        <v>1210</v>
      </c>
      <c r="D12" s="1866">
        <f>('4. Отчет и прогн. потребление'!D10-'4. Отчет и прогн. потребление'!D48)/1000</f>
        <v>7526.4290000000001</v>
      </c>
      <c r="E12" s="1867">
        <f>('4. Отчет и прогн. потребление'!E10-'4. Отчет и прогн. потребление'!E48)/1000</f>
        <v>7526.4219999999996</v>
      </c>
      <c r="F12" s="1867">
        <f>('4. Отчет и прогн. потребление'!F10-'4. Отчет и прогн. потребление'!F48)/1000</f>
        <v>8046.0978999999988</v>
      </c>
      <c r="G12" s="1867">
        <f>('4. Отчет и прогн. потребление'!G10-'4. Отчет и прогн. потребление'!G48)/1000</f>
        <v>7998.3185970857967</v>
      </c>
      <c r="H12" s="1867">
        <f>('4. Отчет и прогн. потребление'!H10-'4. Отчет и прогн. потребление'!H48)/1000</f>
        <v>7940.2554912789983</v>
      </c>
      <c r="I12" s="1867">
        <f>('4. Отчет и прогн. потребление'!I10-'4. Отчет и прогн. потребление'!I48)/1000</f>
        <v>7876.4094234578015</v>
      </c>
      <c r="J12" s="1868">
        <f>('4. Отчет и прогн. потребление'!J10-'4. Отчет и прогн. потребление'!J48)/1000</f>
        <v>7894.2813789910006</v>
      </c>
      <c r="K12" s="1873"/>
      <c r="L12" s="1870"/>
      <c r="M12" s="1870"/>
      <c r="N12" s="1871"/>
      <c r="O12" s="1871"/>
      <c r="P12" s="1871"/>
      <c r="Q12" s="1872"/>
      <c r="R12" s="1873"/>
      <c r="S12" s="1871"/>
      <c r="T12" s="1871"/>
      <c r="U12" s="1871"/>
      <c r="V12" s="1871"/>
      <c r="W12" s="1871"/>
      <c r="X12" s="1872"/>
    </row>
    <row r="13" spans="1:24" ht="15" customHeight="1">
      <c r="A13" s="1014">
        <v>5</v>
      </c>
      <c r="B13" s="1015" t="s">
        <v>364</v>
      </c>
      <c r="C13" s="1013" t="s">
        <v>1210</v>
      </c>
      <c r="D13" s="1873"/>
      <c r="E13" s="1871"/>
      <c r="F13" s="1871"/>
      <c r="G13" s="1871"/>
      <c r="H13" s="1871"/>
      <c r="I13" s="1871"/>
      <c r="J13" s="1872"/>
      <c r="K13" s="1877">
        <f>K14+K15</f>
        <v>4077.0810000000001</v>
      </c>
      <c r="L13" s="1874">
        <f>L14+L15</f>
        <v>4071.3969999999999</v>
      </c>
      <c r="M13" s="1874">
        <f t="shared" ref="M13:S13" si="2">M14+M15</f>
        <v>5030.9359999999997</v>
      </c>
      <c r="N13" s="1875">
        <f t="shared" si="2"/>
        <v>5391.6480000000001</v>
      </c>
      <c r="O13" s="1875">
        <f t="shared" si="2"/>
        <v>5432.6480000000001</v>
      </c>
      <c r="P13" s="1875">
        <f t="shared" si="2"/>
        <v>5431.6480000000001</v>
      </c>
      <c r="Q13" s="1876">
        <f t="shared" si="2"/>
        <v>5397.6480000000001</v>
      </c>
      <c r="R13" s="1877">
        <f t="shared" si="2"/>
        <v>4155.1840000000002</v>
      </c>
      <c r="S13" s="1875">
        <f t="shared" si="2"/>
        <v>4840.7790000000005</v>
      </c>
      <c r="T13" s="1875">
        <f>T14+T15</f>
        <v>4890.8606</v>
      </c>
      <c r="U13" s="1875">
        <f>U14+U15</f>
        <v>5018.4935999999998</v>
      </c>
      <c r="V13" s="1875">
        <f>V14+V15</f>
        <v>5276.0536000000002</v>
      </c>
      <c r="W13" s="1875">
        <f>W14+W15</f>
        <v>5389.9276</v>
      </c>
      <c r="X13" s="1876">
        <f>X14+X15</f>
        <v>5376.8285999999998</v>
      </c>
    </row>
    <row r="14" spans="1:24" ht="15" customHeight="1">
      <c r="A14" s="1016" t="s">
        <v>119</v>
      </c>
      <c r="B14" s="1017" t="s">
        <v>365</v>
      </c>
      <c r="C14" s="1013" t="s">
        <v>1210</v>
      </c>
      <c r="D14" s="1873"/>
      <c r="E14" s="1871"/>
      <c r="F14" s="1871"/>
      <c r="G14" s="1871"/>
      <c r="H14" s="1871"/>
      <c r="I14" s="1871"/>
      <c r="J14" s="1872"/>
      <c r="K14" s="1877">
        <f>'4. Отчет и прогн. потребление'!D55/1000</f>
        <v>2794.681</v>
      </c>
      <c r="L14" s="1874">
        <f>'4. Отчет и прогн. потребление'!E55/1000</f>
        <v>2834.9430000000002</v>
      </c>
      <c r="M14" s="1874">
        <f>'4. Отчет и прогн. потребление'!F55/1000</f>
        <v>3510.989</v>
      </c>
      <c r="N14" s="1875">
        <f>'4. Отчет и прогн. потребление'!G55/1000</f>
        <v>3894.201</v>
      </c>
      <c r="O14" s="1875">
        <f>'4. Отчет и прогн. потребление'!H55/1000</f>
        <v>3934.201</v>
      </c>
      <c r="P14" s="1875">
        <f>'4. Отчет и прогн. потребление'!I55/1000</f>
        <v>3914.201</v>
      </c>
      <c r="Q14" s="1876">
        <f>'4. Отчет и прогн. потребление'!J55/1000</f>
        <v>3852.201</v>
      </c>
      <c r="R14" s="1877">
        <f>'4. Отчет и прогн. потребление'!D65/1000</f>
        <v>2859.431</v>
      </c>
      <c r="S14" s="1875">
        <f>'4. Отчет и прогн. потребление'!E65/1000</f>
        <v>3582.1370000000002</v>
      </c>
      <c r="T14" s="1875">
        <f>'4. Отчет и прогн. потребление'!F65/1000</f>
        <v>3091.674</v>
      </c>
      <c r="U14" s="1875">
        <f>'4. Отчет и прогн. потребление'!G65/1000</f>
        <v>3193.174</v>
      </c>
      <c r="V14" s="1875">
        <f>'4. Отчет и прогн. потребление'!H65/1000</f>
        <v>3333.174</v>
      </c>
      <c r="W14" s="1875">
        <f>'4. Отчет и прогн. потребление'!I65/1000</f>
        <v>3413.174</v>
      </c>
      <c r="X14" s="1876">
        <f>'4. Отчет и прогн. потребление'!J65/1000</f>
        <v>3451.174</v>
      </c>
    </row>
    <row r="15" spans="1:24" s="2173" customFormat="1" ht="30" customHeight="1">
      <c r="A15" s="1016" t="s">
        <v>124</v>
      </c>
      <c r="B15" s="2169" t="s">
        <v>366</v>
      </c>
      <c r="C15" s="1013" t="s">
        <v>1210</v>
      </c>
      <c r="D15" s="2170"/>
      <c r="E15" s="2171"/>
      <c r="F15" s="2171"/>
      <c r="G15" s="2171"/>
      <c r="H15" s="2171"/>
      <c r="I15" s="2171"/>
      <c r="J15" s="2172"/>
      <c r="K15" s="1901">
        <f>'4. Отчет и прогн. потребление'!D57/1000</f>
        <v>1282.4000000000001</v>
      </c>
      <c r="L15" s="1898">
        <f>'4. Отчет и прогн. потребление'!E57/1000</f>
        <v>1236.454</v>
      </c>
      <c r="M15" s="1898">
        <f>'4. Отчет и прогн. потребление'!F57/1000</f>
        <v>1519.9469999999999</v>
      </c>
      <c r="N15" s="1899">
        <f>'4. Отчет и прогн. потребление'!G57/1000</f>
        <v>1497.4469999999999</v>
      </c>
      <c r="O15" s="1899">
        <f>'4. Отчет и прогн. потребление'!H57/1000</f>
        <v>1498.4469999999999</v>
      </c>
      <c r="P15" s="1899">
        <f>'4. Отчет и прогн. потребление'!I57/1000</f>
        <v>1517.4469999999999</v>
      </c>
      <c r="Q15" s="1900">
        <f>'4. Отчет и прогн. потребление'!J57/1000</f>
        <v>1545.4469999999999</v>
      </c>
      <c r="R15" s="1901">
        <f>'4. Отчет и прогн. потребление'!D67/1000</f>
        <v>1295.7529999999999</v>
      </c>
      <c r="S15" s="1899">
        <f>'4. Отчет и прогн. потребление'!E67/1000</f>
        <v>1258.6420000000001</v>
      </c>
      <c r="T15" s="1899">
        <f>'4. Отчет и прогн. потребление'!F67/1000</f>
        <v>1799.1866</v>
      </c>
      <c r="U15" s="1899">
        <f>'4. Отчет и прогн. потребление'!G67/1000</f>
        <v>1825.3196</v>
      </c>
      <c r="V15" s="1899">
        <f>'4. Отчет и прогн. потребление'!H67/1000</f>
        <v>1942.8796</v>
      </c>
      <c r="W15" s="1899">
        <f>'4. Отчет и прогн. потребление'!I67/1000</f>
        <v>1976.7536</v>
      </c>
      <c r="X15" s="1900">
        <f>'4. Отчет и прогн. потребление'!J67/1000</f>
        <v>1925.6546000000001</v>
      </c>
    </row>
    <row r="16" spans="1:24" ht="15" customHeight="1">
      <c r="A16" s="1016" t="s">
        <v>880</v>
      </c>
      <c r="B16" s="1018" t="s">
        <v>1381</v>
      </c>
      <c r="C16" s="1013" t="s">
        <v>1210</v>
      </c>
      <c r="D16" s="1873"/>
      <c r="E16" s="1871"/>
      <c r="F16" s="1871"/>
      <c r="G16" s="1871"/>
      <c r="H16" s="1871"/>
      <c r="I16" s="1871"/>
      <c r="J16" s="1872"/>
      <c r="K16" s="2502"/>
      <c r="L16" s="1878"/>
      <c r="M16" s="1870"/>
      <c r="N16" s="1871"/>
      <c r="O16" s="1871"/>
      <c r="P16" s="1871"/>
      <c r="Q16" s="1872"/>
      <c r="R16" s="1877">
        <f>'4. Отчет и прогн. потребление'!D69/1000</f>
        <v>618.15</v>
      </c>
      <c r="S16" s="1875">
        <f>'4. Отчет и прогн. потребление'!E69/1000</f>
        <v>630.66999999999996</v>
      </c>
      <c r="T16" s="1875">
        <f>'4. Отчет и прогн. потребление'!F69/1000</f>
        <v>1107.75</v>
      </c>
      <c r="U16" s="1875">
        <f>'4. Отчет и прогн. потребление'!G69/1000</f>
        <v>1133.883</v>
      </c>
      <c r="V16" s="1875">
        <f>'4. Отчет и прогн. потребление'!H69/1000</f>
        <v>1251.443</v>
      </c>
      <c r="W16" s="1875">
        <f>'4. Отчет и прогн. потребление'!I69/1000</f>
        <v>1285.317</v>
      </c>
      <c r="X16" s="1876">
        <f>'4. Отчет и прогн. потребление'!J69/1000</f>
        <v>1234.2180000000001</v>
      </c>
    </row>
    <row r="17" spans="1:24" ht="15" customHeight="1">
      <c r="A17" s="1016" t="s">
        <v>881</v>
      </c>
      <c r="B17" s="1018" t="s">
        <v>1382</v>
      </c>
      <c r="C17" s="1013" t="s">
        <v>1210</v>
      </c>
      <c r="D17" s="1873"/>
      <c r="E17" s="1871"/>
      <c r="F17" s="1871"/>
      <c r="G17" s="1871"/>
      <c r="H17" s="1871"/>
      <c r="I17" s="1871"/>
      <c r="J17" s="1872"/>
      <c r="K17" s="2502"/>
      <c r="L17" s="1878"/>
      <c r="M17" s="1870"/>
      <c r="N17" s="1871"/>
      <c r="O17" s="1871"/>
      <c r="P17" s="1871"/>
      <c r="Q17" s="1872"/>
      <c r="R17" s="1877">
        <f>'4. Отчет и прогн. потребление'!D70/1000</f>
        <v>442.20600000000002</v>
      </c>
      <c r="S17" s="1875">
        <f>'4. Отчет и прогн. потребление'!E70/1000</f>
        <v>438.15899999999999</v>
      </c>
      <c r="T17" s="1875">
        <f>'4. Отчет и прогн. потребление'!F70/1000</f>
        <v>446.31959999999998</v>
      </c>
      <c r="U17" s="1875">
        <f>'4. Отчет и прогн. потребление'!G70/1000</f>
        <v>446.31959999999998</v>
      </c>
      <c r="V17" s="1875">
        <f>'4. Отчет и прогн. потребление'!H70/1000</f>
        <v>446.31959999999998</v>
      </c>
      <c r="W17" s="1875">
        <f>'4. Отчет и прогн. потребление'!I70/1000</f>
        <v>446.31959999999998</v>
      </c>
      <c r="X17" s="1876">
        <f>'4. Отчет и прогн. потребление'!J70/1000</f>
        <v>446.31959999999998</v>
      </c>
    </row>
    <row r="18" spans="1:24" ht="15" customHeight="1" thickBot="1">
      <c r="A18" s="1019" t="s">
        <v>882</v>
      </c>
      <c r="B18" s="1020" t="s">
        <v>1383</v>
      </c>
      <c r="C18" s="1021" t="s">
        <v>1210</v>
      </c>
      <c r="D18" s="1879"/>
      <c r="E18" s="1880"/>
      <c r="F18" s="1880"/>
      <c r="G18" s="1880"/>
      <c r="H18" s="1880"/>
      <c r="I18" s="1880"/>
      <c r="J18" s="1881"/>
      <c r="K18" s="2503"/>
      <c r="L18" s="1882"/>
      <c r="M18" s="1883"/>
      <c r="N18" s="1880"/>
      <c r="O18" s="1880"/>
      <c r="P18" s="1880"/>
      <c r="Q18" s="1881"/>
      <c r="R18" s="1884">
        <f>'4. Отчет и прогн. потребление'!D71/1000</f>
        <v>235.39699999999999</v>
      </c>
      <c r="S18" s="1885">
        <f>'4. Отчет и прогн. потребление'!E71/1000</f>
        <v>189.81299999999999</v>
      </c>
      <c r="T18" s="1885">
        <f>'4. Отчет и прогн. потребление'!F71/1000</f>
        <v>245.11699999999999</v>
      </c>
      <c r="U18" s="1885">
        <f>'4. Отчет и прогн. потребление'!G71/1000</f>
        <v>245.11699999999999</v>
      </c>
      <c r="V18" s="1885">
        <f>'4. Отчет и прогн. потребление'!H71/1000</f>
        <v>245.11699999999999</v>
      </c>
      <c r="W18" s="1885">
        <f>'4. Отчет и прогн. потребление'!I71/1000</f>
        <v>245.11699999999999</v>
      </c>
      <c r="X18" s="1886">
        <f>'4. Отчет и прогн. потребление'!J71/1000</f>
        <v>245.11699999999999</v>
      </c>
    </row>
    <row r="19" spans="1:24" ht="15" customHeight="1">
      <c r="A19" s="72"/>
      <c r="B19" s="73" t="s">
        <v>263</v>
      </c>
      <c r="C19" s="74"/>
      <c r="D19" s="74"/>
      <c r="E19" s="74"/>
      <c r="F19" s="1887"/>
      <c r="G19" s="1888"/>
      <c r="H19" s="1889"/>
      <c r="I19" s="1890"/>
      <c r="J19" s="1890"/>
      <c r="K19" s="1890"/>
      <c r="L19" s="1890"/>
    </row>
    <row r="20" spans="1:24" ht="15" customHeight="1" thickBot="1">
      <c r="A20" s="3678" t="s">
        <v>367</v>
      </c>
      <c r="B20" s="3678"/>
      <c r="C20" s="3678"/>
      <c r="D20" s="1617"/>
      <c r="E20" s="1617"/>
      <c r="F20" s="1887"/>
      <c r="G20" s="1888"/>
      <c r="H20" s="1889"/>
      <c r="I20" s="1890"/>
      <c r="J20" s="1890"/>
      <c r="K20" s="1890"/>
      <c r="L20" s="1890"/>
    </row>
    <row r="21" spans="1:24" ht="15" customHeight="1">
      <c r="A21" s="3681" t="s">
        <v>1</v>
      </c>
      <c r="B21" s="3683" t="s">
        <v>359</v>
      </c>
      <c r="C21" s="3679" t="s">
        <v>222</v>
      </c>
      <c r="D21" s="3664" t="s">
        <v>241</v>
      </c>
      <c r="E21" s="3665"/>
      <c r="F21" s="3665"/>
      <c r="G21" s="3665"/>
      <c r="H21" s="3665"/>
      <c r="I21" s="3665"/>
      <c r="J21" s="3666"/>
    </row>
    <row r="22" spans="1:24" ht="13.5" thickBot="1">
      <c r="A22" s="3682"/>
      <c r="B22" s="3684"/>
      <c r="C22" s="3680"/>
      <c r="D22" s="1022" t="str">
        <f t="shared" ref="D22:J22" si="3">D8</f>
        <v>2015 г.</v>
      </c>
      <c r="E22" s="1022" t="str">
        <f t="shared" si="3"/>
        <v>2016 г.</v>
      </c>
      <c r="F22" s="1022" t="str">
        <f t="shared" si="3"/>
        <v>2017 г.</v>
      </c>
      <c r="G22" s="1022" t="str">
        <f t="shared" si="3"/>
        <v>2018 г.</v>
      </c>
      <c r="H22" s="1022" t="str">
        <f t="shared" si="3"/>
        <v>2019 г.</v>
      </c>
      <c r="I22" s="1022" t="str">
        <f t="shared" si="3"/>
        <v>2020 г.</v>
      </c>
      <c r="J22" s="1023" t="str">
        <f t="shared" si="3"/>
        <v>2021 г.</v>
      </c>
      <c r="N22" s="1891" t="s">
        <v>263</v>
      </c>
    </row>
    <row r="23" spans="1:24" ht="13.5" customHeight="1" thickBot="1">
      <c r="A23" s="2495">
        <v>1</v>
      </c>
      <c r="B23" s="2496" t="s">
        <v>368</v>
      </c>
      <c r="C23" s="1862"/>
      <c r="D23" s="1862"/>
      <c r="E23" s="1862"/>
      <c r="F23" s="1892"/>
      <c r="G23" s="1892"/>
      <c r="H23" s="1892"/>
      <c r="I23" s="1892"/>
      <c r="J23" s="1893"/>
      <c r="K23" s="1894"/>
      <c r="L23" s="1894"/>
      <c r="P23" s="1891" t="s">
        <v>263</v>
      </c>
    </row>
    <row r="24" spans="1:24">
      <c r="A24" s="1024" t="s">
        <v>98</v>
      </c>
      <c r="B24" s="1026" t="s">
        <v>369</v>
      </c>
      <c r="C24" s="2164" t="s">
        <v>1211</v>
      </c>
      <c r="D24" s="2167"/>
      <c r="E24" s="2168"/>
      <c r="F24" s="3163">
        <v>1.1166286317040397</v>
      </c>
      <c r="G24" s="3163">
        <v>1.1166286317040397</v>
      </c>
      <c r="H24" s="3163">
        <v>1.1166286317040397</v>
      </c>
      <c r="I24" s="3163">
        <v>1.1166286317040397</v>
      </c>
      <c r="J24" s="3163">
        <v>1.1166286317040397</v>
      </c>
      <c r="K24" s="1194"/>
      <c r="L24" s="1194"/>
    </row>
    <row r="25" spans="1:24">
      <c r="A25" s="77" t="s">
        <v>99</v>
      </c>
      <c r="B25" s="1027" t="s">
        <v>370</v>
      </c>
      <c r="C25" s="2165" t="s">
        <v>1211</v>
      </c>
      <c r="D25" s="1873"/>
      <c r="E25" s="1871"/>
      <c r="F25" s="3164">
        <v>1.8140625277701976</v>
      </c>
      <c r="G25" s="3164">
        <v>1.8140625277701976</v>
      </c>
      <c r="H25" s="3164">
        <v>1.8140625277701976</v>
      </c>
      <c r="I25" s="3164">
        <v>1.8140625277701976</v>
      </c>
      <c r="J25" s="3164">
        <v>1.8140625277701976</v>
      </c>
      <c r="K25" s="1194"/>
      <c r="L25" s="1194"/>
    </row>
    <row r="26" spans="1:24" ht="13.5" thickBot="1">
      <c r="A26" s="1025" t="s">
        <v>101</v>
      </c>
      <c r="B26" s="1028" t="s">
        <v>371</v>
      </c>
      <c r="C26" s="2166" t="s">
        <v>1211</v>
      </c>
      <c r="D26" s="1879"/>
      <c r="E26" s="1880"/>
      <c r="F26" s="3165">
        <v>2.2157932085832135</v>
      </c>
      <c r="G26" s="3165">
        <v>2.2157932085832135</v>
      </c>
      <c r="H26" s="3165">
        <v>2.2157932085832135</v>
      </c>
      <c r="I26" s="3165">
        <v>2.2157932085832135</v>
      </c>
      <c r="J26" s="3165">
        <v>2.2157932085832135</v>
      </c>
      <c r="K26" s="1194"/>
      <c r="L26" s="1194"/>
    </row>
    <row r="27" spans="1:24" ht="15">
      <c r="A27" s="72"/>
      <c r="B27" s="76"/>
      <c r="C27" s="74"/>
      <c r="D27" s="74"/>
      <c r="E27" s="74"/>
    </row>
    <row r="28" spans="1:24" ht="15">
      <c r="A28" s="72"/>
      <c r="B28" s="76"/>
      <c r="C28" s="74"/>
      <c r="D28" s="74"/>
      <c r="E28" s="74"/>
    </row>
    <row r="29" spans="1:24" ht="14.25">
      <c r="A29" s="72"/>
      <c r="B29" s="396" t="str">
        <f>'15. ОПП'!A53</f>
        <v>Дата: 10.11.2017 г.</v>
      </c>
      <c r="C29" s="74"/>
      <c r="D29" s="1362"/>
      <c r="E29" s="1363" t="str">
        <f>'14. ОПР'!D49</f>
        <v>Главен счетоводител:</v>
      </c>
      <c r="F29" s="652"/>
      <c r="G29" s="652" t="s">
        <v>262</v>
      </c>
      <c r="H29" s="533"/>
      <c r="I29" s="533"/>
    </row>
    <row r="30" spans="1:24">
      <c r="F30" s="1895"/>
      <c r="G30" s="653"/>
      <c r="H30" s="291" t="s">
        <v>5</v>
      </c>
      <c r="I30" s="533"/>
    </row>
    <row r="31" spans="1:24">
      <c r="F31" s="1895"/>
      <c r="G31" s="653"/>
      <c r="H31" s="291"/>
      <c r="I31" s="533"/>
    </row>
    <row r="32" spans="1:24">
      <c r="F32" s="1895"/>
      <c r="G32" s="653"/>
      <c r="H32" s="291"/>
      <c r="I32" s="533"/>
    </row>
    <row r="33" spans="1:10">
      <c r="F33" s="1895"/>
      <c r="G33" s="653"/>
      <c r="H33" s="291"/>
      <c r="I33" s="533"/>
    </row>
    <row r="34" spans="1:10">
      <c r="E34" s="1363" t="str">
        <f>'14. ОПР'!E54</f>
        <v>Управител:</v>
      </c>
      <c r="G34" s="652" t="s">
        <v>262</v>
      </c>
      <c r="H34" s="652"/>
      <c r="I34" s="533"/>
    </row>
    <row r="35" spans="1:10">
      <c r="A35" s="3658" t="s">
        <v>247</v>
      </c>
      <c r="B35" s="3658"/>
      <c r="C35" s="3658"/>
      <c r="D35" s="534"/>
      <c r="E35" s="534"/>
      <c r="F35" s="1896"/>
      <c r="G35" s="653"/>
      <c r="H35" s="291" t="s">
        <v>6</v>
      </c>
      <c r="I35" s="533"/>
    </row>
    <row r="36" spans="1:10">
      <c r="A36" s="3661" t="s">
        <v>248</v>
      </c>
      <c r="B36" s="3661"/>
      <c r="C36" s="3661"/>
      <c r="D36" s="1897"/>
      <c r="E36" s="1897"/>
    </row>
    <row r="37" spans="1:10">
      <c r="A37" s="3661" t="s">
        <v>1310</v>
      </c>
      <c r="B37" s="3661"/>
      <c r="C37" s="3661"/>
    </row>
    <row r="38" spans="1:10">
      <c r="A38" s="3662" t="s">
        <v>1392</v>
      </c>
      <c r="B38" s="3662"/>
      <c r="C38" s="3662"/>
    </row>
    <row r="39" spans="1:10">
      <c r="A39" s="3662" t="s">
        <v>1393</v>
      </c>
      <c r="B39" s="3662"/>
      <c r="C39" s="3662"/>
    </row>
    <row r="40" spans="1:10">
      <c r="A40" s="3662" t="s">
        <v>1394</v>
      </c>
      <c r="B40" s="3662"/>
      <c r="C40" s="3662"/>
    </row>
    <row r="41" spans="1:10">
      <c r="A41" s="3663" t="s">
        <v>1311</v>
      </c>
      <c r="B41" s="3663"/>
      <c r="C41" s="3663"/>
      <c r="D41" s="3663"/>
      <c r="E41" s="3663"/>
      <c r="F41" s="3663"/>
      <c r="G41" s="3663"/>
      <c r="H41" s="3663"/>
      <c r="I41" s="3663"/>
      <c r="J41" s="3663"/>
    </row>
  </sheetData>
  <sheetProtection algorithmName="SHA-512" hashValue="aPVIcSdGfz5wKZ0g0EjdI+LntmwrD3GN6B8/ACWk6ypl4oQPv6Q3N1sQVZoNBp4AZ5T7a9a18OcFQWo5zfsyUw==" saltValue="Tl9bRIzzpf/QZhx2xOqcOQ==" spinCount="100000" sheet="1" objects="1" scenarios="1" formatCells="0" formatColumns="0" formatRows="0"/>
  <mergeCells count="22">
    <mergeCell ref="A35:C35"/>
    <mergeCell ref="A36:C36"/>
    <mergeCell ref="A20:C20"/>
    <mergeCell ref="C21:C22"/>
    <mergeCell ref="A21:A22"/>
    <mergeCell ref="B21:B22"/>
    <mergeCell ref="D21:J21"/>
    <mergeCell ref="A7:A8"/>
    <mergeCell ref="B7:B8"/>
    <mergeCell ref="C7:C8"/>
    <mergeCell ref="A2:X2"/>
    <mergeCell ref="A3:X3"/>
    <mergeCell ref="A4:X4"/>
    <mergeCell ref="A5:X5"/>
    <mergeCell ref="D7:J7"/>
    <mergeCell ref="K7:Q7"/>
    <mergeCell ref="R7:X7"/>
    <mergeCell ref="A37:C37"/>
    <mergeCell ref="A38:C38"/>
    <mergeCell ref="A39:C39"/>
    <mergeCell ref="A40:C40"/>
    <mergeCell ref="A41:J41"/>
  </mergeCells>
  <printOptions horizontalCentered="1"/>
  <pageMargins left="0.19685039370078741" right="0.19685039370078741" top="0.78740157480314965" bottom="0.19685039370078741" header="0.31496062992125984" footer="0.31496062992125984"/>
  <pageSetup paperSize="9" scale="71"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70C0"/>
  </sheetPr>
  <dimension ref="A1:W31"/>
  <sheetViews>
    <sheetView showGridLines="0" zoomScaleNormal="100" workbookViewId="0">
      <selection activeCell="E13" sqref="E13:I13"/>
    </sheetView>
  </sheetViews>
  <sheetFormatPr defaultRowHeight="12"/>
  <cols>
    <col min="1" max="1" width="4.28515625" style="394" customWidth="1"/>
    <col min="2" max="2" width="37.140625" style="394" customWidth="1"/>
    <col min="3" max="4" width="8.85546875" style="394" customWidth="1"/>
    <col min="5" max="9" width="9.7109375" style="394" bestFit="1" customWidth="1"/>
    <col min="10" max="23" width="8.85546875" style="394" customWidth="1"/>
    <col min="24" max="246" width="9.140625" style="394"/>
    <col min="247" max="247" width="4.28515625" style="394" customWidth="1"/>
    <col min="248" max="248" width="40.7109375" style="394" customWidth="1"/>
    <col min="249" max="256" width="8.7109375" style="394" customWidth="1"/>
    <col min="257" max="258" width="0" style="394" hidden="1" customWidth="1"/>
    <col min="259" max="502" width="9.140625" style="394"/>
    <col min="503" max="503" width="4.28515625" style="394" customWidth="1"/>
    <col min="504" max="504" width="40.7109375" style="394" customWidth="1"/>
    <col min="505" max="512" width="8.7109375" style="394" customWidth="1"/>
    <col min="513" max="514" width="0" style="394" hidden="1" customWidth="1"/>
    <col min="515" max="758" width="9.140625" style="394"/>
    <col min="759" max="759" width="4.28515625" style="394" customWidth="1"/>
    <col min="760" max="760" width="40.7109375" style="394" customWidth="1"/>
    <col min="761" max="768" width="8.7109375" style="394" customWidth="1"/>
    <col min="769" max="770" width="0" style="394" hidden="1" customWidth="1"/>
    <col min="771" max="1014" width="9.140625" style="394"/>
    <col min="1015" max="1015" width="4.28515625" style="394" customWidth="1"/>
    <col min="1016" max="1016" width="40.7109375" style="394" customWidth="1"/>
    <col min="1017" max="1024" width="8.7109375" style="394" customWidth="1"/>
    <col min="1025" max="1026" width="0" style="394" hidden="1" customWidth="1"/>
    <col min="1027" max="1270" width="9.140625" style="394"/>
    <col min="1271" max="1271" width="4.28515625" style="394" customWidth="1"/>
    <col min="1272" max="1272" width="40.7109375" style="394" customWidth="1"/>
    <col min="1273" max="1280" width="8.7109375" style="394" customWidth="1"/>
    <col min="1281" max="1282" width="0" style="394" hidden="1" customWidth="1"/>
    <col min="1283" max="1526" width="9.140625" style="394"/>
    <col min="1527" max="1527" width="4.28515625" style="394" customWidth="1"/>
    <col min="1528" max="1528" width="40.7109375" style="394" customWidth="1"/>
    <col min="1529" max="1536" width="8.7109375" style="394" customWidth="1"/>
    <col min="1537" max="1538" width="0" style="394" hidden="1" customWidth="1"/>
    <col min="1539" max="1782" width="9.140625" style="394"/>
    <col min="1783" max="1783" width="4.28515625" style="394" customWidth="1"/>
    <col min="1784" max="1784" width="40.7109375" style="394" customWidth="1"/>
    <col min="1785" max="1792" width="8.7109375" style="394" customWidth="1"/>
    <col min="1793" max="1794" width="0" style="394" hidden="1" customWidth="1"/>
    <col min="1795" max="2038" width="9.140625" style="394"/>
    <col min="2039" max="2039" width="4.28515625" style="394" customWidth="1"/>
    <col min="2040" max="2040" width="40.7109375" style="394" customWidth="1"/>
    <col min="2041" max="2048" width="8.7109375" style="394" customWidth="1"/>
    <col min="2049" max="2050" width="0" style="394" hidden="1" customWidth="1"/>
    <col min="2051" max="2294" width="9.140625" style="394"/>
    <col min="2295" max="2295" width="4.28515625" style="394" customWidth="1"/>
    <col min="2296" max="2296" width="40.7109375" style="394" customWidth="1"/>
    <col min="2297" max="2304" width="8.7109375" style="394" customWidth="1"/>
    <col min="2305" max="2306" width="0" style="394" hidden="1" customWidth="1"/>
    <col min="2307" max="2550" width="9.140625" style="394"/>
    <col min="2551" max="2551" width="4.28515625" style="394" customWidth="1"/>
    <col min="2552" max="2552" width="40.7109375" style="394" customWidth="1"/>
    <col min="2553" max="2560" width="8.7109375" style="394" customWidth="1"/>
    <col min="2561" max="2562" width="0" style="394" hidden="1" customWidth="1"/>
    <col min="2563" max="2806" width="9.140625" style="394"/>
    <col min="2807" max="2807" width="4.28515625" style="394" customWidth="1"/>
    <col min="2808" max="2808" width="40.7109375" style="394" customWidth="1"/>
    <col min="2809" max="2816" width="8.7109375" style="394" customWidth="1"/>
    <col min="2817" max="2818" width="0" style="394" hidden="1" customWidth="1"/>
    <col min="2819" max="3062" width="9.140625" style="394"/>
    <col min="3063" max="3063" width="4.28515625" style="394" customWidth="1"/>
    <col min="3064" max="3064" width="40.7109375" style="394" customWidth="1"/>
    <col min="3065" max="3072" width="8.7109375" style="394" customWidth="1"/>
    <col min="3073" max="3074" width="0" style="394" hidden="1" customWidth="1"/>
    <col min="3075" max="3318" width="9.140625" style="394"/>
    <col min="3319" max="3319" width="4.28515625" style="394" customWidth="1"/>
    <col min="3320" max="3320" width="40.7109375" style="394" customWidth="1"/>
    <col min="3321" max="3328" width="8.7109375" style="394" customWidth="1"/>
    <col min="3329" max="3330" width="0" style="394" hidden="1" customWidth="1"/>
    <col min="3331" max="3574" width="9.140625" style="394"/>
    <col min="3575" max="3575" width="4.28515625" style="394" customWidth="1"/>
    <col min="3576" max="3576" width="40.7109375" style="394" customWidth="1"/>
    <col min="3577" max="3584" width="8.7109375" style="394" customWidth="1"/>
    <col min="3585" max="3586" width="0" style="394" hidden="1" customWidth="1"/>
    <col min="3587" max="3830" width="9.140625" style="394"/>
    <col min="3831" max="3831" width="4.28515625" style="394" customWidth="1"/>
    <col min="3832" max="3832" width="40.7109375" style="394" customWidth="1"/>
    <col min="3833" max="3840" width="8.7109375" style="394" customWidth="1"/>
    <col min="3841" max="3842" width="0" style="394" hidden="1" customWidth="1"/>
    <col min="3843" max="4086" width="9.140625" style="394"/>
    <col min="4087" max="4087" width="4.28515625" style="394" customWidth="1"/>
    <col min="4088" max="4088" width="40.7109375" style="394" customWidth="1"/>
    <col min="4089" max="4096" width="8.7109375" style="394" customWidth="1"/>
    <col min="4097" max="4098" width="0" style="394" hidden="1" customWidth="1"/>
    <col min="4099" max="4342" width="9.140625" style="394"/>
    <col min="4343" max="4343" width="4.28515625" style="394" customWidth="1"/>
    <col min="4344" max="4344" width="40.7109375" style="394" customWidth="1"/>
    <col min="4345" max="4352" width="8.7109375" style="394" customWidth="1"/>
    <col min="4353" max="4354" width="0" style="394" hidden="1" customWidth="1"/>
    <col min="4355" max="4598" width="9.140625" style="394"/>
    <col min="4599" max="4599" width="4.28515625" style="394" customWidth="1"/>
    <col min="4600" max="4600" width="40.7109375" style="394" customWidth="1"/>
    <col min="4601" max="4608" width="8.7109375" style="394" customWidth="1"/>
    <col min="4609" max="4610" width="0" style="394" hidden="1" customWidth="1"/>
    <col min="4611" max="4854" width="9.140625" style="394"/>
    <col min="4855" max="4855" width="4.28515625" style="394" customWidth="1"/>
    <col min="4856" max="4856" width="40.7109375" style="394" customWidth="1"/>
    <col min="4857" max="4864" width="8.7109375" style="394" customWidth="1"/>
    <col min="4865" max="4866" width="0" style="394" hidden="1" customWidth="1"/>
    <col min="4867" max="5110" width="9.140625" style="394"/>
    <col min="5111" max="5111" width="4.28515625" style="394" customWidth="1"/>
    <col min="5112" max="5112" width="40.7109375" style="394" customWidth="1"/>
    <col min="5113" max="5120" width="8.7109375" style="394" customWidth="1"/>
    <col min="5121" max="5122" width="0" style="394" hidden="1" customWidth="1"/>
    <col min="5123" max="5366" width="9.140625" style="394"/>
    <col min="5367" max="5367" width="4.28515625" style="394" customWidth="1"/>
    <col min="5368" max="5368" width="40.7109375" style="394" customWidth="1"/>
    <col min="5369" max="5376" width="8.7109375" style="394" customWidth="1"/>
    <col min="5377" max="5378" width="0" style="394" hidden="1" customWidth="1"/>
    <col min="5379" max="5622" width="9.140625" style="394"/>
    <col min="5623" max="5623" width="4.28515625" style="394" customWidth="1"/>
    <col min="5624" max="5624" width="40.7109375" style="394" customWidth="1"/>
    <col min="5625" max="5632" width="8.7109375" style="394" customWidth="1"/>
    <col min="5633" max="5634" width="0" style="394" hidden="1" customWidth="1"/>
    <col min="5635" max="5878" width="9.140625" style="394"/>
    <col min="5879" max="5879" width="4.28515625" style="394" customWidth="1"/>
    <col min="5880" max="5880" width="40.7109375" style="394" customWidth="1"/>
    <col min="5881" max="5888" width="8.7109375" style="394" customWidth="1"/>
    <col min="5889" max="5890" width="0" style="394" hidden="1" customWidth="1"/>
    <col min="5891" max="6134" width="9.140625" style="394"/>
    <col min="6135" max="6135" width="4.28515625" style="394" customWidth="1"/>
    <col min="6136" max="6136" width="40.7109375" style="394" customWidth="1"/>
    <col min="6137" max="6144" width="8.7109375" style="394" customWidth="1"/>
    <col min="6145" max="6146" width="0" style="394" hidden="1" customWidth="1"/>
    <col min="6147" max="6390" width="9.140625" style="394"/>
    <col min="6391" max="6391" width="4.28515625" style="394" customWidth="1"/>
    <col min="6392" max="6392" width="40.7109375" style="394" customWidth="1"/>
    <col min="6393" max="6400" width="8.7109375" style="394" customWidth="1"/>
    <col min="6401" max="6402" width="0" style="394" hidden="1" customWidth="1"/>
    <col min="6403" max="6646" width="9.140625" style="394"/>
    <col min="6647" max="6647" width="4.28515625" style="394" customWidth="1"/>
    <col min="6648" max="6648" width="40.7109375" style="394" customWidth="1"/>
    <col min="6649" max="6656" width="8.7109375" style="394" customWidth="1"/>
    <col min="6657" max="6658" width="0" style="394" hidden="1" customWidth="1"/>
    <col min="6659" max="6902" width="9.140625" style="394"/>
    <col min="6903" max="6903" width="4.28515625" style="394" customWidth="1"/>
    <col min="6904" max="6904" width="40.7109375" style="394" customWidth="1"/>
    <col min="6905" max="6912" width="8.7109375" style="394" customWidth="1"/>
    <col min="6913" max="6914" width="0" style="394" hidden="1" customWidth="1"/>
    <col min="6915" max="7158" width="9.140625" style="394"/>
    <col min="7159" max="7159" width="4.28515625" style="394" customWidth="1"/>
    <col min="7160" max="7160" width="40.7109375" style="394" customWidth="1"/>
    <col min="7161" max="7168" width="8.7109375" style="394" customWidth="1"/>
    <col min="7169" max="7170" width="0" style="394" hidden="1" customWidth="1"/>
    <col min="7171" max="7414" width="9.140625" style="394"/>
    <col min="7415" max="7415" width="4.28515625" style="394" customWidth="1"/>
    <col min="7416" max="7416" width="40.7109375" style="394" customWidth="1"/>
    <col min="7417" max="7424" width="8.7109375" style="394" customWidth="1"/>
    <col min="7425" max="7426" width="0" style="394" hidden="1" customWidth="1"/>
    <col min="7427" max="7670" width="9.140625" style="394"/>
    <col min="7671" max="7671" width="4.28515625" style="394" customWidth="1"/>
    <col min="7672" max="7672" width="40.7109375" style="394" customWidth="1"/>
    <col min="7673" max="7680" width="8.7109375" style="394" customWidth="1"/>
    <col min="7681" max="7682" width="0" style="394" hidden="1" customWidth="1"/>
    <col min="7683" max="7926" width="9.140625" style="394"/>
    <col min="7927" max="7927" width="4.28515625" style="394" customWidth="1"/>
    <col min="7928" max="7928" width="40.7109375" style="394" customWidth="1"/>
    <col min="7929" max="7936" width="8.7109375" style="394" customWidth="1"/>
    <col min="7937" max="7938" width="0" style="394" hidden="1" customWidth="1"/>
    <col min="7939" max="8182" width="9.140625" style="394"/>
    <col min="8183" max="8183" width="4.28515625" style="394" customWidth="1"/>
    <col min="8184" max="8184" width="40.7109375" style="394" customWidth="1"/>
    <col min="8185" max="8192" width="8.7109375" style="394" customWidth="1"/>
    <col min="8193" max="8194" width="0" style="394" hidden="1" customWidth="1"/>
    <col min="8195" max="8438" width="9.140625" style="394"/>
    <col min="8439" max="8439" width="4.28515625" style="394" customWidth="1"/>
    <col min="8440" max="8440" width="40.7109375" style="394" customWidth="1"/>
    <col min="8441" max="8448" width="8.7109375" style="394" customWidth="1"/>
    <col min="8449" max="8450" width="0" style="394" hidden="1" customWidth="1"/>
    <col min="8451" max="8694" width="9.140625" style="394"/>
    <col min="8695" max="8695" width="4.28515625" style="394" customWidth="1"/>
    <col min="8696" max="8696" width="40.7109375" style="394" customWidth="1"/>
    <col min="8697" max="8704" width="8.7109375" style="394" customWidth="1"/>
    <col min="8705" max="8706" width="0" style="394" hidden="1" customWidth="1"/>
    <col min="8707" max="8950" width="9.140625" style="394"/>
    <col min="8951" max="8951" width="4.28515625" style="394" customWidth="1"/>
    <col min="8952" max="8952" width="40.7109375" style="394" customWidth="1"/>
    <col min="8953" max="8960" width="8.7109375" style="394" customWidth="1"/>
    <col min="8961" max="8962" width="0" style="394" hidden="1" customWidth="1"/>
    <col min="8963" max="9206" width="9.140625" style="394"/>
    <col min="9207" max="9207" width="4.28515625" style="394" customWidth="1"/>
    <col min="9208" max="9208" width="40.7109375" style="394" customWidth="1"/>
    <col min="9209" max="9216" width="8.7109375" style="394" customWidth="1"/>
    <col min="9217" max="9218" width="0" style="394" hidden="1" customWidth="1"/>
    <col min="9219" max="9462" width="9.140625" style="394"/>
    <col min="9463" max="9463" width="4.28515625" style="394" customWidth="1"/>
    <col min="9464" max="9464" width="40.7109375" style="394" customWidth="1"/>
    <col min="9465" max="9472" width="8.7109375" style="394" customWidth="1"/>
    <col min="9473" max="9474" width="0" style="394" hidden="1" customWidth="1"/>
    <col min="9475" max="9718" width="9.140625" style="394"/>
    <col min="9719" max="9719" width="4.28515625" style="394" customWidth="1"/>
    <col min="9720" max="9720" width="40.7109375" style="394" customWidth="1"/>
    <col min="9721" max="9728" width="8.7109375" style="394" customWidth="1"/>
    <col min="9729" max="9730" width="0" style="394" hidden="1" customWidth="1"/>
    <col min="9731" max="9974" width="9.140625" style="394"/>
    <col min="9975" max="9975" width="4.28515625" style="394" customWidth="1"/>
    <col min="9976" max="9976" width="40.7109375" style="394" customWidth="1"/>
    <col min="9977" max="9984" width="8.7109375" style="394" customWidth="1"/>
    <col min="9985" max="9986" width="0" style="394" hidden="1" customWidth="1"/>
    <col min="9987" max="10230" width="9.140625" style="394"/>
    <col min="10231" max="10231" width="4.28515625" style="394" customWidth="1"/>
    <col min="10232" max="10232" width="40.7109375" style="394" customWidth="1"/>
    <col min="10233" max="10240" width="8.7109375" style="394" customWidth="1"/>
    <col min="10241" max="10242" width="0" style="394" hidden="1" customWidth="1"/>
    <col min="10243" max="10486" width="9.140625" style="394"/>
    <col min="10487" max="10487" width="4.28515625" style="394" customWidth="1"/>
    <col min="10488" max="10488" width="40.7109375" style="394" customWidth="1"/>
    <col min="10489" max="10496" width="8.7109375" style="394" customWidth="1"/>
    <col min="10497" max="10498" width="0" style="394" hidden="1" customWidth="1"/>
    <col min="10499" max="10742" width="9.140625" style="394"/>
    <col min="10743" max="10743" width="4.28515625" style="394" customWidth="1"/>
    <col min="10744" max="10744" width="40.7109375" style="394" customWidth="1"/>
    <col min="10745" max="10752" width="8.7109375" style="394" customWidth="1"/>
    <col min="10753" max="10754" width="0" style="394" hidden="1" customWidth="1"/>
    <col min="10755" max="10998" width="9.140625" style="394"/>
    <col min="10999" max="10999" width="4.28515625" style="394" customWidth="1"/>
    <col min="11000" max="11000" width="40.7109375" style="394" customWidth="1"/>
    <col min="11001" max="11008" width="8.7109375" style="394" customWidth="1"/>
    <col min="11009" max="11010" width="0" style="394" hidden="1" customWidth="1"/>
    <col min="11011" max="11254" width="9.140625" style="394"/>
    <col min="11255" max="11255" width="4.28515625" style="394" customWidth="1"/>
    <col min="11256" max="11256" width="40.7109375" style="394" customWidth="1"/>
    <col min="11257" max="11264" width="8.7109375" style="394" customWidth="1"/>
    <col min="11265" max="11266" width="0" style="394" hidden="1" customWidth="1"/>
    <col min="11267" max="11510" width="9.140625" style="394"/>
    <col min="11511" max="11511" width="4.28515625" style="394" customWidth="1"/>
    <col min="11512" max="11512" width="40.7109375" style="394" customWidth="1"/>
    <col min="11513" max="11520" width="8.7109375" style="394" customWidth="1"/>
    <col min="11521" max="11522" width="0" style="394" hidden="1" customWidth="1"/>
    <col min="11523" max="11766" width="9.140625" style="394"/>
    <col min="11767" max="11767" width="4.28515625" style="394" customWidth="1"/>
    <col min="11768" max="11768" width="40.7109375" style="394" customWidth="1"/>
    <col min="11769" max="11776" width="8.7109375" style="394" customWidth="1"/>
    <col min="11777" max="11778" width="0" style="394" hidden="1" customWidth="1"/>
    <col min="11779" max="12022" width="9.140625" style="394"/>
    <col min="12023" max="12023" width="4.28515625" style="394" customWidth="1"/>
    <col min="12024" max="12024" width="40.7109375" style="394" customWidth="1"/>
    <col min="12025" max="12032" width="8.7109375" style="394" customWidth="1"/>
    <col min="12033" max="12034" width="0" style="394" hidden="1" customWidth="1"/>
    <col min="12035" max="12278" width="9.140625" style="394"/>
    <col min="12279" max="12279" width="4.28515625" style="394" customWidth="1"/>
    <col min="12280" max="12280" width="40.7109375" style="394" customWidth="1"/>
    <col min="12281" max="12288" width="8.7109375" style="394" customWidth="1"/>
    <col min="12289" max="12290" width="0" style="394" hidden="1" customWidth="1"/>
    <col min="12291" max="12534" width="9.140625" style="394"/>
    <col min="12535" max="12535" width="4.28515625" style="394" customWidth="1"/>
    <col min="12536" max="12536" width="40.7109375" style="394" customWidth="1"/>
    <col min="12537" max="12544" width="8.7109375" style="394" customWidth="1"/>
    <col min="12545" max="12546" width="0" style="394" hidden="1" customWidth="1"/>
    <col min="12547" max="12790" width="9.140625" style="394"/>
    <col min="12791" max="12791" width="4.28515625" style="394" customWidth="1"/>
    <col min="12792" max="12792" width="40.7109375" style="394" customWidth="1"/>
    <col min="12793" max="12800" width="8.7109375" style="394" customWidth="1"/>
    <col min="12801" max="12802" width="0" style="394" hidden="1" customWidth="1"/>
    <col min="12803" max="13046" width="9.140625" style="394"/>
    <col min="13047" max="13047" width="4.28515625" style="394" customWidth="1"/>
    <col min="13048" max="13048" width="40.7109375" style="394" customWidth="1"/>
    <col min="13049" max="13056" width="8.7109375" style="394" customWidth="1"/>
    <col min="13057" max="13058" width="0" style="394" hidden="1" customWidth="1"/>
    <col min="13059" max="13302" width="9.140625" style="394"/>
    <col min="13303" max="13303" width="4.28515625" style="394" customWidth="1"/>
    <col min="13304" max="13304" width="40.7109375" style="394" customWidth="1"/>
    <col min="13305" max="13312" width="8.7109375" style="394" customWidth="1"/>
    <col min="13313" max="13314" width="0" style="394" hidden="1" customWidth="1"/>
    <col min="13315" max="13558" width="9.140625" style="394"/>
    <col min="13559" max="13559" width="4.28515625" style="394" customWidth="1"/>
    <col min="13560" max="13560" width="40.7109375" style="394" customWidth="1"/>
    <col min="13561" max="13568" width="8.7109375" style="394" customWidth="1"/>
    <col min="13569" max="13570" width="0" style="394" hidden="1" customWidth="1"/>
    <col min="13571" max="13814" width="9.140625" style="394"/>
    <col min="13815" max="13815" width="4.28515625" style="394" customWidth="1"/>
    <col min="13816" max="13816" width="40.7109375" style="394" customWidth="1"/>
    <col min="13817" max="13824" width="8.7109375" style="394" customWidth="1"/>
    <col min="13825" max="13826" width="0" style="394" hidden="1" customWidth="1"/>
    <col min="13827" max="14070" width="9.140625" style="394"/>
    <col min="14071" max="14071" width="4.28515625" style="394" customWidth="1"/>
    <col min="14072" max="14072" width="40.7109375" style="394" customWidth="1"/>
    <col min="14073" max="14080" width="8.7109375" style="394" customWidth="1"/>
    <col min="14081" max="14082" width="0" style="394" hidden="1" customWidth="1"/>
    <col min="14083" max="14326" width="9.140625" style="394"/>
    <col min="14327" max="14327" width="4.28515625" style="394" customWidth="1"/>
    <col min="14328" max="14328" width="40.7109375" style="394" customWidth="1"/>
    <col min="14329" max="14336" width="8.7109375" style="394" customWidth="1"/>
    <col min="14337" max="14338" width="0" style="394" hidden="1" customWidth="1"/>
    <col min="14339" max="14582" width="9.140625" style="394"/>
    <col min="14583" max="14583" width="4.28515625" style="394" customWidth="1"/>
    <col min="14584" max="14584" width="40.7109375" style="394" customWidth="1"/>
    <col min="14585" max="14592" width="8.7109375" style="394" customWidth="1"/>
    <col min="14593" max="14594" width="0" style="394" hidden="1" customWidth="1"/>
    <col min="14595" max="14838" width="9.140625" style="394"/>
    <col min="14839" max="14839" width="4.28515625" style="394" customWidth="1"/>
    <col min="14840" max="14840" width="40.7109375" style="394" customWidth="1"/>
    <col min="14841" max="14848" width="8.7109375" style="394" customWidth="1"/>
    <col min="14849" max="14850" width="0" style="394" hidden="1" customWidth="1"/>
    <col min="14851" max="15094" width="9.140625" style="394"/>
    <col min="15095" max="15095" width="4.28515625" style="394" customWidth="1"/>
    <col min="15096" max="15096" width="40.7109375" style="394" customWidth="1"/>
    <col min="15097" max="15104" width="8.7109375" style="394" customWidth="1"/>
    <col min="15105" max="15106" width="0" style="394" hidden="1" customWidth="1"/>
    <col min="15107" max="15350" width="9.140625" style="394"/>
    <col min="15351" max="15351" width="4.28515625" style="394" customWidth="1"/>
    <col min="15352" max="15352" width="40.7109375" style="394" customWidth="1"/>
    <col min="15353" max="15360" width="8.7109375" style="394" customWidth="1"/>
    <col min="15361" max="15362" width="0" style="394" hidden="1" customWidth="1"/>
    <col min="15363" max="15606" width="9.140625" style="394"/>
    <col min="15607" max="15607" width="4.28515625" style="394" customWidth="1"/>
    <col min="15608" max="15608" width="40.7109375" style="394" customWidth="1"/>
    <col min="15609" max="15616" width="8.7109375" style="394" customWidth="1"/>
    <col min="15617" max="15618" width="0" style="394" hidden="1" customWidth="1"/>
    <col min="15619" max="15862" width="9.140625" style="394"/>
    <col min="15863" max="15863" width="4.28515625" style="394" customWidth="1"/>
    <col min="15864" max="15864" width="40.7109375" style="394" customWidth="1"/>
    <col min="15865" max="15872" width="8.7109375" style="394" customWidth="1"/>
    <col min="15873" max="15874" width="0" style="394" hidden="1" customWidth="1"/>
    <col min="15875" max="16118" width="9.140625" style="394"/>
    <col min="16119" max="16119" width="4.28515625" style="394" customWidth="1"/>
    <col min="16120" max="16120" width="40.7109375" style="394" customWidth="1"/>
    <col min="16121" max="16128" width="8.7109375" style="394" customWidth="1"/>
    <col min="16129" max="16130" width="0" style="394" hidden="1" customWidth="1"/>
    <col min="16131" max="16384" width="9.140625" style="394"/>
  </cols>
  <sheetData>
    <row r="1" spans="1:23" ht="13.5">
      <c r="V1" s="398"/>
      <c r="W1" s="399" t="str">
        <f>'16. Необходими приходи'!X1</f>
        <v>Приложение № 6</v>
      </c>
    </row>
    <row r="2" spans="1:23" ht="18.75">
      <c r="A2" s="3685" t="s">
        <v>747</v>
      </c>
      <c r="B2" s="3685"/>
      <c r="C2" s="3685"/>
      <c r="D2" s="3685"/>
      <c r="E2" s="3685"/>
      <c r="F2" s="3685"/>
      <c r="G2" s="3685"/>
      <c r="H2" s="3685"/>
      <c r="I2" s="3685"/>
      <c r="J2" s="3685"/>
      <c r="K2" s="3685"/>
      <c r="L2" s="3685"/>
      <c r="M2" s="3685"/>
      <c r="N2" s="3685"/>
      <c r="O2" s="3685"/>
      <c r="P2" s="3685"/>
      <c r="Q2" s="3685"/>
      <c r="R2" s="3685"/>
      <c r="S2" s="3685"/>
      <c r="T2" s="3685"/>
      <c r="U2" s="3685"/>
      <c r="V2" s="3685"/>
      <c r="W2" s="3685"/>
    </row>
    <row r="3" spans="1:23" ht="18.75">
      <c r="A3" s="3686" t="s">
        <v>490</v>
      </c>
      <c r="B3" s="3686"/>
      <c r="C3" s="3686"/>
      <c r="D3" s="3686"/>
      <c r="E3" s="3686"/>
      <c r="F3" s="3686"/>
      <c r="G3" s="3686"/>
      <c r="H3" s="3686"/>
      <c r="I3" s="3686"/>
      <c r="J3" s="3686"/>
      <c r="K3" s="3686"/>
      <c r="L3" s="3686"/>
      <c r="M3" s="3686"/>
      <c r="N3" s="3686"/>
      <c r="O3" s="3686"/>
      <c r="P3" s="3686"/>
      <c r="Q3" s="3686"/>
      <c r="R3" s="3686"/>
      <c r="S3" s="3686"/>
      <c r="T3" s="3686"/>
      <c r="U3" s="3686"/>
      <c r="V3" s="3686"/>
      <c r="W3" s="3686"/>
    </row>
    <row r="4" spans="1:23" ht="14.25" customHeight="1">
      <c r="A4" s="3687" t="str">
        <f>'1. Анкетна карта'!A3:J3</f>
        <v>на "ВОДОСНАБДЯВАНЕ И КАНАЛИЗАЦИЯ ДОБРИЧ" АД, гр. Добрич</v>
      </c>
      <c r="B4" s="3687"/>
      <c r="C4" s="3687"/>
      <c r="D4" s="3687"/>
      <c r="E4" s="3687"/>
      <c r="F4" s="3687"/>
      <c r="G4" s="3687"/>
      <c r="H4" s="3687"/>
      <c r="I4" s="3687"/>
      <c r="J4" s="3687"/>
      <c r="K4" s="3687"/>
      <c r="L4" s="3687"/>
      <c r="M4" s="3687"/>
      <c r="N4" s="3687"/>
      <c r="O4" s="3687"/>
      <c r="P4" s="3687"/>
      <c r="Q4" s="3687"/>
      <c r="R4" s="3687"/>
      <c r="S4" s="3687"/>
      <c r="T4" s="3687"/>
      <c r="U4" s="3687"/>
      <c r="V4" s="3687"/>
      <c r="W4" s="3687"/>
    </row>
    <row r="5" spans="1:23" ht="14.25" customHeight="1">
      <c r="A5" s="3687" t="str">
        <f>'1. Анкетна карта'!A4:J4</f>
        <v>ЕИК по БУЛСТАТ: 204219357</v>
      </c>
      <c r="B5" s="3687"/>
      <c r="C5" s="3687"/>
      <c r="D5" s="3687"/>
      <c r="E5" s="3687"/>
      <c r="F5" s="3687"/>
      <c r="G5" s="3687"/>
      <c r="H5" s="3687"/>
      <c r="I5" s="3687"/>
      <c r="J5" s="3687"/>
      <c r="K5" s="3687"/>
      <c r="L5" s="3687"/>
      <c r="M5" s="3687"/>
      <c r="N5" s="3687"/>
      <c r="O5" s="3687"/>
      <c r="P5" s="3687"/>
      <c r="Q5" s="3687"/>
      <c r="R5" s="3687"/>
      <c r="S5" s="3687"/>
      <c r="T5" s="3687"/>
      <c r="U5" s="3687"/>
      <c r="V5" s="3687"/>
      <c r="W5" s="3687"/>
    </row>
    <row r="6" spans="1:23" s="170" customFormat="1" ht="12.75" customHeight="1" thickBot="1">
      <c r="C6" s="170" t="s">
        <v>263</v>
      </c>
      <c r="D6" s="78"/>
      <c r="F6" s="78"/>
      <c r="J6" s="78"/>
      <c r="L6" s="78"/>
      <c r="N6" s="78"/>
      <c r="O6" s="78"/>
      <c r="W6" s="38" t="s">
        <v>250</v>
      </c>
    </row>
    <row r="7" spans="1:23" s="171" customFormat="1" ht="12.75" thickBot="1">
      <c r="A7" s="3688" t="s">
        <v>1</v>
      </c>
      <c r="B7" s="3691" t="s">
        <v>95</v>
      </c>
      <c r="C7" s="3694" t="s">
        <v>287</v>
      </c>
      <c r="D7" s="3695"/>
      <c r="E7" s="3695"/>
      <c r="F7" s="3695"/>
      <c r="G7" s="3695"/>
      <c r="H7" s="3695"/>
      <c r="I7" s="3695"/>
      <c r="J7" s="3695"/>
      <c r="K7" s="3695"/>
      <c r="L7" s="3695"/>
      <c r="M7" s="3695"/>
      <c r="N7" s="3695"/>
      <c r="O7" s="3695"/>
      <c r="P7" s="3695"/>
      <c r="Q7" s="3695"/>
      <c r="R7" s="3695"/>
      <c r="S7" s="3695"/>
      <c r="T7" s="3695"/>
      <c r="U7" s="3695"/>
      <c r="V7" s="3695"/>
      <c r="W7" s="3696"/>
    </row>
    <row r="8" spans="1:23" s="171" customFormat="1">
      <c r="A8" s="3689"/>
      <c r="B8" s="3692"/>
      <c r="C8" s="3697" t="s">
        <v>273</v>
      </c>
      <c r="D8" s="3698"/>
      <c r="E8" s="3698"/>
      <c r="F8" s="3698"/>
      <c r="G8" s="3698"/>
      <c r="H8" s="3698"/>
      <c r="I8" s="3699"/>
      <c r="J8" s="3697" t="s">
        <v>230</v>
      </c>
      <c r="K8" s="3698"/>
      <c r="L8" s="3698"/>
      <c r="M8" s="3698"/>
      <c r="N8" s="3698"/>
      <c r="O8" s="3698"/>
      <c r="P8" s="3699"/>
      <c r="Q8" s="3697" t="s">
        <v>241</v>
      </c>
      <c r="R8" s="3698"/>
      <c r="S8" s="3698"/>
      <c r="T8" s="3698"/>
      <c r="U8" s="3698"/>
      <c r="V8" s="3698"/>
      <c r="W8" s="3699"/>
    </row>
    <row r="9" spans="1:23" s="170" customFormat="1" ht="12.75" thickBot="1">
      <c r="A9" s="3690"/>
      <c r="B9" s="3693"/>
      <c r="C9" s="1146" t="str">
        <f>'Приложение '!$G12</f>
        <v>2015 г.</v>
      </c>
      <c r="D9" s="1147" t="str">
        <f>'Приложение '!$G13</f>
        <v>2016 г.</v>
      </c>
      <c r="E9" s="1147" t="str">
        <f>'Приложение '!$G14</f>
        <v>2017 г.</v>
      </c>
      <c r="F9" s="1147" t="str">
        <f>'Приложение '!$G15</f>
        <v>2018 г.</v>
      </c>
      <c r="G9" s="1147" t="str">
        <f>'Приложение '!$G16</f>
        <v>2019 г.</v>
      </c>
      <c r="H9" s="1147" t="str">
        <f>'Приложение '!$G17</f>
        <v>2020 г.</v>
      </c>
      <c r="I9" s="1148" t="str">
        <f>'Приложение '!$G18</f>
        <v>2021 г.</v>
      </c>
      <c r="J9" s="1146" t="str">
        <f>C9</f>
        <v>2015 г.</v>
      </c>
      <c r="K9" s="1147" t="str">
        <f t="shared" ref="K9:W9" si="0">D9</f>
        <v>2016 г.</v>
      </c>
      <c r="L9" s="1147" t="str">
        <f t="shared" si="0"/>
        <v>2017 г.</v>
      </c>
      <c r="M9" s="1147" t="str">
        <f t="shared" si="0"/>
        <v>2018 г.</v>
      </c>
      <c r="N9" s="1147" t="str">
        <f t="shared" si="0"/>
        <v>2019 г.</v>
      </c>
      <c r="O9" s="1147" t="str">
        <f t="shared" si="0"/>
        <v>2020 г.</v>
      </c>
      <c r="P9" s="1148" t="str">
        <f t="shared" si="0"/>
        <v>2021 г.</v>
      </c>
      <c r="Q9" s="1146" t="str">
        <f t="shared" si="0"/>
        <v>2015 г.</v>
      </c>
      <c r="R9" s="1147" t="str">
        <f t="shared" si="0"/>
        <v>2016 г.</v>
      </c>
      <c r="S9" s="1147" t="str">
        <f t="shared" si="0"/>
        <v>2017 г.</v>
      </c>
      <c r="T9" s="1147" t="str">
        <f t="shared" si="0"/>
        <v>2018 г.</v>
      </c>
      <c r="U9" s="1147" t="str">
        <f t="shared" si="0"/>
        <v>2019 г.</v>
      </c>
      <c r="V9" s="1147" t="str">
        <f t="shared" si="0"/>
        <v>2020 г.</v>
      </c>
      <c r="W9" s="1148" t="str">
        <f t="shared" si="0"/>
        <v>2021 г.</v>
      </c>
    </row>
    <row r="10" spans="1:23" s="1519" customFormat="1" ht="32.25" customHeight="1">
      <c r="A10" s="1524" t="s">
        <v>193</v>
      </c>
      <c r="B10" s="1525" t="s">
        <v>740</v>
      </c>
      <c r="C10" s="1526">
        <f>C11-C12</f>
        <v>6409.4415014932511</v>
      </c>
      <c r="D10" s="1527">
        <f t="shared" ref="D10:W10" si="1">D11-D12</f>
        <v>6409.4415014932511</v>
      </c>
      <c r="E10" s="1527">
        <f t="shared" si="1"/>
        <v>10047.495983596513</v>
      </c>
      <c r="F10" s="1527">
        <f t="shared" si="1"/>
        <v>11523.710394660095</v>
      </c>
      <c r="G10" s="1527">
        <f t="shared" si="1"/>
        <v>13117.026828871592</v>
      </c>
      <c r="H10" s="1527">
        <f t="shared" si="1"/>
        <v>14861.85888544201</v>
      </c>
      <c r="I10" s="1528">
        <f t="shared" si="1"/>
        <v>16672.724626182746</v>
      </c>
      <c r="J10" s="1526">
        <f t="shared" si="1"/>
        <v>909.84632112869656</v>
      </c>
      <c r="K10" s="1527">
        <f t="shared" si="1"/>
        <v>909.84632112869656</v>
      </c>
      <c r="L10" s="1527">
        <f t="shared" si="1"/>
        <v>969.30751846794271</v>
      </c>
      <c r="M10" s="1527">
        <f t="shared" si="1"/>
        <v>1055.0196689677416</v>
      </c>
      <c r="N10" s="1527">
        <f t="shared" si="1"/>
        <v>1270.1246058727672</v>
      </c>
      <c r="O10" s="1527">
        <f t="shared" si="1"/>
        <v>1477.7763442345818</v>
      </c>
      <c r="P10" s="1528">
        <f t="shared" si="1"/>
        <v>1663.5772701605079</v>
      </c>
      <c r="Q10" s="1526">
        <f t="shared" si="1"/>
        <v>146.83129182447342</v>
      </c>
      <c r="R10" s="1527">
        <f t="shared" si="1"/>
        <v>146.83129182447342</v>
      </c>
      <c r="S10" s="1527">
        <f t="shared" si="1"/>
        <v>280.31561238196468</v>
      </c>
      <c r="T10" s="1527">
        <f t="shared" si="1"/>
        <v>655.30627081858574</v>
      </c>
      <c r="U10" s="1527">
        <f t="shared" si="1"/>
        <v>1020.5515663687296</v>
      </c>
      <c r="V10" s="1527">
        <f t="shared" si="1"/>
        <v>1433.0677714364963</v>
      </c>
      <c r="W10" s="1528">
        <f t="shared" si="1"/>
        <v>1832.40110476983</v>
      </c>
    </row>
    <row r="11" spans="1:23" s="170" customFormat="1" ht="33.75" customHeight="1">
      <c r="A11" s="1149" t="s">
        <v>98</v>
      </c>
      <c r="B11" s="1150" t="s">
        <v>920</v>
      </c>
      <c r="C11" s="1354">
        <f>'11. Амортиз. план'!E9+'11. Амортиз. план'!E110</f>
        <v>6409.4415014932511</v>
      </c>
      <c r="D11" s="1151">
        <f>C11</f>
        <v>6409.4415014932511</v>
      </c>
      <c r="E11" s="1151">
        <f>'11. Амортиз. план'!F9+'11. Амортиз. план'!F110</f>
        <v>10047.495983596513</v>
      </c>
      <c r="F11" s="1151">
        <f>'11. Амортиз. план'!G9+'11. Амортиз. план'!G110</f>
        <v>11523.710394660095</v>
      </c>
      <c r="G11" s="1151">
        <f>'11. Амортиз. план'!H9+'11. Амортиз. план'!H110</f>
        <v>13117.026828871592</v>
      </c>
      <c r="H11" s="1151">
        <f>'11. Амортиз. план'!I9+'11. Амортиз. план'!I110</f>
        <v>14861.85888544201</v>
      </c>
      <c r="I11" s="1154">
        <f>'11. Амортиз. план'!J9+'11. Амортиз. план'!J110</f>
        <v>16672.724626182746</v>
      </c>
      <c r="J11" s="1354">
        <f>'11. Амортиз. план'!L9+'11. Амортиз. план'!L110</f>
        <v>909.84632112869656</v>
      </c>
      <c r="K11" s="1151">
        <f>J11</f>
        <v>909.84632112869656</v>
      </c>
      <c r="L11" s="1151">
        <f>'11. Амортиз. план'!M9+'11. Амортиз. план'!M110</f>
        <v>969.30751846794271</v>
      </c>
      <c r="M11" s="1151">
        <f>'11. Амортиз. план'!N9+'11. Амортиз. план'!N110</f>
        <v>1055.0196689677416</v>
      </c>
      <c r="N11" s="1151">
        <f>'11. Амортиз. план'!O9+'11. Амортиз. план'!O110</f>
        <v>1270.1246058727672</v>
      </c>
      <c r="O11" s="1151">
        <f>'11. Амортиз. план'!P9+'11. Амортиз. план'!P110</f>
        <v>1477.7763442345818</v>
      </c>
      <c r="P11" s="1154">
        <f>'11. Амортиз. план'!Q9+'11. Амортиз. план'!Q110</f>
        <v>1663.5772701605079</v>
      </c>
      <c r="Q11" s="1354">
        <f>'11. Амортиз. план'!S9+'11. Амортиз. план'!S110</f>
        <v>146.83129182447342</v>
      </c>
      <c r="R11" s="1151">
        <f>Q11</f>
        <v>146.83129182447342</v>
      </c>
      <c r="S11" s="1152">
        <f>'11. Амортиз. план'!T9+'11. Амортиз. план'!T110</f>
        <v>280.31561238196468</v>
      </c>
      <c r="T11" s="1152">
        <f>'11. Амортиз. план'!U9+'11. Амортиз. план'!U110</f>
        <v>655.30627081858574</v>
      </c>
      <c r="U11" s="1152">
        <f>'11. Амортиз. план'!V9+'11. Амортиз. план'!V110</f>
        <v>1020.5515663687296</v>
      </c>
      <c r="V11" s="1152">
        <f>'11. Амортиз. план'!W9+'11. Амортиз. план'!W110</f>
        <v>1433.0677714364963</v>
      </c>
      <c r="W11" s="1153">
        <f>'11. Амортиз. план'!X9+'11. Амортиз. план'!X110</f>
        <v>1832.40110476983</v>
      </c>
    </row>
    <row r="12" spans="1:23" s="170" customFormat="1" ht="32.25" customHeight="1">
      <c r="A12" s="1149" t="s">
        <v>99</v>
      </c>
      <c r="B12" s="1150" t="s">
        <v>872</v>
      </c>
      <c r="C12" s="1354">
        <f>'11. Амортиз. план'!E31</f>
        <v>0</v>
      </c>
      <c r="D12" s="1151">
        <f>'11. Амортиз. план'!F31</f>
        <v>0</v>
      </c>
      <c r="E12" s="1151">
        <f>'11. Амортиз. план'!G31</f>
        <v>0</v>
      </c>
      <c r="F12" s="1151">
        <f>'11. Амортиз. план'!H31</f>
        <v>0</v>
      </c>
      <c r="G12" s="1151">
        <f>'11. Амортиз. план'!I31</f>
        <v>0</v>
      </c>
      <c r="H12" s="1151">
        <f>'11. Амортиз. план'!J31</f>
        <v>0</v>
      </c>
      <c r="I12" s="1154">
        <f>'11. Амортиз. план'!K31</f>
        <v>0</v>
      </c>
      <c r="J12" s="1354">
        <f>'11. Амортиз. план'!L31</f>
        <v>0</v>
      </c>
      <c r="K12" s="1151">
        <f>'11. Амортиз. план'!M31</f>
        <v>0</v>
      </c>
      <c r="L12" s="1151">
        <f>'11. Амортиз. план'!N31</f>
        <v>0</v>
      </c>
      <c r="M12" s="1151">
        <f>'11. Амортиз. план'!O31</f>
        <v>0</v>
      </c>
      <c r="N12" s="1151">
        <f>'11. Амортиз. план'!P31</f>
        <v>0</v>
      </c>
      <c r="O12" s="1151">
        <f>'11. Амортиз. план'!Q31</f>
        <v>0</v>
      </c>
      <c r="P12" s="1154">
        <f>'11. Амортиз. план'!R31</f>
        <v>0</v>
      </c>
      <c r="Q12" s="1354">
        <f>'11. Амортиз. план'!S31</f>
        <v>0</v>
      </c>
      <c r="R12" s="1152">
        <f>'11. Амортиз. план'!T31</f>
        <v>0</v>
      </c>
      <c r="S12" s="1152">
        <f>'11. Амортиз. план'!U31</f>
        <v>0</v>
      </c>
      <c r="T12" s="1152">
        <f>'11. Амортиз. план'!V31</f>
        <v>0</v>
      </c>
      <c r="U12" s="1152">
        <f>'11. Амортиз. план'!W31</f>
        <v>0</v>
      </c>
      <c r="V12" s="1152">
        <f>'11. Амортиз. план'!X31</f>
        <v>0</v>
      </c>
      <c r="W12" s="1153">
        <f>'11. Амортиз. план'!Y31</f>
        <v>0</v>
      </c>
    </row>
    <row r="13" spans="1:23" s="1519" customFormat="1" ht="24">
      <c r="A13" s="1520" t="s">
        <v>103</v>
      </c>
      <c r="B13" s="1515" t="s">
        <v>741</v>
      </c>
      <c r="C13" s="1521">
        <f>C14-C15</f>
        <v>2764.5517355714637</v>
      </c>
      <c r="D13" s="1522">
        <f t="shared" ref="D13:W13" si="2">D14-D15</f>
        <v>2764.5517355714637</v>
      </c>
      <c r="E13" s="1522">
        <f t="shared" si="2"/>
        <v>3114.8882591933461</v>
      </c>
      <c r="F13" s="1522">
        <f t="shared" si="2"/>
        <v>3484.5710861623934</v>
      </c>
      <c r="G13" s="1522">
        <f t="shared" si="2"/>
        <v>3968.6704551662747</v>
      </c>
      <c r="H13" s="1522">
        <f t="shared" si="2"/>
        <v>4507.8239116527093</v>
      </c>
      <c r="I13" s="1523">
        <f t="shared" si="2"/>
        <v>5131.1267273274598</v>
      </c>
      <c r="J13" s="1521">
        <f t="shared" si="2"/>
        <v>500.10573449464113</v>
      </c>
      <c r="K13" s="1522">
        <f t="shared" si="2"/>
        <v>500.10573449464113</v>
      </c>
      <c r="L13" s="1522">
        <f t="shared" si="2"/>
        <v>541.90118207312298</v>
      </c>
      <c r="M13" s="1522">
        <f t="shared" si="2"/>
        <v>570.34483242008139</v>
      </c>
      <c r="N13" s="1522">
        <f t="shared" si="2"/>
        <v>592.55998143993895</v>
      </c>
      <c r="O13" s="1522">
        <f t="shared" si="2"/>
        <v>628.17739448044256</v>
      </c>
      <c r="P13" s="1523">
        <f t="shared" si="2"/>
        <v>676.6875833927927</v>
      </c>
      <c r="Q13" s="1521">
        <f t="shared" si="2"/>
        <v>102.01618736365593</v>
      </c>
      <c r="R13" s="1517">
        <f t="shared" si="2"/>
        <v>102.01618736365593</v>
      </c>
      <c r="S13" s="1517">
        <f t="shared" si="2"/>
        <v>116.23212634245975</v>
      </c>
      <c r="T13" s="1517">
        <f t="shared" si="2"/>
        <v>140.97690360562035</v>
      </c>
      <c r="U13" s="1517">
        <f t="shared" si="2"/>
        <v>191.35365122771432</v>
      </c>
      <c r="V13" s="1517">
        <f t="shared" si="2"/>
        <v>274.76071401327317</v>
      </c>
      <c r="W13" s="1518">
        <f t="shared" si="2"/>
        <v>393.84564173867568</v>
      </c>
    </row>
    <row r="14" spans="1:23" s="170" customFormat="1" ht="24">
      <c r="A14" s="1155" t="s">
        <v>105</v>
      </c>
      <c r="B14" s="1156" t="s">
        <v>921</v>
      </c>
      <c r="C14" s="1354">
        <f>'11. Амортиз. план'!E59+'11. Амортиз. план'!E150</f>
        <v>2764.5517355714637</v>
      </c>
      <c r="D14" s="1151">
        <f>C14</f>
        <v>2764.5517355714637</v>
      </c>
      <c r="E14" s="1151">
        <f>'11. Амортиз. план'!F59+'11. Амортиз. план'!F150</f>
        <v>3114.8882591933461</v>
      </c>
      <c r="F14" s="1151">
        <f>'11. Амортиз. план'!G59+'11. Амортиз. план'!G150</f>
        <v>3484.5710861623934</v>
      </c>
      <c r="G14" s="1151">
        <f>'11. Амортиз. план'!H59+'11. Амортиз. план'!H150</f>
        <v>3968.6704551662747</v>
      </c>
      <c r="H14" s="1151">
        <f>'11. Амортиз. план'!I59+'11. Амортиз. план'!I150</f>
        <v>4507.8239116527093</v>
      </c>
      <c r="I14" s="1154">
        <f>'11. Амортиз. план'!J59+'11. Амортиз. план'!J150</f>
        <v>5131.1267273274598</v>
      </c>
      <c r="J14" s="1354">
        <f>'11. Амортиз. план'!L59+'11. Амортиз. план'!L150</f>
        <v>500.10573449464113</v>
      </c>
      <c r="K14" s="1151">
        <f>J14</f>
        <v>500.10573449464113</v>
      </c>
      <c r="L14" s="1151">
        <f>'11. Амортиз. план'!M59+'11. Амортиз. план'!M150</f>
        <v>541.90118207312298</v>
      </c>
      <c r="M14" s="1151">
        <f>'11. Амортиз. план'!N59+'11. Амортиз. план'!N150</f>
        <v>570.34483242008139</v>
      </c>
      <c r="N14" s="1151">
        <f>'11. Амортиз. план'!O59+'11. Амортиз. план'!O150</f>
        <v>592.55998143993895</v>
      </c>
      <c r="O14" s="1151">
        <f>'11. Амортиз. план'!P59+'11. Амортиз. план'!P150</f>
        <v>628.17739448044256</v>
      </c>
      <c r="P14" s="1154">
        <f>'11. Амортиз. план'!Q59+'11. Амортиз. план'!Q150</f>
        <v>676.6875833927927</v>
      </c>
      <c r="Q14" s="1354">
        <f>'11. Амортиз. план'!S59+'11. Амортиз. план'!S150</f>
        <v>102.01618736365593</v>
      </c>
      <c r="R14" s="1152">
        <f>Q14</f>
        <v>102.01618736365593</v>
      </c>
      <c r="S14" s="1152">
        <f>'11. Амортиз. план'!T59+'11. Амортиз. план'!T150</f>
        <v>116.23212634245975</v>
      </c>
      <c r="T14" s="1152">
        <f>'11. Амортиз. план'!U59+'11. Амортиз. план'!U150</f>
        <v>140.97690360562035</v>
      </c>
      <c r="U14" s="1152">
        <f>'11. Амортиз. план'!V59+'11. Амортиз. план'!V150</f>
        <v>191.35365122771432</v>
      </c>
      <c r="V14" s="1152">
        <f>'11. Амортиз. план'!W59+'11. Амортиз. план'!W150</f>
        <v>274.76071401327317</v>
      </c>
      <c r="W14" s="1153">
        <f>'11. Амортиз. план'!X59+'11. Амортиз. план'!X150</f>
        <v>393.84564173867568</v>
      </c>
    </row>
    <row r="15" spans="1:23" s="170" customFormat="1" ht="24">
      <c r="A15" s="1155" t="s">
        <v>107</v>
      </c>
      <c r="B15" s="1156" t="s">
        <v>873</v>
      </c>
      <c r="C15" s="1157">
        <f>'11. Амортиз. план'!E81</f>
        <v>0</v>
      </c>
      <c r="D15" s="1152">
        <f>'11. Амортиз. план'!F81</f>
        <v>0</v>
      </c>
      <c r="E15" s="1152">
        <f>'11. Амортиз. план'!G81</f>
        <v>0</v>
      </c>
      <c r="F15" s="1152">
        <f>'11. Амортиз. план'!H81</f>
        <v>0</v>
      </c>
      <c r="G15" s="1152">
        <f>'11. Амортиз. план'!I81</f>
        <v>0</v>
      </c>
      <c r="H15" s="1152">
        <f>'11. Амортиз. план'!J81</f>
        <v>0</v>
      </c>
      <c r="I15" s="1153">
        <f>'11. Амортиз. план'!K81</f>
        <v>0</v>
      </c>
      <c r="J15" s="1157">
        <f>'11. Амортиз. план'!L81</f>
        <v>0</v>
      </c>
      <c r="K15" s="1152">
        <f>'11. Амортиз. план'!M81</f>
        <v>0</v>
      </c>
      <c r="L15" s="1152">
        <f>'11. Амортиз. план'!N81</f>
        <v>0</v>
      </c>
      <c r="M15" s="1152">
        <f>'11. Амортиз. план'!O81</f>
        <v>0</v>
      </c>
      <c r="N15" s="1152">
        <f>'11. Амортиз. план'!P81</f>
        <v>0</v>
      </c>
      <c r="O15" s="1152">
        <f>'11. Амортиз. план'!Q81</f>
        <v>0</v>
      </c>
      <c r="P15" s="1153">
        <f>'11. Амортиз. план'!R81</f>
        <v>0</v>
      </c>
      <c r="Q15" s="1157">
        <f>'11. Амортиз. план'!S81</f>
        <v>0</v>
      </c>
      <c r="R15" s="1152">
        <f>'11. Амортиз. план'!T81</f>
        <v>0</v>
      </c>
      <c r="S15" s="1152">
        <f>'11. Амортиз. план'!U81</f>
        <v>0</v>
      </c>
      <c r="T15" s="1152">
        <f>'11. Амортиз. план'!V81</f>
        <v>0</v>
      </c>
      <c r="U15" s="1152">
        <f>'11. Амортиз. план'!W81</f>
        <v>0</v>
      </c>
      <c r="V15" s="1152">
        <f>'11. Амортиз. план'!X81</f>
        <v>0</v>
      </c>
      <c r="W15" s="1153">
        <f>'11. Амортиз. план'!Y81</f>
        <v>0</v>
      </c>
    </row>
    <row r="16" spans="1:23" s="1519" customFormat="1" ht="36">
      <c r="A16" s="1514" t="s">
        <v>110</v>
      </c>
      <c r="B16" s="1515" t="s">
        <v>742</v>
      </c>
      <c r="C16" s="1516">
        <f>(C17+C18)/2</f>
        <v>1807.3571428571429</v>
      </c>
      <c r="D16" s="1517">
        <f t="shared" ref="D16:W16" si="3">(D17+D18)/2</f>
        <v>1526.0714285714287</v>
      </c>
      <c r="E16" s="1517">
        <f t="shared" si="3"/>
        <v>1244.7857142857144</v>
      </c>
      <c r="F16" s="1517">
        <f t="shared" si="3"/>
        <v>963.50000000000023</v>
      </c>
      <c r="G16" s="1517">
        <f t="shared" si="3"/>
        <v>682.21428571428601</v>
      </c>
      <c r="H16" s="1517">
        <f t="shared" si="3"/>
        <v>400.92857142857179</v>
      </c>
      <c r="I16" s="1518">
        <f t="shared" si="3"/>
        <v>130.14285714285731</v>
      </c>
      <c r="J16" s="1516">
        <f t="shared" si="3"/>
        <v>0</v>
      </c>
      <c r="K16" s="1517">
        <f t="shared" si="3"/>
        <v>0</v>
      </c>
      <c r="L16" s="1517">
        <f t="shared" si="3"/>
        <v>0</v>
      </c>
      <c r="M16" s="1517">
        <f t="shared" si="3"/>
        <v>0</v>
      </c>
      <c r="N16" s="1517">
        <f t="shared" si="3"/>
        <v>0</v>
      </c>
      <c r="O16" s="1517">
        <f t="shared" si="3"/>
        <v>0</v>
      </c>
      <c r="P16" s="1518">
        <f t="shared" si="3"/>
        <v>0</v>
      </c>
      <c r="Q16" s="1516">
        <f t="shared" si="3"/>
        <v>0</v>
      </c>
      <c r="R16" s="1517">
        <f t="shared" si="3"/>
        <v>0</v>
      </c>
      <c r="S16" s="1517">
        <f t="shared" si="3"/>
        <v>0</v>
      </c>
      <c r="T16" s="1517">
        <f t="shared" si="3"/>
        <v>0</v>
      </c>
      <c r="U16" s="1517">
        <f t="shared" si="3"/>
        <v>0</v>
      </c>
      <c r="V16" s="1517">
        <f t="shared" si="3"/>
        <v>0</v>
      </c>
      <c r="W16" s="1518">
        <f t="shared" si="3"/>
        <v>0</v>
      </c>
    </row>
    <row r="17" spans="1:23" s="170" customFormat="1" ht="27" customHeight="1">
      <c r="A17" s="1155" t="s">
        <v>227</v>
      </c>
      <c r="B17" s="1156" t="s">
        <v>255</v>
      </c>
      <c r="C17" s="1355">
        <f>IF('10. Финансиране на ИП'!C48=0,0,'10. Финансиране на ИП'!C48*'10. Финансиране на ИП'!C55+'10. Финансиране на ИП'!J48*'10. Финансиране на ИП'!J55)</f>
        <v>1948</v>
      </c>
      <c r="D17" s="1353">
        <f>IF('10. Финансиране на ИП'!D48=0,0,'10. Финансиране на ИП'!D48*'10. Финансиране на ИП'!D55+'10. Финансиране на ИП'!K48*'10. Финансиране на ИП'!K55)</f>
        <v>1666.7142857142858</v>
      </c>
      <c r="E17" s="1353">
        <f>IF('10. Финансиране на ИП'!E48=0,0,'10. Финансиране на ИП'!E48*'10. Финансиране на ИП'!E55+'10. Финансиране на ИП'!L48*'10. Финансиране на ИП'!L55)</f>
        <v>1385.4285714285716</v>
      </c>
      <c r="F17" s="1353">
        <f>IF('10. Финансиране на ИП'!F48=0,0,'10. Финансиране на ИП'!F48*'10. Финансиране на ИП'!F55+'10. Финансиране на ИП'!M48*'10. Финансиране на ИП'!M55)</f>
        <v>1104.1428571428573</v>
      </c>
      <c r="G17" s="1353">
        <f>IF('10. Финансиране на ИП'!G48=0,0,'10. Финансиране на ИП'!G48*'10. Финансиране на ИП'!G55+'10. Финансиране на ИП'!N48*'10. Финансиране на ИП'!N55)</f>
        <v>822.85714285714312</v>
      </c>
      <c r="H17" s="1353">
        <f>IF('10. Финансиране на ИП'!H48=0,0,'10. Финансиране на ИП'!H48*'10. Финансиране на ИП'!H55+'10. Финансиране на ИП'!O48*'10. Финансиране на ИП'!O55)</f>
        <v>541.5714285714289</v>
      </c>
      <c r="I17" s="1356">
        <f>IF('10. Финансиране на ИП'!I48=0,0,'10. Финансиране на ИП'!I48*'10. Финансиране на ИП'!I55+'10. Финансиране на ИП'!P48*'10. Финансиране на ИП'!P55)</f>
        <v>260.28571428571462</v>
      </c>
      <c r="J17" s="1355">
        <f>IF('10. Финансиране на ИП'!C48=0,0,'10. Финансиране на ИП'!C48*'10. Финансиране на ИП'!C56+'10. Финансиране на ИП'!J48*'10. Финансиране на ИП'!J56)</f>
        <v>0</v>
      </c>
      <c r="K17" s="1353">
        <f>IF('10. Финансиране на ИП'!D48=0,0,'10. Финансиране на ИП'!D48*'10. Финансиране на ИП'!D56+'10. Финансиране на ИП'!K48*'10. Финансиране на ИП'!K56)</f>
        <v>0</v>
      </c>
      <c r="L17" s="1353">
        <f>IF('10. Финансиране на ИП'!E48=0,0,'10. Финансиране на ИП'!E48*'10. Финансиране на ИП'!E56+'10. Финансиране на ИП'!L48*'10. Финансиране на ИП'!L56)</f>
        <v>0</v>
      </c>
      <c r="M17" s="1353">
        <f>IF('10. Финансиране на ИП'!F48=0,0,'10. Финансиране на ИП'!F48*'10. Финансиране на ИП'!F56+'10. Финансиране на ИП'!M48*'10. Финансиране на ИП'!M56)</f>
        <v>0</v>
      </c>
      <c r="N17" s="1353">
        <f>IF('10. Финансиране на ИП'!G48=0,0,'10. Финансиране на ИП'!G48*'10. Финансиране на ИП'!G56+'10. Финансиране на ИП'!N48*'10. Финансиране на ИП'!N56)</f>
        <v>0</v>
      </c>
      <c r="O17" s="1353">
        <f>IF('10. Финансиране на ИП'!H48=0,0,'10. Финансиране на ИП'!H48*'10. Финансиране на ИП'!H56+'10. Финансиране на ИП'!O48*'10. Финансиране на ИП'!O56)</f>
        <v>0</v>
      </c>
      <c r="P17" s="1356">
        <f>IF('10. Финансиране на ИП'!I48=0,0,'10. Финансиране на ИП'!I48*'10. Финансиране на ИП'!I56+'10. Финансиране на ИП'!P48*'10. Финансиране на ИП'!P56)</f>
        <v>0</v>
      </c>
      <c r="Q17" s="1355">
        <f>IF('10. Финансиране на ИП'!C48=0,0,'10. Финансиране на ИП'!C48*'10. Финансиране на ИП'!C57+'10. Финансиране на ИП'!J48*'10. Финансиране на ИП'!J57)</f>
        <v>0</v>
      </c>
      <c r="R17" s="1353">
        <f>IF('10. Финансиране на ИП'!D48=0,0,'10. Финансиране на ИП'!D48*'10. Финансиране на ИП'!D57+'10. Финансиране на ИП'!K48*'10. Финансиране на ИП'!K57)</f>
        <v>0</v>
      </c>
      <c r="S17" s="1353">
        <f>IF('10. Финансиране на ИП'!E48=0,0,'10. Финансиране на ИП'!E48*'10. Финансиране на ИП'!E57+'10. Финансиране на ИП'!L48*'10. Финансиране на ИП'!L57)</f>
        <v>0</v>
      </c>
      <c r="T17" s="1353">
        <f>IF('10. Финансиране на ИП'!F48=0,0,'10. Финансиране на ИП'!F48*'10. Финансиране на ИП'!F57+'10. Финансиране на ИП'!M48*'10. Финансиране на ИП'!M57)</f>
        <v>0</v>
      </c>
      <c r="U17" s="1353">
        <f>IF('10. Финансиране на ИП'!G48=0,0,'10. Финансиране на ИП'!G48*'10. Финансиране на ИП'!G57+'10. Финансиране на ИП'!N48*'10. Финансиране на ИП'!N57)</f>
        <v>0</v>
      </c>
      <c r="V17" s="1353">
        <f>IF('10. Финансиране на ИП'!H48=0,0,'10. Финансиране на ИП'!H48*'10. Финансиране на ИП'!H57+'10. Финансиране на ИП'!O48*'10. Финансиране на ИП'!O57)</f>
        <v>0</v>
      </c>
      <c r="W17" s="1356">
        <f>IF('10. Финансиране на ИП'!I48=0,0,'10. Финансиране на ИП'!I48*'10. Финансиране на ИП'!I57+'10. Финансиране на ИП'!P48*'10. Финансиране на ИП'!P57)</f>
        <v>0</v>
      </c>
    </row>
    <row r="18" spans="1:23" s="170" customFormat="1" ht="27" customHeight="1">
      <c r="A18" s="1155" t="s">
        <v>228</v>
      </c>
      <c r="B18" s="1156" t="s">
        <v>743</v>
      </c>
      <c r="C18" s="1355">
        <f>IF('10. Финансиране на ИП'!C54=0,0,'10. Финансиране на ИП'!C54*'10. Финансиране на ИП'!C55+'10. Финансиране на ИП'!J54*'10. Финансиране на ИП'!J55)</f>
        <v>1666.7142857142858</v>
      </c>
      <c r="D18" s="1353">
        <f>IF('10. Финансиране на ИП'!D54=0,0,'10. Финансиране на ИП'!D54*'10. Финансиране на ИП'!D55+'10. Финансиране на ИП'!K54*'10. Финансиране на ИП'!K55)</f>
        <v>1385.4285714285716</v>
      </c>
      <c r="E18" s="1353">
        <f>IF('10. Финансиране на ИП'!E54=0,0,'10. Финансиране на ИП'!E54*'10. Финансиране на ИП'!E55+'10. Финансиране на ИП'!L54*'10. Финансиране на ИП'!L55)</f>
        <v>1104.1428571428573</v>
      </c>
      <c r="F18" s="1353">
        <f>IF('10. Финансиране на ИП'!F54=0,0,'10. Финансиране на ИП'!F54*'10. Финансиране на ИП'!F55+'10. Финансиране на ИП'!M54*'10. Финансиране на ИП'!M55)</f>
        <v>822.85714285714312</v>
      </c>
      <c r="G18" s="1353">
        <f>IF('10. Финансиране на ИП'!G54=0,0,'10. Финансиране на ИП'!G54*'10. Финансиране на ИП'!G55+'10. Финансиране на ИП'!N54*'10. Финансиране на ИП'!N55)</f>
        <v>541.5714285714289</v>
      </c>
      <c r="H18" s="1353">
        <f>IF('10. Финансиране на ИП'!H54=0,0,'10. Финансиране на ИП'!H54*'10. Финансиране на ИП'!H55+'10. Финансиране на ИП'!O54*'10. Финансиране на ИП'!O55)</f>
        <v>260.28571428571462</v>
      </c>
      <c r="I18" s="1356">
        <f>IF('10. Финансиране на ИП'!I54=0,0,'10. Финансиране на ИП'!I54*'10. Финансиране на ИП'!I55+'10. Финансиране на ИП'!P54*'10. Финансиране на ИП'!P55)</f>
        <v>0</v>
      </c>
      <c r="J18" s="1355">
        <f>IF('10. Финансиране на ИП'!C54=0,0,'10. Финансиране на ИП'!C54*'10. Финансиране на ИП'!C56+'10. Финансиране на ИП'!J54*'10. Финансиране на ИП'!J56)</f>
        <v>0</v>
      </c>
      <c r="K18" s="1353">
        <f>IF('10. Финансиране на ИП'!D54=0,0,'10. Финансиране на ИП'!D54*'10. Финансиране на ИП'!D56+'10. Финансиране на ИП'!K54*'10. Финансиране на ИП'!K56)</f>
        <v>0</v>
      </c>
      <c r="L18" s="1353">
        <f>IF('10. Финансиране на ИП'!E54=0,0,'10. Финансиране на ИП'!E54*'10. Финансиране на ИП'!E56+'10. Финансиране на ИП'!L54*'10. Финансиране на ИП'!L56)</f>
        <v>0</v>
      </c>
      <c r="M18" s="1353">
        <f>IF('10. Финансиране на ИП'!F54=0,0,'10. Финансиране на ИП'!F54*'10. Финансиране на ИП'!F56+'10. Финансиране на ИП'!M54*'10. Финансиране на ИП'!M56)</f>
        <v>0</v>
      </c>
      <c r="N18" s="1353">
        <f>IF('10. Финансиране на ИП'!G54=0,0,'10. Финансиране на ИП'!G54*'10. Финансиране на ИП'!G56+'10. Финансиране на ИП'!N54*'10. Финансиране на ИП'!N56)</f>
        <v>0</v>
      </c>
      <c r="O18" s="1353">
        <f>IF('10. Финансиране на ИП'!H54=0,0,'10. Финансиране на ИП'!H54*'10. Финансиране на ИП'!H56+'10. Финансиране на ИП'!O54*'10. Финансиране на ИП'!O56)</f>
        <v>0</v>
      </c>
      <c r="P18" s="1356">
        <f>IF('10. Финансиране на ИП'!I54=0,0,'10. Финансиране на ИП'!I54*'10. Финансиране на ИП'!I56+'10. Финансиране на ИП'!P54*'10. Финансиране на ИП'!P56)</f>
        <v>0</v>
      </c>
      <c r="Q18" s="1355">
        <f>IF('10. Финансиране на ИП'!C54=0,0,'10. Финансиране на ИП'!C54*'10. Финансиране на ИП'!C57+'10. Финансиране на ИП'!J54*'10. Финансиране на ИП'!J57)</f>
        <v>0</v>
      </c>
      <c r="R18" s="1353">
        <f>IF('10. Финансиране на ИП'!D54=0,0,'10. Финансиране на ИП'!D54*'10. Финансиране на ИП'!D57+'10. Финансиране на ИП'!K54*'10. Финансиране на ИП'!K57)</f>
        <v>0</v>
      </c>
      <c r="S18" s="1353">
        <f>IF('10. Финансиране на ИП'!E54=0,0,'10. Финансиране на ИП'!E54*'10. Финансиране на ИП'!E57+'10. Финансиране на ИП'!L54*'10. Финансиране на ИП'!L57)</f>
        <v>0</v>
      </c>
      <c r="T18" s="1353">
        <f>IF('10. Финансиране на ИП'!F54=0,0,'10. Финансиране на ИП'!F54*'10. Финансиране на ИП'!F57+'10. Финансиране на ИП'!M54*'10. Финансиране на ИП'!M57)</f>
        <v>0</v>
      </c>
      <c r="U18" s="1353">
        <f>IF('10. Финансиране на ИП'!G54=0,0,'10. Финансиране на ИП'!G54*'10. Финансиране на ИП'!G57+'10. Финансиране на ИП'!N54*'10. Финансиране на ИП'!N57)</f>
        <v>0</v>
      </c>
      <c r="V18" s="1353">
        <f>IF('10. Финансиране на ИП'!H54=0,0,'10. Финансиране на ИП'!H54*'10. Финансиране на ИП'!H57+'10. Финансиране на ИП'!O54*'10. Финансиране на ИП'!O57)</f>
        <v>0</v>
      </c>
      <c r="W18" s="1356">
        <f>IF('10. Финансиране на ИП'!I54=0,0,'10. Финансиране на ИП'!I54*'10. Финансиране на ИП'!I57+'10. Финансиране на ИП'!P54*'10. Финансиране на ИП'!P57)</f>
        <v>0</v>
      </c>
    </row>
    <row r="19" spans="1:23" s="1519" customFormat="1" ht="27" customHeight="1">
      <c r="A19" s="1529" t="s">
        <v>111</v>
      </c>
      <c r="B19" s="1515" t="s">
        <v>409</v>
      </c>
      <c r="C19" s="1530"/>
      <c r="D19" s="1517">
        <f>'9.Инвестиционна програма'!F87</f>
        <v>3638.0544821032627</v>
      </c>
      <c r="E19" s="1517">
        <f>'9.Инвестиционна програма'!G87</f>
        <v>1476.21441106358</v>
      </c>
      <c r="F19" s="1517">
        <f>'9.Инвестиционна програма'!H87</f>
        <v>1593.3164342114972</v>
      </c>
      <c r="G19" s="1517">
        <f>'9.Инвестиционна програма'!I87</f>
        <v>1744.8320565704184</v>
      </c>
      <c r="H19" s="1517">
        <f>'9.Инвестиционна програма'!J87</f>
        <v>1810.8657407407409</v>
      </c>
      <c r="I19" s="1518">
        <f>'9.Инвестиционна програма'!K87</f>
        <v>2053.5094339622642</v>
      </c>
      <c r="J19" s="1530"/>
      <c r="K19" s="1517">
        <f>'9.Инвестиционна програма'!F88</f>
        <v>59.461197339246119</v>
      </c>
      <c r="L19" s="1517">
        <f>'9.Инвестиционна програма'!G88</f>
        <v>85.712150499799094</v>
      </c>
      <c r="M19" s="1517">
        <f>'9.Инвестиционна програма'!H88</f>
        <v>215.10493690502545</v>
      </c>
      <c r="N19" s="1517">
        <f>'9.Инвестиционна програма'!I88</f>
        <v>207.65173836181498</v>
      </c>
      <c r="O19" s="1517">
        <f>'9.Инвестиционна програма'!J88</f>
        <v>185.80092592592592</v>
      </c>
      <c r="P19" s="1518">
        <f>'9.Инвестиционна програма'!K88</f>
        <v>160.66247379454927</v>
      </c>
      <c r="Q19" s="1530"/>
      <c r="R19" s="1531">
        <f>'9.Инвестиционна програма'!F89</f>
        <v>133.48432055749129</v>
      </c>
      <c r="S19" s="1531">
        <f>'9.Инвестиционна програма'!G89</f>
        <v>374.99065843662095</v>
      </c>
      <c r="T19" s="1531">
        <f>'9.Инвестиционна програма'!H89</f>
        <v>365.24529555014391</v>
      </c>
      <c r="U19" s="1531">
        <f>'9.Инвестиционна програма'!I89</f>
        <v>412.51620506776663</v>
      </c>
      <c r="V19" s="1531">
        <f>'9.Инвестиционна програма'!J89</f>
        <v>399.33333333333331</v>
      </c>
      <c r="W19" s="1532">
        <f>'9.Инвестиционна програма'!K89</f>
        <v>361.82809224318657</v>
      </c>
    </row>
    <row r="20" spans="1:23" s="1519" customFormat="1" ht="27" customHeight="1" thickBot="1">
      <c r="A20" s="1533">
        <v>5</v>
      </c>
      <c r="B20" s="1534" t="s">
        <v>373</v>
      </c>
      <c r="C20" s="1535">
        <f>'18. OK'!D19</f>
        <v>2866.4832354677101</v>
      </c>
      <c r="D20" s="1536">
        <f>'18. OK'!E19</f>
        <v>2975.6115006565724</v>
      </c>
      <c r="E20" s="1536">
        <f>'18. OK'!F19</f>
        <v>2537.1155830608841</v>
      </c>
      <c r="F20" s="1536">
        <f>'18. OK'!G19</f>
        <v>2476.8237416107904</v>
      </c>
      <c r="G20" s="1536">
        <f>'18. OK'!H19</f>
        <v>2375.3021852553338</v>
      </c>
      <c r="H20" s="1536">
        <f>'18. OK'!I19</f>
        <v>2288.6149229349789</v>
      </c>
      <c r="I20" s="1537">
        <f>'18. OK'!J19</f>
        <v>2206.4432985958538</v>
      </c>
      <c r="J20" s="1535">
        <f>'18. OK'!D20</f>
        <v>183.50482174613543</v>
      </c>
      <c r="K20" s="1536">
        <f>'18. OK'!E20</f>
        <v>216.29505704716348</v>
      </c>
      <c r="L20" s="1536">
        <f>'18. OK'!F20</f>
        <v>193.98434071293039</v>
      </c>
      <c r="M20" s="1536">
        <f>'18. OK'!G20</f>
        <v>194.86981680722801</v>
      </c>
      <c r="N20" s="1536">
        <f>'18. OK'!H20</f>
        <v>195.75425508297005</v>
      </c>
      <c r="O20" s="1536">
        <f>'18. OK'!I20</f>
        <v>196.64730751238326</v>
      </c>
      <c r="P20" s="1537">
        <f>'18. OK'!J20</f>
        <v>197.54713430636522</v>
      </c>
      <c r="Q20" s="1535">
        <f>'18. OK'!D21</f>
        <v>270.78362627142309</v>
      </c>
      <c r="R20" s="1536">
        <f>'18. OK'!E21</f>
        <v>316.61436534896103</v>
      </c>
      <c r="S20" s="1536">
        <f>'18. OK'!F21</f>
        <v>291.41125386962727</v>
      </c>
      <c r="T20" s="1536">
        <f>'18. OK'!G21</f>
        <v>293.18369689788028</v>
      </c>
      <c r="U20" s="1536">
        <f>'18. OK'!H21</f>
        <v>293.12308117494774</v>
      </c>
      <c r="V20" s="1536">
        <f>'18. OK'!I21</f>
        <v>293.33438415306284</v>
      </c>
      <c r="W20" s="1537">
        <f>'18. OK'!J21</f>
        <v>293.07502306773847</v>
      </c>
    </row>
    <row r="21" spans="1:23" s="170" customFormat="1" ht="27" customHeight="1" thickBot="1">
      <c r="A21" s="1357">
        <v>6</v>
      </c>
      <c r="B21" s="1358" t="s">
        <v>372</v>
      </c>
      <c r="C21" s="1359">
        <f>C10-C13+C16+C19+C20</f>
        <v>8318.7301442466414</v>
      </c>
      <c r="D21" s="1360">
        <f>D10-D13+D16+D19+D20</f>
        <v>11784.627177253051</v>
      </c>
      <c r="E21" s="1360">
        <f t="shared" ref="E21:W21" si="4">E10-E13+E16+E19+E20</f>
        <v>12190.723432813345</v>
      </c>
      <c r="F21" s="1360">
        <f t="shared" si="4"/>
        <v>13072.779484319988</v>
      </c>
      <c r="G21" s="1360">
        <f t="shared" si="4"/>
        <v>13950.704901245355</v>
      </c>
      <c r="H21" s="1360">
        <f t="shared" si="4"/>
        <v>14854.444208893594</v>
      </c>
      <c r="I21" s="1361">
        <f t="shared" si="4"/>
        <v>15931.69348855626</v>
      </c>
      <c r="J21" s="1359">
        <f t="shared" si="4"/>
        <v>593.24540838019084</v>
      </c>
      <c r="K21" s="1360">
        <f t="shared" si="4"/>
        <v>685.49684102046501</v>
      </c>
      <c r="L21" s="1360">
        <f t="shared" si="4"/>
        <v>707.10282760754922</v>
      </c>
      <c r="M21" s="1360">
        <f t="shared" si="4"/>
        <v>894.64959025991379</v>
      </c>
      <c r="N21" s="1360">
        <f t="shared" si="4"/>
        <v>1080.9706178776132</v>
      </c>
      <c r="O21" s="1360">
        <f t="shared" si="4"/>
        <v>1232.0471831924485</v>
      </c>
      <c r="P21" s="1361">
        <f t="shared" si="4"/>
        <v>1345.0992948686296</v>
      </c>
      <c r="Q21" s="1359">
        <f t="shared" si="4"/>
        <v>315.5987307322406</v>
      </c>
      <c r="R21" s="1360">
        <f t="shared" si="4"/>
        <v>494.91379036726983</v>
      </c>
      <c r="S21" s="1360">
        <f t="shared" si="4"/>
        <v>830.48539834575308</v>
      </c>
      <c r="T21" s="1360">
        <f t="shared" si="4"/>
        <v>1172.7583596609895</v>
      </c>
      <c r="U21" s="1360">
        <f t="shared" si="4"/>
        <v>1534.8372013837297</v>
      </c>
      <c r="V21" s="1360">
        <f t="shared" si="4"/>
        <v>1850.9747749096191</v>
      </c>
      <c r="W21" s="1361">
        <f t="shared" si="4"/>
        <v>2093.4585783420794</v>
      </c>
    </row>
    <row r="22" spans="1:23">
      <c r="A22" s="395"/>
      <c r="B22" s="395"/>
      <c r="C22" s="395"/>
      <c r="D22" s="395"/>
      <c r="E22" s="395"/>
      <c r="F22" s="395"/>
      <c r="G22" s="395"/>
      <c r="H22" s="395"/>
      <c r="I22" s="395"/>
      <c r="J22" s="395"/>
    </row>
    <row r="24" spans="1:23" customFormat="1" ht="15">
      <c r="A24" s="72"/>
      <c r="B24" s="76"/>
      <c r="C24" s="74"/>
      <c r="D24" s="57"/>
      <c r="E24" s="75"/>
      <c r="P24" s="292" t="str">
        <f>'14. ОПР'!D49</f>
        <v>Главен счетоводител:</v>
      </c>
      <c r="Q24" s="394"/>
      <c r="R24" s="289"/>
      <c r="S24" s="219" t="s">
        <v>262</v>
      </c>
      <c r="T24" s="199"/>
      <c r="U24" s="199"/>
    </row>
    <row r="25" spans="1:23" customFormat="1" ht="14.25">
      <c r="A25" s="72"/>
      <c r="B25" s="396" t="str">
        <f>'16. Необходими приходи'!B29</f>
        <v>Дата: 10.11.2017 г.</v>
      </c>
      <c r="C25" s="74"/>
      <c r="D25" s="57"/>
      <c r="E25" s="394"/>
      <c r="F25" s="394"/>
      <c r="G25" s="394"/>
      <c r="H25" s="394"/>
      <c r="I25" s="394"/>
      <c r="J25" s="394"/>
      <c r="Q25" s="288"/>
      <c r="R25" s="220"/>
      <c r="S25" s="290"/>
      <c r="T25" s="291" t="s">
        <v>5</v>
      </c>
      <c r="U25" s="199"/>
    </row>
    <row r="26" spans="1:23" customFormat="1" ht="12.75">
      <c r="E26" s="394"/>
      <c r="F26" s="394"/>
      <c r="G26" s="394"/>
      <c r="H26" s="394"/>
      <c r="I26" s="394"/>
      <c r="J26" s="394"/>
      <c r="Q26" s="288"/>
      <c r="R26" s="220"/>
      <c r="S26" s="290"/>
      <c r="T26" s="291"/>
      <c r="U26" s="199"/>
    </row>
    <row r="27" spans="1:23" customFormat="1" ht="12.75">
      <c r="E27" s="394"/>
      <c r="F27" s="394"/>
      <c r="G27" s="394"/>
      <c r="H27" s="394"/>
      <c r="I27" s="394"/>
      <c r="J27" s="394"/>
      <c r="Q27" s="288"/>
      <c r="R27" s="220"/>
      <c r="S27" s="290"/>
      <c r="T27" s="291"/>
      <c r="U27" s="199"/>
    </row>
    <row r="28" spans="1:23" customFormat="1" ht="12.75">
      <c r="E28" s="394"/>
      <c r="F28" s="394"/>
      <c r="G28" s="394"/>
      <c r="H28" s="394"/>
      <c r="I28" s="394"/>
      <c r="J28" s="394"/>
      <c r="Q28" s="288"/>
      <c r="R28" s="220"/>
      <c r="S28" s="290"/>
      <c r="T28" s="291"/>
      <c r="U28" s="199"/>
    </row>
    <row r="29" spans="1:23" customFormat="1" ht="12.75">
      <c r="E29" s="394"/>
      <c r="F29" s="394"/>
      <c r="G29" s="394"/>
      <c r="H29" s="394"/>
      <c r="I29" s="394"/>
      <c r="J29" s="394"/>
      <c r="Q29" s="292" t="str">
        <f>'14. ОПР'!E54</f>
        <v>Управител:</v>
      </c>
      <c r="S29" s="219" t="s">
        <v>262</v>
      </c>
      <c r="T29" s="217"/>
      <c r="U29" s="199"/>
    </row>
    <row r="30" spans="1:23" customFormat="1" ht="12.75">
      <c r="E30" s="394"/>
      <c r="F30" s="394"/>
      <c r="G30" s="394"/>
      <c r="H30" s="394"/>
      <c r="I30" s="394"/>
      <c r="J30" s="394"/>
      <c r="Q30" s="288"/>
      <c r="R30" s="293"/>
      <c r="S30" s="290"/>
      <c r="T30" s="291" t="s">
        <v>6</v>
      </c>
      <c r="U30" s="199"/>
    </row>
    <row r="31" spans="1:23" customFormat="1" ht="12.75"/>
  </sheetData>
  <mergeCells count="10">
    <mergeCell ref="A2:W2"/>
    <mergeCell ref="A3:W3"/>
    <mergeCell ref="A4:W4"/>
    <mergeCell ref="A5:W5"/>
    <mergeCell ref="A7:A9"/>
    <mergeCell ref="B7:B9"/>
    <mergeCell ref="C7:W7"/>
    <mergeCell ref="C8:I8"/>
    <mergeCell ref="J8:P8"/>
    <mergeCell ref="Q8:W8"/>
  </mergeCells>
  <printOptions horizontalCentered="1"/>
  <pageMargins left="0.19685039370078741" right="0.19685039370078741" top="0.78740157480314965" bottom="0.39370078740157483" header="0.51181102362204722" footer="0.51181102362204722"/>
  <pageSetup paperSize="9" scale="60" orientation="landscape" r:id="rId1"/>
  <headerFooter alignWithMargins="0"/>
  <ignoredErrors>
    <ignoredError sqref="D10:W10 C16:W16 C15:W15 E21:I21 E20:I20 D12:W12 J11:K11 C14 D13:W13 C11 C12 C10 C13 J14:K14 D11:I11 D14:I14 Q11:S11 Q14:R14 L11:P11 L14:P14 T11:W11 S14:W14 D19:I19 L21:W21 L20:P20 S20:W20 K19:P19" unlockedFormula="1"/>
    <ignoredError sqref="A10:A21" numberStoredAsText="1"/>
  </ignoredError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tabColor rgb="FF0070C0"/>
  </sheetPr>
  <dimension ref="A1:P37"/>
  <sheetViews>
    <sheetView showGridLines="0" view="pageBreakPreview" zoomScale="85" zoomScaleNormal="100" zoomScaleSheetLayoutView="85" workbookViewId="0">
      <selection activeCell="F12" sqref="F12:J12"/>
    </sheetView>
  </sheetViews>
  <sheetFormatPr defaultRowHeight="12.75"/>
  <cols>
    <col min="1" max="1" width="4.5703125" customWidth="1"/>
    <col min="2" max="2" width="79.140625" bestFit="1" customWidth="1"/>
    <col min="3" max="10" width="8.7109375" customWidth="1"/>
    <col min="256" max="256" width="3.7109375" customWidth="1"/>
    <col min="257" max="257" width="75.7109375" customWidth="1"/>
    <col min="259" max="260" width="9.85546875" customWidth="1"/>
    <col min="512" max="512" width="3.7109375" customWidth="1"/>
    <col min="513" max="513" width="75.7109375" customWidth="1"/>
    <col min="515" max="516" width="9.85546875" customWidth="1"/>
    <col min="768" max="768" width="3.7109375" customWidth="1"/>
    <col min="769" max="769" width="75.7109375" customWidth="1"/>
    <col min="771" max="772" width="9.85546875" customWidth="1"/>
    <col min="1024" max="1024" width="3.7109375" customWidth="1"/>
    <col min="1025" max="1025" width="75.7109375" customWidth="1"/>
    <col min="1027" max="1028" width="9.85546875" customWidth="1"/>
    <col min="1280" max="1280" width="3.7109375" customWidth="1"/>
    <col min="1281" max="1281" width="75.7109375" customWidth="1"/>
    <col min="1283" max="1284" width="9.85546875" customWidth="1"/>
    <col min="1536" max="1536" width="3.7109375" customWidth="1"/>
    <col min="1537" max="1537" width="75.7109375" customWidth="1"/>
    <col min="1539" max="1540" width="9.85546875" customWidth="1"/>
    <col min="1792" max="1792" width="3.7109375" customWidth="1"/>
    <col min="1793" max="1793" width="75.7109375" customWidth="1"/>
    <col min="1795" max="1796" width="9.85546875" customWidth="1"/>
    <col min="2048" max="2048" width="3.7109375" customWidth="1"/>
    <col min="2049" max="2049" width="75.7109375" customWidth="1"/>
    <col min="2051" max="2052" width="9.85546875" customWidth="1"/>
    <col min="2304" max="2304" width="3.7109375" customWidth="1"/>
    <col min="2305" max="2305" width="75.7109375" customWidth="1"/>
    <col min="2307" max="2308" width="9.85546875" customWidth="1"/>
    <col min="2560" max="2560" width="3.7109375" customWidth="1"/>
    <col min="2561" max="2561" width="75.7109375" customWidth="1"/>
    <col min="2563" max="2564" width="9.85546875" customWidth="1"/>
    <col min="2816" max="2816" width="3.7109375" customWidth="1"/>
    <col min="2817" max="2817" width="75.7109375" customWidth="1"/>
    <col min="2819" max="2820" width="9.85546875" customWidth="1"/>
    <col min="3072" max="3072" width="3.7109375" customWidth="1"/>
    <col min="3073" max="3073" width="75.7109375" customWidth="1"/>
    <col min="3075" max="3076" width="9.85546875" customWidth="1"/>
    <col min="3328" max="3328" width="3.7109375" customWidth="1"/>
    <col min="3329" max="3329" width="75.7109375" customWidth="1"/>
    <col min="3331" max="3332" width="9.85546875" customWidth="1"/>
    <col min="3584" max="3584" width="3.7109375" customWidth="1"/>
    <col min="3585" max="3585" width="75.7109375" customWidth="1"/>
    <col min="3587" max="3588" width="9.85546875" customWidth="1"/>
    <col min="3840" max="3840" width="3.7109375" customWidth="1"/>
    <col min="3841" max="3841" width="75.7109375" customWidth="1"/>
    <col min="3843" max="3844" width="9.85546875" customWidth="1"/>
    <col min="4096" max="4096" width="3.7109375" customWidth="1"/>
    <col min="4097" max="4097" width="75.7109375" customWidth="1"/>
    <col min="4099" max="4100" width="9.85546875" customWidth="1"/>
    <col min="4352" max="4352" width="3.7109375" customWidth="1"/>
    <col min="4353" max="4353" width="75.7109375" customWidth="1"/>
    <col min="4355" max="4356" width="9.85546875" customWidth="1"/>
    <col min="4608" max="4608" width="3.7109375" customWidth="1"/>
    <col min="4609" max="4609" width="75.7109375" customWidth="1"/>
    <col min="4611" max="4612" width="9.85546875" customWidth="1"/>
    <col min="4864" max="4864" width="3.7109375" customWidth="1"/>
    <col min="4865" max="4865" width="75.7109375" customWidth="1"/>
    <col min="4867" max="4868" width="9.85546875" customWidth="1"/>
    <col min="5120" max="5120" width="3.7109375" customWidth="1"/>
    <col min="5121" max="5121" width="75.7109375" customWidth="1"/>
    <col min="5123" max="5124" width="9.85546875" customWidth="1"/>
    <col min="5376" max="5376" width="3.7109375" customWidth="1"/>
    <col min="5377" max="5377" width="75.7109375" customWidth="1"/>
    <col min="5379" max="5380" width="9.85546875" customWidth="1"/>
    <col min="5632" max="5632" width="3.7109375" customWidth="1"/>
    <col min="5633" max="5633" width="75.7109375" customWidth="1"/>
    <col min="5635" max="5636" width="9.85546875" customWidth="1"/>
    <col min="5888" max="5888" width="3.7109375" customWidth="1"/>
    <col min="5889" max="5889" width="75.7109375" customWidth="1"/>
    <col min="5891" max="5892" width="9.85546875" customWidth="1"/>
    <col min="6144" max="6144" width="3.7109375" customWidth="1"/>
    <col min="6145" max="6145" width="75.7109375" customWidth="1"/>
    <col min="6147" max="6148" width="9.85546875" customWidth="1"/>
    <col min="6400" max="6400" width="3.7109375" customWidth="1"/>
    <col min="6401" max="6401" width="75.7109375" customWidth="1"/>
    <col min="6403" max="6404" width="9.85546875" customWidth="1"/>
    <col min="6656" max="6656" width="3.7109375" customWidth="1"/>
    <col min="6657" max="6657" width="75.7109375" customWidth="1"/>
    <col min="6659" max="6660" width="9.85546875" customWidth="1"/>
    <col min="6912" max="6912" width="3.7109375" customWidth="1"/>
    <col min="6913" max="6913" width="75.7109375" customWidth="1"/>
    <col min="6915" max="6916" width="9.85546875" customWidth="1"/>
    <col min="7168" max="7168" width="3.7109375" customWidth="1"/>
    <col min="7169" max="7169" width="75.7109375" customWidth="1"/>
    <col min="7171" max="7172" width="9.85546875" customWidth="1"/>
    <col min="7424" max="7424" width="3.7109375" customWidth="1"/>
    <col min="7425" max="7425" width="75.7109375" customWidth="1"/>
    <col min="7427" max="7428" width="9.85546875" customWidth="1"/>
    <col min="7680" max="7680" width="3.7109375" customWidth="1"/>
    <col min="7681" max="7681" width="75.7109375" customWidth="1"/>
    <col min="7683" max="7684" width="9.85546875" customWidth="1"/>
    <col min="7936" max="7936" width="3.7109375" customWidth="1"/>
    <col min="7937" max="7937" width="75.7109375" customWidth="1"/>
    <col min="7939" max="7940" width="9.85546875" customWidth="1"/>
    <col min="8192" max="8192" width="3.7109375" customWidth="1"/>
    <col min="8193" max="8193" width="75.7109375" customWidth="1"/>
    <col min="8195" max="8196" width="9.85546875" customWidth="1"/>
    <col min="8448" max="8448" width="3.7109375" customWidth="1"/>
    <col min="8449" max="8449" width="75.7109375" customWidth="1"/>
    <col min="8451" max="8452" width="9.85546875" customWidth="1"/>
    <col min="8704" max="8704" width="3.7109375" customWidth="1"/>
    <col min="8705" max="8705" width="75.7109375" customWidth="1"/>
    <col min="8707" max="8708" width="9.85546875" customWidth="1"/>
    <col min="8960" max="8960" width="3.7109375" customWidth="1"/>
    <col min="8961" max="8961" width="75.7109375" customWidth="1"/>
    <col min="8963" max="8964" width="9.85546875" customWidth="1"/>
    <col min="9216" max="9216" width="3.7109375" customWidth="1"/>
    <col min="9217" max="9217" width="75.7109375" customWidth="1"/>
    <col min="9219" max="9220" width="9.85546875" customWidth="1"/>
    <col min="9472" max="9472" width="3.7109375" customWidth="1"/>
    <col min="9473" max="9473" width="75.7109375" customWidth="1"/>
    <col min="9475" max="9476" width="9.85546875" customWidth="1"/>
    <col min="9728" max="9728" width="3.7109375" customWidth="1"/>
    <col min="9729" max="9729" width="75.7109375" customWidth="1"/>
    <col min="9731" max="9732" width="9.85546875" customWidth="1"/>
    <col min="9984" max="9984" width="3.7109375" customWidth="1"/>
    <col min="9985" max="9985" width="75.7109375" customWidth="1"/>
    <col min="9987" max="9988" width="9.85546875" customWidth="1"/>
    <col min="10240" max="10240" width="3.7109375" customWidth="1"/>
    <col min="10241" max="10241" width="75.7109375" customWidth="1"/>
    <col min="10243" max="10244" width="9.85546875" customWidth="1"/>
    <col min="10496" max="10496" width="3.7109375" customWidth="1"/>
    <col min="10497" max="10497" width="75.7109375" customWidth="1"/>
    <col min="10499" max="10500" width="9.85546875" customWidth="1"/>
    <col min="10752" max="10752" width="3.7109375" customWidth="1"/>
    <col min="10753" max="10753" width="75.7109375" customWidth="1"/>
    <col min="10755" max="10756" width="9.85546875" customWidth="1"/>
    <col min="11008" max="11008" width="3.7109375" customWidth="1"/>
    <col min="11009" max="11009" width="75.7109375" customWidth="1"/>
    <col min="11011" max="11012" width="9.85546875" customWidth="1"/>
    <col min="11264" max="11264" width="3.7109375" customWidth="1"/>
    <col min="11265" max="11265" width="75.7109375" customWidth="1"/>
    <col min="11267" max="11268" width="9.85546875" customWidth="1"/>
    <col min="11520" max="11520" width="3.7109375" customWidth="1"/>
    <col min="11521" max="11521" width="75.7109375" customWidth="1"/>
    <col min="11523" max="11524" width="9.85546875" customWidth="1"/>
    <col min="11776" max="11776" width="3.7109375" customWidth="1"/>
    <col min="11777" max="11777" width="75.7109375" customWidth="1"/>
    <col min="11779" max="11780" width="9.85546875" customWidth="1"/>
    <col min="12032" max="12032" width="3.7109375" customWidth="1"/>
    <col min="12033" max="12033" width="75.7109375" customWidth="1"/>
    <col min="12035" max="12036" width="9.85546875" customWidth="1"/>
    <col min="12288" max="12288" width="3.7109375" customWidth="1"/>
    <col min="12289" max="12289" width="75.7109375" customWidth="1"/>
    <col min="12291" max="12292" width="9.85546875" customWidth="1"/>
    <col min="12544" max="12544" width="3.7109375" customWidth="1"/>
    <col min="12545" max="12545" width="75.7109375" customWidth="1"/>
    <col min="12547" max="12548" width="9.85546875" customWidth="1"/>
    <col min="12800" max="12800" width="3.7109375" customWidth="1"/>
    <col min="12801" max="12801" width="75.7109375" customWidth="1"/>
    <col min="12803" max="12804" width="9.85546875" customWidth="1"/>
    <col min="13056" max="13056" width="3.7109375" customWidth="1"/>
    <col min="13057" max="13057" width="75.7109375" customWidth="1"/>
    <col min="13059" max="13060" width="9.85546875" customWidth="1"/>
    <col min="13312" max="13312" width="3.7109375" customWidth="1"/>
    <col min="13313" max="13313" width="75.7109375" customWidth="1"/>
    <col min="13315" max="13316" width="9.85546875" customWidth="1"/>
    <col min="13568" max="13568" width="3.7109375" customWidth="1"/>
    <col min="13569" max="13569" width="75.7109375" customWidth="1"/>
    <col min="13571" max="13572" width="9.85546875" customWidth="1"/>
    <col min="13824" max="13824" width="3.7109375" customWidth="1"/>
    <col min="13825" max="13825" width="75.7109375" customWidth="1"/>
    <col min="13827" max="13828" width="9.85546875" customWidth="1"/>
    <col min="14080" max="14080" width="3.7109375" customWidth="1"/>
    <col min="14081" max="14081" width="75.7109375" customWidth="1"/>
    <col min="14083" max="14084" width="9.85546875" customWidth="1"/>
    <col min="14336" max="14336" width="3.7109375" customWidth="1"/>
    <col min="14337" max="14337" width="75.7109375" customWidth="1"/>
    <col min="14339" max="14340" width="9.85546875" customWidth="1"/>
    <col min="14592" max="14592" width="3.7109375" customWidth="1"/>
    <col min="14593" max="14593" width="75.7109375" customWidth="1"/>
    <col min="14595" max="14596" width="9.85546875" customWidth="1"/>
    <col min="14848" max="14848" width="3.7109375" customWidth="1"/>
    <col min="14849" max="14849" width="75.7109375" customWidth="1"/>
    <col min="14851" max="14852" width="9.85546875" customWidth="1"/>
    <col min="15104" max="15104" width="3.7109375" customWidth="1"/>
    <col min="15105" max="15105" width="75.7109375" customWidth="1"/>
    <col min="15107" max="15108" width="9.85546875" customWidth="1"/>
    <col min="15360" max="15360" width="3.7109375" customWidth="1"/>
    <col min="15361" max="15361" width="75.7109375" customWidth="1"/>
    <col min="15363" max="15364" width="9.85546875" customWidth="1"/>
    <col min="15616" max="15616" width="3.7109375" customWidth="1"/>
    <col min="15617" max="15617" width="75.7109375" customWidth="1"/>
    <col min="15619" max="15620" width="9.85546875" customWidth="1"/>
    <col min="15872" max="15872" width="3.7109375" customWidth="1"/>
    <col min="15873" max="15873" width="75.7109375" customWidth="1"/>
    <col min="15875" max="15876" width="9.85546875" customWidth="1"/>
    <col min="16128" max="16128" width="3.7109375" customWidth="1"/>
    <col min="16129" max="16129" width="75.7109375" customWidth="1"/>
    <col min="16131" max="16132" width="9.85546875" customWidth="1"/>
  </cols>
  <sheetData>
    <row r="1" spans="1:10" ht="13.5">
      <c r="I1" s="388"/>
      <c r="J1" s="51" t="str">
        <f>'17. РБА'!W1</f>
        <v>Приложение № 6</v>
      </c>
    </row>
    <row r="2" spans="1:10" s="79" customFormat="1" ht="18.75">
      <c r="A2" s="3700" t="s">
        <v>748</v>
      </c>
      <c r="B2" s="3700"/>
      <c r="C2" s="3700"/>
      <c r="D2" s="3700"/>
      <c r="E2" s="3700"/>
      <c r="F2" s="3700"/>
      <c r="G2" s="3700"/>
      <c r="H2" s="3700"/>
      <c r="I2" s="3700"/>
      <c r="J2" s="3700"/>
    </row>
    <row r="3" spans="1:10" s="80" customFormat="1" ht="18.75">
      <c r="A3" s="3701" t="s">
        <v>1421</v>
      </c>
      <c r="B3" s="3701"/>
      <c r="C3" s="3701"/>
      <c r="D3" s="3701"/>
      <c r="E3" s="3701"/>
      <c r="F3" s="3701"/>
      <c r="G3" s="3701"/>
      <c r="H3" s="3701"/>
      <c r="I3" s="3701"/>
      <c r="J3" s="3701"/>
    </row>
    <row r="4" spans="1:10" s="81" customFormat="1" ht="15.75" customHeight="1">
      <c r="A4" s="3702" t="str">
        <f>'1. Анкетна карта'!A3:J3</f>
        <v>на "ВОДОСНАБДЯВАНЕ И КАНАЛИЗАЦИЯ ДОБРИЧ" АД, гр. Добрич</v>
      </c>
      <c r="B4" s="3702"/>
      <c r="C4" s="3702"/>
      <c r="D4" s="3702"/>
      <c r="E4" s="3702"/>
      <c r="F4" s="3702"/>
      <c r="G4" s="3702"/>
      <c r="H4" s="3702"/>
      <c r="I4" s="3702"/>
      <c r="J4" s="3702"/>
    </row>
    <row r="5" spans="1:10" s="54" customFormat="1" ht="16.5" customHeight="1">
      <c r="A5" s="3702" t="str">
        <f>'1. Анкетна карта'!A4:J4</f>
        <v>ЕИК по БУЛСТАТ: 204219357</v>
      </c>
      <c r="B5" s="3702"/>
      <c r="C5" s="3702"/>
      <c r="D5" s="3702"/>
      <c r="E5" s="3702"/>
      <c r="F5" s="3702"/>
      <c r="G5" s="3702"/>
      <c r="H5" s="3702"/>
      <c r="I5" s="3702"/>
      <c r="J5" s="3702"/>
    </row>
    <row r="6" spans="1:10" s="54" customFormat="1" ht="15" customHeight="1" thickBot="1">
      <c r="A6" s="82"/>
      <c r="B6" s="82"/>
      <c r="C6" s="82"/>
      <c r="D6" s="82"/>
      <c r="E6" s="82"/>
    </row>
    <row r="7" spans="1:10" s="54" customFormat="1" ht="35.1" customHeight="1" thickBot="1">
      <c r="A7" s="2506" t="s">
        <v>1</v>
      </c>
      <c r="B7" s="2507" t="s">
        <v>374</v>
      </c>
      <c r="C7" s="2507" t="s">
        <v>222</v>
      </c>
      <c r="D7" s="2504" t="str">
        <f>'Приложение '!$G12</f>
        <v>2015 г.</v>
      </c>
      <c r="E7" s="2504" t="str">
        <f>'Приложение '!$G13</f>
        <v>2016 г.</v>
      </c>
      <c r="F7" s="2504" t="str">
        <f>'Приложение '!$G14</f>
        <v>2017 г.</v>
      </c>
      <c r="G7" s="2504" t="str">
        <f>'Приложение '!$G15</f>
        <v>2018 г.</v>
      </c>
      <c r="H7" s="2504" t="str">
        <f>'Приложение '!$G16</f>
        <v>2019 г.</v>
      </c>
      <c r="I7" s="2504" t="str">
        <f>'Приложение '!$G17</f>
        <v>2020 г.</v>
      </c>
      <c r="J7" s="2505" t="str">
        <f>'Приложение '!$G18</f>
        <v>2021 г.</v>
      </c>
    </row>
    <row r="8" spans="1:10" s="54" customFormat="1" ht="15" customHeight="1">
      <c r="A8" s="2508" t="s">
        <v>268</v>
      </c>
      <c r="B8" s="2509" t="s">
        <v>376</v>
      </c>
      <c r="C8" s="443" t="s">
        <v>377</v>
      </c>
      <c r="D8" s="806">
        <v>66</v>
      </c>
      <c r="E8" s="806">
        <v>66</v>
      </c>
      <c r="F8" s="806">
        <v>66</v>
      </c>
      <c r="G8" s="806">
        <v>65</v>
      </c>
      <c r="H8" s="806">
        <v>64</v>
      </c>
      <c r="I8" s="806">
        <v>63</v>
      </c>
      <c r="J8" s="807">
        <v>62</v>
      </c>
    </row>
    <row r="9" spans="1:10" s="54" customFormat="1" ht="15" customHeight="1">
      <c r="A9" s="83" t="s">
        <v>269</v>
      </c>
      <c r="B9" s="85" t="s">
        <v>379</v>
      </c>
      <c r="C9" s="84" t="s">
        <v>380</v>
      </c>
      <c r="D9" s="110">
        <f t="shared" ref="D9:J9" si="0">365/D8</f>
        <v>5.5303030303030303</v>
      </c>
      <c r="E9" s="110">
        <f t="shared" si="0"/>
        <v>5.5303030303030303</v>
      </c>
      <c r="F9" s="110">
        <f t="shared" si="0"/>
        <v>5.5303030303030303</v>
      </c>
      <c r="G9" s="110">
        <f t="shared" si="0"/>
        <v>5.615384615384615</v>
      </c>
      <c r="H9" s="110">
        <f t="shared" si="0"/>
        <v>5.703125</v>
      </c>
      <c r="I9" s="110">
        <f t="shared" si="0"/>
        <v>5.7936507936507935</v>
      </c>
      <c r="J9" s="520">
        <f t="shared" si="0"/>
        <v>5.887096774193548</v>
      </c>
    </row>
    <row r="10" spans="1:10" s="54" customFormat="1" ht="15" customHeight="1">
      <c r="A10" s="83" t="s">
        <v>282</v>
      </c>
      <c r="B10" s="86" t="s">
        <v>382</v>
      </c>
      <c r="C10" s="84" t="s">
        <v>361</v>
      </c>
      <c r="D10" s="111">
        <f t="shared" ref="D10:J10" si="1">D11-D12</f>
        <v>15852.520923419912</v>
      </c>
      <c r="E10" s="111">
        <f t="shared" si="1"/>
        <v>16456.03329908559</v>
      </c>
      <c r="F10" s="111">
        <f t="shared" si="1"/>
        <v>14031.017997230647</v>
      </c>
      <c r="G10" s="111">
        <f t="shared" si="1"/>
        <v>13908.317933660592</v>
      </c>
      <c r="H10" s="111">
        <f t="shared" si="1"/>
        <v>13546.645275284325</v>
      </c>
      <c r="I10" s="111">
        <f t="shared" si="1"/>
        <v>13259.43566462329</v>
      </c>
      <c r="J10" s="521">
        <f t="shared" si="1"/>
        <v>12989.545225604621</v>
      </c>
    </row>
    <row r="11" spans="1:10" s="54" customFormat="1" ht="15" customHeight="1">
      <c r="A11" s="87" t="s">
        <v>327</v>
      </c>
      <c r="B11" s="88" t="s">
        <v>383</v>
      </c>
      <c r="C11" s="84" t="s">
        <v>361</v>
      </c>
      <c r="D11" s="112">
        <f>'12. Разходи'!C84</f>
        <v>17587.050702981396</v>
      </c>
      <c r="E11" s="112">
        <f>'12. Разходи'!D84</f>
        <v>18124.54112040747</v>
      </c>
      <c r="F11" s="112">
        <f>'12. Разходи'!E84</f>
        <v>15882.524977181471</v>
      </c>
      <c r="G11" s="112">
        <f>'12. Разходи'!F84</f>
        <v>15818.788202871179</v>
      </c>
      <c r="H11" s="112">
        <f>'12. Разходи'!G84</f>
        <v>15605.993230088519</v>
      </c>
      <c r="I11" s="112">
        <f>'12. Разходи'!H84</f>
        <v>15386.181892825643</v>
      </c>
      <c r="J11" s="522">
        <f>'12. Разходи'!I84</f>
        <v>15334.403182541793</v>
      </c>
    </row>
    <row r="12" spans="1:10" s="54" customFormat="1" ht="15" customHeight="1">
      <c r="A12" s="87" t="s">
        <v>328</v>
      </c>
      <c r="B12" s="88" t="s">
        <v>871</v>
      </c>
      <c r="C12" s="84" t="s">
        <v>361</v>
      </c>
      <c r="D12" s="112">
        <f>'12. Разходи'!C53</f>
        <v>1734.5297795614838</v>
      </c>
      <c r="E12" s="112">
        <f>'12. Разходи'!D53</f>
        <v>1668.5078213218806</v>
      </c>
      <c r="F12" s="112">
        <f>'12. Разходи'!E53</f>
        <v>1851.5069799508233</v>
      </c>
      <c r="G12" s="112">
        <f>'12. Разходи'!F53</f>
        <v>1910.4702692105882</v>
      </c>
      <c r="H12" s="112">
        <f>'12. Разходи'!G53</f>
        <v>2059.3479548041946</v>
      </c>
      <c r="I12" s="112">
        <f>'12. Разходи'!H53</f>
        <v>2126.746228202353</v>
      </c>
      <c r="J12" s="522">
        <f>'12. Разходи'!I53</f>
        <v>2344.8579569371718</v>
      </c>
    </row>
    <row r="13" spans="1:10" s="54" customFormat="1" ht="15" customHeight="1">
      <c r="A13" s="83" t="s">
        <v>284</v>
      </c>
      <c r="B13" s="86" t="s">
        <v>385</v>
      </c>
      <c r="C13" s="84" t="s">
        <v>361</v>
      </c>
      <c r="D13" s="111">
        <f t="shared" ref="D13:J13" si="2">D14-D15</f>
        <v>1014.8372717778702</v>
      </c>
      <c r="E13" s="111">
        <f t="shared" si="2"/>
        <v>1196.177209427495</v>
      </c>
      <c r="F13" s="111">
        <f t="shared" si="2"/>
        <v>1072.7921872760544</v>
      </c>
      <c r="G13" s="111">
        <f t="shared" si="2"/>
        <v>1094.2689713021264</v>
      </c>
      <c r="H13" s="111">
        <f t="shared" si="2"/>
        <v>1116.4109860200635</v>
      </c>
      <c r="I13" s="111">
        <f t="shared" si="2"/>
        <v>1139.305829238411</v>
      </c>
      <c r="J13" s="521">
        <f t="shared" si="2"/>
        <v>1162.9790971261823</v>
      </c>
    </row>
    <row r="14" spans="1:10" s="54" customFormat="1" ht="15" customHeight="1">
      <c r="A14" s="87" t="s">
        <v>768</v>
      </c>
      <c r="B14" s="88" t="s">
        <v>383</v>
      </c>
      <c r="C14" s="84" t="s">
        <v>361</v>
      </c>
      <c r="D14" s="112">
        <f>'12. Разходи'!J84</f>
        <v>1074.39034870399</v>
      </c>
      <c r="E14" s="112">
        <f>'12. Разходи'!K84</f>
        <v>1291.5914836928609</v>
      </c>
      <c r="F14" s="112">
        <f>'12. Разходи'!L84</f>
        <v>1159.0555618465091</v>
      </c>
      <c r="G14" s="112">
        <f>'12. Разходи'!M84</f>
        <v>1308.3408102397532</v>
      </c>
      <c r="H14" s="112">
        <f>'12. Разходи'!N84</f>
        <v>1323.2710892607956</v>
      </c>
      <c r="I14" s="112">
        <f>'12. Разходи'!O84</f>
        <v>1324.657846600209</v>
      </c>
      <c r="J14" s="522">
        <f>'12. Разходи'!P84</f>
        <v>1323.660580203132</v>
      </c>
    </row>
    <row r="15" spans="1:10" s="89" customFormat="1" ht="15" customHeight="1">
      <c r="A15" s="87" t="s">
        <v>769</v>
      </c>
      <c r="B15" s="88" t="s">
        <v>871</v>
      </c>
      <c r="C15" s="84" t="s">
        <v>361</v>
      </c>
      <c r="D15" s="115">
        <f>'12. Разходи'!J53</f>
        <v>59.553076926119786</v>
      </c>
      <c r="E15" s="115">
        <f>'12. Разходи'!K53</f>
        <v>95.414274265365904</v>
      </c>
      <c r="F15" s="115">
        <f>'12. Разходи'!L53</f>
        <v>86.263374570454801</v>
      </c>
      <c r="G15" s="115">
        <f>'12. Разходи'!M53</f>
        <v>214.07183893762689</v>
      </c>
      <c r="H15" s="115">
        <f>'12. Разходи'!N53</f>
        <v>206.86010324073203</v>
      </c>
      <c r="I15" s="115">
        <f>'12. Разходи'!O53</f>
        <v>185.35201736179798</v>
      </c>
      <c r="J15" s="522">
        <f>'12. Разходи'!P53</f>
        <v>160.68148307694975</v>
      </c>
    </row>
    <row r="16" spans="1:10" s="89" customFormat="1" ht="15">
      <c r="A16" s="83" t="s">
        <v>375</v>
      </c>
      <c r="B16" s="86" t="s">
        <v>386</v>
      </c>
      <c r="C16" s="84" t="s">
        <v>361</v>
      </c>
      <c r="D16" s="111">
        <f t="shared" ref="D16:J16" si="3">D17-D18</f>
        <v>1497.5155089252944</v>
      </c>
      <c r="E16" s="111">
        <f t="shared" si="3"/>
        <v>1750.9733841268301</v>
      </c>
      <c r="F16" s="111">
        <f t="shared" si="3"/>
        <v>1611.5925403396054</v>
      </c>
      <c r="G16" s="111">
        <f t="shared" si="3"/>
        <v>1646.3392210419429</v>
      </c>
      <c r="H16" s="111">
        <f t="shared" si="3"/>
        <v>1671.7175723258738</v>
      </c>
      <c r="I16" s="111">
        <f t="shared" si="3"/>
        <v>1699.4769875534594</v>
      </c>
      <c r="J16" s="521">
        <f t="shared" si="3"/>
        <v>1725.3610228987827</v>
      </c>
    </row>
    <row r="17" spans="1:16" s="89" customFormat="1" ht="15">
      <c r="A17" s="87" t="s">
        <v>770</v>
      </c>
      <c r="B17" s="88" t="s">
        <v>383</v>
      </c>
      <c r="C17" s="84" t="s">
        <v>361</v>
      </c>
      <c r="D17" s="112">
        <f>'12. Разходи'!Q84</f>
        <v>1528.0485269835235</v>
      </c>
      <c r="E17" s="112">
        <f>'12. Разходи'!R84</f>
        <v>1895.1907227425506</v>
      </c>
      <c r="F17" s="112">
        <f>'12. Разходи'!S84</f>
        <v>1986.9163636165413</v>
      </c>
      <c r="G17" s="112">
        <f>'12. Разходи'!T84</f>
        <v>2010.9407373586082</v>
      </c>
      <c r="H17" s="112">
        <f>'12. Разходи'!U84</f>
        <v>2086.4864720791611</v>
      </c>
      <c r="I17" s="112">
        <f>'12. Разходи'!V84</f>
        <v>2105.4556997875225</v>
      </c>
      <c r="J17" s="522">
        <f>'12. Разходи'!W84</f>
        <v>2093.498540682875</v>
      </c>
    </row>
    <row r="18" spans="1:16" s="89" customFormat="1" ht="15" customHeight="1" thickBot="1">
      <c r="A18" s="2510" t="s">
        <v>771</v>
      </c>
      <c r="B18" s="2511" t="s">
        <v>871</v>
      </c>
      <c r="C18" s="2512" t="s">
        <v>361</v>
      </c>
      <c r="D18" s="519">
        <f>'12. Разходи'!Q53</f>
        <v>30.53301805822921</v>
      </c>
      <c r="E18" s="519">
        <f>'12. Разходи'!R53</f>
        <v>144.21733861572051</v>
      </c>
      <c r="F18" s="519">
        <f>'12. Разходи'!S53</f>
        <v>375.32382327693597</v>
      </c>
      <c r="G18" s="519">
        <f>'12. Разходи'!T53</f>
        <v>364.60151631666531</v>
      </c>
      <c r="H18" s="519">
        <f>'12. Разходи'!U53</f>
        <v>414.76889975328731</v>
      </c>
      <c r="I18" s="519">
        <f>'12. Разходи'!V53</f>
        <v>405.97871223406321</v>
      </c>
      <c r="J18" s="523">
        <f>'12. Разходи'!W53</f>
        <v>368.13751778409221</v>
      </c>
      <c r="P18" s="109"/>
    </row>
    <row r="19" spans="1:16" s="54" customFormat="1" ht="15" thickBot="1">
      <c r="A19" s="397" t="s">
        <v>378</v>
      </c>
      <c r="B19" s="113" t="s">
        <v>387</v>
      </c>
      <c r="C19" s="90" t="s">
        <v>361</v>
      </c>
      <c r="D19" s="114">
        <f t="shared" ref="D19:J19" si="4">D10/D9</f>
        <v>2866.4832354677101</v>
      </c>
      <c r="E19" s="114">
        <f t="shared" si="4"/>
        <v>2975.6115006565724</v>
      </c>
      <c r="F19" s="114">
        <f t="shared" si="4"/>
        <v>2537.1155830608841</v>
      </c>
      <c r="G19" s="114">
        <f t="shared" si="4"/>
        <v>2476.8237416107904</v>
      </c>
      <c r="H19" s="114">
        <f t="shared" si="4"/>
        <v>2375.3021852553338</v>
      </c>
      <c r="I19" s="114">
        <f t="shared" si="4"/>
        <v>2288.6149229349789</v>
      </c>
      <c r="J19" s="400">
        <f t="shared" si="4"/>
        <v>2206.4432985958538</v>
      </c>
    </row>
    <row r="20" spans="1:16" s="91" customFormat="1" ht="15.75" thickBot="1">
      <c r="A20" s="397" t="s">
        <v>381</v>
      </c>
      <c r="B20" s="113" t="s">
        <v>388</v>
      </c>
      <c r="C20" s="90" t="s">
        <v>361</v>
      </c>
      <c r="D20" s="114">
        <f t="shared" ref="D20:J20" si="5">D13/D9</f>
        <v>183.50482174613543</v>
      </c>
      <c r="E20" s="114">
        <f t="shared" si="5"/>
        <v>216.29505704716348</v>
      </c>
      <c r="F20" s="114">
        <f t="shared" si="5"/>
        <v>193.98434071293039</v>
      </c>
      <c r="G20" s="114">
        <f t="shared" si="5"/>
        <v>194.86981680722801</v>
      </c>
      <c r="H20" s="114">
        <f t="shared" si="5"/>
        <v>195.75425508297005</v>
      </c>
      <c r="I20" s="114">
        <f t="shared" si="5"/>
        <v>196.64730751238326</v>
      </c>
      <c r="J20" s="400">
        <f t="shared" si="5"/>
        <v>197.54713430636522</v>
      </c>
    </row>
    <row r="21" spans="1:16" s="91" customFormat="1" ht="15.75" thickBot="1">
      <c r="A21" s="397" t="s">
        <v>384</v>
      </c>
      <c r="B21" s="113" t="s">
        <v>389</v>
      </c>
      <c r="C21" s="90" t="s">
        <v>361</v>
      </c>
      <c r="D21" s="114">
        <f t="shared" ref="D21:J21" si="6">D16/D9</f>
        <v>270.78362627142309</v>
      </c>
      <c r="E21" s="114">
        <f t="shared" si="6"/>
        <v>316.61436534896103</v>
      </c>
      <c r="F21" s="114">
        <f t="shared" si="6"/>
        <v>291.41125386962727</v>
      </c>
      <c r="G21" s="114">
        <f t="shared" si="6"/>
        <v>293.18369689788028</v>
      </c>
      <c r="H21" s="114">
        <f t="shared" si="6"/>
        <v>293.12308117494774</v>
      </c>
      <c r="I21" s="114">
        <f t="shared" si="6"/>
        <v>293.33438415306284</v>
      </c>
      <c r="J21" s="400">
        <f t="shared" si="6"/>
        <v>293.07502306773847</v>
      </c>
    </row>
    <row r="22" spans="1:16" s="91" customFormat="1" ht="15">
      <c r="A22" s="54"/>
      <c r="B22" s="54"/>
      <c r="C22" s="54"/>
      <c r="D22" s="54"/>
      <c r="E22" s="54"/>
    </row>
    <row r="23" spans="1:16" ht="15">
      <c r="A23" s="72"/>
      <c r="B23" s="76"/>
      <c r="C23" s="74"/>
      <c r="D23" s="74"/>
      <c r="E23" s="74"/>
    </row>
    <row r="24" spans="1:16" ht="15">
      <c r="A24" s="72"/>
      <c r="B24" s="396" t="str">
        <f>'17. РБА'!B25</f>
        <v>Дата: 10.11.2017 г.</v>
      </c>
      <c r="C24" s="74"/>
      <c r="D24" s="74"/>
      <c r="E24" s="74"/>
      <c r="F24" s="91" t="s">
        <v>263</v>
      </c>
      <c r="G24" s="91"/>
      <c r="H24" s="91"/>
      <c r="I24" s="91"/>
      <c r="J24" s="91"/>
    </row>
    <row r="25" spans="1:16">
      <c r="E25" s="534" t="str">
        <f>'14. ОПР'!D49</f>
        <v>Главен счетоводител:</v>
      </c>
      <c r="F25" s="289"/>
      <c r="G25" s="219" t="s">
        <v>262</v>
      </c>
      <c r="H25" s="199"/>
      <c r="I25" s="199"/>
    </row>
    <row r="26" spans="1:16">
      <c r="F26" s="220"/>
      <c r="G26" s="290"/>
      <c r="H26" s="291" t="s">
        <v>5</v>
      </c>
      <c r="I26" s="199"/>
    </row>
    <row r="27" spans="1:16">
      <c r="F27" s="220"/>
      <c r="G27" s="290"/>
      <c r="H27" s="291"/>
      <c r="I27" s="199"/>
    </row>
    <row r="28" spans="1:16">
      <c r="F28" s="220"/>
      <c r="G28" s="290"/>
      <c r="H28" s="291"/>
      <c r="I28" s="199"/>
    </row>
    <row r="29" spans="1:16">
      <c r="F29" s="220"/>
      <c r="G29" s="290"/>
      <c r="H29" s="291"/>
      <c r="I29" s="199"/>
    </row>
    <row r="30" spans="1:16">
      <c r="D30" s="2220"/>
      <c r="E30" s="2220" t="str">
        <f>'14. ОПР'!E54</f>
        <v>Управител:</v>
      </c>
      <c r="G30" s="219" t="s">
        <v>262</v>
      </c>
      <c r="H30" s="217"/>
      <c r="I30" s="199"/>
    </row>
    <row r="31" spans="1:16">
      <c r="A31" s="3658" t="s">
        <v>247</v>
      </c>
      <c r="B31" s="3658"/>
      <c r="C31" s="3658"/>
      <c r="D31" s="2221"/>
      <c r="E31" s="2221"/>
      <c r="F31" s="293"/>
      <c r="G31" s="290"/>
      <c r="H31" s="291" t="s">
        <v>6</v>
      </c>
      <c r="I31" s="199"/>
    </row>
    <row r="32" spans="1:16">
      <c r="A32" s="3661" t="s">
        <v>1497</v>
      </c>
      <c r="B32" s="3661"/>
      <c r="C32" s="3661"/>
      <c r="D32" s="2"/>
      <c r="E32" s="2"/>
      <c r="F32" s="2"/>
      <c r="G32" s="2"/>
    </row>
    <row r="33" spans="1:7" ht="13.5" thickBot="1">
      <c r="A33" s="2"/>
      <c r="B33" s="2"/>
      <c r="C33" s="2515" t="s">
        <v>1498</v>
      </c>
      <c r="D33" s="2515" t="s">
        <v>1499</v>
      </c>
      <c r="E33" s="2515" t="s">
        <v>1500</v>
      </c>
      <c r="F33" s="2515" t="s">
        <v>1501</v>
      </c>
      <c r="G33" s="2515" t="s">
        <v>1502</v>
      </c>
    </row>
    <row r="34" spans="1:7">
      <c r="A34" s="2"/>
      <c r="B34" s="2516" t="s">
        <v>1503</v>
      </c>
      <c r="C34" s="2513">
        <v>66</v>
      </c>
      <c r="D34" s="2513">
        <v>65</v>
      </c>
      <c r="E34" s="2513">
        <v>64</v>
      </c>
      <c r="F34" s="2513">
        <v>63</v>
      </c>
      <c r="G34" s="2513">
        <v>62</v>
      </c>
    </row>
    <row r="35" spans="1:7">
      <c r="A35" s="2"/>
      <c r="B35" s="2516" t="s">
        <v>1504</v>
      </c>
      <c r="C35" s="2514">
        <v>76</v>
      </c>
      <c r="D35" s="2514">
        <v>75</v>
      </c>
      <c r="E35" s="2514">
        <v>73</v>
      </c>
      <c r="F35" s="2514">
        <v>71</v>
      </c>
      <c r="G35" s="2514">
        <v>70</v>
      </c>
    </row>
    <row r="36" spans="1:7">
      <c r="A36" s="2"/>
      <c r="B36" s="2516" t="s">
        <v>1506</v>
      </c>
      <c r="C36" s="2514">
        <v>86</v>
      </c>
      <c r="D36" s="2514">
        <v>85</v>
      </c>
      <c r="E36" s="2514">
        <v>83</v>
      </c>
      <c r="F36" s="2514">
        <v>81</v>
      </c>
      <c r="G36" s="2514">
        <v>80</v>
      </c>
    </row>
    <row r="37" spans="1:7">
      <c r="A37" s="2"/>
      <c r="B37" s="2516" t="s">
        <v>1505</v>
      </c>
      <c r="C37" s="2514">
        <v>88</v>
      </c>
      <c r="D37" s="2514">
        <v>87</v>
      </c>
      <c r="E37" s="2514">
        <v>85</v>
      </c>
      <c r="F37" s="2514">
        <v>83</v>
      </c>
      <c r="G37" s="2514">
        <v>82</v>
      </c>
    </row>
  </sheetData>
  <sheetProtection password="C6DB" sheet="1" objects="1" scenarios="1" formatCells="0" formatColumns="0" formatRows="0"/>
  <mergeCells count="6">
    <mergeCell ref="A31:C31"/>
    <mergeCell ref="A32:C32"/>
    <mergeCell ref="A2:J2"/>
    <mergeCell ref="A3:J3"/>
    <mergeCell ref="A4:J4"/>
    <mergeCell ref="A5:J5"/>
  </mergeCells>
  <printOptions horizontalCentered="1" verticalCentered="1"/>
  <pageMargins left="0.78740157480314965" right="0.78740157480314965" top="0.78740157480314965" bottom="0.78740157480314965" header="0.51181102362204722" footer="0.51181102362204722"/>
  <pageSetup paperSize="9" scale="85" orientation="landscape" r:id="rId1"/>
  <headerFooter alignWithMargins="0"/>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70C0"/>
  </sheetPr>
  <dimension ref="A1:M51"/>
  <sheetViews>
    <sheetView showGridLines="0" view="pageBreakPreview" zoomScaleNormal="110" zoomScaleSheetLayoutView="100" workbookViewId="0">
      <selection activeCell="J31" sqref="J31"/>
    </sheetView>
  </sheetViews>
  <sheetFormatPr defaultColWidth="11.42578125" defaultRowHeight="12"/>
  <cols>
    <col min="1" max="1" width="4.5703125" style="94" customWidth="1"/>
    <col min="2" max="2" width="70.7109375" style="94" customWidth="1"/>
    <col min="3" max="5" width="8.7109375" style="94" customWidth="1"/>
    <col min="6" max="8" width="8.7109375" style="3" customWidth="1"/>
    <col min="9" max="10" width="8.7109375" style="94" customWidth="1"/>
    <col min="11" max="11" width="11.42578125" style="94"/>
    <col min="12" max="12" width="12" style="94" bestFit="1" customWidth="1"/>
    <col min="13" max="255" width="11.42578125" style="94"/>
    <col min="256" max="256" width="4.5703125" style="94" customWidth="1"/>
    <col min="257" max="257" width="70.7109375" style="94" customWidth="1"/>
    <col min="258" max="258" width="8.7109375" style="94" customWidth="1"/>
    <col min="259" max="260" width="10.7109375" style="94" customWidth="1"/>
    <col min="261" max="261" width="10.85546875" style="94" customWidth="1"/>
    <col min="262" max="263" width="10.42578125" style="94" customWidth="1"/>
    <col min="264" max="511" width="11.42578125" style="94"/>
    <col min="512" max="512" width="4.5703125" style="94" customWidth="1"/>
    <col min="513" max="513" width="70.7109375" style="94" customWidth="1"/>
    <col min="514" max="514" width="8.7109375" style="94" customWidth="1"/>
    <col min="515" max="516" width="10.7109375" style="94" customWidth="1"/>
    <col min="517" max="517" width="10.85546875" style="94" customWidth="1"/>
    <col min="518" max="519" width="10.42578125" style="94" customWidth="1"/>
    <col min="520" max="767" width="11.42578125" style="94"/>
    <col min="768" max="768" width="4.5703125" style="94" customWidth="1"/>
    <col min="769" max="769" width="70.7109375" style="94" customWidth="1"/>
    <col min="770" max="770" width="8.7109375" style="94" customWidth="1"/>
    <col min="771" max="772" width="10.7109375" style="94" customWidth="1"/>
    <col min="773" max="773" width="10.85546875" style="94" customWidth="1"/>
    <col min="774" max="775" width="10.42578125" style="94" customWidth="1"/>
    <col min="776" max="1023" width="11.42578125" style="94"/>
    <col min="1024" max="1024" width="4.5703125" style="94" customWidth="1"/>
    <col min="1025" max="1025" width="70.7109375" style="94" customWidth="1"/>
    <col min="1026" max="1026" width="8.7109375" style="94" customWidth="1"/>
    <col min="1027" max="1028" width="10.7109375" style="94" customWidth="1"/>
    <col min="1029" max="1029" width="10.85546875" style="94" customWidth="1"/>
    <col min="1030" max="1031" width="10.42578125" style="94" customWidth="1"/>
    <col min="1032" max="1279" width="11.42578125" style="94"/>
    <col min="1280" max="1280" width="4.5703125" style="94" customWidth="1"/>
    <col min="1281" max="1281" width="70.7109375" style="94" customWidth="1"/>
    <col min="1282" max="1282" width="8.7109375" style="94" customWidth="1"/>
    <col min="1283" max="1284" width="10.7109375" style="94" customWidth="1"/>
    <col min="1285" max="1285" width="10.85546875" style="94" customWidth="1"/>
    <col min="1286" max="1287" width="10.42578125" style="94" customWidth="1"/>
    <col min="1288" max="1535" width="11.42578125" style="94"/>
    <col min="1536" max="1536" width="4.5703125" style="94" customWidth="1"/>
    <col min="1537" max="1537" width="70.7109375" style="94" customWidth="1"/>
    <col min="1538" max="1538" width="8.7109375" style="94" customWidth="1"/>
    <col min="1539" max="1540" width="10.7109375" style="94" customWidth="1"/>
    <col min="1541" max="1541" width="10.85546875" style="94" customWidth="1"/>
    <col min="1542" max="1543" width="10.42578125" style="94" customWidth="1"/>
    <col min="1544" max="1791" width="11.42578125" style="94"/>
    <col min="1792" max="1792" width="4.5703125" style="94" customWidth="1"/>
    <col min="1793" max="1793" width="70.7109375" style="94" customWidth="1"/>
    <col min="1794" max="1794" width="8.7109375" style="94" customWidth="1"/>
    <col min="1795" max="1796" width="10.7109375" style="94" customWidth="1"/>
    <col min="1797" max="1797" width="10.85546875" style="94" customWidth="1"/>
    <col min="1798" max="1799" width="10.42578125" style="94" customWidth="1"/>
    <col min="1800" max="2047" width="11.42578125" style="94"/>
    <col min="2048" max="2048" width="4.5703125" style="94" customWidth="1"/>
    <col min="2049" max="2049" width="70.7109375" style="94" customWidth="1"/>
    <col min="2050" max="2050" width="8.7109375" style="94" customWidth="1"/>
    <col min="2051" max="2052" width="10.7109375" style="94" customWidth="1"/>
    <col min="2053" max="2053" width="10.85546875" style="94" customWidth="1"/>
    <col min="2054" max="2055" width="10.42578125" style="94" customWidth="1"/>
    <col min="2056" max="2303" width="11.42578125" style="94"/>
    <col min="2304" max="2304" width="4.5703125" style="94" customWidth="1"/>
    <col min="2305" max="2305" width="70.7109375" style="94" customWidth="1"/>
    <col min="2306" max="2306" width="8.7109375" style="94" customWidth="1"/>
    <col min="2307" max="2308" width="10.7109375" style="94" customWidth="1"/>
    <col min="2309" max="2309" width="10.85546875" style="94" customWidth="1"/>
    <col min="2310" max="2311" width="10.42578125" style="94" customWidth="1"/>
    <col min="2312" max="2559" width="11.42578125" style="94"/>
    <col min="2560" max="2560" width="4.5703125" style="94" customWidth="1"/>
    <col min="2561" max="2561" width="70.7109375" style="94" customWidth="1"/>
    <col min="2562" max="2562" width="8.7109375" style="94" customWidth="1"/>
    <col min="2563" max="2564" width="10.7109375" style="94" customWidth="1"/>
    <col min="2565" max="2565" width="10.85546875" style="94" customWidth="1"/>
    <col min="2566" max="2567" width="10.42578125" style="94" customWidth="1"/>
    <col min="2568" max="2815" width="11.42578125" style="94"/>
    <col min="2816" max="2816" width="4.5703125" style="94" customWidth="1"/>
    <col min="2817" max="2817" width="70.7109375" style="94" customWidth="1"/>
    <col min="2818" max="2818" width="8.7109375" style="94" customWidth="1"/>
    <col min="2819" max="2820" width="10.7109375" style="94" customWidth="1"/>
    <col min="2821" max="2821" width="10.85546875" style="94" customWidth="1"/>
    <col min="2822" max="2823" width="10.42578125" style="94" customWidth="1"/>
    <col min="2824" max="3071" width="11.42578125" style="94"/>
    <col min="3072" max="3072" width="4.5703125" style="94" customWidth="1"/>
    <col min="3073" max="3073" width="70.7109375" style="94" customWidth="1"/>
    <col min="3074" max="3074" width="8.7109375" style="94" customWidth="1"/>
    <col min="3075" max="3076" width="10.7109375" style="94" customWidth="1"/>
    <col min="3077" max="3077" width="10.85546875" style="94" customWidth="1"/>
    <col min="3078" max="3079" width="10.42578125" style="94" customWidth="1"/>
    <col min="3080" max="3327" width="11.42578125" style="94"/>
    <col min="3328" max="3328" width="4.5703125" style="94" customWidth="1"/>
    <col min="3329" max="3329" width="70.7109375" style="94" customWidth="1"/>
    <col min="3330" max="3330" width="8.7109375" style="94" customWidth="1"/>
    <col min="3331" max="3332" width="10.7109375" style="94" customWidth="1"/>
    <col min="3333" max="3333" width="10.85546875" style="94" customWidth="1"/>
    <col min="3334" max="3335" width="10.42578125" style="94" customWidth="1"/>
    <col min="3336" max="3583" width="11.42578125" style="94"/>
    <col min="3584" max="3584" width="4.5703125" style="94" customWidth="1"/>
    <col min="3585" max="3585" width="70.7109375" style="94" customWidth="1"/>
    <col min="3586" max="3586" width="8.7109375" style="94" customWidth="1"/>
    <col min="3587" max="3588" width="10.7109375" style="94" customWidth="1"/>
    <col min="3589" max="3589" width="10.85546875" style="94" customWidth="1"/>
    <col min="3590" max="3591" width="10.42578125" style="94" customWidth="1"/>
    <col min="3592" max="3839" width="11.42578125" style="94"/>
    <col min="3840" max="3840" width="4.5703125" style="94" customWidth="1"/>
    <col min="3841" max="3841" width="70.7109375" style="94" customWidth="1"/>
    <col min="3842" max="3842" width="8.7109375" style="94" customWidth="1"/>
    <col min="3843" max="3844" width="10.7109375" style="94" customWidth="1"/>
    <col min="3845" max="3845" width="10.85546875" style="94" customWidth="1"/>
    <col min="3846" max="3847" width="10.42578125" style="94" customWidth="1"/>
    <col min="3848" max="4095" width="11.42578125" style="94"/>
    <col min="4096" max="4096" width="4.5703125" style="94" customWidth="1"/>
    <col min="4097" max="4097" width="70.7109375" style="94" customWidth="1"/>
    <col min="4098" max="4098" width="8.7109375" style="94" customWidth="1"/>
    <col min="4099" max="4100" width="10.7109375" style="94" customWidth="1"/>
    <col min="4101" max="4101" width="10.85546875" style="94" customWidth="1"/>
    <col min="4102" max="4103" width="10.42578125" style="94" customWidth="1"/>
    <col min="4104" max="4351" width="11.42578125" style="94"/>
    <col min="4352" max="4352" width="4.5703125" style="94" customWidth="1"/>
    <col min="4353" max="4353" width="70.7109375" style="94" customWidth="1"/>
    <col min="4354" max="4354" width="8.7109375" style="94" customWidth="1"/>
    <col min="4355" max="4356" width="10.7109375" style="94" customWidth="1"/>
    <col min="4357" max="4357" width="10.85546875" style="94" customWidth="1"/>
    <col min="4358" max="4359" width="10.42578125" style="94" customWidth="1"/>
    <col min="4360" max="4607" width="11.42578125" style="94"/>
    <col min="4608" max="4608" width="4.5703125" style="94" customWidth="1"/>
    <col min="4609" max="4609" width="70.7109375" style="94" customWidth="1"/>
    <col min="4610" max="4610" width="8.7109375" style="94" customWidth="1"/>
    <col min="4611" max="4612" width="10.7109375" style="94" customWidth="1"/>
    <col min="4613" max="4613" width="10.85546875" style="94" customWidth="1"/>
    <col min="4614" max="4615" width="10.42578125" style="94" customWidth="1"/>
    <col min="4616" max="4863" width="11.42578125" style="94"/>
    <col min="4864" max="4864" width="4.5703125" style="94" customWidth="1"/>
    <col min="4865" max="4865" width="70.7109375" style="94" customWidth="1"/>
    <col min="4866" max="4866" width="8.7109375" style="94" customWidth="1"/>
    <col min="4867" max="4868" width="10.7109375" style="94" customWidth="1"/>
    <col min="4869" max="4869" width="10.85546875" style="94" customWidth="1"/>
    <col min="4870" max="4871" width="10.42578125" style="94" customWidth="1"/>
    <col min="4872" max="5119" width="11.42578125" style="94"/>
    <col min="5120" max="5120" width="4.5703125" style="94" customWidth="1"/>
    <col min="5121" max="5121" width="70.7109375" style="94" customWidth="1"/>
    <col min="5122" max="5122" width="8.7109375" style="94" customWidth="1"/>
    <col min="5123" max="5124" width="10.7109375" style="94" customWidth="1"/>
    <col min="5125" max="5125" width="10.85546875" style="94" customWidth="1"/>
    <col min="5126" max="5127" width="10.42578125" style="94" customWidth="1"/>
    <col min="5128" max="5375" width="11.42578125" style="94"/>
    <col min="5376" max="5376" width="4.5703125" style="94" customWidth="1"/>
    <col min="5377" max="5377" width="70.7109375" style="94" customWidth="1"/>
    <col min="5378" max="5378" width="8.7109375" style="94" customWidth="1"/>
    <col min="5379" max="5380" width="10.7109375" style="94" customWidth="1"/>
    <col min="5381" max="5381" width="10.85546875" style="94" customWidth="1"/>
    <col min="5382" max="5383" width="10.42578125" style="94" customWidth="1"/>
    <col min="5384" max="5631" width="11.42578125" style="94"/>
    <col min="5632" max="5632" width="4.5703125" style="94" customWidth="1"/>
    <col min="5633" max="5633" width="70.7109375" style="94" customWidth="1"/>
    <col min="5634" max="5634" width="8.7109375" style="94" customWidth="1"/>
    <col min="5635" max="5636" width="10.7109375" style="94" customWidth="1"/>
    <col min="5637" max="5637" width="10.85546875" style="94" customWidth="1"/>
    <col min="5638" max="5639" width="10.42578125" style="94" customWidth="1"/>
    <col min="5640" max="5887" width="11.42578125" style="94"/>
    <col min="5888" max="5888" width="4.5703125" style="94" customWidth="1"/>
    <col min="5889" max="5889" width="70.7109375" style="94" customWidth="1"/>
    <col min="5890" max="5890" width="8.7109375" style="94" customWidth="1"/>
    <col min="5891" max="5892" width="10.7109375" style="94" customWidth="1"/>
    <col min="5893" max="5893" width="10.85546875" style="94" customWidth="1"/>
    <col min="5894" max="5895" width="10.42578125" style="94" customWidth="1"/>
    <col min="5896" max="6143" width="11.42578125" style="94"/>
    <col min="6144" max="6144" width="4.5703125" style="94" customWidth="1"/>
    <col min="6145" max="6145" width="70.7109375" style="94" customWidth="1"/>
    <col min="6146" max="6146" width="8.7109375" style="94" customWidth="1"/>
    <col min="6147" max="6148" width="10.7109375" style="94" customWidth="1"/>
    <col min="6149" max="6149" width="10.85546875" style="94" customWidth="1"/>
    <col min="6150" max="6151" width="10.42578125" style="94" customWidth="1"/>
    <col min="6152" max="6399" width="11.42578125" style="94"/>
    <col min="6400" max="6400" width="4.5703125" style="94" customWidth="1"/>
    <col min="6401" max="6401" width="70.7109375" style="94" customWidth="1"/>
    <col min="6402" max="6402" width="8.7109375" style="94" customWidth="1"/>
    <col min="6403" max="6404" width="10.7109375" style="94" customWidth="1"/>
    <col min="6405" max="6405" width="10.85546875" style="94" customWidth="1"/>
    <col min="6406" max="6407" width="10.42578125" style="94" customWidth="1"/>
    <col min="6408" max="6655" width="11.42578125" style="94"/>
    <col min="6656" max="6656" width="4.5703125" style="94" customWidth="1"/>
    <col min="6657" max="6657" width="70.7109375" style="94" customWidth="1"/>
    <col min="6658" max="6658" width="8.7109375" style="94" customWidth="1"/>
    <col min="6659" max="6660" width="10.7109375" style="94" customWidth="1"/>
    <col min="6661" max="6661" width="10.85546875" style="94" customWidth="1"/>
    <col min="6662" max="6663" width="10.42578125" style="94" customWidth="1"/>
    <col min="6664" max="6911" width="11.42578125" style="94"/>
    <col min="6912" max="6912" width="4.5703125" style="94" customWidth="1"/>
    <col min="6913" max="6913" width="70.7109375" style="94" customWidth="1"/>
    <col min="6914" max="6914" width="8.7109375" style="94" customWidth="1"/>
    <col min="6915" max="6916" width="10.7109375" style="94" customWidth="1"/>
    <col min="6917" max="6917" width="10.85546875" style="94" customWidth="1"/>
    <col min="6918" max="6919" width="10.42578125" style="94" customWidth="1"/>
    <col min="6920" max="7167" width="11.42578125" style="94"/>
    <col min="7168" max="7168" width="4.5703125" style="94" customWidth="1"/>
    <col min="7169" max="7169" width="70.7109375" style="94" customWidth="1"/>
    <col min="7170" max="7170" width="8.7109375" style="94" customWidth="1"/>
    <col min="7171" max="7172" width="10.7109375" style="94" customWidth="1"/>
    <col min="7173" max="7173" width="10.85546875" style="94" customWidth="1"/>
    <col min="7174" max="7175" width="10.42578125" style="94" customWidth="1"/>
    <col min="7176" max="7423" width="11.42578125" style="94"/>
    <col min="7424" max="7424" width="4.5703125" style="94" customWidth="1"/>
    <col min="7425" max="7425" width="70.7109375" style="94" customWidth="1"/>
    <col min="7426" max="7426" width="8.7109375" style="94" customWidth="1"/>
    <col min="7427" max="7428" width="10.7109375" style="94" customWidth="1"/>
    <col min="7429" max="7429" width="10.85546875" style="94" customWidth="1"/>
    <col min="7430" max="7431" width="10.42578125" style="94" customWidth="1"/>
    <col min="7432" max="7679" width="11.42578125" style="94"/>
    <col min="7680" max="7680" width="4.5703125" style="94" customWidth="1"/>
    <col min="7681" max="7681" width="70.7109375" style="94" customWidth="1"/>
    <col min="7682" max="7682" width="8.7109375" style="94" customWidth="1"/>
    <col min="7683" max="7684" width="10.7109375" style="94" customWidth="1"/>
    <col min="7685" max="7685" width="10.85546875" style="94" customWidth="1"/>
    <col min="7686" max="7687" width="10.42578125" style="94" customWidth="1"/>
    <col min="7688" max="7935" width="11.42578125" style="94"/>
    <col min="7936" max="7936" width="4.5703125" style="94" customWidth="1"/>
    <col min="7937" max="7937" width="70.7109375" style="94" customWidth="1"/>
    <col min="7938" max="7938" width="8.7109375" style="94" customWidth="1"/>
    <col min="7939" max="7940" width="10.7109375" style="94" customWidth="1"/>
    <col min="7941" max="7941" width="10.85546875" style="94" customWidth="1"/>
    <col min="7942" max="7943" width="10.42578125" style="94" customWidth="1"/>
    <col min="7944" max="8191" width="11.42578125" style="94"/>
    <col min="8192" max="8192" width="4.5703125" style="94" customWidth="1"/>
    <col min="8193" max="8193" width="70.7109375" style="94" customWidth="1"/>
    <col min="8194" max="8194" width="8.7109375" style="94" customWidth="1"/>
    <col min="8195" max="8196" width="10.7109375" style="94" customWidth="1"/>
    <col min="8197" max="8197" width="10.85546875" style="94" customWidth="1"/>
    <col min="8198" max="8199" width="10.42578125" style="94" customWidth="1"/>
    <col min="8200" max="8447" width="11.42578125" style="94"/>
    <col min="8448" max="8448" width="4.5703125" style="94" customWidth="1"/>
    <col min="8449" max="8449" width="70.7109375" style="94" customWidth="1"/>
    <col min="8450" max="8450" width="8.7109375" style="94" customWidth="1"/>
    <col min="8451" max="8452" width="10.7109375" style="94" customWidth="1"/>
    <col min="8453" max="8453" width="10.85546875" style="94" customWidth="1"/>
    <col min="8454" max="8455" width="10.42578125" style="94" customWidth="1"/>
    <col min="8456" max="8703" width="11.42578125" style="94"/>
    <col min="8704" max="8704" width="4.5703125" style="94" customWidth="1"/>
    <col min="8705" max="8705" width="70.7109375" style="94" customWidth="1"/>
    <col min="8706" max="8706" width="8.7109375" style="94" customWidth="1"/>
    <col min="8707" max="8708" width="10.7109375" style="94" customWidth="1"/>
    <col min="8709" max="8709" width="10.85546875" style="94" customWidth="1"/>
    <col min="8710" max="8711" width="10.42578125" style="94" customWidth="1"/>
    <col min="8712" max="8959" width="11.42578125" style="94"/>
    <col min="8960" max="8960" width="4.5703125" style="94" customWidth="1"/>
    <col min="8961" max="8961" width="70.7109375" style="94" customWidth="1"/>
    <col min="8962" max="8962" width="8.7109375" style="94" customWidth="1"/>
    <col min="8963" max="8964" width="10.7109375" style="94" customWidth="1"/>
    <col min="8965" max="8965" width="10.85546875" style="94" customWidth="1"/>
    <col min="8966" max="8967" width="10.42578125" style="94" customWidth="1"/>
    <col min="8968" max="9215" width="11.42578125" style="94"/>
    <col min="9216" max="9216" width="4.5703125" style="94" customWidth="1"/>
    <col min="9217" max="9217" width="70.7109375" style="94" customWidth="1"/>
    <col min="9218" max="9218" width="8.7109375" style="94" customWidth="1"/>
    <col min="9219" max="9220" width="10.7109375" style="94" customWidth="1"/>
    <col min="9221" max="9221" width="10.85546875" style="94" customWidth="1"/>
    <col min="9222" max="9223" width="10.42578125" style="94" customWidth="1"/>
    <col min="9224" max="9471" width="11.42578125" style="94"/>
    <col min="9472" max="9472" width="4.5703125" style="94" customWidth="1"/>
    <col min="9473" max="9473" width="70.7109375" style="94" customWidth="1"/>
    <col min="9474" max="9474" width="8.7109375" style="94" customWidth="1"/>
    <col min="9475" max="9476" width="10.7109375" style="94" customWidth="1"/>
    <col min="9477" max="9477" width="10.85546875" style="94" customWidth="1"/>
    <col min="9478" max="9479" width="10.42578125" style="94" customWidth="1"/>
    <col min="9480" max="9727" width="11.42578125" style="94"/>
    <col min="9728" max="9728" width="4.5703125" style="94" customWidth="1"/>
    <col min="9729" max="9729" width="70.7109375" style="94" customWidth="1"/>
    <col min="9730" max="9730" width="8.7109375" style="94" customWidth="1"/>
    <col min="9731" max="9732" width="10.7109375" style="94" customWidth="1"/>
    <col min="9733" max="9733" width="10.85546875" style="94" customWidth="1"/>
    <col min="9734" max="9735" width="10.42578125" style="94" customWidth="1"/>
    <col min="9736" max="9983" width="11.42578125" style="94"/>
    <col min="9984" max="9984" width="4.5703125" style="94" customWidth="1"/>
    <col min="9985" max="9985" width="70.7109375" style="94" customWidth="1"/>
    <col min="9986" max="9986" width="8.7109375" style="94" customWidth="1"/>
    <col min="9987" max="9988" width="10.7109375" style="94" customWidth="1"/>
    <col min="9989" max="9989" width="10.85546875" style="94" customWidth="1"/>
    <col min="9990" max="9991" width="10.42578125" style="94" customWidth="1"/>
    <col min="9992" max="10239" width="11.42578125" style="94"/>
    <col min="10240" max="10240" width="4.5703125" style="94" customWidth="1"/>
    <col min="10241" max="10241" width="70.7109375" style="94" customWidth="1"/>
    <col min="10242" max="10242" width="8.7109375" style="94" customWidth="1"/>
    <col min="10243" max="10244" width="10.7109375" style="94" customWidth="1"/>
    <col min="10245" max="10245" width="10.85546875" style="94" customWidth="1"/>
    <col min="10246" max="10247" width="10.42578125" style="94" customWidth="1"/>
    <col min="10248" max="10495" width="11.42578125" style="94"/>
    <col min="10496" max="10496" width="4.5703125" style="94" customWidth="1"/>
    <col min="10497" max="10497" width="70.7109375" style="94" customWidth="1"/>
    <col min="10498" max="10498" width="8.7109375" style="94" customWidth="1"/>
    <col min="10499" max="10500" width="10.7109375" style="94" customWidth="1"/>
    <col min="10501" max="10501" width="10.85546875" style="94" customWidth="1"/>
    <col min="10502" max="10503" width="10.42578125" style="94" customWidth="1"/>
    <col min="10504" max="10751" width="11.42578125" style="94"/>
    <col min="10752" max="10752" width="4.5703125" style="94" customWidth="1"/>
    <col min="10753" max="10753" width="70.7109375" style="94" customWidth="1"/>
    <col min="10754" max="10754" width="8.7109375" style="94" customWidth="1"/>
    <col min="10755" max="10756" width="10.7109375" style="94" customWidth="1"/>
    <col min="10757" max="10757" width="10.85546875" style="94" customWidth="1"/>
    <col min="10758" max="10759" width="10.42578125" style="94" customWidth="1"/>
    <col min="10760" max="11007" width="11.42578125" style="94"/>
    <col min="11008" max="11008" width="4.5703125" style="94" customWidth="1"/>
    <col min="11009" max="11009" width="70.7109375" style="94" customWidth="1"/>
    <col min="11010" max="11010" width="8.7109375" style="94" customWidth="1"/>
    <col min="11011" max="11012" width="10.7109375" style="94" customWidth="1"/>
    <col min="11013" max="11013" width="10.85546875" style="94" customWidth="1"/>
    <col min="11014" max="11015" width="10.42578125" style="94" customWidth="1"/>
    <col min="11016" max="11263" width="11.42578125" style="94"/>
    <col min="11264" max="11264" width="4.5703125" style="94" customWidth="1"/>
    <col min="11265" max="11265" width="70.7109375" style="94" customWidth="1"/>
    <col min="11266" max="11266" width="8.7109375" style="94" customWidth="1"/>
    <col min="11267" max="11268" width="10.7109375" style="94" customWidth="1"/>
    <col min="11269" max="11269" width="10.85546875" style="94" customWidth="1"/>
    <col min="11270" max="11271" width="10.42578125" style="94" customWidth="1"/>
    <col min="11272" max="11519" width="11.42578125" style="94"/>
    <col min="11520" max="11520" width="4.5703125" style="94" customWidth="1"/>
    <col min="11521" max="11521" width="70.7109375" style="94" customWidth="1"/>
    <col min="11522" max="11522" width="8.7109375" style="94" customWidth="1"/>
    <col min="11523" max="11524" width="10.7109375" style="94" customWidth="1"/>
    <col min="11525" max="11525" width="10.85546875" style="94" customWidth="1"/>
    <col min="11526" max="11527" width="10.42578125" style="94" customWidth="1"/>
    <col min="11528" max="11775" width="11.42578125" style="94"/>
    <col min="11776" max="11776" width="4.5703125" style="94" customWidth="1"/>
    <col min="11777" max="11777" width="70.7109375" style="94" customWidth="1"/>
    <col min="11778" max="11778" width="8.7109375" style="94" customWidth="1"/>
    <col min="11779" max="11780" width="10.7109375" style="94" customWidth="1"/>
    <col min="11781" max="11781" width="10.85546875" style="94" customWidth="1"/>
    <col min="11782" max="11783" width="10.42578125" style="94" customWidth="1"/>
    <col min="11784" max="12031" width="11.42578125" style="94"/>
    <col min="12032" max="12032" width="4.5703125" style="94" customWidth="1"/>
    <col min="12033" max="12033" width="70.7109375" style="94" customWidth="1"/>
    <col min="12034" max="12034" width="8.7109375" style="94" customWidth="1"/>
    <col min="12035" max="12036" width="10.7109375" style="94" customWidth="1"/>
    <col min="12037" max="12037" width="10.85546875" style="94" customWidth="1"/>
    <col min="12038" max="12039" width="10.42578125" style="94" customWidth="1"/>
    <col min="12040" max="12287" width="11.42578125" style="94"/>
    <col min="12288" max="12288" width="4.5703125" style="94" customWidth="1"/>
    <col min="12289" max="12289" width="70.7109375" style="94" customWidth="1"/>
    <col min="12290" max="12290" width="8.7109375" style="94" customWidth="1"/>
    <col min="12291" max="12292" width="10.7109375" style="94" customWidth="1"/>
    <col min="12293" max="12293" width="10.85546875" style="94" customWidth="1"/>
    <col min="12294" max="12295" width="10.42578125" style="94" customWidth="1"/>
    <col min="12296" max="12543" width="11.42578125" style="94"/>
    <col min="12544" max="12544" width="4.5703125" style="94" customWidth="1"/>
    <col min="12545" max="12545" width="70.7109375" style="94" customWidth="1"/>
    <col min="12546" max="12546" width="8.7109375" style="94" customWidth="1"/>
    <col min="12547" max="12548" width="10.7109375" style="94" customWidth="1"/>
    <col min="12549" max="12549" width="10.85546875" style="94" customWidth="1"/>
    <col min="12550" max="12551" width="10.42578125" style="94" customWidth="1"/>
    <col min="12552" max="12799" width="11.42578125" style="94"/>
    <col min="12800" max="12800" width="4.5703125" style="94" customWidth="1"/>
    <col min="12801" max="12801" width="70.7109375" style="94" customWidth="1"/>
    <col min="12802" max="12802" width="8.7109375" style="94" customWidth="1"/>
    <col min="12803" max="12804" width="10.7109375" style="94" customWidth="1"/>
    <col min="12805" max="12805" width="10.85546875" style="94" customWidth="1"/>
    <col min="12806" max="12807" width="10.42578125" style="94" customWidth="1"/>
    <col min="12808" max="13055" width="11.42578125" style="94"/>
    <col min="13056" max="13056" width="4.5703125" style="94" customWidth="1"/>
    <col min="13057" max="13057" width="70.7109375" style="94" customWidth="1"/>
    <col min="13058" max="13058" width="8.7109375" style="94" customWidth="1"/>
    <col min="13059" max="13060" width="10.7109375" style="94" customWidth="1"/>
    <col min="13061" max="13061" width="10.85546875" style="94" customWidth="1"/>
    <col min="13062" max="13063" width="10.42578125" style="94" customWidth="1"/>
    <col min="13064" max="13311" width="11.42578125" style="94"/>
    <col min="13312" max="13312" width="4.5703125" style="94" customWidth="1"/>
    <col min="13313" max="13313" width="70.7109375" style="94" customWidth="1"/>
    <col min="13314" max="13314" width="8.7109375" style="94" customWidth="1"/>
    <col min="13315" max="13316" width="10.7109375" style="94" customWidth="1"/>
    <col min="13317" max="13317" width="10.85546875" style="94" customWidth="1"/>
    <col min="13318" max="13319" width="10.42578125" style="94" customWidth="1"/>
    <col min="13320" max="13567" width="11.42578125" style="94"/>
    <col min="13568" max="13568" width="4.5703125" style="94" customWidth="1"/>
    <col min="13569" max="13569" width="70.7109375" style="94" customWidth="1"/>
    <col min="13570" max="13570" width="8.7109375" style="94" customWidth="1"/>
    <col min="13571" max="13572" width="10.7109375" style="94" customWidth="1"/>
    <col min="13573" max="13573" width="10.85546875" style="94" customWidth="1"/>
    <col min="13574" max="13575" width="10.42578125" style="94" customWidth="1"/>
    <col min="13576" max="13823" width="11.42578125" style="94"/>
    <col min="13824" max="13824" width="4.5703125" style="94" customWidth="1"/>
    <col min="13825" max="13825" width="70.7109375" style="94" customWidth="1"/>
    <col min="13826" max="13826" width="8.7109375" style="94" customWidth="1"/>
    <col min="13827" max="13828" width="10.7109375" style="94" customWidth="1"/>
    <col min="13829" max="13829" width="10.85546875" style="94" customWidth="1"/>
    <col min="13830" max="13831" width="10.42578125" style="94" customWidth="1"/>
    <col min="13832" max="14079" width="11.42578125" style="94"/>
    <col min="14080" max="14080" width="4.5703125" style="94" customWidth="1"/>
    <col min="14081" max="14081" width="70.7109375" style="94" customWidth="1"/>
    <col min="14082" max="14082" width="8.7109375" style="94" customWidth="1"/>
    <col min="14083" max="14084" width="10.7109375" style="94" customWidth="1"/>
    <col min="14085" max="14085" width="10.85546875" style="94" customWidth="1"/>
    <col min="14086" max="14087" width="10.42578125" style="94" customWidth="1"/>
    <col min="14088" max="14335" width="11.42578125" style="94"/>
    <col min="14336" max="14336" width="4.5703125" style="94" customWidth="1"/>
    <col min="14337" max="14337" width="70.7109375" style="94" customWidth="1"/>
    <col min="14338" max="14338" width="8.7109375" style="94" customWidth="1"/>
    <col min="14339" max="14340" width="10.7109375" style="94" customWidth="1"/>
    <col min="14341" max="14341" width="10.85546875" style="94" customWidth="1"/>
    <col min="14342" max="14343" width="10.42578125" style="94" customWidth="1"/>
    <col min="14344" max="14591" width="11.42578125" style="94"/>
    <col min="14592" max="14592" width="4.5703125" style="94" customWidth="1"/>
    <col min="14593" max="14593" width="70.7109375" style="94" customWidth="1"/>
    <col min="14594" max="14594" width="8.7109375" style="94" customWidth="1"/>
    <col min="14595" max="14596" width="10.7109375" style="94" customWidth="1"/>
    <col min="14597" max="14597" width="10.85546875" style="94" customWidth="1"/>
    <col min="14598" max="14599" width="10.42578125" style="94" customWidth="1"/>
    <col min="14600" max="14847" width="11.42578125" style="94"/>
    <col min="14848" max="14848" width="4.5703125" style="94" customWidth="1"/>
    <col min="14849" max="14849" width="70.7109375" style="94" customWidth="1"/>
    <col min="14850" max="14850" width="8.7109375" style="94" customWidth="1"/>
    <col min="14851" max="14852" width="10.7109375" style="94" customWidth="1"/>
    <col min="14853" max="14853" width="10.85546875" style="94" customWidth="1"/>
    <col min="14854" max="14855" width="10.42578125" style="94" customWidth="1"/>
    <col min="14856" max="15103" width="11.42578125" style="94"/>
    <col min="15104" max="15104" width="4.5703125" style="94" customWidth="1"/>
    <col min="15105" max="15105" width="70.7109375" style="94" customWidth="1"/>
    <col min="15106" max="15106" width="8.7109375" style="94" customWidth="1"/>
    <col min="15107" max="15108" width="10.7109375" style="94" customWidth="1"/>
    <col min="15109" max="15109" width="10.85546875" style="94" customWidth="1"/>
    <col min="15110" max="15111" width="10.42578125" style="94" customWidth="1"/>
    <col min="15112" max="15359" width="11.42578125" style="94"/>
    <col min="15360" max="15360" width="4.5703125" style="94" customWidth="1"/>
    <col min="15361" max="15361" width="70.7109375" style="94" customWidth="1"/>
    <col min="15362" max="15362" width="8.7109375" style="94" customWidth="1"/>
    <col min="15363" max="15364" width="10.7109375" style="94" customWidth="1"/>
    <col min="15365" max="15365" width="10.85546875" style="94" customWidth="1"/>
    <col min="15366" max="15367" width="10.42578125" style="94" customWidth="1"/>
    <col min="15368" max="15615" width="11.42578125" style="94"/>
    <col min="15616" max="15616" width="4.5703125" style="94" customWidth="1"/>
    <col min="15617" max="15617" width="70.7109375" style="94" customWidth="1"/>
    <col min="15618" max="15618" width="8.7109375" style="94" customWidth="1"/>
    <col min="15619" max="15620" width="10.7109375" style="94" customWidth="1"/>
    <col min="15621" max="15621" width="10.85546875" style="94" customWidth="1"/>
    <col min="15622" max="15623" width="10.42578125" style="94" customWidth="1"/>
    <col min="15624" max="15871" width="11.42578125" style="94"/>
    <col min="15872" max="15872" width="4.5703125" style="94" customWidth="1"/>
    <col min="15873" max="15873" width="70.7109375" style="94" customWidth="1"/>
    <col min="15874" max="15874" width="8.7109375" style="94" customWidth="1"/>
    <col min="15875" max="15876" width="10.7109375" style="94" customWidth="1"/>
    <col min="15877" max="15877" width="10.85546875" style="94" customWidth="1"/>
    <col min="15878" max="15879" width="10.42578125" style="94" customWidth="1"/>
    <col min="15880" max="16127" width="11.42578125" style="94"/>
    <col min="16128" max="16128" width="4.5703125" style="94" customWidth="1"/>
    <col min="16129" max="16129" width="70.7109375" style="94" customWidth="1"/>
    <col min="16130" max="16130" width="8.7109375" style="94" customWidth="1"/>
    <col min="16131" max="16132" width="10.7109375" style="94" customWidth="1"/>
    <col min="16133" max="16133" width="10.85546875" style="94" customWidth="1"/>
    <col min="16134" max="16135" width="10.42578125" style="94" customWidth="1"/>
    <col min="16136" max="16384" width="11.42578125" style="94"/>
  </cols>
  <sheetData>
    <row r="1" spans="1:12" ht="13.5">
      <c r="I1" s="388"/>
      <c r="J1" s="51" t="str">
        <f>'18. OK'!J1</f>
        <v>Приложение № 6</v>
      </c>
    </row>
    <row r="2" spans="1:12" s="70" customFormat="1" ht="14.25" customHeight="1">
      <c r="A2" s="3704" t="s">
        <v>749</v>
      </c>
      <c r="B2" s="3704"/>
      <c r="C2" s="3704"/>
      <c r="D2" s="3704"/>
      <c r="E2" s="3704"/>
      <c r="F2" s="3704"/>
      <c r="G2" s="3704"/>
      <c r="H2" s="3704"/>
      <c r="I2" s="3704"/>
      <c r="J2" s="3704"/>
    </row>
    <row r="3" spans="1:12" s="93" customFormat="1" ht="18.75">
      <c r="A3" s="3705" t="s">
        <v>1422</v>
      </c>
      <c r="B3" s="3705"/>
      <c r="C3" s="3705"/>
      <c r="D3" s="3705"/>
      <c r="E3" s="3705"/>
      <c r="F3" s="3705"/>
      <c r="G3" s="3705"/>
      <c r="H3" s="3705"/>
      <c r="I3" s="3705"/>
      <c r="J3" s="3705"/>
    </row>
    <row r="4" spans="1:12" ht="14.25" customHeight="1">
      <c r="A4" s="3706" t="str">
        <f>'1. Анкетна карта'!A3:J3</f>
        <v>на "ВОДОСНАБДЯВАНЕ И КАНАЛИЗАЦИЯ ДОБРИЧ" АД, гр. Добрич</v>
      </c>
      <c r="B4" s="3706"/>
      <c r="C4" s="3706"/>
      <c r="D4" s="3706"/>
      <c r="E4" s="3706"/>
      <c r="F4" s="3706"/>
      <c r="G4" s="3706"/>
      <c r="H4" s="3706"/>
      <c r="I4" s="3706"/>
      <c r="J4" s="3706"/>
    </row>
    <row r="5" spans="1:12" ht="19.5" customHeight="1">
      <c r="A5" s="3706" t="str">
        <f>'1. Анкетна карта'!A4:J4</f>
        <v>ЕИК по БУЛСТАТ: 204219357</v>
      </c>
      <c r="B5" s="3706"/>
      <c r="C5" s="3706"/>
      <c r="D5" s="3706"/>
      <c r="E5" s="3706"/>
      <c r="F5" s="3706"/>
      <c r="G5" s="3706"/>
      <c r="H5" s="3706"/>
      <c r="I5" s="3706"/>
      <c r="J5" s="3706"/>
    </row>
    <row r="6" spans="1:12" s="97" customFormat="1" ht="15.75" customHeight="1">
      <c r="A6" s="95"/>
      <c r="B6" s="95"/>
      <c r="C6" s="95"/>
      <c r="D6" s="95"/>
      <c r="E6" s="95"/>
      <c r="F6" s="96"/>
      <c r="G6" s="96"/>
      <c r="H6" s="96"/>
    </row>
    <row r="7" spans="1:12" s="97" customFormat="1" ht="15.75" customHeight="1">
      <c r="A7" s="95"/>
      <c r="B7" s="95"/>
      <c r="C7" s="95"/>
      <c r="D7" s="95"/>
      <c r="E7" s="95"/>
      <c r="F7" s="96"/>
      <c r="G7" s="96"/>
      <c r="H7" s="96"/>
    </row>
    <row r="8" spans="1:12" s="97" customFormat="1" ht="15.75" customHeight="1">
      <c r="A8" s="95"/>
      <c r="B8" s="95" t="s">
        <v>1466</v>
      </c>
      <c r="C8" s="1506" t="s">
        <v>1578</v>
      </c>
      <c r="D8" s="95"/>
      <c r="E8" s="95"/>
      <c r="F8" s="96"/>
      <c r="G8" s="96"/>
      <c r="H8" s="96"/>
    </row>
    <row r="9" spans="1:12" s="97" customFormat="1" ht="35.25" customHeight="1">
      <c r="A9" s="95"/>
      <c r="B9" s="1505" t="s">
        <v>1465</v>
      </c>
      <c r="C9" s="1506" t="s">
        <v>1578</v>
      </c>
      <c r="D9" s="95"/>
      <c r="E9" s="95"/>
      <c r="F9" s="96"/>
      <c r="G9" s="96"/>
      <c r="H9" s="96"/>
    </row>
    <row r="10" spans="1:12" s="97" customFormat="1" ht="15.75" customHeight="1">
      <c r="A10" s="95"/>
      <c r="B10" s="95"/>
      <c r="C10" s="95"/>
      <c r="D10" s="95"/>
      <c r="E10" s="95"/>
      <c r="F10" s="96"/>
      <c r="G10" s="96"/>
      <c r="H10" s="96"/>
    </row>
    <row r="11" spans="1:12" s="97" customFormat="1" ht="15.75" customHeight="1" thickBot="1">
      <c r="A11" s="95"/>
      <c r="B11" s="95"/>
      <c r="C11" s="95"/>
      <c r="D11" s="95"/>
      <c r="E11" s="95"/>
      <c r="F11" s="96"/>
      <c r="G11" s="96"/>
      <c r="H11" s="96"/>
    </row>
    <row r="12" spans="1:12" s="97" customFormat="1" ht="26.25" customHeight="1" thickBot="1">
      <c r="A12" s="2179" t="s">
        <v>1</v>
      </c>
      <c r="B12" s="2180" t="s">
        <v>95</v>
      </c>
      <c r="C12" s="2181" t="s">
        <v>222</v>
      </c>
      <c r="D12" s="2182" t="str">
        <f>'Приложение '!$G12</f>
        <v>2015 г.</v>
      </c>
      <c r="E12" s="2182" t="str">
        <f>'Приложение '!$G13</f>
        <v>2016 г.</v>
      </c>
      <c r="F12" s="2182" t="str">
        <f>'Приложение '!$G14</f>
        <v>2017 г.</v>
      </c>
      <c r="G12" s="2182" t="str">
        <f>'Приложение '!$G15</f>
        <v>2018 г.</v>
      </c>
      <c r="H12" s="2182" t="str">
        <f>'Приложение '!$G16</f>
        <v>2019 г.</v>
      </c>
      <c r="I12" s="2182" t="str">
        <f>'Приложение '!$G17</f>
        <v>2020 г.</v>
      </c>
      <c r="J12" s="2183" t="str">
        <f>'Приложение '!$G18</f>
        <v>2021 г.</v>
      </c>
    </row>
    <row r="13" spans="1:12" s="97" customFormat="1" ht="15" customHeight="1">
      <c r="A13" s="2176">
        <v>1</v>
      </c>
      <c r="B13" s="2177" t="s">
        <v>1464</v>
      </c>
      <c r="C13" s="2178" t="s">
        <v>391</v>
      </c>
      <c r="D13" s="2517">
        <f t="shared" ref="D13:J13" si="0">IF(AND($C$8="ДА",$C$9="ДА"),D15,D14)</f>
        <v>715</v>
      </c>
      <c r="E13" s="2517">
        <f t="shared" si="0"/>
        <v>2446</v>
      </c>
      <c r="F13" s="2517">
        <f t="shared" si="0"/>
        <v>13234.036334446419</v>
      </c>
      <c r="G13" s="2517">
        <f t="shared" si="0"/>
        <v>15407.703001113088</v>
      </c>
      <c r="H13" s="2517">
        <f t="shared" si="0"/>
        <v>17772.703001113088</v>
      </c>
      <c r="I13" s="2517">
        <f t="shared" si="0"/>
        <v>20168.703001113088</v>
      </c>
      <c r="J13" s="2518">
        <f t="shared" si="0"/>
        <v>22744.703001113085</v>
      </c>
      <c r="K13" s="1507"/>
      <c r="L13" s="1507"/>
    </row>
    <row r="14" spans="1:12" s="97" customFormat="1" ht="15" customHeight="1">
      <c r="A14" s="1184">
        <v>1.1000000000000001</v>
      </c>
      <c r="B14" s="1126" t="s">
        <v>390</v>
      </c>
      <c r="C14" s="1127"/>
      <c r="D14" s="786">
        <v>715</v>
      </c>
      <c r="E14" s="786">
        <v>2446</v>
      </c>
      <c r="F14" s="786">
        <f>E14</f>
        <v>2446</v>
      </c>
      <c r="G14" s="786">
        <f>F14</f>
        <v>2446</v>
      </c>
      <c r="H14" s="786">
        <f>G14</f>
        <v>2446</v>
      </c>
      <c r="I14" s="786">
        <f>H14</f>
        <v>2446</v>
      </c>
      <c r="J14" s="786">
        <f>I14</f>
        <v>2446</v>
      </c>
      <c r="K14" s="1494"/>
      <c r="L14" s="129"/>
    </row>
    <row r="15" spans="1:12" s="97" customFormat="1" ht="15" customHeight="1">
      <c r="A15" s="1184">
        <v>1.2</v>
      </c>
      <c r="B15" s="1126" t="s">
        <v>920</v>
      </c>
      <c r="C15" s="1127"/>
      <c r="D15" s="3032">
        <f>D14</f>
        <v>715</v>
      </c>
      <c r="E15" s="3032">
        <f>E14</f>
        <v>2446</v>
      </c>
      <c r="F15" s="3032">
        <f>'17. РБА'!E11+'17. РБА'!L11+'17. РБА'!S11+'9.Инвестиционна програма'!O69+'9.Инвестиционна програма'!O70</f>
        <v>13234.036334446419</v>
      </c>
      <c r="G15" s="3032">
        <f>'17. РБА'!F11+'17. РБА'!M11+'17. РБА'!T11+'9.Инвестиционна програма'!P69+'9.Инвестиционна програма'!P70</f>
        <v>15407.703001113088</v>
      </c>
      <c r="H15" s="3032">
        <f>'17. РБА'!G11+'17. РБА'!N11+'17. РБА'!U11+'9.Инвестиционна програма'!Q69+'9.Инвестиционна програма'!Q70</f>
        <v>17772.703001113088</v>
      </c>
      <c r="I15" s="3032">
        <f>'17. РБА'!H11+'17. РБА'!O11+'17. РБА'!V11+'9.Инвестиционна програма'!R69+'9.Инвестиционна програма'!R70</f>
        <v>20168.703001113088</v>
      </c>
      <c r="J15" s="3123">
        <f>'17. РБА'!I11+'17. РБА'!P11+'17. РБА'!W11+'9.Инвестиционна програма'!S69+'9.Инвестиционна програма'!S70</f>
        <v>22744.703001113085</v>
      </c>
      <c r="K15" s="1494"/>
      <c r="L15" s="129"/>
    </row>
    <row r="16" spans="1:12" s="97" customFormat="1" ht="15" customHeight="1">
      <c r="A16" s="1184">
        <v>2</v>
      </c>
      <c r="B16" s="1126" t="s">
        <v>392</v>
      </c>
      <c r="C16" s="1127" t="s">
        <v>391</v>
      </c>
      <c r="D16" s="1128">
        <f t="shared" ref="D16:J16" si="1">D17+D19+D21</f>
        <v>2328.4761428571428</v>
      </c>
      <c r="E16" s="1128">
        <f t="shared" si="1"/>
        <v>1883.7684285714286</v>
      </c>
      <c r="F16" s="1128">
        <f t="shared" si="1"/>
        <v>1440.0607142857145</v>
      </c>
      <c r="G16" s="1128">
        <f t="shared" si="1"/>
        <v>996.35300000000029</v>
      </c>
      <c r="H16" s="1128">
        <f t="shared" si="1"/>
        <v>682.21428571428601</v>
      </c>
      <c r="I16" s="1128">
        <f t="shared" si="1"/>
        <v>400.92857142857179</v>
      </c>
      <c r="J16" s="1129">
        <f t="shared" si="1"/>
        <v>130.14285714285731</v>
      </c>
    </row>
    <row r="17" spans="1:13" s="97" customFormat="1" ht="15" customHeight="1">
      <c r="A17" s="1185" t="s">
        <v>105</v>
      </c>
      <c r="B17" s="1130" t="s">
        <v>410</v>
      </c>
      <c r="C17" s="1131" t="s">
        <v>391</v>
      </c>
      <c r="D17" s="3124">
        <f>('10. Финансиране на ИП'!C36+'10. Финансиране на ИП'!C42)/2+('10. Финансиране на ИП'!J36+'10. Финансиране на ИП'!J42)/2+('10. Финансиране на ИП'!Q36+'10. Финансиране на ИП'!Q42)/2+('10. Финансиране на ИП'!C48+'10. Финансиране на ИП'!C54)/2+('10. Финансиране на ИП'!J48+'10. Финансиране на ИП'!J54)/2+('10. Финансиране на ИП'!C60+'10. Финансиране на ИП'!C66)/2+('10. Финансиране на ИП'!J60+'10. Финансиране на ИП'!J66)/2</f>
        <v>1807.3571428571429</v>
      </c>
      <c r="E17" s="3124">
        <f>('10. Финансиране на ИП'!D36+'10. Финансиране на ИП'!D42)/2+('10. Финансиране на ИП'!K36+'10. Финансиране на ИП'!K42)/2+('10. Финансиране на ИП'!R36+'10. Финансиране на ИП'!R42)/2+('10. Финансиране на ИП'!D48+'10. Финансиране на ИП'!D54)/2+('10. Финансиране на ИП'!K48+'10. Финансиране на ИП'!K54)/2+('10. Финансиране на ИП'!D60+'10. Финансиране на ИП'!D66)/2+('10. Финансиране на ИП'!K60+'10. Финансиране на ИП'!K66)/2</f>
        <v>1526.0714285714287</v>
      </c>
      <c r="F17" s="3124">
        <f>('10. Финансиране на ИП'!E36+'10. Финансиране на ИП'!E42)/2+('10. Финансиране на ИП'!L36+'10. Финансиране на ИП'!L42)/2+('10. Финансиране на ИП'!S36+'10. Финансиране на ИП'!S42)/2+('10. Финансиране на ИП'!E48+'10. Финансиране на ИП'!E54)/2+('10. Финансиране на ИП'!L48+'10. Финансиране на ИП'!L54)/2+('10. Финансиране на ИП'!E60+'10. Финансиране на ИП'!E66)/2+('10. Финансиране на ИП'!L60+'10. Финансиране на ИП'!L66)/2</f>
        <v>1244.7857142857144</v>
      </c>
      <c r="G17" s="3124">
        <f>('10. Финансиране на ИП'!F36+'10. Финансиране на ИП'!F42)/2+('10. Финансиране на ИП'!M36+'10. Финансиране на ИП'!M42)/2+('10. Финансиране на ИП'!T36+'10. Финансиране на ИП'!T42)/2+('10. Финансиране на ИП'!F48+'10. Финансиране на ИП'!F54)/2+('10. Финансиране на ИП'!M48+'10. Финансиране на ИП'!M54)/2+('10. Финансиране на ИП'!F60+'10. Финансиране на ИП'!F66)/2+('10. Финансиране на ИП'!M60+'10. Финансиране на ИП'!M66)/2</f>
        <v>963.50000000000023</v>
      </c>
      <c r="H17" s="3124">
        <f>('10. Финансиране на ИП'!G36+'10. Финансиране на ИП'!G42)/2+('10. Финансиране на ИП'!N36+'10. Финансиране на ИП'!N42)/2+('10. Финансиране на ИП'!U36+'10. Финансиране на ИП'!U42)/2+('10. Финансиране на ИП'!G48+'10. Финансиране на ИП'!G54)/2+('10. Финансиране на ИП'!N48+'10. Финансиране на ИП'!N54)/2+('10. Финансиране на ИП'!G60+'10. Финансиране на ИП'!G66)/2+('10. Финансиране на ИП'!N60+'10. Финансиране на ИП'!N66)/2</f>
        <v>682.21428571428601</v>
      </c>
      <c r="I17" s="3124">
        <f>('10. Финансиране на ИП'!H36+'10. Финансиране на ИП'!H42)/2+('10. Финансиране на ИП'!O36+'10. Финансиране на ИП'!O42)/2+('10. Финансиране на ИП'!V36+'10. Финансиране на ИП'!V42)/2+('10. Финансиране на ИП'!H48+'10. Финансиране на ИП'!H54)/2+('10. Финансиране на ИП'!O48+'10. Финансиране на ИП'!O54)/2+('10. Финансиране на ИП'!H60+'10. Финансиране на ИП'!H66)/2+('10. Финансиране на ИП'!O60+'10. Финансиране на ИП'!O66)/2</f>
        <v>400.92857142857179</v>
      </c>
      <c r="J17" s="3125">
        <f>('10. Финансиране на ИП'!I36+'10. Финансиране на ИП'!I42)/2+('10. Финансиране на ИП'!P36+'10. Финансиране на ИП'!P42)/2+('10. Финансиране на ИП'!W36+'10. Финансиране на ИП'!W42)/2+('10. Финансиране на ИП'!I48+'10. Финансиране на ИП'!I54)/2+('10. Финансиране на ИП'!P48+'10. Финансиране на ИП'!P54)/2+('10. Финансиране на ИП'!I60+'10. Финансиране на ИП'!I66)/2+('10. Финансиране на ИП'!P60+'10. Финансиране на ИП'!P66)/2</f>
        <v>130.14285714285731</v>
      </c>
    </row>
    <row r="18" spans="1:13" s="97" customFormat="1" ht="15" customHeight="1">
      <c r="A18" s="1185" t="s">
        <v>107</v>
      </c>
      <c r="B18" s="1132" t="s">
        <v>393</v>
      </c>
      <c r="C18" s="1131" t="s">
        <v>226</v>
      </c>
      <c r="D18" s="3071">
        <f>(('10. Финансиране на ИП'!C36+'10. Финансиране на ИП'!C42)/2)/'19. HB'!D17*'10. Финансиране на ИП'!C40+(('10. Финансиране на ИП'!J36+'10. Финансиране на ИП'!J42)/2)/'19. HB'!D17*'10. Финансиране на ИП'!J40+(('10. Финансиране на ИП'!Q36+'10. Финансиране на ИП'!Q42)/2)/'19. HB'!D17*'10. Финансиране на ИП'!Q40+(('10. Финансиране на ИП'!C48+'10. Финансиране на ИП'!C54)/2)/'19. HB'!D17*'10. Финансиране на ИП'!C52+(('10. Финансиране на ИП'!J48+'10. Финансиране на ИП'!J54)/2)/'19. HB'!D17*'10. Финансиране на ИП'!J52+(('10. Финансиране на ИП'!C60+'10. Финансиране на ИП'!C66)/2)/'19. HB'!D17*'10. Финансиране на ИП'!C64+(('10. Финансиране на ИП'!J60+'10. Финансиране на ИП'!J66)/2)/'19. HB'!D17*'10. Финансиране на ИП'!J64</f>
        <v>3.0597162391811244E-2</v>
      </c>
      <c r="E18" s="3071">
        <f>(('10. Финансиране на ИП'!D36+'10. Финансиране на ИП'!D42)/2)/'19. HB'!E17*'10. Финансиране на ИП'!D40+(('10. Финансиране на ИП'!K36+'10. Финансиране на ИП'!K42)/2)/'19. HB'!E17*'10. Финансиране на ИП'!K40+(('10. Финансиране на ИП'!R36+'10. Финансиране на ИП'!R42)/2)/'19. HB'!E17*'10. Финансиране на ИП'!R40+(('10. Финансиране на ИП'!D48+'10. Финансиране на ИП'!D54)/2)/'19. HB'!E17*'10. Финансиране на ИП'!D52+(('10. Финансиране на ИП'!K48+'10. Финансиране на ИП'!K54)/2)/'19. HB'!E17*'10. Финансиране на ИП'!K52+(('10. Финансиране на ИП'!D60+'10. Финансиране на ИП'!D66)/2)/'19. HB'!E17*'10. Финансиране на ИП'!D64+(('10. Финансиране на ИП'!K60+'10. Финансиране на ИП'!K66)/2)/'19. HB'!E17*'10. Финансиране на ИП'!K64</f>
        <v>3.0601450971214604E-2</v>
      </c>
      <c r="F18" s="3071">
        <f>(('10. Финансиране на ИП'!E36+'10. Финансиране на ИП'!E42)/2)/'19. HB'!F17*'10. Финансиране на ИП'!E40+(('10. Финансиране на ИП'!L36+'10. Финансиране на ИП'!L42)/2)/'19. HB'!F17*'10. Финансиране на ИП'!L40+(('10. Финансиране на ИП'!S36+'10. Финансиране на ИП'!S42)/2)/'19. HB'!F17*'10. Финансиране на ИП'!S40+(('10. Финансиране на ИП'!E48+'10. Финансиране на ИП'!E54)/2)/'19. HB'!F17*'10. Финансиране на ИП'!E52+(('10. Финансиране на ИП'!L48+'10. Финансиране на ИП'!L54)/2)/'19. HB'!F17*'10. Финансиране на ИП'!L52+(('10. Финансиране на ИП'!E60+'10. Финансиране на ИП'!E66)/2)/'19. HB'!F17*'10. Финансиране на ИП'!E64+(('10. Финансиране на ИП'!L60+'10. Финансиране на ИП'!L66)/2)/'19. HB'!F17*'10. Финансиране на ИП'!L64</f>
        <v>3.0607677741435701E-2</v>
      </c>
      <c r="G18" s="3071">
        <f>(('10. Финансиране на ИП'!F36+'10. Финансиране на ИП'!F42)/2)/'19. HB'!G17*'10. Финансиране на ИП'!F40+(('10. Финансиране на ИП'!M36+'10. Финансиране на ИП'!M42)/2)/'19. HB'!G17*'10. Финансиране на ИП'!M40+(('10. Финансиране на ИП'!T36+'10. Финансиране на ИП'!T42)/2)/'19. HB'!G17*'10. Финансиране на ИП'!T40+(('10. Финансиране на ИП'!F48+'10. Финансиране на ИП'!F54)/2)/'19. HB'!G17*'10. Финансиране на ИП'!F52+(('10. Финансиране на ИП'!M48+'10. Финансиране на ИП'!M54)/2)/'19. HB'!G17*'10. Финансиране на ИП'!M52+(('10. Финансиране на ИП'!F60+'10. Финансиране на ИП'!F66)/2)/'19. HB'!G17*'10. Финансиране на ИП'!F64+(('10. Финансиране на ИП'!M60+'10. Финансиране на ИП'!M66)/2)/'19. HB'!G17*'10. Финансиране на ИП'!M64</f>
        <v>3.0617540217955364E-2</v>
      </c>
      <c r="H18" s="3071">
        <f>(('10. Финансиране на ИП'!G36+'10. Финансиране на ИП'!G42)/2)/'19. HB'!H17*'10. Финансиране на ИП'!G40+(('10. Финансиране на ИП'!N36+'10. Финансиране на ИП'!N42)/2)/'19. HB'!H17*'10. Финансиране на ИП'!N40+(('10. Финансиране на ИП'!U36+'10. Финансиране на ИП'!U42)/2)/'19. HB'!H17*'10. Финансиране на ИП'!U40+(('10. Финансиране на ИП'!G48+'10. Финансиране на ИП'!G54)/2)/'19. HB'!H17*'10. Финансиране на ИП'!G52+(('10. Финансиране на ИП'!N48+'10. Финансиране на ИП'!N54)/2)/'19. HB'!H17*'10. Финансиране на ИП'!N52+(('10. Финансиране на ИП'!G60+'10. Финансиране на ИП'!G66)/2)/'19. HB'!H17*'10. Финансиране на ИП'!G64+(('10. Финансиране на ИП'!N60+'10. Финансиране на ИП'!N66)/2)/'19. HB'!H17*'10. Финансиране на ИП'!N64</f>
        <v>3.0635535546016109E-2</v>
      </c>
      <c r="I18" s="3071">
        <f>(('10. Финансиране на ИП'!H36+'10. Финансиране на ИП'!H42)/2)/'19. HB'!I17*'10. Финансиране на ИП'!H40+(('10. Финансиране на ИП'!O36+'10. Финансиране на ИП'!O42)/2)/'19. HB'!I17*'10. Финансиране на ИП'!O40+(('10. Финансиране на ИП'!V36+'10. Финансиране на ИП'!V42)/2)/'19. HB'!I17*'10. Финансиране на ИП'!V40+(('10. Финансиране на ИП'!H48+'10. Финансиране на ИП'!H54)/2)/'19. HB'!I17*'10. Финансиране на ИП'!H52+(('10. Финансиране на ИП'!O48+'10. Финансиране на ИП'!O54)/2)/'19. HB'!I17*'10. Финансиране на ИП'!O52+(('10. Финансиране на ИП'!H60+'10. Финансиране на ИП'!H66)/2)/'19. HB'!I17*'10. Финансиране на ИП'!H64+(('10. Финансиране на ИП'!O60+'10. Финансиране на ИП'!O66)/2)/'19. HB'!I17*'10. Финансиране на ИП'!O64</f>
        <v>3.0554070906823418E-2</v>
      </c>
      <c r="J18" s="3072">
        <f>(('10. Финансиране на ИП'!I36+'10. Финансиране на ИП'!I42)/2)/'19. HB'!J17*'10. Финансиране на ИП'!I40+(('10. Финансиране на ИП'!P36+'10. Финансиране на ИП'!P42)/2)/'19. HB'!J17*'10. Финансиране на ИП'!P40+(('10. Финансиране на ИП'!W36+'10. Финансиране на ИП'!W42)/2)/'19. HB'!J17*'10. Финансиране на ИП'!W40+(('10. Финансиране на ИП'!I48+'10. Финансиране на ИП'!I54)/2)/'19. HB'!J17*'10. Финансиране на ИП'!I52+(('10. Финансиране на ИП'!P48+'10. Финансиране на ИП'!P54)/2)/'19. HB'!J17*'10. Финансиране на ИП'!P52+(('10. Финансиране на ИП'!I60+'10. Финансиране на ИП'!I66)/2)/'19. HB'!J17*'10. Финансиране на ИП'!I64+(('10. Финансиране на ИП'!P60+'10. Финансиране на ИП'!P66)/2)/'19. HB'!J17*'10. Финансиране на ИП'!P64</f>
        <v>2.8046103183315001E-2</v>
      </c>
    </row>
    <row r="19" spans="1:13" s="97" customFormat="1" ht="15" customHeight="1">
      <c r="A19" s="1185" t="s">
        <v>225</v>
      </c>
      <c r="B19" s="1132" t="s">
        <v>394</v>
      </c>
      <c r="C19" s="2184" t="s">
        <v>391</v>
      </c>
      <c r="D19" s="786">
        <v>521.11900000000003</v>
      </c>
      <c r="E19" s="786">
        <v>357.697</v>
      </c>
      <c r="F19" s="786">
        <v>195.27500000000001</v>
      </c>
      <c r="G19" s="786">
        <v>32.853000000000009</v>
      </c>
      <c r="H19" s="786"/>
      <c r="I19" s="786"/>
      <c r="J19" s="786"/>
    </row>
    <row r="20" spans="1:13" s="97" customFormat="1" ht="15" customHeight="1">
      <c r="A20" s="1185" t="s">
        <v>306</v>
      </c>
      <c r="B20" s="1132" t="s">
        <v>395</v>
      </c>
      <c r="C20" s="1131" t="s">
        <v>226</v>
      </c>
      <c r="D20" s="3062">
        <v>0.05</v>
      </c>
      <c r="E20" s="3062">
        <v>0.05</v>
      </c>
      <c r="F20" s="3062">
        <v>0.05</v>
      </c>
      <c r="G20" s="3062">
        <v>0.05</v>
      </c>
      <c r="H20" s="3062"/>
      <c r="I20" s="3062"/>
      <c r="J20" s="3062"/>
    </row>
    <row r="21" spans="1:13" s="97" customFormat="1" ht="15" customHeight="1">
      <c r="A21" s="1185" t="s">
        <v>308</v>
      </c>
      <c r="B21" s="1132" t="s">
        <v>396</v>
      </c>
      <c r="C21" s="1131" t="s">
        <v>391</v>
      </c>
      <c r="D21" s="786"/>
      <c r="E21" s="786"/>
      <c r="F21" s="786"/>
      <c r="G21" s="786"/>
      <c r="H21" s="786"/>
      <c r="I21" s="786"/>
      <c r="J21" s="786"/>
    </row>
    <row r="22" spans="1:13" s="97" customFormat="1" ht="15" customHeight="1">
      <c r="A22" s="1185" t="s">
        <v>310</v>
      </c>
      <c r="B22" s="1132" t="s">
        <v>397</v>
      </c>
      <c r="C22" s="1133" t="s">
        <v>226</v>
      </c>
      <c r="D22" s="3062"/>
      <c r="E22" s="3062"/>
      <c r="F22" s="3062"/>
      <c r="G22" s="3062"/>
      <c r="H22" s="3062"/>
      <c r="I22" s="3062"/>
      <c r="J22" s="3062"/>
      <c r="M22" s="97" t="s">
        <v>263</v>
      </c>
    </row>
    <row r="23" spans="1:13" s="97" customFormat="1" ht="15" customHeight="1">
      <c r="A23" s="1184">
        <v>3</v>
      </c>
      <c r="B23" s="1126" t="s">
        <v>398</v>
      </c>
      <c r="C23" s="1127" t="s">
        <v>226</v>
      </c>
      <c r="D23" s="1134">
        <v>0.1</v>
      </c>
      <c r="E23" s="1134">
        <v>0.1</v>
      </c>
      <c r="F23" s="1134">
        <v>0.1</v>
      </c>
      <c r="G23" s="1134">
        <v>0.1</v>
      </c>
      <c r="H23" s="1134">
        <v>0.1</v>
      </c>
      <c r="I23" s="1134">
        <v>0.1</v>
      </c>
      <c r="J23" s="1135">
        <v>0.1</v>
      </c>
    </row>
    <row r="24" spans="1:13" s="97" customFormat="1" ht="15" customHeight="1">
      <c r="A24" s="1184">
        <v>4</v>
      </c>
      <c r="B24" s="1126" t="s">
        <v>1229</v>
      </c>
      <c r="C24" s="1127" t="s">
        <v>226</v>
      </c>
      <c r="D24" s="3062">
        <v>4.4699999999999997E-2</v>
      </c>
      <c r="E24" s="3062">
        <v>4.4699999999999997E-2</v>
      </c>
      <c r="F24" s="3062">
        <v>7.9899999999999999E-2</v>
      </c>
      <c r="G24" s="3062">
        <v>7.9899999999999999E-2</v>
      </c>
      <c r="H24" s="3062">
        <v>7.9899999999999999E-2</v>
      </c>
      <c r="I24" s="3062">
        <v>7.9899999999999999E-2</v>
      </c>
      <c r="J24" s="3062">
        <v>7.9899999999999999E-2</v>
      </c>
    </row>
    <row r="25" spans="1:13" s="97" customFormat="1" ht="15" customHeight="1">
      <c r="A25" s="1184" t="s">
        <v>770</v>
      </c>
      <c r="B25" s="1126" t="s">
        <v>399</v>
      </c>
      <c r="C25" s="1127" t="s">
        <v>226</v>
      </c>
      <c r="D25" s="1134">
        <f t="shared" ref="D25:J25" si="2">IF(D16=0,0,(D17*D18+D19*D20+D21*D22)/D16)</f>
        <v>3.4939567772497196E-2</v>
      </c>
      <c r="E25" s="1134">
        <f t="shared" si="2"/>
        <v>3.4284920067897337E-2</v>
      </c>
      <c r="F25" s="1134">
        <f t="shared" si="2"/>
        <v>3.3237313902935633E-2</v>
      </c>
      <c r="G25" s="1134">
        <f t="shared" si="2"/>
        <v>3.125664297693688E-2</v>
      </c>
      <c r="H25" s="1134">
        <f t="shared" si="2"/>
        <v>3.0635535546016109E-2</v>
      </c>
      <c r="I25" s="1134">
        <f t="shared" si="2"/>
        <v>3.0554070906823418E-2</v>
      </c>
      <c r="J25" s="1135">
        <f t="shared" si="2"/>
        <v>2.8046103183315001E-2</v>
      </c>
    </row>
    <row r="26" spans="1:13" s="97" customFormat="1" ht="15" customHeight="1">
      <c r="A26" s="1184" t="s">
        <v>771</v>
      </c>
      <c r="B26" s="1126" t="s">
        <v>1228</v>
      </c>
      <c r="C26" s="1127" t="s">
        <v>226</v>
      </c>
      <c r="D26" s="3062"/>
      <c r="E26" s="3062"/>
      <c r="F26" s="3062"/>
      <c r="G26" s="3062"/>
      <c r="H26" s="3062"/>
      <c r="I26" s="3062"/>
      <c r="J26" s="3062"/>
    </row>
    <row r="27" spans="1:13" s="97" customFormat="1" ht="15" customHeight="1">
      <c r="A27" s="1184">
        <v>6</v>
      </c>
      <c r="B27" s="1126" t="s">
        <v>400</v>
      </c>
      <c r="C27" s="1127" t="s">
        <v>226</v>
      </c>
      <c r="D27" s="1134">
        <f t="shared" ref="D27:J27" si="3">IF(D13+D16=0,0,(D13)/(D13+D16))</f>
        <v>0.23492873491979308</v>
      </c>
      <c r="E27" s="1134">
        <f t="shared" si="3"/>
        <v>0.56492628655593891</v>
      </c>
      <c r="F27" s="1134">
        <f t="shared" si="3"/>
        <v>0.90186375969142585</v>
      </c>
      <c r="G27" s="1134">
        <f t="shared" si="3"/>
        <v>0.93926178989315856</v>
      </c>
      <c r="H27" s="1134">
        <f t="shared" si="3"/>
        <v>0.96303346825611447</v>
      </c>
      <c r="I27" s="1134">
        <f t="shared" si="3"/>
        <v>0.98050871402267747</v>
      </c>
      <c r="J27" s="1135">
        <f t="shared" si="3"/>
        <v>0.99431065643242844</v>
      </c>
    </row>
    <row r="28" spans="1:13" s="97" customFormat="1" ht="15" customHeight="1">
      <c r="A28" s="1184">
        <v>7</v>
      </c>
      <c r="B28" s="1126" t="s">
        <v>401</v>
      </c>
      <c r="C28" s="1127" t="s">
        <v>226</v>
      </c>
      <c r="D28" s="1134">
        <f t="shared" ref="D28:J28" si="4">IF(D16+D13=0,0,(D16)/(D16+D13))</f>
        <v>0.76507126508020695</v>
      </c>
      <c r="E28" s="1134">
        <f t="shared" si="4"/>
        <v>0.43507371344406115</v>
      </c>
      <c r="F28" s="1134">
        <f t="shared" si="4"/>
        <v>9.8136240308574096E-2</v>
      </c>
      <c r="G28" s="1134">
        <f t="shared" si="4"/>
        <v>6.0738210106841467E-2</v>
      </c>
      <c r="H28" s="1134">
        <f t="shared" si="4"/>
        <v>3.6966531743885533E-2</v>
      </c>
      <c r="I28" s="1134">
        <f t="shared" si="4"/>
        <v>1.9491285977322519E-2</v>
      </c>
      <c r="J28" s="1135">
        <f t="shared" si="4"/>
        <v>5.6893435675714693E-3</v>
      </c>
    </row>
    <row r="29" spans="1:13" s="97" customFormat="1" ht="16.5" customHeight="1">
      <c r="A29" s="1186">
        <v>8</v>
      </c>
      <c r="B29" s="1136" t="s">
        <v>947</v>
      </c>
      <c r="C29" s="1137" t="s">
        <v>226</v>
      </c>
      <c r="D29" s="1138">
        <f>MIN(D25,D26)*D28+D24*D27*(D23/(1-D23)+1)</f>
        <v>3.8399386484743114E-2</v>
      </c>
      <c r="E29" s="1138">
        <f t="shared" ref="E29:J29" si="5">MIN(E25,E26)*E28+E24*E27*(E23/(1-E23)+1)</f>
        <v>4.2974473054684541E-2</v>
      </c>
      <c r="F29" s="1138">
        <f t="shared" si="5"/>
        <v>8.3327245468106589E-2</v>
      </c>
      <c r="G29" s="1138">
        <f t="shared" si="5"/>
        <v>8.5284047006660368E-2</v>
      </c>
      <c r="H29" s="1138">
        <f t="shared" si="5"/>
        <v>8.6628460734656687E-2</v>
      </c>
      <c r="I29" s="1138">
        <f t="shared" si="5"/>
        <v>8.7642922856496205E-2</v>
      </c>
      <c r="J29" s="1495">
        <f t="shared" si="5"/>
        <v>8.8432254415575923E-2</v>
      </c>
    </row>
    <row r="30" spans="1:13" s="97" customFormat="1" ht="15" customHeight="1">
      <c r="A30" s="1185" t="s">
        <v>243</v>
      </c>
      <c r="B30" s="1139" t="s">
        <v>402</v>
      </c>
      <c r="C30" s="1131" t="s">
        <v>391</v>
      </c>
      <c r="D30" s="2520"/>
      <c r="E30" s="2520"/>
      <c r="F30" s="1140">
        <f>'17. РБА'!E21*'19. HB'!F29</f>
        <v>1015.8194039198366</v>
      </c>
      <c r="G30" s="1140">
        <f>'17. РБА'!F21*'19. HB'!G29</f>
        <v>1114.8995400484512</v>
      </c>
      <c r="H30" s="1140">
        <f>'17. РБА'!G21*'19. HB'!H29</f>
        <v>1208.5280917583159</v>
      </c>
      <c r="I30" s="1140">
        <f>'17. РБА'!H21*'19. HB'!I29</f>
        <v>1301.8869078761882</v>
      </c>
      <c r="J30" s="1141">
        <f>'17. РБА'!I21*'19. HB'!J29</f>
        <v>1408.8755718509815</v>
      </c>
    </row>
    <row r="31" spans="1:13" ht="15" customHeight="1">
      <c r="A31" s="1185" t="s">
        <v>403</v>
      </c>
      <c r="B31" s="1139" t="s">
        <v>404</v>
      </c>
      <c r="C31" s="1131" t="s">
        <v>391</v>
      </c>
      <c r="D31" s="2520"/>
      <c r="E31" s="2520"/>
      <c r="F31" s="1140">
        <f>'17. РБА'!L21*'19. HB'!F29</f>
        <v>58.920930887246513</v>
      </c>
      <c r="G31" s="1140">
        <f>'17. РБА'!M21*'19. HB'!G29</f>
        <v>76.299337710215923</v>
      </c>
      <c r="H31" s="1140">
        <f>'17. РБА'!N21*'19. HB'!H29</f>
        <v>93.642820726128392</v>
      </c>
      <c r="I31" s="1140">
        <f>'17. РБА'!O21*'19. HB'!I29</f>
        <v>107.98021623209921</v>
      </c>
      <c r="J31" s="1141">
        <f>'17. РБА'!P21*'19. HB'!J29</f>
        <v>118.95016305803443</v>
      </c>
    </row>
    <row r="32" spans="1:13" ht="15" customHeight="1">
      <c r="A32" s="1185" t="s">
        <v>405</v>
      </c>
      <c r="B32" s="1139" t="s">
        <v>406</v>
      </c>
      <c r="C32" s="1131" t="s">
        <v>391</v>
      </c>
      <c r="D32" s="2520"/>
      <c r="E32" s="2520"/>
      <c r="F32" s="1140">
        <f>'17. РБА'!S21*'19. HB'!F29</f>
        <v>69.202060645634845</v>
      </c>
      <c r="G32" s="1140">
        <f>'17. РБА'!T21*'19. HB'!G29</f>
        <v>100.01757907278174</v>
      </c>
      <c r="H32" s="1140">
        <f>'17. РБА'!U21*'19. HB'!H29</f>
        <v>132.96058423416079</v>
      </c>
      <c r="I32" s="1140">
        <f>'17. РБА'!V21*'19. HB'!I29</f>
        <v>162.22483940672419</v>
      </c>
      <c r="J32" s="1141">
        <f>'17. РБА'!W21*'19. HB'!J29</f>
        <v>185.12926160841664</v>
      </c>
    </row>
    <row r="33" spans="1:11" ht="15" customHeight="1" thickBot="1">
      <c r="A33" s="1187">
        <v>9</v>
      </c>
      <c r="B33" s="1142" t="s">
        <v>407</v>
      </c>
      <c r="C33" s="1143" t="s">
        <v>391</v>
      </c>
      <c r="D33" s="2521"/>
      <c r="E33" s="2521"/>
      <c r="F33" s="1144">
        <f>F30+F31+F32</f>
        <v>1143.9423954527181</v>
      </c>
      <c r="G33" s="1144">
        <f>G30+G31+G32</f>
        <v>1291.2164568314488</v>
      </c>
      <c r="H33" s="1144">
        <f>H30+H31+H32</f>
        <v>1435.1314967186049</v>
      </c>
      <c r="I33" s="1144">
        <f>I30+I31+I32</f>
        <v>1572.0919635150115</v>
      </c>
      <c r="J33" s="1145">
        <f>J30+J31+J32</f>
        <v>1712.9549965174324</v>
      </c>
    </row>
    <row r="34" spans="1:11" ht="12.75">
      <c r="B34" s="98"/>
      <c r="C34" s="99"/>
      <c r="D34" s="99"/>
      <c r="E34" s="99"/>
    </row>
    <row r="35" spans="1:11" customFormat="1" ht="15">
      <c r="A35" s="72"/>
      <c r="B35" s="396" t="str">
        <f>'18. OK'!B24</f>
        <v>Дата: 10.11.2017 г.</v>
      </c>
      <c r="C35" s="74"/>
      <c r="D35" s="74"/>
      <c r="E35" s="74"/>
      <c r="F35" s="91"/>
      <c r="G35" s="91"/>
      <c r="H35" s="91"/>
      <c r="I35" s="91"/>
      <c r="J35" s="91"/>
      <c r="K35" s="91"/>
    </row>
    <row r="36" spans="1:11" customFormat="1" ht="12.75">
      <c r="F36" s="574" t="str">
        <f>'14. ОПР'!D49</f>
        <v>Главен счетоводител:</v>
      </c>
      <c r="G36" s="289"/>
      <c r="H36" s="219" t="s">
        <v>262</v>
      </c>
      <c r="I36" s="199"/>
      <c r="J36" s="199"/>
    </row>
    <row r="37" spans="1:11" customFormat="1" ht="12.75">
      <c r="A37" s="3658" t="s">
        <v>247</v>
      </c>
      <c r="B37" s="3658"/>
      <c r="C37" s="3658"/>
      <c r="F37" s="288"/>
      <c r="G37" s="220"/>
      <c r="H37" s="290"/>
      <c r="I37" s="291" t="s">
        <v>5</v>
      </c>
      <c r="J37" s="199"/>
    </row>
    <row r="38" spans="1:11" customFormat="1" ht="12.75">
      <c r="A38" s="3502" t="s">
        <v>248</v>
      </c>
      <c r="B38" s="3502"/>
      <c r="C38" s="3502"/>
      <c r="F38" s="288"/>
      <c r="G38" s="220"/>
      <c r="H38" s="290"/>
      <c r="I38" s="291"/>
      <c r="J38" s="199"/>
    </row>
    <row r="39" spans="1:11" customFormat="1" ht="12.75">
      <c r="A39" s="3502" t="s">
        <v>1467</v>
      </c>
      <c r="B39" s="3502"/>
      <c r="C39" s="3502"/>
      <c r="F39" s="288"/>
      <c r="G39" s="220"/>
      <c r="H39" s="290"/>
      <c r="I39" s="291"/>
      <c r="J39" s="199"/>
    </row>
    <row r="40" spans="1:11" customFormat="1" ht="13.5">
      <c r="A40" s="3703" t="s">
        <v>1515</v>
      </c>
      <c r="B40" s="3703"/>
      <c r="C40" s="3703"/>
      <c r="D40" s="666"/>
      <c r="E40" s="666"/>
      <c r="F40" s="292" t="str">
        <f>'14. ОПР'!E54</f>
        <v>Управител:</v>
      </c>
      <c r="H40" s="219" t="s">
        <v>262</v>
      </c>
      <c r="I40" s="217"/>
      <c r="J40" s="199"/>
    </row>
    <row r="41" spans="1:11" customFormat="1" ht="12.75">
      <c r="A41" s="3703" t="s">
        <v>1507</v>
      </c>
      <c r="B41" s="3703"/>
      <c r="C41" s="3703"/>
      <c r="D41" s="3703"/>
      <c r="E41" s="667"/>
      <c r="F41" s="288"/>
      <c r="G41" s="293"/>
      <c r="H41" s="290"/>
      <c r="I41" s="291" t="s">
        <v>6</v>
      </c>
      <c r="J41" s="199"/>
    </row>
    <row r="42" spans="1:11">
      <c r="B42" s="2519" t="s">
        <v>1516</v>
      </c>
    </row>
    <row r="43" spans="1:11">
      <c r="B43" s="2519" t="s">
        <v>1514</v>
      </c>
    </row>
    <row r="44" spans="1:11">
      <c r="B44" s="2519" t="s">
        <v>1517</v>
      </c>
    </row>
    <row r="45" spans="1:11">
      <c r="B45" s="2519" t="s">
        <v>1518</v>
      </c>
    </row>
    <row r="46" spans="1:11">
      <c r="B46" s="2519" t="s">
        <v>1519</v>
      </c>
    </row>
    <row r="47" spans="1:11" ht="39.75" customHeight="1">
      <c r="A47" s="3703" t="s">
        <v>1508</v>
      </c>
      <c r="B47" s="3703"/>
      <c r="C47" s="3703"/>
      <c r="D47" s="3703"/>
    </row>
    <row r="48" spans="1:11">
      <c r="B48" s="2519" t="s">
        <v>1520</v>
      </c>
    </row>
    <row r="49" spans="2:2">
      <c r="B49" s="2519" t="s">
        <v>1521</v>
      </c>
    </row>
    <row r="50" spans="2:2">
      <c r="B50" s="2519" t="s">
        <v>1522</v>
      </c>
    </row>
    <row r="51" spans="2:2">
      <c r="B51" s="2519" t="s">
        <v>1523</v>
      </c>
    </row>
  </sheetData>
  <sheetProtection formatCells="0" formatColumns="0" formatRows="0"/>
  <mergeCells count="10">
    <mergeCell ref="A47:D47"/>
    <mergeCell ref="A37:C37"/>
    <mergeCell ref="A38:C38"/>
    <mergeCell ref="A2:J2"/>
    <mergeCell ref="A3:J3"/>
    <mergeCell ref="A4:J4"/>
    <mergeCell ref="A5:J5"/>
    <mergeCell ref="A40:C40"/>
    <mergeCell ref="A39:C39"/>
    <mergeCell ref="A41:D41"/>
  </mergeCells>
  <dataValidations count="1">
    <dataValidation type="list" allowBlank="1" showInputMessage="1" showErrorMessage="1" sqref="C8:C9">
      <formula1>"ДА,НЕ"</formula1>
    </dataValidation>
  </dataValidations>
  <printOptions horizontalCentered="1" verticalCentered="1"/>
  <pageMargins left="0.39370078740157483" right="0.39370078740157483" top="0.59055118110236227" bottom="0.19685039370078741" header="0.51181102362204722" footer="0.51181102362204722"/>
  <pageSetup paperSize="9" scale="7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70C0"/>
  </sheetPr>
  <dimension ref="A1:U29"/>
  <sheetViews>
    <sheetView showGridLines="0" zoomScaleNormal="100" zoomScaleSheetLayoutView="100" workbookViewId="0">
      <selection activeCell="F19" sqref="F19"/>
    </sheetView>
  </sheetViews>
  <sheetFormatPr defaultRowHeight="12.75"/>
  <cols>
    <col min="1" max="1" width="4.85546875" customWidth="1"/>
    <col min="2" max="2" width="38.140625" customWidth="1"/>
    <col min="3" max="3" width="9.85546875" customWidth="1"/>
    <col min="4" max="18" width="7.7109375" customWidth="1"/>
    <col min="19" max="19" width="8.28515625" customWidth="1"/>
    <col min="20" max="20" width="11" customWidth="1"/>
    <col min="269" max="269" width="6.42578125" customWidth="1"/>
    <col min="270" max="270" width="51.85546875" customWidth="1"/>
    <col min="271" max="271" width="9.7109375" customWidth="1"/>
    <col min="272" max="274" width="13.7109375" customWidth="1"/>
    <col min="275" max="275" width="8.28515625" customWidth="1"/>
    <col min="276" max="276" width="11" customWidth="1"/>
    <col min="525" max="525" width="6.42578125" customWidth="1"/>
    <col min="526" max="526" width="51.85546875" customWidth="1"/>
    <col min="527" max="527" width="9.7109375" customWidth="1"/>
    <col min="528" max="530" width="13.7109375" customWidth="1"/>
    <col min="531" max="531" width="8.28515625" customWidth="1"/>
    <col min="532" max="532" width="11" customWidth="1"/>
    <col min="781" max="781" width="6.42578125" customWidth="1"/>
    <col min="782" max="782" width="51.85546875" customWidth="1"/>
    <col min="783" max="783" width="9.7109375" customWidth="1"/>
    <col min="784" max="786" width="13.7109375" customWidth="1"/>
    <col min="787" max="787" width="8.28515625" customWidth="1"/>
    <col min="788" max="788" width="11" customWidth="1"/>
    <col min="1037" max="1037" width="6.42578125" customWidth="1"/>
    <col min="1038" max="1038" width="51.85546875" customWidth="1"/>
    <col min="1039" max="1039" width="9.7109375" customWidth="1"/>
    <col min="1040" max="1042" width="13.7109375" customWidth="1"/>
    <col min="1043" max="1043" width="8.28515625" customWidth="1"/>
    <col min="1044" max="1044" width="11" customWidth="1"/>
    <col min="1293" max="1293" width="6.42578125" customWidth="1"/>
    <col min="1294" max="1294" width="51.85546875" customWidth="1"/>
    <col min="1295" max="1295" width="9.7109375" customWidth="1"/>
    <col min="1296" max="1298" width="13.7109375" customWidth="1"/>
    <col min="1299" max="1299" width="8.28515625" customWidth="1"/>
    <col min="1300" max="1300" width="11" customWidth="1"/>
    <col min="1549" max="1549" width="6.42578125" customWidth="1"/>
    <col min="1550" max="1550" width="51.85546875" customWidth="1"/>
    <col min="1551" max="1551" width="9.7109375" customWidth="1"/>
    <col min="1552" max="1554" width="13.7109375" customWidth="1"/>
    <col min="1555" max="1555" width="8.28515625" customWidth="1"/>
    <col min="1556" max="1556" width="11" customWidth="1"/>
    <col min="1805" max="1805" width="6.42578125" customWidth="1"/>
    <col min="1806" max="1806" width="51.85546875" customWidth="1"/>
    <col min="1807" max="1807" width="9.7109375" customWidth="1"/>
    <col min="1808" max="1810" width="13.7109375" customWidth="1"/>
    <col min="1811" max="1811" width="8.28515625" customWidth="1"/>
    <col min="1812" max="1812" width="11" customWidth="1"/>
    <col min="2061" max="2061" width="6.42578125" customWidth="1"/>
    <col min="2062" max="2062" width="51.85546875" customWidth="1"/>
    <col min="2063" max="2063" width="9.7109375" customWidth="1"/>
    <col min="2064" max="2066" width="13.7109375" customWidth="1"/>
    <col min="2067" max="2067" width="8.28515625" customWidth="1"/>
    <col min="2068" max="2068" width="11" customWidth="1"/>
    <col min="2317" max="2317" width="6.42578125" customWidth="1"/>
    <col min="2318" max="2318" width="51.85546875" customWidth="1"/>
    <col min="2319" max="2319" width="9.7109375" customWidth="1"/>
    <col min="2320" max="2322" width="13.7109375" customWidth="1"/>
    <col min="2323" max="2323" width="8.28515625" customWidth="1"/>
    <col min="2324" max="2324" width="11" customWidth="1"/>
    <col min="2573" max="2573" width="6.42578125" customWidth="1"/>
    <col min="2574" max="2574" width="51.85546875" customWidth="1"/>
    <col min="2575" max="2575" width="9.7109375" customWidth="1"/>
    <col min="2576" max="2578" width="13.7109375" customWidth="1"/>
    <col min="2579" max="2579" width="8.28515625" customWidth="1"/>
    <col min="2580" max="2580" width="11" customWidth="1"/>
    <col min="2829" max="2829" width="6.42578125" customWidth="1"/>
    <col min="2830" max="2830" width="51.85546875" customWidth="1"/>
    <col min="2831" max="2831" width="9.7109375" customWidth="1"/>
    <col min="2832" max="2834" width="13.7109375" customWidth="1"/>
    <col min="2835" max="2835" width="8.28515625" customWidth="1"/>
    <col min="2836" max="2836" width="11" customWidth="1"/>
    <col min="3085" max="3085" width="6.42578125" customWidth="1"/>
    <col min="3086" max="3086" width="51.85546875" customWidth="1"/>
    <col min="3087" max="3087" width="9.7109375" customWidth="1"/>
    <col min="3088" max="3090" width="13.7109375" customWidth="1"/>
    <col min="3091" max="3091" width="8.28515625" customWidth="1"/>
    <col min="3092" max="3092" width="11" customWidth="1"/>
    <col min="3341" max="3341" width="6.42578125" customWidth="1"/>
    <col min="3342" max="3342" width="51.85546875" customWidth="1"/>
    <col min="3343" max="3343" width="9.7109375" customWidth="1"/>
    <col min="3344" max="3346" width="13.7109375" customWidth="1"/>
    <col min="3347" max="3347" width="8.28515625" customWidth="1"/>
    <col min="3348" max="3348" width="11" customWidth="1"/>
    <col min="3597" max="3597" width="6.42578125" customWidth="1"/>
    <col min="3598" max="3598" width="51.85546875" customWidth="1"/>
    <col min="3599" max="3599" width="9.7109375" customWidth="1"/>
    <col min="3600" max="3602" width="13.7109375" customWidth="1"/>
    <col min="3603" max="3603" width="8.28515625" customWidth="1"/>
    <col min="3604" max="3604" width="11" customWidth="1"/>
    <col min="3853" max="3853" width="6.42578125" customWidth="1"/>
    <col min="3854" max="3854" width="51.85546875" customWidth="1"/>
    <col min="3855" max="3855" width="9.7109375" customWidth="1"/>
    <col min="3856" max="3858" width="13.7109375" customWidth="1"/>
    <col min="3859" max="3859" width="8.28515625" customWidth="1"/>
    <col min="3860" max="3860" width="11" customWidth="1"/>
    <col min="4109" max="4109" width="6.42578125" customWidth="1"/>
    <col min="4110" max="4110" width="51.85546875" customWidth="1"/>
    <col min="4111" max="4111" width="9.7109375" customWidth="1"/>
    <col min="4112" max="4114" width="13.7109375" customWidth="1"/>
    <col min="4115" max="4115" width="8.28515625" customWidth="1"/>
    <col min="4116" max="4116" width="11" customWidth="1"/>
    <col min="4365" max="4365" width="6.42578125" customWidth="1"/>
    <col min="4366" max="4366" width="51.85546875" customWidth="1"/>
    <col min="4367" max="4367" width="9.7109375" customWidth="1"/>
    <col min="4368" max="4370" width="13.7109375" customWidth="1"/>
    <col min="4371" max="4371" width="8.28515625" customWidth="1"/>
    <col min="4372" max="4372" width="11" customWidth="1"/>
    <col min="4621" max="4621" width="6.42578125" customWidth="1"/>
    <col min="4622" max="4622" width="51.85546875" customWidth="1"/>
    <col min="4623" max="4623" width="9.7109375" customWidth="1"/>
    <col min="4624" max="4626" width="13.7109375" customWidth="1"/>
    <col min="4627" max="4627" width="8.28515625" customWidth="1"/>
    <col min="4628" max="4628" width="11" customWidth="1"/>
    <col min="4877" max="4877" width="6.42578125" customWidth="1"/>
    <col min="4878" max="4878" width="51.85546875" customWidth="1"/>
    <col min="4879" max="4879" width="9.7109375" customWidth="1"/>
    <col min="4880" max="4882" width="13.7109375" customWidth="1"/>
    <col min="4883" max="4883" width="8.28515625" customWidth="1"/>
    <col min="4884" max="4884" width="11" customWidth="1"/>
    <col min="5133" max="5133" width="6.42578125" customWidth="1"/>
    <col min="5134" max="5134" width="51.85546875" customWidth="1"/>
    <col min="5135" max="5135" width="9.7109375" customWidth="1"/>
    <col min="5136" max="5138" width="13.7109375" customWidth="1"/>
    <col min="5139" max="5139" width="8.28515625" customWidth="1"/>
    <col min="5140" max="5140" width="11" customWidth="1"/>
    <col min="5389" max="5389" width="6.42578125" customWidth="1"/>
    <col min="5390" max="5390" width="51.85546875" customWidth="1"/>
    <col min="5391" max="5391" width="9.7109375" customWidth="1"/>
    <col min="5392" max="5394" width="13.7109375" customWidth="1"/>
    <col min="5395" max="5395" width="8.28515625" customWidth="1"/>
    <col min="5396" max="5396" width="11" customWidth="1"/>
    <col min="5645" max="5645" width="6.42578125" customWidth="1"/>
    <col min="5646" max="5646" width="51.85546875" customWidth="1"/>
    <col min="5647" max="5647" width="9.7109375" customWidth="1"/>
    <col min="5648" max="5650" width="13.7109375" customWidth="1"/>
    <col min="5651" max="5651" width="8.28515625" customWidth="1"/>
    <col min="5652" max="5652" width="11" customWidth="1"/>
    <col min="5901" max="5901" width="6.42578125" customWidth="1"/>
    <col min="5902" max="5902" width="51.85546875" customWidth="1"/>
    <col min="5903" max="5903" width="9.7109375" customWidth="1"/>
    <col min="5904" max="5906" width="13.7109375" customWidth="1"/>
    <col min="5907" max="5907" width="8.28515625" customWidth="1"/>
    <col min="5908" max="5908" width="11" customWidth="1"/>
    <col min="6157" max="6157" width="6.42578125" customWidth="1"/>
    <col min="6158" max="6158" width="51.85546875" customWidth="1"/>
    <col min="6159" max="6159" width="9.7109375" customWidth="1"/>
    <col min="6160" max="6162" width="13.7109375" customWidth="1"/>
    <col min="6163" max="6163" width="8.28515625" customWidth="1"/>
    <col min="6164" max="6164" width="11" customWidth="1"/>
    <col min="6413" max="6413" width="6.42578125" customWidth="1"/>
    <col min="6414" max="6414" width="51.85546875" customWidth="1"/>
    <col min="6415" max="6415" width="9.7109375" customWidth="1"/>
    <col min="6416" max="6418" width="13.7109375" customWidth="1"/>
    <col min="6419" max="6419" width="8.28515625" customWidth="1"/>
    <col min="6420" max="6420" width="11" customWidth="1"/>
    <col min="6669" max="6669" width="6.42578125" customWidth="1"/>
    <col min="6670" max="6670" width="51.85546875" customWidth="1"/>
    <col min="6671" max="6671" width="9.7109375" customWidth="1"/>
    <col min="6672" max="6674" width="13.7109375" customWidth="1"/>
    <col min="6675" max="6675" width="8.28515625" customWidth="1"/>
    <col min="6676" max="6676" width="11" customWidth="1"/>
    <col min="6925" max="6925" width="6.42578125" customWidth="1"/>
    <col min="6926" max="6926" width="51.85546875" customWidth="1"/>
    <col min="6927" max="6927" width="9.7109375" customWidth="1"/>
    <col min="6928" max="6930" width="13.7109375" customWidth="1"/>
    <col min="6931" max="6931" width="8.28515625" customWidth="1"/>
    <col min="6932" max="6932" width="11" customWidth="1"/>
    <col min="7181" max="7181" width="6.42578125" customWidth="1"/>
    <col min="7182" max="7182" width="51.85546875" customWidth="1"/>
    <col min="7183" max="7183" width="9.7109375" customWidth="1"/>
    <col min="7184" max="7186" width="13.7109375" customWidth="1"/>
    <col min="7187" max="7187" width="8.28515625" customWidth="1"/>
    <col min="7188" max="7188" width="11" customWidth="1"/>
    <col min="7437" max="7437" width="6.42578125" customWidth="1"/>
    <col min="7438" max="7438" width="51.85546875" customWidth="1"/>
    <col min="7439" max="7439" width="9.7109375" customWidth="1"/>
    <col min="7440" max="7442" width="13.7109375" customWidth="1"/>
    <col min="7443" max="7443" width="8.28515625" customWidth="1"/>
    <col min="7444" max="7444" width="11" customWidth="1"/>
    <col min="7693" max="7693" width="6.42578125" customWidth="1"/>
    <col min="7694" max="7694" width="51.85546875" customWidth="1"/>
    <col min="7695" max="7695" width="9.7109375" customWidth="1"/>
    <col min="7696" max="7698" width="13.7109375" customWidth="1"/>
    <col min="7699" max="7699" width="8.28515625" customWidth="1"/>
    <col min="7700" max="7700" width="11" customWidth="1"/>
    <col min="7949" max="7949" width="6.42578125" customWidth="1"/>
    <col min="7950" max="7950" width="51.85546875" customWidth="1"/>
    <col min="7951" max="7951" width="9.7109375" customWidth="1"/>
    <col min="7952" max="7954" width="13.7109375" customWidth="1"/>
    <col min="7955" max="7955" width="8.28515625" customWidth="1"/>
    <col min="7956" max="7956" width="11" customWidth="1"/>
    <col min="8205" max="8205" width="6.42578125" customWidth="1"/>
    <col min="8206" max="8206" width="51.85546875" customWidth="1"/>
    <col min="8207" max="8207" width="9.7109375" customWidth="1"/>
    <col min="8208" max="8210" width="13.7109375" customWidth="1"/>
    <col min="8211" max="8211" width="8.28515625" customWidth="1"/>
    <col min="8212" max="8212" width="11" customWidth="1"/>
    <col min="8461" max="8461" width="6.42578125" customWidth="1"/>
    <col min="8462" max="8462" width="51.85546875" customWidth="1"/>
    <col min="8463" max="8463" width="9.7109375" customWidth="1"/>
    <col min="8464" max="8466" width="13.7109375" customWidth="1"/>
    <col min="8467" max="8467" width="8.28515625" customWidth="1"/>
    <col min="8468" max="8468" width="11" customWidth="1"/>
    <col min="8717" max="8717" width="6.42578125" customWidth="1"/>
    <col min="8718" max="8718" width="51.85546875" customWidth="1"/>
    <col min="8719" max="8719" width="9.7109375" customWidth="1"/>
    <col min="8720" max="8722" width="13.7109375" customWidth="1"/>
    <col min="8723" max="8723" width="8.28515625" customWidth="1"/>
    <col min="8724" max="8724" width="11" customWidth="1"/>
    <col min="8973" max="8973" width="6.42578125" customWidth="1"/>
    <col min="8974" max="8974" width="51.85546875" customWidth="1"/>
    <col min="8975" max="8975" width="9.7109375" customWidth="1"/>
    <col min="8976" max="8978" width="13.7109375" customWidth="1"/>
    <col min="8979" max="8979" width="8.28515625" customWidth="1"/>
    <col min="8980" max="8980" width="11" customWidth="1"/>
    <col min="9229" max="9229" width="6.42578125" customWidth="1"/>
    <col min="9230" max="9230" width="51.85546875" customWidth="1"/>
    <col min="9231" max="9231" width="9.7109375" customWidth="1"/>
    <col min="9232" max="9234" width="13.7109375" customWidth="1"/>
    <col min="9235" max="9235" width="8.28515625" customWidth="1"/>
    <col min="9236" max="9236" width="11" customWidth="1"/>
    <col min="9485" max="9485" width="6.42578125" customWidth="1"/>
    <col min="9486" max="9486" width="51.85546875" customWidth="1"/>
    <col min="9487" max="9487" width="9.7109375" customWidth="1"/>
    <col min="9488" max="9490" width="13.7109375" customWidth="1"/>
    <col min="9491" max="9491" width="8.28515625" customWidth="1"/>
    <col min="9492" max="9492" width="11" customWidth="1"/>
    <col min="9741" max="9741" width="6.42578125" customWidth="1"/>
    <col min="9742" max="9742" width="51.85546875" customWidth="1"/>
    <col min="9743" max="9743" width="9.7109375" customWidth="1"/>
    <col min="9744" max="9746" width="13.7109375" customWidth="1"/>
    <col min="9747" max="9747" width="8.28515625" customWidth="1"/>
    <col min="9748" max="9748" width="11" customWidth="1"/>
    <col min="9997" max="9997" width="6.42578125" customWidth="1"/>
    <col min="9998" max="9998" width="51.85546875" customWidth="1"/>
    <col min="9999" max="9999" width="9.7109375" customWidth="1"/>
    <col min="10000" max="10002" width="13.7109375" customWidth="1"/>
    <col min="10003" max="10003" width="8.28515625" customWidth="1"/>
    <col min="10004" max="10004" width="11" customWidth="1"/>
    <col min="10253" max="10253" width="6.42578125" customWidth="1"/>
    <col min="10254" max="10254" width="51.85546875" customWidth="1"/>
    <col min="10255" max="10255" width="9.7109375" customWidth="1"/>
    <col min="10256" max="10258" width="13.7109375" customWidth="1"/>
    <col min="10259" max="10259" width="8.28515625" customWidth="1"/>
    <col min="10260" max="10260" width="11" customWidth="1"/>
    <col min="10509" max="10509" width="6.42578125" customWidth="1"/>
    <col min="10510" max="10510" width="51.85546875" customWidth="1"/>
    <col min="10511" max="10511" width="9.7109375" customWidth="1"/>
    <col min="10512" max="10514" width="13.7109375" customWidth="1"/>
    <col min="10515" max="10515" width="8.28515625" customWidth="1"/>
    <col min="10516" max="10516" width="11" customWidth="1"/>
    <col min="10765" max="10765" width="6.42578125" customWidth="1"/>
    <col min="10766" max="10766" width="51.85546875" customWidth="1"/>
    <col min="10767" max="10767" width="9.7109375" customWidth="1"/>
    <col min="10768" max="10770" width="13.7109375" customWidth="1"/>
    <col min="10771" max="10771" width="8.28515625" customWidth="1"/>
    <col min="10772" max="10772" width="11" customWidth="1"/>
    <col min="11021" max="11021" width="6.42578125" customWidth="1"/>
    <col min="11022" max="11022" width="51.85546875" customWidth="1"/>
    <col min="11023" max="11023" width="9.7109375" customWidth="1"/>
    <col min="11024" max="11026" width="13.7109375" customWidth="1"/>
    <col min="11027" max="11027" width="8.28515625" customWidth="1"/>
    <col min="11028" max="11028" width="11" customWidth="1"/>
    <col min="11277" max="11277" width="6.42578125" customWidth="1"/>
    <col min="11278" max="11278" width="51.85546875" customWidth="1"/>
    <col min="11279" max="11279" width="9.7109375" customWidth="1"/>
    <col min="11280" max="11282" width="13.7109375" customWidth="1"/>
    <col min="11283" max="11283" width="8.28515625" customWidth="1"/>
    <col min="11284" max="11284" width="11" customWidth="1"/>
    <col min="11533" max="11533" width="6.42578125" customWidth="1"/>
    <col min="11534" max="11534" width="51.85546875" customWidth="1"/>
    <col min="11535" max="11535" width="9.7109375" customWidth="1"/>
    <col min="11536" max="11538" width="13.7109375" customWidth="1"/>
    <col min="11539" max="11539" width="8.28515625" customWidth="1"/>
    <col min="11540" max="11540" width="11" customWidth="1"/>
    <col min="11789" max="11789" width="6.42578125" customWidth="1"/>
    <col min="11790" max="11790" width="51.85546875" customWidth="1"/>
    <col min="11791" max="11791" width="9.7109375" customWidth="1"/>
    <col min="11792" max="11794" width="13.7109375" customWidth="1"/>
    <col min="11795" max="11795" width="8.28515625" customWidth="1"/>
    <col min="11796" max="11796" width="11" customWidth="1"/>
    <col min="12045" max="12045" width="6.42578125" customWidth="1"/>
    <col min="12046" max="12046" width="51.85546875" customWidth="1"/>
    <col min="12047" max="12047" width="9.7109375" customWidth="1"/>
    <col min="12048" max="12050" width="13.7109375" customWidth="1"/>
    <col min="12051" max="12051" width="8.28515625" customWidth="1"/>
    <col min="12052" max="12052" width="11" customWidth="1"/>
    <col min="12301" max="12301" width="6.42578125" customWidth="1"/>
    <col min="12302" max="12302" width="51.85546875" customWidth="1"/>
    <col min="12303" max="12303" width="9.7109375" customWidth="1"/>
    <col min="12304" max="12306" width="13.7109375" customWidth="1"/>
    <col min="12307" max="12307" width="8.28515625" customWidth="1"/>
    <col min="12308" max="12308" width="11" customWidth="1"/>
    <col min="12557" max="12557" width="6.42578125" customWidth="1"/>
    <col min="12558" max="12558" width="51.85546875" customWidth="1"/>
    <col min="12559" max="12559" width="9.7109375" customWidth="1"/>
    <col min="12560" max="12562" width="13.7109375" customWidth="1"/>
    <col min="12563" max="12563" width="8.28515625" customWidth="1"/>
    <col min="12564" max="12564" width="11" customWidth="1"/>
    <col min="12813" max="12813" width="6.42578125" customWidth="1"/>
    <col min="12814" max="12814" width="51.85546875" customWidth="1"/>
    <col min="12815" max="12815" width="9.7109375" customWidth="1"/>
    <col min="12816" max="12818" width="13.7109375" customWidth="1"/>
    <col min="12819" max="12819" width="8.28515625" customWidth="1"/>
    <col min="12820" max="12820" width="11" customWidth="1"/>
    <col min="13069" max="13069" width="6.42578125" customWidth="1"/>
    <col min="13070" max="13070" width="51.85546875" customWidth="1"/>
    <col min="13071" max="13071" width="9.7109375" customWidth="1"/>
    <col min="13072" max="13074" width="13.7109375" customWidth="1"/>
    <col min="13075" max="13075" width="8.28515625" customWidth="1"/>
    <col min="13076" max="13076" width="11" customWidth="1"/>
    <col min="13325" max="13325" width="6.42578125" customWidth="1"/>
    <col min="13326" max="13326" width="51.85546875" customWidth="1"/>
    <col min="13327" max="13327" width="9.7109375" customWidth="1"/>
    <col min="13328" max="13330" width="13.7109375" customWidth="1"/>
    <col min="13331" max="13331" width="8.28515625" customWidth="1"/>
    <col min="13332" max="13332" width="11" customWidth="1"/>
    <col min="13581" max="13581" width="6.42578125" customWidth="1"/>
    <col min="13582" max="13582" width="51.85546875" customWidth="1"/>
    <col min="13583" max="13583" width="9.7109375" customWidth="1"/>
    <col min="13584" max="13586" width="13.7109375" customWidth="1"/>
    <col min="13587" max="13587" width="8.28515625" customWidth="1"/>
    <col min="13588" max="13588" width="11" customWidth="1"/>
    <col min="13837" max="13837" width="6.42578125" customWidth="1"/>
    <col min="13838" max="13838" width="51.85546875" customWidth="1"/>
    <col min="13839" max="13839" width="9.7109375" customWidth="1"/>
    <col min="13840" max="13842" width="13.7109375" customWidth="1"/>
    <col min="13843" max="13843" width="8.28515625" customWidth="1"/>
    <col min="13844" max="13844" width="11" customWidth="1"/>
    <col min="14093" max="14093" width="6.42578125" customWidth="1"/>
    <col min="14094" max="14094" width="51.85546875" customWidth="1"/>
    <col min="14095" max="14095" width="9.7109375" customWidth="1"/>
    <col min="14096" max="14098" width="13.7109375" customWidth="1"/>
    <col min="14099" max="14099" width="8.28515625" customWidth="1"/>
    <col min="14100" max="14100" width="11" customWidth="1"/>
    <col min="14349" max="14349" width="6.42578125" customWidth="1"/>
    <col min="14350" max="14350" width="51.85546875" customWidth="1"/>
    <col min="14351" max="14351" width="9.7109375" customWidth="1"/>
    <col min="14352" max="14354" width="13.7109375" customWidth="1"/>
    <col min="14355" max="14355" width="8.28515625" customWidth="1"/>
    <col min="14356" max="14356" width="11" customWidth="1"/>
    <col min="14605" max="14605" width="6.42578125" customWidth="1"/>
    <col min="14606" max="14606" width="51.85546875" customWidth="1"/>
    <col min="14607" max="14607" width="9.7109375" customWidth="1"/>
    <col min="14608" max="14610" width="13.7109375" customWidth="1"/>
    <col min="14611" max="14611" width="8.28515625" customWidth="1"/>
    <col min="14612" max="14612" width="11" customWidth="1"/>
    <col min="14861" max="14861" width="6.42578125" customWidth="1"/>
    <col min="14862" max="14862" width="51.85546875" customWidth="1"/>
    <col min="14863" max="14863" width="9.7109375" customWidth="1"/>
    <col min="14864" max="14866" width="13.7109375" customWidth="1"/>
    <col min="14867" max="14867" width="8.28515625" customWidth="1"/>
    <col min="14868" max="14868" width="11" customWidth="1"/>
    <col min="15117" max="15117" width="6.42578125" customWidth="1"/>
    <col min="15118" max="15118" width="51.85546875" customWidth="1"/>
    <col min="15119" max="15119" width="9.7109375" customWidth="1"/>
    <col min="15120" max="15122" width="13.7109375" customWidth="1"/>
    <col min="15123" max="15123" width="8.28515625" customWidth="1"/>
    <col min="15124" max="15124" width="11" customWidth="1"/>
    <col min="15373" max="15373" width="6.42578125" customWidth="1"/>
    <col min="15374" max="15374" width="51.85546875" customWidth="1"/>
    <col min="15375" max="15375" width="9.7109375" customWidth="1"/>
    <col min="15376" max="15378" width="13.7109375" customWidth="1"/>
    <col min="15379" max="15379" width="8.28515625" customWidth="1"/>
    <col min="15380" max="15380" width="11" customWidth="1"/>
    <col min="15629" max="15629" width="6.42578125" customWidth="1"/>
    <col min="15630" max="15630" width="51.85546875" customWidth="1"/>
    <col min="15631" max="15631" width="9.7109375" customWidth="1"/>
    <col min="15632" max="15634" width="13.7109375" customWidth="1"/>
    <col min="15635" max="15635" width="8.28515625" customWidth="1"/>
    <col min="15636" max="15636" width="11" customWidth="1"/>
    <col min="15885" max="15885" width="6.42578125" customWidth="1"/>
    <col min="15886" max="15886" width="51.85546875" customWidth="1"/>
    <col min="15887" max="15887" width="9.7109375" customWidth="1"/>
    <col min="15888" max="15890" width="13.7109375" customWidth="1"/>
    <col min="15891" max="15891" width="8.28515625" customWidth="1"/>
    <col min="15892" max="15892" width="11" customWidth="1"/>
    <col min="16141" max="16141" width="6.42578125" customWidth="1"/>
    <col min="16142" max="16142" width="51.85546875" customWidth="1"/>
    <col min="16143" max="16143" width="9.7109375" customWidth="1"/>
    <col min="16144" max="16146" width="13.7109375" customWidth="1"/>
    <col min="16147" max="16147" width="8.28515625" customWidth="1"/>
    <col min="16148" max="16148" width="11" customWidth="1"/>
  </cols>
  <sheetData>
    <row r="1" spans="1:21" ht="13.5">
      <c r="Q1" s="388"/>
      <c r="R1" s="51" t="str">
        <f>'19. HB'!J1</f>
        <v>Приложение № 6</v>
      </c>
    </row>
    <row r="2" spans="1:21" s="1" customFormat="1" ht="18.75">
      <c r="A2" s="3707" t="s">
        <v>883</v>
      </c>
      <c r="B2" s="3707"/>
      <c r="C2" s="3707"/>
      <c r="D2" s="3707"/>
      <c r="E2" s="3707"/>
      <c r="F2" s="3707"/>
      <c r="G2" s="3707"/>
      <c r="H2" s="3707"/>
      <c r="I2" s="3707"/>
      <c r="J2" s="3707"/>
      <c r="K2" s="3707"/>
      <c r="L2" s="3707"/>
      <c r="M2" s="3707"/>
      <c r="N2" s="3707"/>
      <c r="O2" s="3707"/>
      <c r="P2" s="3707"/>
      <c r="Q2" s="3707"/>
      <c r="R2" s="3707"/>
      <c r="S2" s="108"/>
      <c r="T2" s="100"/>
    </row>
    <row r="3" spans="1:21" s="1" customFormat="1" ht="18.75">
      <c r="A3" s="3708" t="s">
        <v>1423</v>
      </c>
      <c r="B3" s="3708"/>
      <c r="C3" s="3708"/>
      <c r="D3" s="3708"/>
      <c r="E3" s="3708"/>
      <c r="F3" s="3708"/>
      <c r="G3" s="3708"/>
      <c r="H3" s="3708"/>
      <c r="I3" s="3708"/>
      <c r="J3" s="3708"/>
      <c r="K3" s="3708"/>
      <c r="L3" s="3708"/>
      <c r="M3" s="3708"/>
      <c r="N3" s="3708"/>
      <c r="O3" s="3708"/>
      <c r="P3" s="3708"/>
      <c r="Q3" s="3708"/>
      <c r="R3" s="3708"/>
      <c r="S3" s="100"/>
      <c r="T3" s="100"/>
    </row>
    <row r="4" spans="1:21" s="1" customFormat="1" ht="15" customHeight="1">
      <c r="A4" s="3709" t="str">
        <f>'1. Анкетна карта'!A3:J3</f>
        <v>на "ВОДОСНАБДЯВАНЕ И КАНАЛИЗАЦИЯ ДОБРИЧ" АД, гр. Добрич</v>
      </c>
      <c r="B4" s="3709"/>
      <c r="C4" s="3709"/>
      <c r="D4" s="3709"/>
      <c r="E4" s="3709"/>
      <c r="F4" s="3709"/>
      <c r="G4" s="3709"/>
      <c r="H4" s="3709"/>
      <c r="I4" s="3709"/>
      <c r="J4" s="3709"/>
      <c r="K4" s="3709"/>
      <c r="L4" s="3709"/>
      <c r="M4" s="3709"/>
      <c r="N4" s="3709"/>
      <c r="O4" s="3709"/>
      <c r="P4" s="3709"/>
      <c r="Q4" s="3709"/>
      <c r="R4" s="3709"/>
      <c r="S4" s="100"/>
      <c r="T4" s="100"/>
    </row>
    <row r="5" spans="1:21" s="1" customFormat="1" ht="15" customHeight="1">
      <c r="A5" s="3709" t="str">
        <f>'1. Анкетна карта'!A4:J4</f>
        <v>ЕИК по БУЛСТАТ: 204219357</v>
      </c>
      <c r="B5" s="3709"/>
      <c r="C5" s="3709"/>
      <c r="D5" s="3709"/>
      <c r="E5" s="3709"/>
      <c r="F5" s="3709"/>
      <c r="G5" s="3709"/>
      <c r="H5" s="3709"/>
      <c r="I5" s="3709"/>
      <c r="J5" s="3709"/>
      <c r="K5" s="3709"/>
      <c r="L5" s="3709"/>
      <c r="M5" s="3709"/>
      <c r="N5" s="3709"/>
      <c r="O5" s="3709"/>
      <c r="P5" s="3709"/>
      <c r="Q5" s="3709"/>
      <c r="R5" s="3709"/>
      <c r="S5" s="100"/>
      <c r="T5" s="100"/>
    </row>
    <row r="6" spans="1:21" s="1" customFormat="1" ht="15" customHeight="1" thickBot="1">
      <c r="A6" s="132"/>
      <c r="B6" s="132"/>
      <c r="C6" s="132"/>
      <c r="D6" s="132"/>
      <c r="E6" s="132"/>
      <c r="F6" s="132"/>
      <c r="G6" s="132"/>
      <c r="H6" s="132"/>
      <c r="I6" s="132"/>
      <c r="J6" s="132"/>
      <c r="K6" s="132"/>
      <c r="L6" s="132"/>
      <c r="M6" s="132"/>
      <c r="N6" s="132"/>
      <c r="O6" s="132"/>
      <c r="P6" s="132"/>
      <c r="Q6" s="132"/>
      <c r="R6" s="132"/>
      <c r="S6" s="100"/>
      <c r="T6" s="100"/>
    </row>
    <row r="7" spans="1:21" s="1" customFormat="1" ht="15" customHeight="1">
      <c r="A7" s="3713" t="s">
        <v>1</v>
      </c>
      <c r="B7" s="3713" t="s">
        <v>343</v>
      </c>
      <c r="C7" s="3713" t="s">
        <v>222</v>
      </c>
      <c r="D7" s="3710" t="s">
        <v>270</v>
      </c>
      <c r="E7" s="3711"/>
      <c r="F7" s="3711"/>
      <c r="G7" s="3711"/>
      <c r="H7" s="3712"/>
      <c r="I7" s="3710" t="s">
        <v>230</v>
      </c>
      <c r="J7" s="3711"/>
      <c r="K7" s="3711"/>
      <c r="L7" s="3711"/>
      <c r="M7" s="3712"/>
      <c r="N7" s="3710" t="s">
        <v>241</v>
      </c>
      <c r="O7" s="3711"/>
      <c r="P7" s="3711"/>
      <c r="Q7" s="3711"/>
      <c r="R7" s="3712"/>
      <c r="S7" s="100"/>
      <c r="T7" s="100"/>
    </row>
    <row r="8" spans="1:21" s="53" customFormat="1" ht="15.75" thickBot="1">
      <c r="A8" s="3714"/>
      <c r="B8" s="3714"/>
      <c r="C8" s="3714"/>
      <c r="D8" s="2185" t="str">
        <f>'Приложение '!$G14</f>
        <v>2017 г.</v>
      </c>
      <c r="E8" s="2174" t="str">
        <f>'Приложение '!$G15</f>
        <v>2018 г.</v>
      </c>
      <c r="F8" s="2174" t="str">
        <f>'Приложение '!$G16</f>
        <v>2019 г.</v>
      </c>
      <c r="G8" s="2174" t="str">
        <f>'Приложение '!$G17</f>
        <v>2020 г.</v>
      </c>
      <c r="H8" s="2175" t="str">
        <f>'Приложение '!$G18</f>
        <v>2021 г.</v>
      </c>
      <c r="I8" s="2185" t="str">
        <f>'Приложение '!$G14</f>
        <v>2017 г.</v>
      </c>
      <c r="J8" s="2174" t="str">
        <f>'Приложение '!$G15</f>
        <v>2018 г.</v>
      </c>
      <c r="K8" s="2174" t="str">
        <f>'Приложение '!$G16</f>
        <v>2019 г.</v>
      </c>
      <c r="L8" s="2174" t="str">
        <f>'Приложение '!$G17</f>
        <v>2020 г.</v>
      </c>
      <c r="M8" s="2175" t="str">
        <f>'Приложение '!$G18</f>
        <v>2021 г.</v>
      </c>
      <c r="N8" s="2185" t="str">
        <f>'Приложение '!$G14</f>
        <v>2017 г.</v>
      </c>
      <c r="O8" s="2174" t="str">
        <f>'Приложение '!$G15</f>
        <v>2018 г.</v>
      </c>
      <c r="P8" s="2174" t="str">
        <f>'Приложение '!$G16</f>
        <v>2019 г.</v>
      </c>
      <c r="Q8" s="2174" t="str">
        <f>'Приложение '!$G17</f>
        <v>2020 г.</v>
      </c>
      <c r="R8" s="2175" t="str">
        <f>'Приложение '!$G18</f>
        <v>2021 г.</v>
      </c>
      <c r="S8" s="102"/>
      <c r="T8" s="103"/>
      <c r="U8" s="101"/>
    </row>
    <row r="9" spans="1:21" s="53" customFormat="1" ht="29.25" customHeight="1" thickBot="1">
      <c r="A9" s="1159">
        <v>1</v>
      </c>
      <c r="B9" s="1160" t="s">
        <v>820</v>
      </c>
      <c r="C9" s="1605" t="s">
        <v>408</v>
      </c>
      <c r="D9" s="1158">
        <f>'16. Необходими приходи'!F11/'16. Необходими приходи'!F12</f>
        <v>2.1001912468777331</v>
      </c>
      <c r="E9" s="2186">
        <f>'16. Необходими приходи'!G11/'16. Необходими приходи'!G12</f>
        <v>2.117155941886268</v>
      </c>
      <c r="F9" s="2186">
        <f>'16. Необходими приходи'!H11/'16. Необходими приходи'!H12</f>
        <v>2.1176297589308919</v>
      </c>
      <c r="G9" s="2186">
        <f>'16. Необходими приходи'!I11/'16. Необходими приходи'!I12</f>
        <v>2.1187406473565016</v>
      </c>
      <c r="H9" s="2187">
        <f>'16. Необходими приходи'!J11/'16. Необходими приходи'!J12</f>
        <v>2.1209376700140878</v>
      </c>
      <c r="I9" s="1158">
        <f>'16. Необходими приходи'!M11/'16. Необходими приходи'!M13</f>
        <v>0.2420973935533578</v>
      </c>
      <c r="J9" s="2186">
        <f>'16. Необходими приходи'!N11/'16. Необходими приходи'!N13</f>
        <v>0.25681204484231335</v>
      </c>
      <c r="K9" s="2186">
        <f>'16. Необходими приходи'!O11/'16. Необходими приходи'!O13</f>
        <v>0.26081459906603999</v>
      </c>
      <c r="L9" s="2186">
        <f>'16. Необходими приходи'!P11/'16. Необходими приходи'!P13</f>
        <v>0.26375753046447564</v>
      </c>
      <c r="M9" s="2187">
        <f>'16. Необходими приходи'!Q11/'16. Необходими приходи'!Q13</f>
        <v>0.26726654707034736</v>
      </c>
      <c r="N9" s="1158">
        <f>'16. Необходими приходи'!T11/('16. Необходими приходи'!T14+'16. Необходими приходи'!T16*'16. Необходими приходи'!F24+'16. Необходими приходи'!T17*'16. Необходими приходи'!F25+'16. Необходими приходи'!T18*'16. Необходими приходи'!F26)</f>
        <v>0.36190350345313943</v>
      </c>
      <c r="O9" s="2186">
        <f>'16. Необходими приходи'!U11/('16. Необходими приходи'!U14+'16. Необходими приходи'!U16*'16. Необходими приходи'!G24+'16. Необходими приходи'!U17*'16. Необходими приходи'!G25+'16. Необходими приходи'!U18*'16. Необходими приходи'!G26)</f>
        <v>0.3632018393206114</v>
      </c>
      <c r="P9" s="2186">
        <f>'16. Необходими приходи'!V11/('16. Необходими приходи'!V14+'16. Необходими приходи'!V16*'16. Необходими приходи'!H24+'16. Необходими приходи'!V17*'16. Необходими приходи'!H25+'16. Необходими приходи'!V18*'16. Необходими приходи'!H26)</f>
        <v>0.3648395326460448</v>
      </c>
      <c r="Q9" s="2186">
        <f>'16. Необходими приходи'!W11/('16. Необходими приходи'!W14+'16. Необходими приходи'!W16*'16. Необходими приходи'!I24+'16. Необходими приходи'!W17*'16. Необходими приходи'!I25+'16. Необходими приходи'!W18*'16. Необходими приходи'!I26)</f>
        <v>0.36568556286986809</v>
      </c>
      <c r="R9" s="2187">
        <f>'16. Необходими приходи'!X11/('16. Необходими приходи'!X14+'16. Необходими приходи'!X16*'16. Необходими приходи'!J24+'16. Необходими приходи'!X17*'16. Необходими приходи'!J25+'16. Необходими приходи'!X18*'16. Необходими приходи'!J26)</f>
        <v>0.36858371558341224</v>
      </c>
      <c r="S9" s="104"/>
      <c r="T9" s="101"/>
      <c r="U9" s="101"/>
    </row>
    <row r="10" spans="1:21" ht="15" customHeight="1" thickBot="1">
      <c r="A10" s="1161">
        <v>2</v>
      </c>
      <c r="B10" s="1162" t="s">
        <v>236</v>
      </c>
      <c r="C10" s="131"/>
      <c r="D10" s="2188"/>
      <c r="E10" s="2189"/>
      <c r="F10" s="2189"/>
      <c r="G10" s="2189"/>
      <c r="H10" s="2190"/>
      <c r="I10" s="2188"/>
      <c r="J10" s="2189"/>
      <c r="K10" s="2189"/>
      <c r="L10" s="2189"/>
      <c r="M10" s="2190"/>
      <c r="N10" s="2188"/>
      <c r="O10" s="2189"/>
      <c r="P10" s="2189"/>
      <c r="Q10" s="2189"/>
      <c r="R10" s="2190"/>
      <c r="S10" s="105"/>
    </row>
    <row r="11" spans="1:21" ht="15" customHeight="1">
      <c r="A11" s="1163" t="s">
        <v>105</v>
      </c>
      <c r="B11" s="2522" t="s">
        <v>237</v>
      </c>
      <c r="C11" s="2525" t="s">
        <v>408</v>
      </c>
      <c r="D11" s="2212"/>
      <c r="E11" s="2212"/>
      <c r="F11" s="2212"/>
      <c r="G11" s="2212"/>
      <c r="H11" s="2213"/>
      <c r="I11" s="2211"/>
      <c r="J11" s="2212"/>
      <c r="K11" s="2212"/>
      <c r="L11" s="2212"/>
      <c r="M11" s="2213"/>
      <c r="N11" s="2191">
        <f>N9*'16. Необходими приходи'!F24</f>
        <v>0.40411181386977729</v>
      </c>
      <c r="O11" s="2192">
        <f>O9*'16. Необходими приходи'!G24</f>
        <v>0.40556157287296479</v>
      </c>
      <c r="P11" s="2192">
        <f>P9*'16. Необходими приходи'!H24</f>
        <v>0.40739026813009432</v>
      </c>
      <c r="Q11" s="2192">
        <f>Q9*'16. Необходими приходи'!I24</f>
        <v>0.4083349697013024</v>
      </c>
      <c r="R11" s="2193">
        <f>R9*'16. Необходими приходи'!J24</f>
        <v>0.41157113000029655</v>
      </c>
      <c r="S11" s="106"/>
    </row>
    <row r="12" spans="1:21" ht="15" customHeight="1">
      <c r="A12" s="1163" t="s">
        <v>107</v>
      </c>
      <c r="B12" s="2523" t="s">
        <v>238</v>
      </c>
      <c r="C12" s="2526" t="s">
        <v>408</v>
      </c>
      <c r="D12" s="2215"/>
      <c r="E12" s="2215"/>
      <c r="F12" s="2215"/>
      <c r="G12" s="2215"/>
      <c r="H12" s="2216"/>
      <c r="I12" s="2214"/>
      <c r="J12" s="2215"/>
      <c r="K12" s="2215"/>
      <c r="L12" s="2215"/>
      <c r="M12" s="2216"/>
      <c r="N12" s="2194">
        <f>N9*'16. Необходими приходи'!F25</f>
        <v>0.65651558428309253</v>
      </c>
      <c r="O12" s="2195">
        <f>O9*'16. Необходими приходи'!G25</f>
        <v>0.65887084672873342</v>
      </c>
      <c r="P12" s="2195">
        <f>P9*'16. Необходими приходи'!H25</f>
        <v>0.66184172482238157</v>
      </c>
      <c r="Q12" s="2195">
        <f>Q9*'16. Необходими приходи'!I25</f>
        <v>0.6633764765487804</v>
      </c>
      <c r="R12" s="2196">
        <f>R9*'16. Необходими приходи'!J25</f>
        <v>0.6686339067861764</v>
      </c>
      <c r="S12" s="106"/>
      <c r="T12" s="71"/>
      <c r="U12" s="71"/>
    </row>
    <row r="13" spans="1:21" ht="15" customHeight="1" thickBot="1">
      <c r="A13" s="1164" t="s">
        <v>225</v>
      </c>
      <c r="B13" s="2524" t="s">
        <v>239</v>
      </c>
      <c r="C13" s="2527" t="s">
        <v>408</v>
      </c>
      <c r="D13" s="2218"/>
      <c r="E13" s="2218"/>
      <c r="F13" s="2218"/>
      <c r="G13" s="2218"/>
      <c r="H13" s="2219"/>
      <c r="I13" s="2217"/>
      <c r="J13" s="2218"/>
      <c r="K13" s="2218"/>
      <c r="L13" s="2218"/>
      <c r="M13" s="2219"/>
      <c r="N13" s="2197">
        <f>N9*'16. Необходими приходи'!F26</f>
        <v>0.80190332511393791</v>
      </c>
      <c r="O13" s="2198">
        <f>O9*'16. Необходими приходи'!G26</f>
        <v>0.80478016891154225</v>
      </c>
      <c r="P13" s="2198">
        <f>P9*'16. Необходими приходи'!H26</f>
        <v>0.80840895865977969</v>
      </c>
      <c r="Q13" s="2198">
        <f>Q9*'16. Необходими приходи'!I26</f>
        <v>0.81028358668398348</v>
      </c>
      <c r="R13" s="2199">
        <f>R9*'16. Необходими приходи'!J26</f>
        <v>0.81670529378409162</v>
      </c>
      <c r="S13" s="107"/>
      <c r="T13" s="71"/>
      <c r="U13" s="71"/>
    </row>
    <row r="14" spans="1:21" ht="12" customHeight="1">
      <c r="A14" s="3"/>
      <c r="B14" s="3"/>
      <c r="C14" s="3"/>
      <c r="D14" s="3"/>
      <c r="E14" s="3"/>
      <c r="F14" s="3"/>
      <c r="G14" s="3"/>
      <c r="H14" s="3"/>
      <c r="I14" s="3"/>
      <c r="J14" s="3"/>
      <c r="K14" s="3"/>
      <c r="L14" s="3"/>
      <c r="M14" s="3"/>
      <c r="N14" s="3"/>
      <c r="O14" s="3"/>
      <c r="P14" s="3"/>
      <c r="Q14" s="3"/>
      <c r="R14" s="3"/>
      <c r="T14" s="71"/>
      <c r="U14" s="71"/>
    </row>
    <row r="15" spans="1:21" ht="14.25">
      <c r="A15" s="72"/>
      <c r="B15" s="396" t="str">
        <f>'19. HB'!B35</f>
        <v>Дата: 10.11.2017 г.</v>
      </c>
      <c r="C15" s="74"/>
    </row>
    <row r="16" spans="1:21" ht="15">
      <c r="K16" s="91"/>
      <c r="L16" s="91"/>
      <c r="M16" s="91"/>
      <c r="N16" s="91"/>
      <c r="O16" s="91"/>
    </row>
    <row r="17" spans="1:16">
      <c r="K17" s="292" t="str">
        <f>'14. ОПР'!D49</f>
        <v>Главен счетоводител:</v>
      </c>
      <c r="L17" s="394"/>
      <c r="M17" s="289"/>
      <c r="N17" s="219" t="s">
        <v>262</v>
      </c>
      <c r="O17" s="199"/>
      <c r="P17" s="199"/>
    </row>
    <row r="18" spans="1:16">
      <c r="L18" s="288"/>
      <c r="M18" s="220"/>
      <c r="N18" s="290"/>
      <c r="O18" s="291" t="s">
        <v>5</v>
      </c>
      <c r="P18" s="199"/>
    </row>
    <row r="19" spans="1:16">
      <c r="L19" s="288"/>
      <c r="M19" s="220"/>
      <c r="N19" s="290"/>
      <c r="O19" s="291"/>
      <c r="P19" s="199"/>
    </row>
    <row r="20" spans="1:16">
      <c r="L20" s="288"/>
      <c r="M20" s="220"/>
      <c r="N20" s="290"/>
      <c r="O20" s="291"/>
      <c r="P20" s="199"/>
    </row>
    <row r="21" spans="1:16">
      <c r="A21" s="3658"/>
      <c r="B21" s="3658"/>
      <c r="C21" s="3658"/>
      <c r="L21" s="288"/>
      <c r="M21" s="220"/>
      <c r="N21" s="290"/>
      <c r="O21" s="291"/>
      <c r="P21" s="199"/>
    </row>
    <row r="22" spans="1:16">
      <c r="A22" s="3661"/>
      <c r="B22" s="3661"/>
      <c r="C22" s="3661"/>
      <c r="L22" s="292" t="str">
        <f>'19. HB'!F40</f>
        <v>Управител:</v>
      </c>
      <c r="N22" s="219" t="s">
        <v>262</v>
      </c>
      <c r="O22" s="217"/>
      <c r="P22" s="199"/>
    </row>
    <row r="23" spans="1:16">
      <c r="C23" s="92"/>
      <c r="L23" s="288"/>
      <c r="M23" s="293"/>
      <c r="N23" s="290"/>
      <c r="O23" s="291" t="s">
        <v>6</v>
      </c>
      <c r="P23" s="199"/>
    </row>
    <row r="29" spans="1:16" ht="14.25" customHeight="1"/>
  </sheetData>
  <sheetProtection password="C6DB" sheet="1" objects="1" scenarios="1"/>
  <mergeCells count="12">
    <mergeCell ref="A21:C21"/>
    <mergeCell ref="A22:C22"/>
    <mergeCell ref="A2:R2"/>
    <mergeCell ref="A3:R3"/>
    <mergeCell ref="A4:R4"/>
    <mergeCell ref="A5:R5"/>
    <mergeCell ref="N7:R7"/>
    <mergeCell ref="I7:M7"/>
    <mergeCell ref="D7:H7"/>
    <mergeCell ref="B7:B8"/>
    <mergeCell ref="C7:C8"/>
    <mergeCell ref="A7:A8"/>
  </mergeCells>
  <printOptions horizontalCentered="1"/>
  <pageMargins left="0.78740157480314965" right="0.78740157480314965" top="1.1811023622047245" bottom="0.78740157480314965" header="0.51181102362204722" footer="0.51181102362204722"/>
  <pageSetup paperSize="9" scale="72" orientation="landscape" r:id="rId1"/>
  <headerFooter alignWithMargins="0"/>
  <ignoredErrors>
    <ignoredError sqref="D9:H13 N9:R13 I9:M13" evalError="1"/>
  </ignoredError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08"/>
  <sheetViews>
    <sheetView zoomScale="80" zoomScaleNormal="80" workbookViewId="0">
      <pane xSplit="1" ySplit="2" topLeftCell="C9" activePane="bottomRight" state="frozen"/>
      <selection pane="topRight" activeCell="B1" sqref="B1"/>
      <selection pane="bottomLeft" activeCell="A2" sqref="A2"/>
      <selection pane="bottomRight" activeCell="D8" sqref="D8"/>
    </sheetView>
  </sheetViews>
  <sheetFormatPr defaultColWidth="9.140625" defaultRowHeight="12.75"/>
  <cols>
    <col min="1" max="1" width="19.85546875" style="2945" customWidth="1"/>
    <col min="2" max="2" width="13.5703125" style="2945" customWidth="1"/>
    <col min="3" max="3" width="103.28515625" style="2945" customWidth="1"/>
    <col min="4" max="4" width="30.28515625" style="2945" customWidth="1"/>
    <col min="5" max="5" width="40.140625" style="2945" customWidth="1"/>
    <col min="6" max="6" width="47.28515625" style="2945" customWidth="1"/>
    <col min="7" max="16384" width="9.140625" style="2945"/>
  </cols>
  <sheetData>
    <row r="1" spans="1:7" ht="14.25" thickBot="1">
      <c r="F1" s="2946" t="s">
        <v>750</v>
      </c>
      <c r="G1" s="2947"/>
    </row>
    <row r="2" spans="1:7" ht="50.25" customHeight="1">
      <c r="A2" s="2948" t="s">
        <v>821</v>
      </c>
      <c r="B2" s="2949" t="s">
        <v>822</v>
      </c>
      <c r="C2" s="2949" t="s">
        <v>163</v>
      </c>
      <c r="D2" s="2949" t="s">
        <v>162</v>
      </c>
      <c r="E2" s="2948" t="s">
        <v>411</v>
      </c>
      <c r="F2" s="2949" t="s">
        <v>161</v>
      </c>
    </row>
    <row r="3" spans="1:7">
      <c r="A3" s="3715" t="s">
        <v>1329</v>
      </c>
      <c r="B3" s="2950"/>
      <c r="C3" s="2951"/>
      <c r="D3" s="2952"/>
      <c r="E3" s="3721" t="s">
        <v>412</v>
      </c>
      <c r="F3" s="2953" t="s">
        <v>1425</v>
      </c>
    </row>
    <row r="4" spans="1:7" ht="127.5">
      <c r="A4" s="3716"/>
      <c r="B4" s="2954" t="s">
        <v>3</v>
      </c>
      <c r="C4" s="2955" t="s">
        <v>414</v>
      </c>
      <c r="D4" s="2956" t="s">
        <v>413</v>
      </c>
      <c r="E4" s="3722"/>
      <c r="F4" s="2957"/>
    </row>
    <row r="5" spans="1:7">
      <c r="A5" s="3717"/>
      <c r="B5" s="2958" t="s">
        <v>7</v>
      </c>
      <c r="C5" s="2959" t="s">
        <v>416</v>
      </c>
      <c r="D5" s="2960" t="s">
        <v>415</v>
      </c>
      <c r="E5" s="3723"/>
      <c r="F5" s="2961"/>
    </row>
    <row r="6" spans="1:7">
      <c r="A6" s="2962"/>
      <c r="B6" s="2962"/>
      <c r="C6" s="2963"/>
      <c r="D6" s="2962"/>
      <c r="E6" s="2962"/>
      <c r="F6" s="2964"/>
    </row>
    <row r="7" spans="1:7">
      <c r="A7" s="3715" t="s">
        <v>1328</v>
      </c>
      <c r="B7" s="2950"/>
      <c r="C7" s="2965"/>
      <c r="D7" s="2952"/>
      <c r="E7" s="3724" t="s">
        <v>417</v>
      </c>
      <c r="F7" s="2966" t="s">
        <v>1426</v>
      </c>
    </row>
    <row r="8" spans="1:7" ht="51">
      <c r="A8" s="3716"/>
      <c r="B8" s="2967" t="s">
        <v>8</v>
      </c>
      <c r="C8" s="2955" t="s">
        <v>419</v>
      </c>
      <c r="D8" s="2956" t="s">
        <v>418</v>
      </c>
      <c r="E8" s="3725"/>
      <c r="F8" s="2968" t="s">
        <v>164</v>
      </c>
    </row>
    <row r="9" spans="1:7" ht="38.25">
      <c r="A9" s="3716"/>
      <c r="B9" s="2954" t="s">
        <v>9</v>
      </c>
      <c r="C9" s="2955"/>
      <c r="D9" s="2956" t="s">
        <v>418</v>
      </c>
      <c r="E9" s="3725"/>
      <c r="F9" s="2969"/>
    </row>
    <row r="10" spans="1:7" ht="38.25">
      <c r="A10" s="3716"/>
      <c r="B10" s="2954" t="s">
        <v>10</v>
      </c>
      <c r="C10" s="2970"/>
      <c r="D10" s="2956" t="s">
        <v>418</v>
      </c>
      <c r="E10" s="3725"/>
      <c r="F10" s="2969"/>
    </row>
    <row r="11" spans="1:7" ht="38.25">
      <c r="A11" s="3716"/>
      <c r="B11" s="2954" t="s">
        <v>11</v>
      </c>
      <c r="C11" s="2955"/>
      <c r="D11" s="2956" t="s">
        <v>418</v>
      </c>
      <c r="E11" s="3725"/>
      <c r="F11" s="2969"/>
    </row>
    <row r="12" spans="1:7" ht="38.25">
      <c r="A12" s="3716"/>
      <c r="B12" s="2954" t="s">
        <v>12</v>
      </c>
      <c r="C12" s="2955"/>
      <c r="D12" s="2956" t="s">
        <v>418</v>
      </c>
      <c r="E12" s="3725"/>
      <c r="F12" s="2969"/>
    </row>
    <row r="13" spans="1:7" ht="63.75">
      <c r="A13" s="3716"/>
      <c r="B13" s="2967" t="s">
        <v>13</v>
      </c>
      <c r="C13" s="2955" t="s">
        <v>420</v>
      </c>
      <c r="D13" s="2956" t="s">
        <v>418</v>
      </c>
      <c r="E13" s="3725"/>
      <c r="F13" s="2968" t="s">
        <v>165</v>
      </c>
    </row>
    <row r="14" spans="1:7" ht="38.25">
      <c r="A14" s="3716"/>
      <c r="B14" s="2954" t="s">
        <v>14</v>
      </c>
      <c r="C14" s="2955"/>
      <c r="D14" s="2956" t="s">
        <v>418</v>
      </c>
      <c r="E14" s="3725"/>
      <c r="F14" s="2971"/>
    </row>
    <row r="15" spans="1:7" ht="38.25">
      <c r="A15" s="3716"/>
      <c r="B15" s="2954" t="s">
        <v>15</v>
      </c>
      <c r="C15" s="2972"/>
      <c r="D15" s="2956" t="s">
        <v>418</v>
      </c>
      <c r="E15" s="3725"/>
      <c r="F15" s="2971"/>
    </row>
    <row r="16" spans="1:7" ht="38.25">
      <c r="A16" s="3716"/>
      <c r="B16" s="2954" t="s">
        <v>16</v>
      </c>
      <c r="C16" s="2972"/>
      <c r="D16" s="2956" t="s">
        <v>418</v>
      </c>
      <c r="E16" s="3725"/>
      <c r="F16" s="2971"/>
    </row>
    <row r="17" spans="1:6" ht="38.25">
      <c r="A17" s="3717"/>
      <c r="B17" s="2958" t="s">
        <v>17</v>
      </c>
      <c r="C17" s="2973"/>
      <c r="D17" s="2960" t="s">
        <v>418</v>
      </c>
      <c r="E17" s="3726"/>
      <c r="F17" s="2961"/>
    </row>
    <row r="18" spans="1:6">
      <c r="A18" s="2962"/>
      <c r="B18" s="2962"/>
      <c r="C18" s="2963"/>
      <c r="D18" s="2962"/>
      <c r="E18" s="2962"/>
      <c r="F18" s="2964"/>
    </row>
    <row r="19" spans="1:6">
      <c r="A19" s="3715" t="s">
        <v>1330</v>
      </c>
      <c r="B19" s="2950"/>
      <c r="C19" s="2951"/>
      <c r="D19" s="2952"/>
      <c r="E19" s="3724" t="s">
        <v>417</v>
      </c>
      <c r="F19" s="2966" t="s">
        <v>1427</v>
      </c>
    </row>
    <row r="20" spans="1:6" ht="51">
      <c r="A20" s="3716"/>
      <c r="B20" s="2967" t="s">
        <v>18</v>
      </c>
      <c r="C20" s="2955" t="s">
        <v>421</v>
      </c>
      <c r="D20" s="2956" t="s">
        <v>418</v>
      </c>
      <c r="E20" s="3725"/>
      <c r="F20" s="2968" t="s">
        <v>166</v>
      </c>
    </row>
    <row r="21" spans="1:6" ht="38.25">
      <c r="A21" s="3716"/>
      <c r="B21" s="2954" t="s">
        <v>19</v>
      </c>
      <c r="C21" s="2955"/>
      <c r="D21" s="2956" t="s">
        <v>418</v>
      </c>
      <c r="E21" s="3725"/>
      <c r="F21" s="2969"/>
    </row>
    <row r="22" spans="1:6" ht="38.25">
      <c r="A22" s="3716"/>
      <c r="B22" s="2954" t="s">
        <v>20</v>
      </c>
      <c r="C22" s="2955"/>
      <c r="D22" s="2956" t="s">
        <v>418</v>
      </c>
      <c r="E22" s="3725"/>
      <c r="F22" s="2969"/>
    </row>
    <row r="23" spans="1:6" ht="38.25">
      <c r="A23" s="3716"/>
      <c r="B23" s="2954" t="s">
        <v>21</v>
      </c>
      <c r="C23" s="2955"/>
      <c r="D23" s="2956" t="s">
        <v>418</v>
      </c>
      <c r="E23" s="3725"/>
      <c r="F23" s="2969"/>
    </row>
    <row r="24" spans="1:6" ht="38.25">
      <c r="A24" s="3716"/>
      <c r="B24" s="2954" t="s">
        <v>22</v>
      </c>
      <c r="C24" s="2955"/>
      <c r="D24" s="2956" t="s">
        <v>418</v>
      </c>
      <c r="E24" s="3725"/>
      <c r="F24" s="2969"/>
    </row>
    <row r="25" spans="1:6" ht="63.75">
      <c r="A25" s="3716"/>
      <c r="B25" s="2967" t="s">
        <v>23</v>
      </c>
      <c r="C25" s="2955" t="s">
        <v>422</v>
      </c>
      <c r="D25" s="2956" t="s">
        <v>418</v>
      </c>
      <c r="E25" s="3725"/>
      <c r="F25" s="2968" t="s">
        <v>167</v>
      </c>
    </row>
    <row r="26" spans="1:6" ht="38.25">
      <c r="A26" s="3716"/>
      <c r="B26" s="2954" t="s">
        <v>24</v>
      </c>
      <c r="C26" s="2955"/>
      <c r="D26" s="2956" t="s">
        <v>418</v>
      </c>
      <c r="E26" s="3725"/>
      <c r="F26" s="2971"/>
    </row>
    <row r="27" spans="1:6" ht="38.25">
      <c r="A27" s="3716"/>
      <c r="B27" s="2954" t="s">
        <v>25</v>
      </c>
      <c r="C27" s="2955"/>
      <c r="D27" s="2956" t="s">
        <v>418</v>
      </c>
      <c r="E27" s="3725"/>
      <c r="F27" s="2971"/>
    </row>
    <row r="28" spans="1:6" ht="38.25">
      <c r="A28" s="3716"/>
      <c r="B28" s="2954" t="s">
        <v>26</v>
      </c>
      <c r="C28" s="2955"/>
      <c r="D28" s="2956" t="s">
        <v>418</v>
      </c>
      <c r="E28" s="3725"/>
      <c r="F28" s="2971"/>
    </row>
    <row r="29" spans="1:6" ht="38.25">
      <c r="A29" s="3717"/>
      <c r="B29" s="2958" t="s">
        <v>27</v>
      </c>
      <c r="C29" s="2959"/>
      <c r="D29" s="2960" t="s">
        <v>418</v>
      </c>
      <c r="E29" s="3726"/>
      <c r="F29" s="2961"/>
    </row>
    <row r="30" spans="1:6">
      <c r="A30" s="2962"/>
      <c r="B30" s="2962"/>
      <c r="C30" s="2963"/>
      <c r="D30" s="2962"/>
      <c r="E30" s="2962"/>
      <c r="F30" s="2964"/>
    </row>
    <row r="31" spans="1:6" ht="36.75" customHeight="1">
      <c r="A31" s="3716" t="s">
        <v>1327</v>
      </c>
      <c r="B31" s="2974"/>
      <c r="C31" s="2975"/>
      <c r="D31" s="2954"/>
      <c r="E31" s="3722" t="s">
        <v>423</v>
      </c>
      <c r="F31" s="2976" t="s">
        <v>1428</v>
      </c>
    </row>
    <row r="32" spans="1:6" ht="51.75" customHeight="1">
      <c r="A32" s="3716"/>
      <c r="B32" s="2954" t="s">
        <v>28</v>
      </c>
      <c r="C32" s="2977" t="s">
        <v>424</v>
      </c>
      <c r="D32" s="2956" t="s">
        <v>418</v>
      </c>
      <c r="E32" s="3722"/>
      <c r="F32" s="2957"/>
    </row>
    <row r="33" spans="1:6" ht="54" customHeight="1">
      <c r="A33" s="3716"/>
      <c r="B33" s="2954" t="s">
        <v>29</v>
      </c>
      <c r="C33" s="2955" t="s">
        <v>425</v>
      </c>
      <c r="D33" s="2956" t="s">
        <v>418</v>
      </c>
      <c r="E33" s="3722"/>
      <c r="F33" s="2971"/>
    </row>
    <row r="34" spans="1:6">
      <c r="A34" s="2962"/>
      <c r="B34" s="2962"/>
      <c r="C34" s="2963"/>
      <c r="D34" s="2962"/>
      <c r="E34" s="2962"/>
      <c r="F34" s="2964"/>
    </row>
    <row r="35" spans="1:6">
      <c r="A35" s="3715" t="s">
        <v>1331</v>
      </c>
      <c r="B35" s="2950"/>
      <c r="C35" s="2951"/>
      <c r="D35" s="2952"/>
      <c r="E35" s="3724" t="s">
        <v>426</v>
      </c>
      <c r="F35" s="2978" t="s">
        <v>168</v>
      </c>
    </row>
    <row r="36" spans="1:6" ht="38.25">
      <c r="A36" s="3716"/>
      <c r="B36" s="2954" t="s">
        <v>30</v>
      </c>
      <c r="C36" s="2955" t="s">
        <v>169</v>
      </c>
      <c r="D36" s="2956" t="s">
        <v>427</v>
      </c>
      <c r="E36" s="3725"/>
      <c r="F36" s="2957"/>
    </row>
    <row r="37" spans="1:6" ht="38.25">
      <c r="A37" s="3716"/>
      <c r="B37" s="2954" t="s">
        <v>31</v>
      </c>
      <c r="C37" s="2955" t="s">
        <v>170</v>
      </c>
      <c r="D37" s="2956" t="s">
        <v>427</v>
      </c>
      <c r="E37" s="3725"/>
      <c r="F37" s="2979"/>
    </row>
    <row r="38" spans="1:6" ht="127.5">
      <c r="A38" s="3716"/>
      <c r="B38" s="2954" t="s">
        <v>3</v>
      </c>
      <c r="C38" s="2955" t="s">
        <v>414</v>
      </c>
      <c r="D38" s="2956" t="s">
        <v>413</v>
      </c>
      <c r="E38" s="3725"/>
      <c r="F38" s="2957"/>
    </row>
    <row r="39" spans="1:6" ht="127.5">
      <c r="A39" s="3716"/>
      <c r="B39" s="2954" t="s">
        <v>32</v>
      </c>
      <c r="C39" s="2955" t="s">
        <v>1326</v>
      </c>
      <c r="D39" s="2956" t="s">
        <v>427</v>
      </c>
      <c r="E39" s="3725"/>
      <c r="F39" s="2957"/>
    </row>
    <row r="40" spans="1:6" ht="38.25">
      <c r="A40" s="3716"/>
      <c r="B40" s="2954" t="s">
        <v>33</v>
      </c>
      <c r="C40" s="2955"/>
      <c r="D40" s="2956" t="s">
        <v>427</v>
      </c>
      <c r="E40" s="3725"/>
      <c r="F40" s="2957"/>
    </row>
    <row r="41" spans="1:6" ht="63.75">
      <c r="A41" s="3717"/>
      <c r="B41" s="2958" t="s">
        <v>34</v>
      </c>
      <c r="C41" s="2959" t="s">
        <v>429</v>
      </c>
      <c r="D41" s="2960" t="s">
        <v>428</v>
      </c>
      <c r="E41" s="3726"/>
      <c r="F41" s="2980"/>
    </row>
    <row r="42" spans="1:6">
      <c r="A42" s="2962"/>
      <c r="B42" s="2962"/>
      <c r="C42" s="2963"/>
      <c r="D42" s="2962"/>
      <c r="E42" s="2962"/>
      <c r="F42" s="2964"/>
    </row>
    <row r="43" spans="1:6" ht="140.25">
      <c r="A43" s="3716" t="s">
        <v>1337</v>
      </c>
      <c r="B43" s="2954"/>
      <c r="C43" s="2955" t="s">
        <v>1424</v>
      </c>
      <c r="D43" s="2954"/>
      <c r="E43" s="3725" t="s">
        <v>430</v>
      </c>
      <c r="F43" s="2976" t="s">
        <v>1429</v>
      </c>
    </row>
    <row r="44" spans="1:6" ht="38.25">
      <c r="A44" s="3716"/>
      <c r="B44" s="2954" t="s">
        <v>49</v>
      </c>
      <c r="C44" s="2955" t="s">
        <v>453</v>
      </c>
      <c r="D44" s="2956" t="s">
        <v>452</v>
      </c>
      <c r="E44" s="3725"/>
      <c r="F44" s="2976" t="s">
        <v>1319</v>
      </c>
    </row>
    <row r="45" spans="1:6" ht="25.5">
      <c r="A45" s="3716"/>
      <c r="B45" s="2954" t="s">
        <v>1053</v>
      </c>
      <c r="C45" s="2955"/>
      <c r="D45" s="2956" t="s">
        <v>431</v>
      </c>
      <c r="E45" s="3725"/>
      <c r="F45" s="2976"/>
    </row>
    <row r="46" spans="1:6" ht="38.25">
      <c r="A46" s="3716"/>
      <c r="B46" s="2954" t="s">
        <v>35</v>
      </c>
      <c r="C46" s="2955" t="s">
        <v>433</v>
      </c>
      <c r="D46" s="2956" t="s">
        <v>432</v>
      </c>
      <c r="E46" s="3725"/>
      <c r="F46" s="2971"/>
    </row>
    <row r="47" spans="1:6" ht="38.25">
      <c r="A47" s="3716"/>
      <c r="B47" s="2981" t="s">
        <v>1054</v>
      </c>
      <c r="C47" s="2982"/>
      <c r="D47" s="2956" t="s">
        <v>452</v>
      </c>
      <c r="E47" s="2983"/>
      <c r="F47" s="2971"/>
    </row>
    <row r="48" spans="1:6">
      <c r="A48" s="2962"/>
      <c r="B48" s="2962"/>
      <c r="C48" s="2963"/>
      <c r="D48" s="2962"/>
      <c r="E48" s="2962"/>
      <c r="F48" s="2964"/>
    </row>
    <row r="49" spans="1:6">
      <c r="A49" s="3715" t="s">
        <v>1332</v>
      </c>
      <c r="B49" s="2984"/>
      <c r="C49" s="2985"/>
      <c r="D49" s="2984"/>
      <c r="E49" s="3724" t="s">
        <v>434</v>
      </c>
      <c r="F49" s="2978" t="s">
        <v>171</v>
      </c>
    </row>
    <row r="50" spans="1:6" ht="125.25" customHeight="1">
      <c r="A50" s="3716"/>
      <c r="B50" s="2954" t="s">
        <v>36</v>
      </c>
      <c r="C50" s="2955" t="s">
        <v>1325</v>
      </c>
      <c r="D50" s="2956" t="s">
        <v>427</v>
      </c>
      <c r="E50" s="3725"/>
      <c r="F50" s="2971"/>
    </row>
    <row r="51" spans="1:6" ht="51">
      <c r="A51" s="3717"/>
      <c r="B51" s="2958" t="s">
        <v>37</v>
      </c>
      <c r="C51" s="2959" t="s">
        <v>435</v>
      </c>
      <c r="D51" s="2960" t="s">
        <v>432</v>
      </c>
      <c r="E51" s="3726"/>
      <c r="F51" s="2961"/>
    </row>
    <row r="52" spans="1:6">
      <c r="A52" s="2962"/>
      <c r="B52" s="2962"/>
      <c r="C52" s="2963"/>
      <c r="D52" s="2962"/>
      <c r="E52" s="2962"/>
      <c r="F52" s="2964"/>
    </row>
    <row r="53" spans="1:6">
      <c r="A53" s="3715" t="s">
        <v>1333</v>
      </c>
      <c r="B53" s="2984"/>
      <c r="C53" s="2965"/>
      <c r="D53" s="2984"/>
      <c r="E53" s="3724" t="s">
        <v>1321</v>
      </c>
      <c r="F53" s="2978" t="s">
        <v>1320</v>
      </c>
    </row>
    <row r="54" spans="1:6" ht="51">
      <c r="A54" s="3716"/>
      <c r="B54" s="2954" t="s">
        <v>1011</v>
      </c>
      <c r="C54" s="2955" t="s">
        <v>1323</v>
      </c>
      <c r="D54" s="2956" t="s">
        <v>1322</v>
      </c>
      <c r="E54" s="3725"/>
      <c r="F54" s="2957"/>
    </row>
    <row r="55" spans="1:6" ht="38.25">
      <c r="A55" s="3717"/>
      <c r="B55" s="2958" t="s">
        <v>1012</v>
      </c>
      <c r="C55" s="2959" t="s">
        <v>1324</v>
      </c>
      <c r="D55" s="2960" t="s">
        <v>431</v>
      </c>
      <c r="E55" s="3726"/>
      <c r="F55" s="2980"/>
    </row>
    <row r="56" spans="1:6">
      <c r="A56" s="2962"/>
      <c r="B56" s="2962"/>
      <c r="C56" s="2963"/>
      <c r="D56" s="2962"/>
      <c r="E56" s="2962"/>
      <c r="F56" s="2964"/>
    </row>
    <row r="57" spans="1:6">
      <c r="A57" s="3716" t="s">
        <v>1334</v>
      </c>
      <c r="B57" s="2986"/>
      <c r="C57" s="2955"/>
      <c r="D57" s="2986"/>
      <c r="E57" s="3725" t="s">
        <v>412</v>
      </c>
      <c r="F57" s="2976" t="s">
        <v>172</v>
      </c>
    </row>
    <row r="58" spans="1:6" ht="140.25">
      <c r="A58" s="3716"/>
      <c r="B58" s="2954" t="s">
        <v>40</v>
      </c>
      <c r="C58" s="2955" t="s">
        <v>438</v>
      </c>
      <c r="D58" s="2956" t="s">
        <v>437</v>
      </c>
      <c r="E58" s="3725"/>
      <c r="F58" s="2979"/>
    </row>
    <row r="59" spans="1:6">
      <c r="A59" s="3716"/>
      <c r="B59" s="2954" t="s">
        <v>7</v>
      </c>
      <c r="C59" s="2955" t="s">
        <v>416</v>
      </c>
      <c r="D59" s="2956" t="s">
        <v>415</v>
      </c>
      <c r="E59" s="3725"/>
      <c r="F59" s="2987"/>
    </row>
    <row r="60" spans="1:6">
      <c r="A60" s="2962"/>
      <c r="B60" s="2962"/>
      <c r="C60" s="2963"/>
      <c r="D60" s="2962"/>
      <c r="E60" s="2962"/>
      <c r="F60" s="2964"/>
    </row>
    <row r="61" spans="1:6">
      <c r="A61" s="3715" t="s">
        <v>1335</v>
      </c>
      <c r="B61" s="2984"/>
      <c r="C61" s="2965"/>
      <c r="D61" s="2984"/>
      <c r="E61" s="3724" t="s">
        <v>439</v>
      </c>
      <c r="F61" s="2978" t="s">
        <v>173</v>
      </c>
    </row>
    <row r="62" spans="1:6" ht="127.5">
      <c r="A62" s="3716"/>
      <c r="B62" s="2954" t="s">
        <v>41</v>
      </c>
      <c r="C62" s="2955" t="s">
        <v>440</v>
      </c>
      <c r="D62" s="2956" t="s">
        <v>437</v>
      </c>
      <c r="E62" s="3725"/>
      <c r="F62" s="2979"/>
    </row>
    <row r="63" spans="1:6">
      <c r="A63" s="3717"/>
      <c r="B63" s="2958" t="s">
        <v>7</v>
      </c>
      <c r="C63" s="2959" t="s">
        <v>416</v>
      </c>
      <c r="D63" s="2960" t="s">
        <v>415</v>
      </c>
      <c r="E63" s="3726"/>
      <c r="F63" s="2988"/>
    </row>
    <row r="64" spans="1:6">
      <c r="A64" s="2962"/>
      <c r="B64" s="2962"/>
      <c r="C64" s="2963"/>
      <c r="D64" s="2962"/>
      <c r="E64" s="2962"/>
      <c r="F64" s="2964"/>
    </row>
    <row r="65" spans="1:6">
      <c r="A65" s="3715" t="s">
        <v>1336</v>
      </c>
      <c r="B65" s="2984"/>
      <c r="C65" s="2965"/>
      <c r="D65" s="2984"/>
      <c r="E65" s="3724" t="s">
        <v>441</v>
      </c>
      <c r="F65" s="2978" t="s">
        <v>1430</v>
      </c>
    </row>
    <row r="66" spans="1:6" ht="38.25">
      <c r="A66" s="3716"/>
      <c r="B66" s="2954" t="s">
        <v>42</v>
      </c>
      <c r="C66" s="2955" t="s">
        <v>442</v>
      </c>
      <c r="D66" s="2989" t="s">
        <v>418</v>
      </c>
      <c r="E66" s="3725"/>
      <c r="F66" s="2957"/>
    </row>
    <row r="67" spans="1:6" ht="38.25">
      <c r="A67" s="3717"/>
      <c r="B67" s="2958" t="s">
        <v>478</v>
      </c>
      <c r="C67" s="2959" t="s">
        <v>479</v>
      </c>
      <c r="D67" s="2990" t="s">
        <v>418</v>
      </c>
      <c r="E67" s="3726"/>
      <c r="F67" s="2980"/>
    </row>
    <row r="68" spans="1:6">
      <c r="A68" s="2962"/>
      <c r="B68" s="2962"/>
      <c r="C68" s="2963"/>
      <c r="D68" s="2962"/>
      <c r="E68" s="2962"/>
      <c r="F68" s="2964"/>
    </row>
    <row r="69" spans="1:6">
      <c r="A69" s="3715" t="s">
        <v>1338</v>
      </c>
      <c r="B69" s="2984"/>
      <c r="C69" s="2965"/>
      <c r="D69" s="2984"/>
      <c r="E69" s="3724" t="s">
        <v>443</v>
      </c>
      <c r="F69" s="2966" t="s">
        <v>174</v>
      </c>
    </row>
    <row r="70" spans="1:6" ht="38.25">
      <c r="A70" s="3716"/>
      <c r="B70" s="2982" t="s">
        <v>43</v>
      </c>
      <c r="C70" s="2955" t="s">
        <v>444</v>
      </c>
      <c r="D70" s="2956" t="s">
        <v>427</v>
      </c>
      <c r="E70" s="3725"/>
      <c r="F70" s="2987"/>
    </row>
    <row r="71" spans="1:6" ht="38.25">
      <c r="A71" s="3716"/>
      <c r="B71" s="2982" t="s">
        <v>44</v>
      </c>
      <c r="C71" s="2955" t="s">
        <v>175</v>
      </c>
      <c r="D71" s="2956" t="s">
        <v>427</v>
      </c>
      <c r="E71" s="3725"/>
      <c r="F71" s="2987"/>
    </row>
    <row r="72" spans="1:6" ht="38.25">
      <c r="A72" s="3716"/>
      <c r="B72" s="2982" t="s">
        <v>45</v>
      </c>
      <c r="C72" s="2955" t="s">
        <v>445</v>
      </c>
      <c r="D72" s="2956" t="s">
        <v>427</v>
      </c>
      <c r="E72" s="3725"/>
      <c r="F72" s="2987"/>
    </row>
    <row r="73" spans="1:6" ht="38.25">
      <c r="A73" s="3717"/>
      <c r="B73" s="2958" t="s">
        <v>46</v>
      </c>
      <c r="C73" s="2959" t="s">
        <v>446</v>
      </c>
      <c r="D73" s="2960" t="s">
        <v>432</v>
      </c>
      <c r="E73" s="3726"/>
      <c r="F73" s="2961"/>
    </row>
    <row r="74" spans="1:6">
      <c r="A74" s="2962"/>
      <c r="B74" s="2962"/>
      <c r="C74" s="2963"/>
      <c r="D74" s="2962"/>
      <c r="E74" s="2962"/>
      <c r="F74" s="2964"/>
    </row>
    <row r="75" spans="1:6" ht="20.25" customHeight="1">
      <c r="A75" s="3715" t="s">
        <v>1339</v>
      </c>
      <c r="B75" s="2984"/>
      <c r="C75" s="2965"/>
      <c r="D75" s="2984"/>
      <c r="E75" s="3724" t="s">
        <v>447</v>
      </c>
      <c r="F75" s="2966" t="s">
        <v>176</v>
      </c>
    </row>
    <row r="76" spans="1:6" ht="27.75" customHeight="1">
      <c r="A76" s="3716"/>
      <c r="B76" s="2982" t="s">
        <v>47</v>
      </c>
      <c r="C76" s="2955" t="s">
        <v>449</v>
      </c>
      <c r="D76" s="2956" t="s">
        <v>448</v>
      </c>
      <c r="E76" s="3725"/>
      <c r="F76" s="2987"/>
    </row>
    <row r="77" spans="1:6" ht="32.25" customHeight="1">
      <c r="A77" s="3717"/>
      <c r="B77" s="2958" t="s">
        <v>39</v>
      </c>
      <c r="C77" s="2959" t="s">
        <v>436</v>
      </c>
      <c r="D77" s="2960" t="s">
        <v>450</v>
      </c>
      <c r="E77" s="3726"/>
      <c r="F77" s="2988"/>
    </row>
    <row r="78" spans="1:6">
      <c r="A78" s="2962"/>
      <c r="B78" s="2962"/>
      <c r="C78" s="2963"/>
      <c r="D78" s="2962"/>
      <c r="E78" s="2962"/>
      <c r="F78" s="2964"/>
    </row>
    <row r="79" spans="1:6">
      <c r="A79" s="3715" t="s">
        <v>1340</v>
      </c>
      <c r="B79" s="2984"/>
      <c r="C79" s="2965"/>
      <c r="D79" s="2984"/>
      <c r="E79" s="3721" t="s">
        <v>451</v>
      </c>
      <c r="F79" s="2966" t="s">
        <v>177</v>
      </c>
    </row>
    <row r="80" spans="1:6" ht="102">
      <c r="A80" s="3716"/>
      <c r="B80" s="2982" t="s">
        <v>48</v>
      </c>
      <c r="C80" s="2955" t="s">
        <v>1437</v>
      </c>
      <c r="D80" s="2956" t="s">
        <v>452</v>
      </c>
      <c r="E80" s="3722"/>
      <c r="F80" s="2987"/>
    </row>
    <row r="81" spans="1:6" ht="38.25">
      <c r="A81" s="3717"/>
      <c r="B81" s="2970" t="s">
        <v>49</v>
      </c>
      <c r="C81" s="2959" t="s">
        <v>453</v>
      </c>
      <c r="D81" s="2960" t="s">
        <v>452</v>
      </c>
      <c r="E81" s="3723"/>
      <c r="F81" s="2988"/>
    </row>
    <row r="82" spans="1:6">
      <c r="A82" s="2962"/>
      <c r="B82" s="2962"/>
      <c r="C82" s="2963"/>
      <c r="D82" s="2962"/>
      <c r="E82" s="2962"/>
      <c r="F82" s="2964"/>
    </row>
    <row r="83" spans="1:6">
      <c r="A83" s="3715" t="s">
        <v>1341</v>
      </c>
      <c r="B83" s="2984"/>
      <c r="C83" s="2965"/>
      <c r="D83" s="2984"/>
      <c r="E83" s="3727" t="s">
        <v>454</v>
      </c>
      <c r="F83" s="2966" t="s">
        <v>178</v>
      </c>
    </row>
    <row r="84" spans="1:6" ht="38.25">
      <c r="A84" s="3716"/>
      <c r="B84" s="2982" t="s">
        <v>50</v>
      </c>
      <c r="C84" s="2955" t="s">
        <v>1438</v>
      </c>
      <c r="D84" s="2956" t="s">
        <v>452</v>
      </c>
      <c r="E84" s="3728"/>
      <c r="F84" s="2987"/>
    </row>
    <row r="85" spans="1:6" ht="38.25">
      <c r="A85" s="3717"/>
      <c r="B85" s="2970" t="s">
        <v>51</v>
      </c>
      <c r="C85" s="2959" t="s">
        <v>455</v>
      </c>
      <c r="D85" s="2960" t="s">
        <v>452</v>
      </c>
      <c r="E85" s="3729"/>
      <c r="F85" s="2988"/>
    </row>
    <row r="86" spans="1:6">
      <c r="A86" s="2962"/>
      <c r="B86" s="2962"/>
      <c r="C86" s="2963"/>
      <c r="D86" s="2962"/>
      <c r="E86" s="2962"/>
      <c r="F86" s="2964"/>
    </row>
    <row r="87" spans="1:6">
      <c r="A87" s="3715" t="s">
        <v>1342</v>
      </c>
      <c r="B87" s="2984"/>
      <c r="C87" s="2965"/>
      <c r="D87" s="2991"/>
      <c r="E87" s="3721" t="s">
        <v>456</v>
      </c>
      <c r="F87" s="2978" t="s">
        <v>1431</v>
      </c>
    </row>
    <row r="88" spans="1:6" ht="51">
      <c r="A88" s="3716"/>
      <c r="B88" s="2954" t="s">
        <v>52</v>
      </c>
      <c r="C88" s="2982" t="s">
        <v>458</v>
      </c>
      <c r="D88" s="2956" t="s">
        <v>457</v>
      </c>
      <c r="E88" s="3722"/>
      <c r="F88" s="2957"/>
    </row>
    <row r="89" spans="1:6" ht="25.5">
      <c r="A89" s="3717"/>
      <c r="B89" s="2958" t="s">
        <v>53</v>
      </c>
      <c r="C89" s="2970" t="s">
        <v>459</v>
      </c>
      <c r="D89" s="2960" t="s">
        <v>457</v>
      </c>
      <c r="E89" s="3723"/>
      <c r="F89" s="2980"/>
    </row>
    <row r="90" spans="1:6">
      <c r="A90" s="2962"/>
      <c r="B90" s="2962"/>
      <c r="C90" s="2963"/>
      <c r="D90" s="2962"/>
      <c r="E90" s="2962"/>
      <c r="F90" s="2964"/>
    </row>
    <row r="91" spans="1:6">
      <c r="A91" s="3715" t="s">
        <v>1343</v>
      </c>
      <c r="B91" s="2984"/>
      <c r="C91" s="2965"/>
      <c r="D91" s="2984"/>
      <c r="E91" s="3721" t="s">
        <v>1439</v>
      </c>
      <c r="F91" s="2966" t="s">
        <v>1432</v>
      </c>
    </row>
    <row r="92" spans="1:6" ht="25.5">
      <c r="A92" s="3716"/>
      <c r="B92" s="2954" t="s">
        <v>54</v>
      </c>
      <c r="C92" s="2955" t="s">
        <v>461</v>
      </c>
      <c r="D92" s="2956" t="s">
        <v>460</v>
      </c>
      <c r="E92" s="3722"/>
      <c r="F92" s="2957"/>
    </row>
    <row r="93" spans="1:6" ht="51">
      <c r="A93" s="3717"/>
      <c r="B93" s="2958" t="s">
        <v>37</v>
      </c>
      <c r="C93" s="2959" t="s">
        <v>462</v>
      </c>
      <c r="D93" s="2960" t="s">
        <v>432</v>
      </c>
      <c r="E93" s="3723"/>
      <c r="F93" s="2961"/>
    </row>
    <row r="94" spans="1:6">
      <c r="A94" s="2962"/>
      <c r="B94" s="2962"/>
      <c r="C94" s="2963"/>
      <c r="D94" s="2962"/>
      <c r="E94" s="2962"/>
      <c r="F94" s="2964"/>
    </row>
    <row r="95" spans="1:6" s="2995" customFormat="1">
      <c r="A95" s="3715" t="s">
        <v>1344</v>
      </c>
      <c r="B95" s="2992"/>
      <c r="C95" s="2993"/>
      <c r="D95" s="2992"/>
      <c r="E95" s="2992"/>
      <c r="F95" s="2994" t="s">
        <v>1356</v>
      </c>
    </row>
    <row r="96" spans="1:6" s="2995" customFormat="1" ht="83.25" customHeight="1">
      <c r="A96" s="3716"/>
      <c r="B96" s="2996" t="s">
        <v>1112</v>
      </c>
      <c r="C96" s="2997" t="s">
        <v>1357</v>
      </c>
      <c r="D96" s="2997" t="s">
        <v>1358</v>
      </c>
      <c r="E96" s="3730" t="s">
        <v>1359</v>
      </c>
      <c r="F96" s="2998"/>
    </row>
    <row r="97" spans="1:6" s="2995" customFormat="1" ht="48" customHeight="1">
      <c r="A97" s="3717"/>
      <c r="B97" s="2999"/>
      <c r="C97" s="3000"/>
      <c r="D97" s="2960" t="s">
        <v>432</v>
      </c>
      <c r="E97" s="3731"/>
      <c r="F97" s="3001"/>
    </row>
    <row r="98" spans="1:6">
      <c r="A98" s="2962"/>
      <c r="B98" s="2962"/>
      <c r="C98" s="2963"/>
      <c r="D98" s="2962"/>
      <c r="E98" s="2962"/>
      <c r="F98" s="2964"/>
    </row>
    <row r="99" spans="1:6">
      <c r="A99" s="3715" t="s">
        <v>1345</v>
      </c>
      <c r="B99" s="2984"/>
      <c r="C99" s="2965"/>
      <c r="D99" s="2984"/>
      <c r="E99" s="3727"/>
      <c r="F99" s="2966" t="s">
        <v>179</v>
      </c>
    </row>
    <row r="100" spans="1:6" ht="99.75" customHeight="1">
      <c r="A100" s="3716"/>
      <c r="B100" s="2982" t="s">
        <v>56</v>
      </c>
      <c r="C100" s="2955" t="s">
        <v>934</v>
      </c>
      <c r="D100" s="2982" t="s">
        <v>180</v>
      </c>
      <c r="E100" s="3728"/>
      <c r="F100" s="2987"/>
    </row>
    <row r="101" spans="1:6" ht="38.25">
      <c r="A101" s="3717"/>
      <c r="B101" s="2970" t="s">
        <v>57</v>
      </c>
      <c r="C101" s="2959" t="s">
        <v>935</v>
      </c>
      <c r="D101" s="2970" t="s">
        <v>180</v>
      </c>
      <c r="E101" s="3729"/>
      <c r="F101" s="3002"/>
    </row>
    <row r="102" spans="1:6">
      <c r="A102" s="2962"/>
      <c r="B102" s="2962"/>
      <c r="C102" s="2963"/>
      <c r="D102" s="2962"/>
      <c r="E102" s="2962"/>
      <c r="F102" s="2964"/>
    </row>
    <row r="103" spans="1:6">
      <c r="A103" s="3715" t="s">
        <v>1346</v>
      </c>
      <c r="B103" s="2984"/>
      <c r="C103" s="2985"/>
      <c r="D103" s="2984"/>
      <c r="E103" s="3721"/>
      <c r="F103" s="2978" t="s">
        <v>181</v>
      </c>
    </row>
    <row r="104" spans="1:6" ht="89.25">
      <c r="A104" s="3716"/>
      <c r="B104" s="2982" t="s">
        <v>59</v>
      </c>
      <c r="C104" s="2955" t="s">
        <v>936</v>
      </c>
      <c r="D104" s="2982" t="s">
        <v>180</v>
      </c>
      <c r="E104" s="3722"/>
      <c r="F104" s="2957"/>
    </row>
    <row r="105" spans="1:6" ht="38.25">
      <c r="A105" s="3717"/>
      <c r="B105" s="2970" t="s">
        <v>60</v>
      </c>
      <c r="C105" s="2959" t="s">
        <v>937</v>
      </c>
      <c r="D105" s="2970" t="s">
        <v>180</v>
      </c>
      <c r="E105" s="3723"/>
      <c r="F105" s="2980"/>
    </row>
    <row r="106" spans="1:6">
      <c r="A106" s="2962"/>
      <c r="B106" s="2962"/>
      <c r="C106" s="2963"/>
      <c r="D106" s="2962"/>
      <c r="E106" s="2962"/>
      <c r="F106" s="2964"/>
    </row>
    <row r="107" spans="1:6">
      <c r="A107" s="3715" t="s">
        <v>1347</v>
      </c>
      <c r="B107" s="2991"/>
      <c r="C107" s="2985"/>
      <c r="D107" s="2984"/>
      <c r="E107" s="3721"/>
      <c r="F107" s="2978" t="s">
        <v>182</v>
      </c>
    </row>
    <row r="108" spans="1:6" ht="89.25">
      <c r="A108" s="3716"/>
      <c r="B108" s="2982" t="s">
        <v>62</v>
      </c>
      <c r="C108" s="2955" t="s">
        <v>938</v>
      </c>
      <c r="D108" s="2982" t="s">
        <v>180</v>
      </c>
      <c r="E108" s="3722"/>
      <c r="F108" s="2957"/>
    </row>
    <row r="109" spans="1:6" ht="38.25">
      <c r="A109" s="3717"/>
      <c r="B109" s="2970" t="s">
        <v>63</v>
      </c>
      <c r="C109" s="2959" t="s">
        <v>939</v>
      </c>
      <c r="D109" s="2970" t="s">
        <v>180</v>
      </c>
      <c r="E109" s="3723"/>
      <c r="F109" s="2980"/>
    </row>
    <row r="110" spans="1:6">
      <c r="A110" s="2962"/>
      <c r="B110" s="2962"/>
      <c r="C110" s="2963"/>
      <c r="D110" s="2962"/>
      <c r="E110" s="2962"/>
      <c r="F110" s="2964"/>
    </row>
    <row r="111" spans="1:6">
      <c r="A111" s="3715" t="s">
        <v>1348</v>
      </c>
      <c r="B111" s="2984"/>
      <c r="C111" s="2965"/>
      <c r="D111" s="2984"/>
      <c r="E111" s="3721" t="s">
        <v>463</v>
      </c>
      <c r="F111" s="2966" t="s">
        <v>1433</v>
      </c>
    </row>
    <row r="112" spans="1:6" ht="102">
      <c r="A112" s="3716"/>
      <c r="B112" s="2982" t="s">
        <v>64</v>
      </c>
      <c r="C112" s="3003" t="s">
        <v>940</v>
      </c>
      <c r="D112" s="2982" t="s">
        <v>180</v>
      </c>
      <c r="E112" s="3722"/>
      <c r="F112" s="2987"/>
    </row>
    <row r="113" spans="1:6" ht="38.25">
      <c r="A113" s="3716"/>
      <c r="B113" s="2982" t="s">
        <v>65</v>
      </c>
      <c r="C113" s="2955" t="s">
        <v>941</v>
      </c>
      <c r="D113" s="2982" t="s">
        <v>180</v>
      </c>
      <c r="E113" s="3722"/>
      <c r="F113" s="2987"/>
    </row>
    <row r="114" spans="1:6" ht="51">
      <c r="A114" s="3717"/>
      <c r="B114" s="2970" t="s">
        <v>66</v>
      </c>
      <c r="C114" s="2959" t="s">
        <v>942</v>
      </c>
      <c r="D114" s="2970" t="s">
        <v>180</v>
      </c>
      <c r="E114" s="3723"/>
      <c r="F114" s="2988"/>
    </row>
    <row r="115" spans="1:6">
      <c r="A115" s="2962"/>
      <c r="B115" s="2962"/>
      <c r="C115" s="2963"/>
      <c r="D115" s="2962"/>
      <c r="E115" s="2962"/>
      <c r="F115" s="2964"/>
    </row>
    <row r="116" spans="1:6" s="2995" customFormat="1" ht="12.75" customHeight="1">
      <c r="A116" s="3715" t="s">
        <v>1349</v>
      </c>
      <c r="B116" s="2992"/>
      <c r="C116" s="2993"/>
      <c r="D116" s="2992"/>
      <c r="E116" s="2992"/>
      <c r="F116" s="2994" t="s">
        <v>1360</v>
      </c>
    </row>
    <row r="117" spans="1:6" s="2995" customFormat="1" ht="51">
      <c r="A117" s="3716"/>
      <c r="B117" s="3004" t="s">
        <v>1114</v>
      </c>
      <c r="C117" s="3005" t="s">
        <v>1363</v>
      </c>
      <c r="D117" s="2997" t="s">
        <v>1364</v>
      </c>
      <c r="E117" s="2997" t="s">
        <v>1365</v>
      </c>
      <c r="F117" s="2998"/>
    </row>
    <row r="118" spans="1:6" s="2995" customFormat="1" ht="25.5">
      <c r="A118" s="3716"/>
      <c r="B118" s="3004" t="s">
        <v>1118</v>
      </c>
      <c r="C118" s="3005" t="s">
        <v>1362</v>
      </c>
      <c r="D118" s="3004"/>
      <c r="E118" s="3004"/>
      <c r="F118" s="2998"/>
    </row>
    <row r="119" spans="1:6" s="2995" customFormat="1">
      <c r="A119" s="3717"/>
      <c r="B119" s="2999"/>
      <c r="C119" s="3006" t="s">
        <v>1366</v>
      </c>
      <c r="D119" s="2999"/>
      <c r="E119" s="2999"/>
      <c r="F119" s="3001"/>
    </row>
    <row r="120" spans="1:6">
      <c r="A120" s="2962"/>
      <c r="B120" s="2962"/>
      <c r="C120" s="2963"/>
      <c r="D120" s="2962"/>
      <c r="E120" s="2962"/>
      <c r="F120" s="2964"/>
    </row>
    <row r="121" spans="1:6" s="2995" customFormat="1" ht="12.75" customHeight="1">
      <c r="A121" s="3715" t="s">
        <v>1350</v>
      </c>
      <c r="B121" s="2992"/>
      <c r="C121" s="2993"/>
      <c r="D121" s="2992"/>
      <c r="E121" s="2992"/>
      <c r="F121" s="2994" t="s">
        <v>1361</v>
      </c>
    </row>
    <row r="122" spans="1:6" s="2995" customFormat="1" ht="51">
      <c r="A122" s="3717"/>
      <c r="B122" s="2999" t="s">
        <v>1120</v>
      </c>
      <c r="C122" s="3006" t="s">
        <v>1367</v>
      </c>
      <c r="D122" s="3007" t="s">
        <v>1364</v>
      </c>
      <c r="E122" s="3007" t="s">
        <v>1365</v>
      </c>
      <c r="F122" s="3001"/>
    </row>
    <row r="123" spans="1:6">
      <c r="A123" s="2962"/>
      <c r="B123" s="2962"/>
      <c r="C123" s="2963"/>
      <c r="D123" s="2962"/>
      <c r="E123" s="2962"/>
      <c r="F123" s="2964"/>
    </row>
    <row r="124" spans="1:6">
      <c r="A124" s="3715" t="s">
        <v>1351</v>
      </c>
      <c r="B124" s="2991"/>
      <c r="C124" s="2985"/>
      <c r="D124" s="2952"/>
      <c r="E124" s="3724" t="s">
        <v>464</v>
      </c>
      <c r="F124" s="2978" t="s">
        <v>1434</v>
      </c>
    </row>
    <row r="125" spans="1:6" ht="76.5">
      <c r="A125" s="3716"/>
      <c r="B125" s="3008" t="s">
        <v>67</v>
      </c>
      <c r="C125" s="3009" t="s">
        <v>465</v>
      </c>
      <c r="D125" s="2956" t="s">
        <v>448</v>
      </c>
      <c r="E125" s="3725"/>
      <c r="F125" s="2976" t="s">
        <v>183</v>
      </c>
    </row>
    <row r="126" spans="1:6" ht="25.5">
      <c r="A126" s="3716"/>
      <c r="B126" s="2982" t="s">
        <v>68</v>
      </c>
      <c r="C126" s="2972"/>
      <c r="D126" s="2956" t="s">
        <v>448</v>
      </c>
      <c r="E126" s="3725"/>
      <c r="F126" s="2979"/>
    </row>
    <row r="127" spans="1:6" ht="25.5">
      <c r="A127" s="3716"/>
      <c r="B127" s="2982" t="s">
        <v>69</v>
      </c>
      <c r="C127" s="2972"/>
      <c r="D127" s="2956" t="s">
        <v>448</v>
      </c>
      <c r="E127" s="3725"/>
      <c r="F127" s="2979"/>
    </row>
    <row r="128" spans="1:6" ht="25.5">
      <c r="A128" s="3716"/>
      <c r="B128" s="2982" t="s">
        <v>70</v>
      </c>
      <c r="C128" s="2972"/>
      <c r="D128" s="2956" t="s">
        <v>448</v>
      </c>
      <c r="E128" s="3725"/>
      <c r="F128" s="2979"/>
    </row>
    <row r="129" spans="1:6" ht="76.5">
      <c r="A129" s="3716"/>
      <c r="B129" s="3008" t="s">
        <v>71</v>
      </c>
      <c r="C129" s="3009" t="s">
        <v>466</v>
      </c>
      <c r="D129" s="2956" t="s">
        <v>448</v>
      </c>
      <c r="E129" s="3725"/>
      <c r="F129" s="2976" t="s">
        <v>184</v>
      </c>
    </row>
    <row r="130" spans="1:6" ht="25.5">
      <c r="A130" s="3716"/>
      <c r="B130" s="3010" t="s">
        <v>72</v>
      </c>
      <c r="C130" s="2972"/>
      <c r="D130" s="2956" t="s">
        <v>448</v>
      </c>
      <c r="E130" s="3725"/>
      <c r="F130" s="2976" t="s">
        <v>185</v>
      </c>
    </row>
    <row r="131" spans="1:6" ht="25.5">
      <c r="A131" s="3716"/>
      <c r="B131" s="2982" t="s">
        <v>38</v>
      </c>
      <c r="C131" s="2982"/>
      <c r="D131" s="2956" t="s">
        <v>448</v>
      </c>
      <c r="E131" s="3725"/>
      <c r="F131" s="2987"/>
    </row>
    <row r="132" spans="1:6" ht="25.5">
      <c r="A132" s="3716"/>
      <c r="B132" s="2982" t="s">
        <v>73</v>
      </c>
      <c r="C132" s="2954"/>
      <c r="D132" s="2956" t="s">
        <v>448</v>
      </c>
      <c r="E132" s="3725"/>
      <c r="F132" s="2969"/>
    </row>
    <row r="133" spans="1:6" ht="25.5">
      <c r="A133" s="3716"/>
      <c r="B133" s="2982" t="s">
        <v>74</v>
      </c>
      <c r="C133" s="2954"/>
      <c r="D133" s="2956" t="s">
        <v>448</v>
      </c>
      <c r="E133" s="3725"/>
      <c r="F133" s="2987"/>
    </row>
    <row r="134" spans="1:6" ht="25.5">
      <c r="A134" s="3716"/>
      <c r="B134" s="2982" t="s">
        <v>75</v>
      </c>
      <c r="C134" s="2954"/>
      <c r="D134" s="2956" t="s">
        <v>448</v>
      </c>
      <c r="E134" s="3725"/>
      <c r="F134" s="2957"/>
    </row>
    <row r="135" spans="1:6" ht="25.5">
      <c r="A135" s="3716"/>
      <c r="B135" s="3010" t="s">
        <v>76</v>
      </c>
      <c r="C135" s="2975"/>
      <c r="D135" s="2956" t="s">
        <v>448</v>
      </c>
      <c r="E135" s="3725"/>
      <c r="F135" s="2968" t="s">
        <v>186</v>
      </c>
    </row>
    <row r="136" spans="1:6" ht="25.5">
      <c r="A136" s="3716"/>
      <c r="B136" s="2982" t="s">
        <v>77</v>
      </c>
      <c r="C136" s="2975"/>
      <c r="D136" s="2956" t="s">
        <v>448</v>
      </c>
      <c r="E136" s="3725"/>
      <c r="F136" s="2969"/>
    </row>
    <row r="137" spans="1:6" ht="25.5">
      <c r="A137" s="3716"/>
      <c r="B137" s="2982" t="s">
        <v>78</v>
      </c>
      <c r="C137" s="2975"/>
      <c r="D137" s="2956" t="s">
        <v>448</v>
      </c>
      <c r="E137" s="3725"/>
      <c r="F137" s="2969"/>
    </row>
    <row r="138" spans="1:6" ht="25.5">
      <c r="A138" s="3716"/>
      <c r="B138" s="2982" t="s">
        <v>79</v>
      </c>
      <c r="C138" s="2975"/>
      <c r="D138" s="2956" t="s">
        <v>448</v>
      </c>
      <c r="E138" s="3725"/>
      <c r="F138" s="2969"/>
    </row>
    <row r="139" spans="1:6" ht="25.5">
      <c r="A139" s="3716"/>
      <c r="B139" s="2982" t="s">
        <v>80</v>
      </c>
      <c r="C139" s="2975"/>
      <c r="D139" s="2956" t="s">
        <v>448</v>
      </c>
      <c r="E139" s="3725"/>
      <c r="F139" s="2969"/>
    </row>
    <row r="140" spans="1:6" ht="25.5">
      <c r="A140" s="3717"/>
      <c r="B140" s="2970" t="s">
        <v>81</v>
      </c>
      <c r="C140" s="3011"/>
      <c r="D140" s="2960" t="s">
        <v>448</v>
      </c>
      <c r="E140" s="3726"/>
      <c r="F140" s="3012"/>
    </row>
    <row r="141" spans="1:6">
      <c r="A141" s="2962"/>
      <c r="B141" s="2962"/>
      <c r="C141" s="2963"/>
      <c r="D141" s="2962"/>
      <c r="E141" s="2962"/>
      <c r="F141" s="2964"/>
    </row>
    <row r="142" spans="1:6">
      <c r="A142" s="3715" t="s">
        <v>1355</v>
      </c>
      <c r="B142" s="2984"/>
      <c r="C142" s="2965"/>
      <c r="D142" s="2984"/>
      <c r="E142" s="3721" t="s">
        <v>467</v>
      </c>
      <c r="F142" s="2966" t="s">
        <v>1435</v>
      </c>
    </row>
    <row r="143" spans="1:6" ht="38.25">
      <c r="A143" s="3716"/>
      <c r="B143" s="2982" t="s">
        <v>82</v>
      </c>
      <c r="C143" s="2955" t="s">
        <v>469</v>
      </c>
      <c r="D143" s="2956" t="s">
        <v>468</v>
      </c>
      <c r="E143" s="3722"/>
      <c r="F143" s="2969"/>
    </row>
    <row r="144" spans="1:6" ht="38.25">
      <c r="A144" s="3717"/>
      <c r="B144" s="2970" t="s">
        <v>83</v>
      </c>
      <c r="C144" s="2959" t="s">
        <v>470</v>
      </c>
      <c r="D144" s="2960" t="s">
        <v>468</v>
      </c>
      <c r="E144" s="3723"/>
      <c r="F144" s="2980"/>
    </row>
    <row r="145" spans="1:6">
      <c r="A145" s="3013"/>
      <c r="B145" s="2962"/>
      <c r="C145" s="2963"/>
      <c r="D145" s="2962"/>
      <c r="E145" s="2962"/>
      <c r="F145" s="2964"/>
    </row>
    <row r="146" spans="1:6">
      <c r="A146" s="3715" t="s">
        <v>1354</v>
      </c>
      <c r="B146" s="2991"/>
      <c r="C146" s="2985"/>
      <c r="D146" s="2952"/>
      <c r="E146" s="3721" t="s">
        <v>471</v>
      </c>
      <c r="F146" s="2966" t="s">
        <v>1436</v>
      </c>
    </row>
    <row r="147" spans="1:6" ht="38.25">
      <c r="A147" s="3716"/>
      <c r="B147" s="2982" t="s">
        <v>84</v>
      </c>
      <c r="C147" s="2955" t="s">
        <v>472</v>
      </c>
      <c r="D147" s="2956" t="s">
        <v>468</v>
      </c>
      <c r="E147" s="3722"/>
      <c r="F147" s="2957"/>
    </row>
    <row r="148" spans="1:6" ht="38.25">
      <c r="A148" s="3717"/>
      <c r="B148" s="2970" t="s">
        <v>85</v>
      </c>
      <c r="C148" s="2959" t="s">
        <v>473</v>
      </c>
      <c r="D148" s="2960" t="s">
        <v>468</v>
      </c>
      <c r="E148" s="3723"/>
      <c r="F148" s="2980"/>
    </row>
    <row r="149" spans="1:6">
      <c r="A149" s="3013"/>
      <c r="B149" s="2962"/>
      <c r="C149" s="2963"/>
      <c r="D149" s="2962"/>
      <c r="E149" s="2962"/>
      <c r="F149" s="2964"/>
    </row>
    <row r="150" spans="1:6">
      <c r="A150" s="3718" t="s">
        <v>1352</v>
      </c>
      <c r="B150" s="2984"/>
      <c r="C150" s="2965"/>
      <c r="D150" s="2984"/>
      <c r="E150" s="3721" t="s">
        <v>474</v>
      </c>
      <c r="F150" s="2966" t="s">
        <v>187</v>
      </c>
    </row>
    <row r="151" spans="1:6" ht="38.25">
      <c r="A151" s="3719"/>
      <c r="B151" s="2982" t="s">
        <v>86</v>
      </c>
      <c r="C151" s="2977" t="s">
        <v>943</v>
      </c>
      <c r="D151" s="3014" t="s">
        <v>475</v>
      </c>
      <c r="E151" s="3722"/>
      <c r="F151" s="2987"/>
    </row>
    <row r="152" spans="1:6" ht="25.5">
      <c r="A152" s="3720"/>
      <c r="B152" s="2958" t="s">
        <v>87</v>
      </c>
      <c r="C152" s="3015" t="s">
        <v>476</v>
      </c>
      <c r="D152" s="3016" t="s">
        <v>189</v>
      </c>
      <c r="E152" s="3723"/>
      <c r="F152" s="2980"/>
    </row>
    <row r="153" spans="1:6">
      <c r="A153" s="3013"/>
      <c r="B153" s="2962"/>
      <c r="C153" s="2963"/>
      <c r="D153" s="2962"/>
      <c r="E153" s="2962"/>
      <c r="F153" s="2964"/>
    </row>
    <row r="154" spans="1:6">
      <c r="A154" s="3718" t="s">
        <v>1353</v>
      </c>
      <c r="B154" s="2984"/>
      <c r="C154" s="2965"/>
      <c r="D154" s="2984"/>
      <c r="E154" s="3721" t="s">
        <v>474</v>
      </c>
      <c r="F154" s="2966" t="s">
        <v>190</v>
      </c>
    </row>
    <row r="155" spans="1:6" ht="38.25">
      <c r="A155" s="3719"/>
      <c r="B155" s="2982" t="s">
        <v>88</v>
      </c>
      <c r="C155" s="2977" t="s">
        <v>944</v>
      </c>
      <c r="D155" s="3014" t="s">
        <v>188</v>
      </c>
      <c r="E155" s="3722"/>
      <c r="F155" s="2987"/>
    </row>
    <row r="156" spans="1:6" ht="25.5">
      <c r="A156" s="3720"/>
      <c r="B156" s="2970" t="s">
        <v>89</v>
      </c>
      <c r="C156" s="3015" t="s">
        <v>477</v>
      </c>
      <c r="D156" s="3016" t="s">
        <v>189</v>
      </c>
      <c r="E156" s="3723"/>
      <c r="F156" s="2980"/>
    </row>
    <row r="157" spans="1:6">
      <c r="A157" s="3017"/>
      <c r="B157" s="3017"/>
      <c r="C157" s="3018"/>
      <c r="D157" s="3017"/>
      <c r="E157" s="3017"/>
      <c r="F157" s="3019"/>
    </row>
    <row r="158" spans="1:6">
      <c r="A158" s="3020"/>
      <c r="B158" s="3020"/>
      <c r="C158" s="3020"/>
      <c r="D158" s="3020"/>
      <c r="E158" s="3020"/>
      <c r="F158" s="3021"/>
    </row>
    <row r="159" spans="1:6">
      <c r="A159" s="3020"/>
      <c r="B159" s="3020"/>
      <c r="C159" s="3020"/>
      <c r="D159" s="3020"/>
      <c r="E159" s="3020"/>
      <c r="F159" s="3021"/>
    </row>
    <row r="160" spans="1:6">
      <c r="A160" s="3020"/>
      <c r="B160" s="3020"/>
      <c r="C160" s="3020"/>
      <c r="D160" s="3020"/>
      <c r="E160" s="3020"/>
      <c r="F160" s="3021"/>
    </row>
    <row r="161" spans="1:6">
      <c r="A161" s="3020"/>
      <c r="B161" s="3020"/>
      <c r="C161" s="3020"/>
      <c r="D161" s="3020"/>
      <c r="E161" s="3020"/>
      <c r="F161" s="3021"/>
    </row>
    <row r="162" spans="1:6">
      <c r="A162" s="3020"/>
      <c r="B162" s="3020"/>
      <c r="C162" s="3020"/>
      <c r="D162" s="3020"/>
      <c r="E162" s="3020"/>
      <c r="F162" s="3021"/>
    </row>
    <row r="163" spans="1:6">
      <c r="A163" s="3020"/>
      <c r="B163" s="3020"/>
      <c r="C163" s="3020"/>
      <c r="D163" s="3020"/>
      <c r="E163" s="3020"/>
      <c r="F163" s="3021"/>
    </row>
    <row r="164" spans="1:6">
      <c r="A164" s="3020"/>
      <c r="B164" s="3020"/>
      <c r="C164" s="3020"/>
      <c r="D164" s="3020"/>
      <c r="E164" s="3020"/>
      <c r="F164" s="3021"/>
    </row>
    <row r="165" spans="1:6">
      <c r="A165" s="3020"/>
      <c r="B165" s="3020"/>
      <c r="C165" s="3020"/>
      <c r="D165" s="3020"/>
      <c r="E165" s="3020"/>
      <c r="F165" s="3021"/>
    </row>
    <row r="166" spans="1:6">
      <c r="A166" s="3020"/>
      <c r="B166" s="3020"/>
      <c r="C166" s="3020"/>
      <c r="D166" s="3020"/>
      <c r="E166" s="3020"/>
      <c r="F166" s="3021"/>
    </row>
    <row r="167" spans="1:6">
      <c r="A167" s="3020"/>
      <c r="B167" s="3020"/>
      <c r="C167" s="3020"/>
      <c r="D167" s="3020"/>
      <c r="E167" s="3020"/>
      <c r="F167" s="3021"/>
    </row>
    <row r="168" spans="1:6">
      <c r="A168" s="3020"/>
      <c r="B168" s="3020"/>
      <c r="C168" s="3020"/>
      <c r="D168" s="3020"/>
      <c r="E168" s="3020"/>
      <c r="F168" s="3021"/>
    </row>
    <row r="169" spans="1:6">
      <c r="A169" s="3020"/>
      <c r="B169" s="3020"/>
      <c r="C169" s="3020"/>
      <c r="D169" s="3020"/>
      <c r="E169" s="3020"/>
      <c r="F169" s="3021"/>
    </row>
    <row r="170" spans="1:6">
      <c r="F170" s="3022"/>
    </row>
    <row r="171" spans="1:6">
      <c r="F171" s="3022"/>
    </row>
    <row r="172" spans="1:6">
      <c r="F172" s="3022"/>
    </row>
    <row r="173" spans="1:6">
      <c r="F173" s="3022"/>
    </row>
    <row r="174" spans="1:6">
      <c r="F174" s="3022"/>
    </row>
    <row r="175" spans="1:6">
      <c r="F175" s="3022"/>
    </row>
    <row r="176" spans="1:6">
      <c r="F176" s="3022"/>
    </row>
    <row r="177" spans="6:6">
      <c r="F177" s="3022"/>
    </row>
    <row r="178" spans="6:6">
      <c r="F178" s="3022"/>
    </row>
    <row r="179" spans="6:6">
      <c r="F179" s="3022"/>
    </row>
    <row r="180" spans="6:6">
      <c r="F180" s="3022"/>
    </row>
    <row r="181" spans="6:6">
      <c r="F181" s="3022"/>
    </row>
    <row r="182" spans="6:6">
      <c r="F182" s="3022"/>
    </row>
    <row r="183" spans="6:6">
      <c r="F183" s="3022"/>
    </row>
    <row r="184" spans="6:6">
      <c r="F184" s="3022"/>
    </row>
    <row r="185" spans="6:6">
      <c r="F185" s="3022"/>
    </row>
    <row r="186" spans="6:6">
      <c r="F186" s="3022"/>
    </row>
    <row r="187" spans="6:6">
      <c r="F187" s="3022"/>
    </row>
    <row r="188" spans="6:6">
      <c r="F188" s="3022"/>
    </row>
    <row r="189" spans="6:6">
      <c r="F189" s="3022"/>
    </row>
    <row r="190" spans="6:6">
      <c r="F190" s="3022"/>
    </row>
    <row r="191" spans="6:6">
      <c r="F191" s="3022"/>
    </row>
    <row r="192" spans="6:6">
      <c r="F192" s="3022"/>
    </row>
    <row r="193" spans="6:6">
      <c r="F193" s="3022"/>
    </row>
    <row r="194" spans="6:6">
      <c r="F194" s="3022"/>
    </row>
    <row r="195" spans="6:6">
      <c r="F195" s="3022"/>
    </row>
    <row r="196" spans="6:6">
      <c r="F196" s="3022"/>
    </row>
    <row r="197" spans="6:6">
      <c r="F197" s="3022"/>
    </row>
    <row r="198" spans="6:6">
      <c r="F198" s="3022"/>
    </row>
    <row r="199" spans="6:6">
      <c r="F199" s="3022"/>
    </row>
    <row r="200" spans="6:6">
      <c r="F200" s="3022"/>
    </row>
    <row r="201" spans="6:6">
      <c r="F201" s="3022"/>
    </row>
    <row r="202" spans="6:6">
      <c r="F202" s="3022"/>
    </row>
    <row r="203" spans="6:6">
      <c r="F203" s="3022"/>
    </row>
    <row r="204" spans="6:6">
      <c r="F204" s="3022"/>
    </row>
    <row r="205" spans="6:6">
      <c r="F205" s="3022"/>
    </row>
    <row r="206" spans="6:6">
      <c r="F206" s="3022"/>
    </row>
    <row r="207" spans="6:6">
      <c r="F207" s="3022"/>
    </row>
    <row r="208" spans="6:6">
      <c r="F208" s="3022"/>
    </row>
    <row r="209" spans="6:6">
      <c r="F209" s="3022"/>
    </row>
    <row r="210" spans="6:6">
      <c r="F210" s="3022"/>
    </row>
    <row r="211" spans="6:6">
      <c r="F211" s="3022"/>
    </row>
    <row r="212" spans="6:6">
      <c r="F212" s="3022"/>
    </row>
    <row r="213" spans="6:6">
      <c r="F213" s="3022"/>
    </row>
    <row r="214" spans="6:6">
      <c r="F214" s="3022"/>
    </row>
    <row r="215" spans="6:6">
      <c r="F215" s="3022"/>
    </row>
    <row r="216" spans="6:6">
      <c r="F216" s="3022"/>
    </row>
    <row r="217" spans="6:6">
      <c r="F217" s="3022"/>
    </row>
    <row r="218" spans="6:6">
      <c r="F218" s="3022"/>
    </row>
    <row r="219" spans="6:6">
      <c r="F219" s="3022"/>
    </row>
    <row r="220" spans="6:6">
      <c r="F220" s="3022"/>
    </row>
    <row r="221" spans="6:6">
      <c r="F221" s="3022"/>
    </row>
    <row r="222" spans="6:6">
      <c r="F222" s="3022"/>
    </row>
    <row r="223" spans="6:6">
      <c r="F223" s="3022"/>
    </row>
    <row r="224" spans="6:6">
      <c r="F224" s="3022"/>
    </row>
    <row r="225" spans="6:6">
      <c r="F225" s="3022"/>
    </row>
    <row r="226" spans="6:6">
      <c r="F226" s="3022"/>
    </row>
    <row r="227" spans="6:6">
      <c r="F227" s="3022"/>
    </row>
    <row r="228" spans="6:6">
      <c r="F228" s="3022"/>
    </row>
    <row r="229" spans="6:6">
      <c r="F229" s="3022"/>
    </row>
    <row r="230" spans="6:6">
      <c r="F230" s="3022"/>
    </row>
    <row r="231" spans="6:6">
      <c r="F231" s="3022"/>
    </row>
    <row r="232" spans="6:6">
      <c r="F232" s="3022"/>
    </row>
    <row r="233" spans="6:6">
      <c r="F233" s="3022"/>
    </row>
    <row r="234" spans="6:6">
      <c r="F234" s="3022"/>
    </row>
    <row r="235" spans="6:6">
      <c r="F235" s="3022"/>
    </row>
    <row r="236" spans="6:6">
      <c r="F236" s="3022"/>
    </row>
    <row r="237" spans="6:6">
      <c r="F237" s="3022"/>
    </row>
    <row r="238" spans="6:6">
      <c r="F238" s="3022"/>
    </row>
    <row r="239" spans="6:6">
      <c r="F239" s="3022"/>
    </row>
    <row r="240" spans="6:6">
      <c r="F240" s="3022"/>
    </row>
    <row r="241" spans="6:6">
      <c r="F241" s="3022"/>
    </row>
    <row r="242" spans="6:6">
      <c r="F242" s="3022"/>
    </row>
    <row r="243" spans="6:6">
      <c r="F243" s="3022"/>
    </row>
    <row r="244" spans="6:6">
      <c r="F244" s="3022"/>
    </row>
    <row r="245" spans="6:6">
      <c r="F245" s="3022"/>
    </row>
    <row r="246" spans="6:6">
      <c r="F246" s="3022"/>
    </row>
    <row r="247" spans="6:6">
      <c r="F247" s="3022"/>
    </row>
    <row r="248" spans="6:6">
      <c r="F248" s="3022"/>
    </row>
    <row r="249" spans="6:6">
      <c r="F249" s="3022"/>
    </row>
    <row r="250" spans="6:6">
      <c r="F250" s="3022"/>
    </row>
    <row r="251" spans="6:6">
      <c r="F251" s="3022"/>
    </row>
    <row r="252" spans="6:6">
      <c r="F252" s="3022"/>
    </row>
    <row r="253" spans="6:6">
      <c r="F253" s="3022"/>
    </row>
    <row r="254" spans="6:6">
      <c r="F254" s="3022"/>
    </row>
    <row r="255" spans="6:6">
      <c r="F255" s="3022"/>
    </row>
    <row r="256" spans="6:6">
      <c r="F256" s="3022"/>
    </row>
    <row r="257" spans="6:6">
      <c r="F257" s="3022"/>
    </row>
    <row r="258" spans="6:6">
      <c r="F258" s="3022"/>
    </row>
    <row r="259" spans="6:6">
      <c r="F259" s="3022"/>
    </row>
    <row r="260" spans="6:6">
      <c r="F260" s="3022"/>
    </row>
    <row r="261" spans="6:6">
      <c r="F261" s="3022"/>
    </row>
    <row r="262" spans="6:6">
      <c r="F262" s="3022"/>
    </row>
    <row r="263" spans="6:6">
      <c r="F263" s="3022"/>
    </row>
    <row r="264" spans="6:6">
      <c r="F264" s="3022"/>
    </row>
    <row r="265" spans="6:6">
      <c r="F265" s="3022"/>
    </row>
    <row r="266" spans="6:6">
      <c r="F266" s="3022"/>
    </row>
    <row r="267" spans="6:6">
      <c r="F267" s="3022"/>
    </row>
    <row r="268" spans="6:6">
      <c r="F268" s="3022"/>
    </row>
    <row r="269" spans="6:6">
      <c r="F269" s="3022"/>
    </row>
    <row r="270" spans="6:6">
      <c r="F270" s="3022"/>
    </row>
    <row r="271" spans="6:6">
      <c r="F271" s="3022"/>
    </row>
    <row r="272" spans="6:6">
      <c r="F272" s="3022"/>
    </row>
    <row r="273" spans="6:6">
      <c r="F273" s="3022"/>
    </row>
    <row r="274" spans="6:6">
      <c r="F274" s="3022"/>
    </row>
    <row r="275" spans="6:6">
      <c r="F275" s="3022"/>
    </row>
    <row r="276" spans="6:6">
      <c r="F276" s="3022"/>
    </row>
    <row r="277" spans="6:6">
      <c r="F277" s="3022"/>
    </row>
    <row r="278" spans="6:6">
      <c r="F278" s="3022"/>
    </row>
    <row r="279" spans="6:6">
      <c r="F279" s="3022"/>
    </row>
    <row r="280" spans="6:6">
      <c r="F280" s="3022"/>
    </row>
    <row r="281" spans="6:6">
      <c r="F281" s="3022"/>
    </row>
    <row r="282" spans="6:6">
      <c r="F282" s="3022"/>
    </row>
    <row r="283" spans="6:6">
      <c r="F283" s="3022"/>
    </row>
    <row r="284" spans="6:6">
      <c r="F284" s="3022"/>
    </row>
    <row r="285" spans="6:6">
      <c r="F285" s="3022"/>
    </row>
    <row r="286" spans="6:6">
      <c r="F286" s="3022"/>
    </row>
    <row r="287" spans="6:6">
      <c r="F287" s="3022"/>
    </row>
    <row r="288" spans="6:6">
      <c r="F288" s="3022"/>
    </row>
    <row r="289" spans="6:6">
      <c r="F289" s="3022"/>
    </row>
    <row r="290" spans="6:6">
      <c r="F290" s="3022"/>
    </row>
    <row r="291" spans="6:6">
      <c r="F291" s="3022"/>
    </row>
    <row r="292" spans="6:6">
      <c r="F292" s="3022"/>
    </row>
    <row r="293" spans="6:6">
      <c r="F293" s="3022"/>
    </row>
    <row r="294" spans="6:6">
      <c r="F294" s="3022"/>
    </row>
    <row r="295" spans="6:6">
      <c r="F295" s="3022"/>
    </row>
    <row r="296" spans="6:6">
      <c r="F296" s="3022"/>
    </row>
    <row r="297" spans="6:6">
      <c r="F297" s="3022"/>
    </row>
    <row r="298" spans="6:6">
      <c r="F298" s="3022"/>
    </row>
    <row r="299" spans="6:6">
      <c r="F299" s="3022"/>
    </row>
    <row r="300" spans="6:6">
      <c r="F300" s="3022"/>
    </row>
    <row r="301" spans="6:6">
      <c r="F301" s="3022"/>
    </row>
    <row r="302" spans="6:6">
      <c r="F302" s="3022"/>
    </row>
    <row r="303" spans="6:6">
      <c r="F303" s="3022"/>
    </row>
    <row r="304" spans="6:6">
      <c r="F304" s="3022"/>
    </row>
    <row r="305" spans="6:6">
      <c r="F305" s="3022"/>
    </row>
    <row r="306" spans="6:6">
      <c r="F306" s="3022"/>
    </row>
    <row r="307" spans="6:6">
      <c r="F307" s="3022"/>
    </row>
    <row r="308" spans="6:6">
      <c r="F308" s="3022"/>
    </row>
  </sheetData>
  <sheetProtection password="C6DB" sheet="1" objects="1" scenarios="1"/>
  <autoFilter ref="A2:F157"/>
  <mergeCells count="56">
    <mergeCell ref="E43:E46"/>
    <mergeCell ref="E3:E5"/>
    <mergeCell ref="E7:E17"/>
    <mergeCell ref="E19:E29"/>
    <mergeCell ref="E31:E33"/>
    <mergeCell ref="E35:E41"/>
    <mergeCell ref="E99:E101"/>
    <mergeCell ref="E49:E51"/>
    <mergeCell ref="E53:E55"/>
    <mergeCell ref="E57:E59"/>
    <mergeCell ref="E61:E63"/>
    <mergeCell ref="E65:E67"/>
    <mergeCell ref="E69:E73"/>
    <mergeCell ref="E75:E77"/>
    <mergeCell ref="E79:E81"/>
    <mergeCell ref="E83:E85"/>
    <mergeCell ref="E87:E89"/>
    <mergeCell ref="E91:E93"/>
    <mergeCell ref="E96:E97"/>
    <mergeCell ref="E150:E152"/>
    <mergeCell ref="E154:E156"/>
    <mergeCell ref="E103:E105"/>
    <mergeCell ref="E107:E109"/>
    <mergeCell ref="E111:E114"/>
    <mergeCell ref="E124:E140"/>
    <mergeCell ref="E142:E144"/>
    <mergeCell ref="E146:E148"/>
    <mergeCell ref="A3:A5"/>
    <mergeCell ref="A7:A17"/>
    <mergeCell ref="A19:A29"/>
    <mergeCell ref="A31:A33"/>
    <mergeCell ref="A35:A41"/>
    <mergeCell ref="A43:A47"/>
    <mergeCell ref="A49:A51"/>
    <mergeCell ref="A53:A55"/>
    <mergeCell ref="A57:A59"/>
    <mergeCell ref="A61:A63"/>
    <mergeCell ref="A65:A67"/>
    <mergeCell ref="A69:A73"/>
    <mergeCell ref="A75:A77"/>
    <mergeCell ref="A79:A81"/>
    <mergeCell ref="A83:A85"/>
    <mergeCell ref="A107:A109"/>
    <mergeCell ref="A111:A114"/>
    <mergeCell ref="A121:A122"/>
    <mergeCell ref="A116:A119"/>
    <mergeCell ref="A87:A89"/>
    <mergeCell ref="A91:A93"/>
    <mergeCell ref="A95:A97"/>
    <mergeCell ref="A99:A101"/>
    <mergeCell ref="A103:A105"/>
    <mergeCell ref="A124:A140"/>
    <mergeCell ref="A154:A156"/>
    <mergeCell ref="A150:A152"/>
    <mergeCell ref="A146:A148"/>
    <mergeCell ref="A142:A144"/>
  </mergeCells>
  <conditionalFormatting sqref="A2 E2">
    <cfRule type="duplicateValues" dxfId="0" priority="1"/>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26"/>
  </sheetPr>
  <dimension ref="A1:T125"/>
  <sheetViews>
    <sheetView showGridLines="0" zoomScale="85" zoomScaleNormal="85" zoomScaleSheetLayoutView="70" workbookViewId="0">
      <pane xSplit="4" ySplit="7" topLeftCell="E104" activePane="bottomRight" state="frozen"/>
      <selection pane="topRight" activeCell="E1" sqref="E1"/>
      <selection pane="bottomLeft" activeCell="A8" sqref="A8"/>
      <selection pane="bottomRight" activeCell="C110" sqref="C110"/>
    </sheetView>
  </sheetViews>
  <sheetFormatPr defaultColWidth="9.140625" defaultRowHeight="12.75"/>
  <cols>
    <col min="1" max="1" width="12.7109375" style="1" customWidth="1"/>
    <col min="2" max="2" width="9.140625" style="1" customWidth="1"/>
    <col min="3" max="3" width="67.140625" style="1" customWidth="1"/>
    <col min="4" max="4" width="12.7109375" style="2707" customWidth="1"/>
    <col min="5" max="5" width="12.140625" style="2707" customWidth="1"/>
    <col min="6" max="7" width="11.140625" style="2707" customWidth="1"/>
    <col min="8" max="8" width="11.28515625" style="2707" customWidth="1"/>
    <col min="9" max="9" width="10.5703125" style="2707" customWidth="1"/>
    <col min="10" max="10" width="11.140625" style="2707" customWidth="1"/>
    <col min="11" max="11" width="10.7109375" style="2707" customWidth="1"/>
    <col min="12" max="12" width="8.28515625" style="2707" customWidth="1"/>
    <col min="13" max="18" width="7.28515625" style="2709" customWidth="1"/>
    <col min="19" max="19" width="16.140625" style="2707" customWidth="1"/>
    <col min="20" max="20" width="17.5703125" style="2707" customWidth="1"/>
    <col min="21" max="16384" width="9.140625" style="1"/>
  </cols>
  <sheetData>
    <row r="1" spans="1:20" ht="18.75" customHeight="1">
      <c r="E1" s="3381"/>
      <c r="F1" s="3381"/>
      <c r="H1" s="2708"/>
      <c r="I1" s="2708"/>
      <c r="J1" s="2708"/>
      <c r="R1" s="2710" t="s">
        <v>0</v>
      </c>
    </row>
    <row r="2" spans="1:20" s="676" customFormat="1" ht="21.75" customHeight="1">
      <c r="A2" s="3377" t="s">
        <v>497</v>
      </c>
      <c r="B2" s="3377"/>
      <c r="C2" s="3377"/>
      <c r="D2" s="3377"/>
      <c r="E2" s="3377"/>
      <c r="F2" s="3377"/>
      <c r="G2" s="3377"/>
      <c r="H2" s="3377"/>
      <c r="I2" s="3377"/>
      <c r="J2" s="3377"/>
      <c r="K2" s="3377"/>
      <c r="L2" s="3377"/>
      <c r="M2" s="3377"/>
      <c r="N2" s="3377"/>
      <c r="O2" s="3377"/>
      <c r="P2" s="3377"/>
      <c r="Q2" s="3377"/>
      <c r="R2" s="3377"/>
      <c r="S2" s="2711"/>
      <c r="T2" s="2711"/>
    </row>
    <row r="3" spans="1:20" s="677" customFormat="1" ht="22.5" customHeight="1">
      <c r="A3" s="3378" t="str">
        <f>'1. Анкетна карта'!A3:J3</f>
        <v>на "ВОДОСНАБДЯВАНЕ И КАНАЛИЗАЦИЯ ДОБРИЧ" АД, гр. Добрич</v>
      </c>
      <c r="B3" s="3378"/>
      <c r="C3" s="3378"/>
      <c r="D3" s="3378"/>
      <c r="E3" s="3378"/>
      <c r="F3" s="3378"/>
      <c r="G3" s="3378"/>
      <c r="H3" s="3378"/>
      <c r="I3" s="3378"/>
      <c r="J3" s="3378"/>
      <c r="K3" s="3378"/>
      <c r="L3" s="3378"/>
      <c r="M3" s="3378"/>
      <c r="N3" s="3378"/>
      <c r="O3" s="3378"/>
      <c r="P3" s="3378"/>
      <c r="Q3" s="3378"/>
      <c r="R3" s="3378"/>
      <c r="S3" s="2712"/>
      <c r="T3" s="2712"/>
    </row>
    <row r="4" spans="1:20" s="675" customFormat="1" ht="13.5" customHeight="1">
      <c r="A4" s="3376" t="str">
        <f>'1. Анкетна карта'!A4:J4</f>
        <v>ЕИК по БУЛСТАТ: 204219357</v>
      </c>
      <c r="B4" s="3376"/>
      <c r="C4" s="3376"/>
      <c r="D4" s="3376"/>
      <c r="E4" s="3376"/>
      <c r="F4" s="3376"/>
      <c r="G4" s="3376"/>
      <c r="H4" s="3376"/>
      <c r="I4" s="3376"/>
      <c r="J4" s="3376"/>
      <c r="K4" s="3376"/>
      <c r="L4" s="3376"/>
      <c r="M4" s="3376"/>
      <c r="N4" s="3376"/>
      <c r="O4" s="3376"/>
      <c r="P4" s="3376"/>
      <c r="Q4" s="3376"/>
      <c r="R4" s="3376"/>
      <c r="S4" s="2709"/>
      <c r="T4" s="2709"/>
    </row>
    <row r="5" spans="1:20" s="675" customFormat="1" ht="11.25" customHeight="1" thickBot="1">
      <c r="B5" s="685"/>
      <c r="C5" s="685"/>
      <c r="D5" s="2633"/>
      <c r="E5" s="2633"/>
      <c r="F5" s="2633"/>
      <c r="G5" s="2633"/>
      <c r="H5" s="2633"/>
      <c r="I5" s="2633"/>
      <c r="J5" s="2633"/>
      <c r="K5" s="2633"/>
      <c r="L5" s="2633"/>
      <c r="M5" s="2633"/>
      <c r="N5" s="2633"/>
      <c r="O5" s="2633"/>
      <c r="P5" s="2633"/>
      <c r="Q5" s="2633"/>
      <c r="R5" s="2633"/>
      <c r="S5" s="2709"/>
      <c r="T5" s="2709"/>
    </row>
    <row r="6" spans="1:20" ht="45.75" customHeight="1" thickBot="1">
      <c r="A6" s="3379" t="s">
        <v>1123</v>
      </c>
      <c r="B6" s="3384" t="s">
        <v>1</v>
      </c>
      <c r="C6" s="3382" t="s">
        <v>2</v>
      </c>
      <c r="D6" s="3379" t="s">
        <v>1015</v>
      </c>
      <c r="E6" s="3373" t="s">
        <v>1227</v>
      </c>
      <c r="F6" s="3374"/>
      <c r="G6" s="3374"/>
      <c r="H6" s="3374"/>
      <c r="I6" s="3374"/>
      <c r="J6" s="3374"/>
      <c r="K6" s="3375"/>
      <c r="L6" s="3373" t="s">
        <v>1111</v>
      </c>
      <c r="M6" s="3374"/>
      <c r="N6" s="3374"/>
      <c r="O6" s="3374"/>
      <c r="P6" s="3374"/>
      <c r="Q6" s="3374"/>
      <c r="R6" s="3375"/>
      <c r="S6" s="3371" t="s">
        <v>1368</v>
      </c>
      <c r="T6" s="3372"/>
    </row>
    <row r="7" spans="1:20" ht="24.75" customHeight="1" thickBot="1">
      <c r="A7" s="3380"/>
      <c r="B7" s="3385"/>
      <c r="C7" s="3383"/>
      <c r="D7" s="3380"/>
      <c r="E7" s="2702" t="str">
        <f>'Приложение '!G12</f>
        <v>2015 г.</v>
      </c>
      <c r="F7" s="2703" t="str">
        <f>'Приложение '!G13</f>
        <v>2016 г.</v>
      </c>
      <c r="G7" s="2704" t="str">
        <f>'Приложение '!G14</f>
        <v>2017 г.</v>
      </c>
      <c r="H7" s="2704" t="str">
        <f>'Приложение '!G15</f>
        <v>2018 г.</v>
      </c>
      <c r="I7" s="2704" t="str">
        <f>'Приложение '!G16</f>
        <v>2019 г.</v>
      </c>
      <c r="J7" s="2704" t="str">
        <f>'Приложение '!G17</f>
        <v>2020 г.</v>
      </c>
      <c r="K7" s="2705" t="str">
        <f>'Приложение '!G18</f>
        <v>2021 г.</v>
      </c>
      <c r="L7" s="2702" t="str">
        <f>E7</f>
        <v>2015 г.</v>
      </c>
      <c r="M7" s="2703" t="str">
        <f t="shared" ref="M7:R7" si="0">F7</f>
        <v>2016 г.</v>
      </c>
      <c r="N7" s="2704" t="str">
        <f t="shared" si="0"/>
        <v>2017 г.</v>
      </c>
      <c r="O7" s="2704" t="str">
        <f t="shared" si="0"/>
        <v>2018 г.</v>
      </c>
      <c r="P7" s="2704" t="str">
        <f t="shared" si="0"/>
        <v>2019 г.</v>
      </c>
      <c r="Q7" s="2704" t="str">
        <f t="shared" si="0"/>
        <v>2020 г.</v>
      </c>
      <c r="R7" s="2706" t="str">
        <f t="shared" si="0"/>
        <v>2021 г.</v>
      </c>
      <c r="S7" s="2700" t="str">
        <f>L7</f>
        <v>2015 г.</v>
      </c>
      <c r="T7" s="2701" t="str">
        <f>R7</f>
        <v>2021 г.</v>
      </c>
    </row>
    <row r="8" spans="1:20" ht="38.25">
      <c r="A8" s="3386" t="s">
        <v>1124</v>
      </c>
      <c r="B8" s="713" t="s">
        <v>3</v>
      </c>
      <c r="C8" s="700" t="s">
        <v>1056</v>
      </c>
      <c r="D8" s="699" t="s">
        <v>1055</v>
      </c>
      <c r="E8" s="2713">
        <v>180601</v>
      </c>
      <c r="F8" s="1907">
        <v>179151.2</v>
      </c>
      <c r="G8" s="1908">
        <v>177373.40000000002</v>
      </c>
      <c r="H8" s="1909">
        <v>175595.60000000003</v>
      </c>
      <c r="I8" s="1909">
        <v>173817.80000000005</v>
      </c>
      <c r="J8" s="1909">
        <v>172040</v>
      </c>
      <c r="K8" s="1910">
        <v>170281.2</v>
      </c>
      <c r="L8" s="734">
        <v>1</v>
      </c>
      <c r="M8" s="729">
        <v>1</v>
      </c>
      <c r="N8" s="691">
        <v>1</v>
      </c>
      <c r="O8" s="691">
        <v>1</v>
      </c>
      <c r="P8" s="691">
        <v>1</v>
      </c>
      <c r="Q8" s="691">
        <v>1</v>
      </c>
      <c r="R8" s="692">
        <v>1</v>
      </c>
      <c r="S8" s="3127" t="s">
        <v>1562</v>
      </c>
      <c r="T8" s="3146" t="s">
        <v>1562</v>
      </c>
    </row>
    <row r="9" spans="1:20" ht="38.25">
      <c r="A9" s="3387"/>
      <c r="B9" s="714" t="s">
        <v>40</v>
      </c>
      <c r="C9" s="701" t="s">
        <v>1090</v>
      </c>
      <c r="D9" s="689" t="s">
        <v>1055</v>
      </c>
      <c r="E9" s="3183">
        <v>98206</v>
      </c>
      <c r="F9" s="3183">
        <v>98206</v>
      </c>
      <c r="G9" s="3185">
        <v>105264</v>
      </c>
      <c r="H9" s="3185">
        <v>105264</v>
      </c>
      <c r="I9" s="3185">
        <v>105264</v>
      </c>
      <c r="J9" s="3185">
        <v>105264</v>
      </c>
      <c r="K9" s="3185">
        <v>105264</v>
      </c>
      <c r="L9" s="735">
        <v>1</v>
      </c>
      <c r="M9" s="730">
        <v>1</v>
      </c>
      <c r="N9" s="686">
        <v>1</v>
      </c>
      <c r="O9" s="686">
        <v>1</v>
      </c>
      <c r="P9" s="686">
        <v>1</v>
      </c>
      <c r="Q9" s="686">
        <v>1</v>
      </c>
      <c r="R9" s="693">
        <v>1</v>
      </c>
      <c r="S9" s="3174" t="s">
        <v>1562</v>
      </c>
      <c r="T9" s="3157" t="s">
        <v>1562</v>
      </c>
    </row>
    <row r="10" spans="1:20" ht="38.25">
      <c r="A10" s="3387"/>
      <c r="B10" s="714" t="s">
        <v>41</v>
      </c>
      <c r="C10" s="701" t="s">
        <v>1091</v>
      </c>
      <c r="D10" s="689" t="s">
        <v>1055</v>
      </c>
      <c r="E10" s="3184">
        <v>99917</v>
      </c>
      <c r="F10" s="3184">
        <v>99917</v>
      </c>
      <c r="G10" s="3185">
        <v>105264</v>
      </c>
      <c r="H10" s="3185">
        <v>105264</v>
      </c>
      <c r="I10" s="3185">
        <v>105264</v>
      </c>
      <c r="J10" s="3185">
        <v>105264</v>
      </c>
      <c r="K10" s="3185">
        <v>105264</v>
      </c>
      <c r="L10" s="735">
        <v>1</v>
      </c>
      <c r="M10" s="730">
        <v>1</v>
      </c>
      <c r="N10" s="686">
        <v>1</v>
      </c>
      <c r="O10" s="686">
        <v>1</v>
      </c>
      <c r="P10" s="686">
        <v>1</v>
      </c>
      <c r="Q10" s="686">
        <v>1</v>
      </c>
      <c r="R10" s="693">
        <v>1</v>
      </c>
      <c r="S10" s="3174" t="s">
        <v>1562</v>
      </c>
      <c r="T10" s="3157" t="s">
        <v>1562</v>
      </c>
    </row>
    <row r="11" spans="1:20" ht="33.75" customHeight="1" thickBot="1">
      <c r="A11" s="3388"/>
      <c r="B11" s="715" t="s">
        <v>7</v>
      </c>
      <c r="C11" s="702" t="s">
        <v>1057</v>
      </c>
      <c r="D11" s="690" t="s">
        <v>1055</v>
      </c>
      <c r="E11" s="2716">
        <v>180601</v>
      </c>
      <c r="F11" s="1916">
        <v>179151.2</v>
      </c>
      <c r="G11" s="1917">
        <v>177373.40000000002</v>
      </c>
      <c r="H11" s="1918">
        <v>175595.60000000003</v>
      </c>
      <c r="I11" s="1918">
        <v>173817.80000000005</v>
      </c>
      <c r="J11" s="1918">
        <v>172040</v>
      </c>
      <c r="K11" s="1919">
        <v>170281.2</v>
      </c>
      <c r="L11" s="736">
        <v>1</v>
      </c>
      <c r="M11" s="731">
        <v>1</v>
      </c>
      <c r="N11" s="694">
        <v>1</v>
      </c>
      <c r="O11" s="694">
        <v>1</v>
      </c>
      <c r="P11" s="694">
        <v>1</v>
      </c>
      <c r="Q11" s="694">
        <v>1</v>
      </c>
      <c r="R11" s="695">
        <v>1</v>
      </c>
      <c r="S11" s="3148" t="s">
        <v>1621</v>
      </c>
      <c r="T11" s="3148" t="s">
        <v>1621</v>
      </c>
    </row>
    <row r="12" spans="1:20" ht="26.25" thickBot="1">
      <c r="A12" s="3386" t="s">
        <v>1127</v>
      </c>
      <c r="B12" s="716" t="s">
        <v>39</v>
      </c>
      <c r="C12" s="703" t="s">
        <v>1089</v>
      </c>
      <c r="D12" s="699" t="s">
        <v>1055</v>
      </c>
      <c r="E12" s="2713">
        <v>115165</v>
      </c>
      <c r="F12" s="1907">
        <v>115165</v>
      </c>
      <c r="G12" s="1908">
        <v>115304.49999999999</v>
      </c>
      <c r="H12" s="1909">
        <v>115445.5</v>
      </c>
      <c r="I12" s="1909">
        <v>115586.49999999999</v>
      </c>
      <c r="J12" s="1909">
        <v>115728</v>
      </c>
      <c r="K12" s="1910">
        <v>115869.49999999999</v>
      </c>
      <c r="L12" s="734">
        <v>1</v>
      </c>
      <c r="M12" s="729">
        <v>1</v>
      </c>
      <c r="N12" s="691">
        <v>1</v>
      </c>
      <c r="O12" s="691">
        <v>1</v>
      </c>
      <c r="P12" s="691">
        <v>1</v>
      </c>
      <c r="Q12" s="691">
        <v>1</v>
      </c>
      <c r="R12" s="692">
        <v>1</v>
      </c>
      <c r="S12" s="3127" t="s">
        <v>1563</v>
      </c>
      <c r="T12" s="3146" t="s">
        <v>1563</v>
      </c>
    </row>
    <row r="13" spans="1:20" ht="26.25" thickBot="1">
      <c r="A13" s="3387"/>
      <c r="B13" s="717"/>
      <c r="C13" s="704" t="s">
        <v>1125</v>
      </c>
      <c r="D13" s="689" t="s">
        <v>1055</v>
      </c>
      <c r="E13" s="3180">
        <v>49487</v>
      </c>
      <c r="F13" s="3180">
        <v>49487</v>
      </c>
      <c r="G13" s="3181">
        <v>53500.5</v>
      </c>
      <c r="H13" s="3181">
        <v>53527.5</v>
      </c>
      <c r="I13" s="3181">
        <v>53540.500000000007</v>
      </c>
      <c r="J13" s="3181">
        <v>53553.5</v>
      </c>
      <c r="K13" s="3181">
        <v>53567.500000000007</v>
      </c>
      <c r="L13" s="735">
        <v>1</v>
      </c>
      <c r="M13" s="730">
        <v>1</v>
      </c>
      <c r="N13" s="686">
        <v>1</v>
      </c>
      <c r="O13" s="686">
        <v>1</v>
      </c>
      <c r="P13" s="686">
        <v>1</v>
      </c>
      <c r="Q13" s="686">
        <v>1</v>
      </c>
      <c r="R13" s="693">
        <v>1</v>
      </c>
      <c r="S13" s="3127" t="s">
        <v>1563</v>
      </c>
      <c r="T13" s="3146" t="s">
        <v>1563</v>
      </c>
    </row>
    <row r="14" spans="1:20" ht="26.25" thickBot="1">
      <c r="A14" s="3388"/>
      <c r="B14" s="715"/>
      <c r="C14" s="705" t="s">
        <v>1126</v>
      </c>
      <c r="D14" s="690" t="s">
        <v>1055</v>
      </c>
      <c r="E14" s="3180">
        <v>50571</v>
      </c>
      <c r="F14" s="3180">
        <v>50571</v>
      </c>
      <c r="G14" s="3182">
        <v>53500.500000000007</v>
      </c>
      <c r="H14" s="3182">
        <v>53501</v>
      </c>
      <c r="I14" s="3182">
        <v>53501</v>
      </c>
      <c r="J14" s="3182">
        <v>53501</v>
      </c>
      <c r="K14" s="3182">
        <v>53501</v>
      </c>
      <c r="L14" s="736">
        <v>1</v>
      </c>
      <c r="M14" s="731">
        <v>1</v>
      </c>
      <c r="N14" s="694">
        <v>1</v>
      </c>
      <c r="O14" s="694">
        <v>1</v>
      </c>
      <c r="P14" s="694">
        <v>1</v>
      </c>
      <c r="Q14" s="694">
        <v>1</v>
      </c>
      <c r="R14" s="695">
        <v>1</v>
      </c>
      <c r="S14" s="3127" t="s">
        <v>1563</v>
      </c>
      <c r="T14" s="3146" t="s">
        <v>1563</v>
      </c>
    </row>
    <row r="15" spans="1:20" ht="40.5" customHeight="1" thickBot="1">
      <c r="A15" s="3389" t="s">
        <v>1134</v>
      </c>
      <c r="B15" s="716"/>
      <c r="C15" s="703" t="s">
        <v>1130</v>
      </c>
      <c r="D15" s="699" t="s">
        <v>1055</v>
      </c>
      <c r="E15" s="2713">
        <v>216</v>
      </c>
      <c r="F15" s="1907">
        <v>216</v>
      </c>
      <c r="G15" s="1908">
        <v>216</v>
      </c>
      <c r="H15" s="1909">
        <v>216</v>
      </c>
      <c r="I15" s="1909">
        <v>216</v>
      </c>
      <c r="J15" s="1909">
        <v>216</v>
      </c>
      <c r="K15" s="1910">
        <v>216</v>
      </c>
      <c r="L15" s="3137">
        <v>1</v>
      </c>
      <c r="M15" s="3134">
        <v>1</v>
      </c>
      <c r="N15" s="3129">
        <v>1</v>
      </c>
      <c r="O15" s="3129">
        <v>1</v>
      </c>
      <c r="P15" s="3129">
        <v>1</v>
      </c>
      <c r="Q15" s="3129">
        <v>1</v>
      </c>
      <c r="R15" s="3130">
        <v>1</v>
      </c>
      <c r="S15" s="3127" t="s">
        <v>1562</v>
      </c>
      <c r="T15" s="3146" t="s">
        <v>1562</v>
      </c>
    </row>
    <row r="16" spans="1:20" ht="39" thickBot="1">
      <c r="A16" s="3390"/>
      <c r="B16" s="717"/>
      <c r="C16" s="704" t="s">
        <v>1131</v>
      </c>
      <c r="D16" s="689" t="s">
        <v>1055</v>
      </c>
      <c r="E16" s="2714">
        <v>7</v>
      </c>
      <c r="F16" s="1911">
        <v>7</v>
      </c>
      <c r="G16" s="1912">
        <v>11</v>
      </c>
      <c r="H16" s="1913">
        <v>11</v>
      </c>
      <c r="I16" s="1913">
        <v>11</v>
      </c>
      <c r="J16" s="1913">
        <v>11</v>
      </c>
      <c r="K16" s="1914">
        <v>11</v>
      </c>
      <c r="L16" s="3138">
        <v>1</v>
      </c>
      <c r="M16" s="3135">
        <v>1</v>
      </c>
      <c r="N16" s="3128">
        <v>1</v>
      </c>
      <c r="O16" s="3128">
        <v>1</v>
      </c>
      <c r="P16" s="3128">
        <v>1</v>
      </c>
      <c r="Q16" s="3128">
        <v>1</v>
      </c>
      <c r="R16" s="3131">
        <v>1</v>
      </c>
      <c r="S16" s="3127" t="s">
        <v>1562</v>
      </c>
      <c r="T16" s="3146" t="s">
        <v>1562</v>
      </c>
    </row>
    <row r="17" spans="1:20" ht="39" thickBot="1">
      <c r="A17" s="3390"/>
      <c r="B17" s="717"/>
      <c r="C17" s="704" t="s">
        <v>1132</v>
      </c>
      <c r="D17" s="689" t="s">
        <v>1055</v>
      </c>
      <c r="E17" s="2714">
        <v>10</v>
      </c>
      <c r="F17" s="1911">
        <v>10</v>
      </c>
      <c r="G17" s="1912">
        <v>11</v>
      </c>
      <c r="H17" s="1913">
        <v>11</v>
      </c>
      <c r="I17" s="1913">
        <v>11</v>
      </c>
      <c r="J17" s="1913">
        <v>11</v>
      </c>
      <c r="K17" s="1914">
        <v>11</v>
      </c>
      <c r="L17" s="3138">
        <v>1</v>
      </c>
      <c r="M17" s="3135">
        <v>1</v>
      </c>
      <c r="N17" s="3128">
        <v>1</v>
      </c>
      <c r="O17" s="3128">
        <v>1</v>
      </c>
      <c r="P17" s="3128">
        <v>1</v>
      </c>
      <c r="Q17" s="3128">
        <v>1</v>
      </c>
      <c r="R17" s="3131">
        <v>1</v>
      </c>
      <c r="S17" s="3127" t="s">
        <v>1562</v>
      </c>
      <c r="T17" s="3146" t="s">
        <v>1562</v>
      </c>
    </row>
    <row r="18" spans="1:20" ht="26.25" thickBot="1">
      <c r="A18" s="3391"/>
      <c r="B18" s="715"/>
      <c r="C18" s="705" t="s">
        <v>1133</v>
      </c>
      <c r="D18" s="690" t="s">
        <v>1055</v>
      </c>
      <c r="E18" s="2716">
        <v>216</v>
      </c>
      <c r="F18" s="1916">
        <v>216</v>
      </c>
      <c r="G18" s="1917">
        <v>216</v>
      </c>
      <c r="H18" s="1918">
        <v>216</v>
      </c>
      <c r="I18" s="1918">
        <v>216</v>
      </c>
      <c r="J18" s="1918">
        <v>216</v>
      </c>
      <c r="K18" s="1919">
        <v>216</v>
      </c>
      <c r="L18" s="3139">
        <v>1</v>
      </c>
      <c r="M18" s="3136">
        <v>1</v>
      </c>
      <c r="N18" s="3132">
        <v>1</v>
      </c>
      <c r="O18" s="3132">
        <v>1</v>
      </c>
      <c r="P18" s="3132">
        <v>1</v>
      </c>
      <c r="Q18" s="3132">
        <v>1</v>
      </c>
      <c r="R18" s="3133">
        <v>1</v>
      </c>
      <c r="S18" s="3127" t="s">
        <v>1562</v>
      </c>
      <c r="T18" s="3146" t="s">
        <v>1562</v>
      </c>
    </row>
    <row r="19" spans="1:20" ht="25.5">
      <c r="A19" s="3389" t="s">
        <v>1135</v>
      </c>
      <c r="B19" s="716"/>
      <c r="C19" s="703" t="s">
        <v>1408</v>
      </c>
      <c r="D19" s="699" t="s">
        <v>1055</v>
      </c>
      <c r="E19" s="2713">
        <v>196</v>
      </c>
      <c r="F19" s="1907">
        <v>196</v>
      </c>
      <c r="G19" s="1908">
        <v>196</v>
      </c>
      <c r="H19" s="1909">
        <v>196</v>
      </c>
      <c r="I19" s="1909">
        <v>196</v>
      </c>
      <c r="J19" s="1909">
        <v>196</v>
      </c>
      <c r="K19" s="1910">
        <v>196</v>
      </c>
      <c r="L19" s="3153">
        <v>1</v>
      </c>
      <c r="M19" s="3127">
        <v>1</v>
      </c>
      <c r="N19" s="3145">
        <v>1</v>
      </c>
      <c r="O19" s="3145">
        <v>1</v>
      </c>
      <c r="P19" s="3145">
        <v>1</v>
      </c>
      <c r="Q19" s="3145">
        <v>1</v>
      </c>
      <c r="R19" s="3146">
        <v>1</v>
      </c>
      <c r="S19" s="3145" t="s">
        <v>1622</v>
      </c>
      <c r="T19" s="3145" t="s">
        <v>1622</v>
      </c>
    </row>
    <row r="20" spans="1:20" ht="25.5">
      <c r="A20" s="3390"/>
      <c r="B20" s="1425"/>
      <c r="C20" s="1426" t="s">
        <v>1136</v>
      </c>
      <c r="D20" s="688" t="s">
        <v>1055</v>
      </c>
      <c r="E20" s="2717">
        <v>0</v>
      </c>
      <c r="F20" s="1920">
        <v>0</v>
      </c>
      <c r="G20" s="1921">
        <v>0</v>
      </c>
      <c r="H20" s="1922">
        <v>0</v>
      </c>
      <c r="I20" s="1922">
        <v>0</v>
      </c>
      <c r="J20" s="1922">
        <v>0</v>
      </c>
      <c r="K20" s="1923">
        <v>0</v>
      </c>
      <c r="L20" s="3142">
        <v>1</v>
      </c>
      <c r="M20" s="3143">
        <v>1</v>
      </c>
      <c r="N20" s="3140">
        <v>1</v>
      </c>
      <c r="O20" s="3140">
        <v>1</v>
      </c>
      <c r="P20" s="3140">
        <v>1</v>
      </c>
      <c r="Q20" s="3140">
        <v>1</v>
      </c>
      <c r="R20" s="3141">
        <v>1</v>
      </c>
      <c r="S20" s="3126" t="s">
        <v>1564</v>
      </c>
      <c r="T20" s="3147" t="s">
        <v>891</v>
      </c>
    </row>
    <row r="21" spans="1:20" ht="25.5">
      <c r="A21" s="3390"/>
      <c r="B21" s="717"/>
      <c r="C21" s="704" t="s">
        <v>1137</v>
      </c>
      <c r="D21" s="689" t="s">
        <v>1055</v>
      </c>
      <c r="E21" s="2714">
        <v>184</v>
      </c>
      <c r="F21" s="1911">
        <v>184</v>
      </c>
      <c r="G21" s="1912">
        <v>184</v>
      </c>
      <c r="H21" s="1913">
        <v>184</v>
      </c>
      <c r="I21" s="1913">
        <v>184</v>
      </c>
      <c r="J21" s="1913">
        <v>184</v>
      </c>
      <c r="K21" s="1914">
        <v>184</v>
      </c>
      <c r="L21" s="3138">
        <v>1</v>
      </c>
      <c r="M21" s="3135">
        <v>1</v>
      </c>
      <c r="N21" s="3128">
        <v>1</v>
      </c>
      <c r="O21" s="3128">
        <v>1</v>
      </c>
      <c r="P21" s="3128">
        <v>1</v>
      </c>
      <c r="Q21" s="3128">
        <v>1</v>
      </c>
      <c r="R21" s="3131">
        <v>1</v>
      </c>
      <c r="S21" s="3126" t="s">
        <v>1564</v>
      </c>
      <c r="T21" s="3147" t="s">
        <v>891</v>
      </c>
    </row>
    <row r="22" spans="1:20" ht="25.5">
      <c r="A22" s="3390"/>
      <c r="B22" s="717"/>
      <c r="C22" s="704" t="s">
        <v>1138</v>
      </c>
      <c r="D22" s="689" t="s">
        <v>1055</v>
      </c>
      <c r="E22" s="2714">
        <v>69</v>
      </c>
      <c r="F22" s="1911">
        <v>69</v>
      </c>
      <c r="G22" s="1912">
        <v>69</v>
      </c>
      <c r="H22" s="1913">
        <v>69</v>
      </c>
      <c r="I22" s="1913">
        <v>69</v>
      </c>
      <c r="J22" s="1913">
        <v>69</v>
      </c>
      <c r="K22" s="1914">
        <v>69</v>
      </c>
      <c r="L22" s="3138">
        <v>1</v>
      </c>
      <c r="M22" s="3135">
        <v>1</v>
      </c>
      <c r="N22" s="3128">
        <v>1</v>
      </c>
      <c r="O22" s="3128">
        <v>1</v>
      </c>
      <c r="P22" s="3128">
        <v>1</v>
      </c>
      <c r="Q22" s="3128">
        <v>1</v>
      </c>
      <c r="R22" s="3131">
        <v>1</v>
      </c>
      <c r="S22" s="3126" t="s">
        <v>1564</v>
      </c>
      <c r="T22" s="3147" t="s">
        <v>891</v>
      </c>
    </row>
    <row r="23" spans="1:20" ht="38.25">
      <c r="A23" s="3390"/>
      <c r="B23" s="714" t="s">
        <v>37</v>
      </c>
      <c r="C23" s="701" t="s">
        <v>1087</v>
      </c>
      <c r="D23" s="689" t="s">
        <v>1085</v>
      </c>
      <c r="E23" s="2715">
        <v>3403</v>
      </c>
      <c r="F23" s="1915">
        <v>3403</v>
      </c>
      <c r="G23" s="1913">
        <v>3404</v>
      </c>
      <c r="H23" s="1913">
        <v>3404</v>
      </c>
      <c r="I23" s="1913">
        <v>3404</v>
      </c>
      <c r="J23" s="1913">
        <v>3405</v>
      </c>
      <c r="K23" s="1913">
        <v>3405</v>
      </c>
      <c r="L23" s="3138">
        <v>2</v>
      </c>
      <c r="M23" s="3135">
        <v>2</v>
      </c>
      <c r="N23" s="3128">
        <v>2</v>
      </c>
      <c r="O23" s="3128">
        <v>2</v>
      </c>
      <c r="P23" s="3128">
        <v>2</v>
      </c>
      <c r="Q23" s="3128">
        <v>2</v>
      </c>
      <c r="R23" s="3131">
        <v>1</v>
      </c>
      <c r="S23" s="3126" t="s">
        <v>1564</v>
      </c>
      <c r="T23" s="3147" t="s">
        <v>891</v>
      </c>
    </row>
    <row r="24" spans="1:20" ht="63.75">
      <c r="A24" s="3390"/>
      <c r="B24" s="717" t="s">
        <v>35</v>
      </c>
      <c r="C24" s="704" t="s">
        <v>1185</v>
      </c>
      <c r="D24" s="689" t="s">
        <v>1085</v>
      </c>
      <c r="E24" s="2715">
        <v>3403</v>
      </c>
      <c r="F24" s="1915">
        <v>3403</v>
      </c>
      <c r="G24" s="1913">
        <v>3404</v>
      </c>
      <c r="H24" s="1913">
        <v>3404</v>
      </c>
      <c r="I24" s="1913">
        <v>3404</v>
      </c>
      <c r="J24" s="1913">
        <v>3405</v>
      </c>
      <c r="K24" s="1913">
        <v>3405</v>
      </c>
      <c r="L24" s="3138">
        <v>2</v>
      </c>
      <c r="M24" s="3135">
        <v>2</v>
      </c>
      <c r="N24" s="3128">
        <v>2</v>
      </c>
      <c r="O24" s="3128">
        <v>2</v>
      </c>
      <c r="P24" s="3128">
        <v>2</v>
      </c>
      <c r="Q24" s="3128">
        <v>2</v>
      </c>
      <c r="R24" s="3131">
        <v>2</v>
      </c>
      <c r="S24" s="3126" t="s">
        <v>1564</v>
      </c>
      <c r="T24" s="3147" t="s">
        <v>891</v>
      </c>
    </row>
    <row r="25" spans="1:20" ht="51.75" customHeight="1" thickBot="1">
      <c r="A25" s="3390"/>
      <c r="B25" s="714" t="s">
        <v>1012</v>
      </c>
      <c r="C25" s="706" t="s">
        <v>1088</v>
      </c>
      <c r="D25" s="689" t="s">
        <v>1055</v>
      </c>
      <c r="E25" s="2715">
        <v>250</v>
      </c>
      <c r="F25" s="1915">
        <v>250</v>
      </c>
      <c r="G25" s="1913">
        <v>250</v>
      </c>
      <c r="H25" s="1913">
        <v>250</v>
      </c>
      <c r="I25" s="1913">
        <v>250</v>
      </c>
      <c r="J25" s="1913">
        <v>250</v>
      </c>
      <c r="K25" s="1914">
        <v>250</v>
      </c>
      <c r="L25" s="3138">
        <v>2</v>
      </c>
      <c r="M25" s="3135">
        <v>2</v>
      </c>
      <c r="N25" s="3128">
        <v>2</v>
      </c>
      <c r="O25" s="3128">
        <v>2</v>
      </c>
      <c r="P25" s="3128">
        <v>2</v>
      </c>
      <c r="Q25" s="3128">
        <v>2</v>
      </c>
      <c r="R25" s="3131">
        <v>1</v>
      </c>
      <c r="S25" s="3126" t="s">
        <v>1564</v>
      </c>
      <c r="T25" s="3147" t="s">
        <v>891</v>
      </c>
    </row>
    <row r="26" spans="1:20" ht="50.25" customHeight="1">
      <c r="A26" s="3390"/>
      <c r="B26" s="717" t="s">
        <v>87</v>
      </c>
      <c r="C26" s="701" t="s">
        <v>1174</v>
      </c>
      <c r="D26" s="689" t="s">
        <v>1055</v>
      </c>
      <c r="E26" s="2715">
        <v>76549</v>
      </c>
      <c r="F26" s="1915">
        <v>75584</v>
      </c>
      <c r="G26" s="1924">
        <v>75584</v>
      </c>
      <c r="H26" s="1913">
        <v>75584</v>
      </c>
      <c r="I26" s="1913">
        <v>75584</v>
      </c>
      <c r="J26" s="1913">
        <v>75584</v>
      </c>
      <c r="K26" s="1925">
        <v>75584</v>
      </c>
      <c r="L26" s="3138">
        <v>2</v>
      </c>
      <c r="M26" s="3135">
        <v>2</v>
      </c>
      <c r="N26" s="3128">
        <v>1</v>
      </c>
      <c r="O26" s="3128">
        <v>1</v>
      </c>
      <c r="P26" s="3128">
        <v>1</v>
      </c>
      <c r="Q26" s="3128">
        <v>1</v>
      </c>
      <c r="R26" s="3131">
        <v>1</v>
      </c>
      <c r="S26" s="3126" t="s">
        <v>1564</v>
      </c>
      <c r="T26" s="3146" t="s">
        <v>1563</v>
      </c>
    </row>
    <row r="27" spans="1:20" ht="47.25" customHeight="1">
      <c r="A27" s="3390"/>
      <c r="B27" s="718" t="s">
        <v>1118</v>
      </c>
      <c r="C27" s="701" t="s">
        <v>1119</v>
      </c>
      <c r="D27" s="689" t="s">
        <v>1055</v>
      </c>
      <c r="E27" s="2715">
        <v>76549</v>
      </c>
      <c r="F27" s="1915">
        <v>75584</v>
      </c>
      <c r="G27" s="1913">
        <v>75584</v>
      </c>
      <c r="H27" s="1913">
        <v>75584</v>
      </c>
      <c r="I27" s="1913">
        <v>75584</v>
      </c>
      <c r="J27" s="1913">
        <v>75584</v>
      </c>
      <c r="K27" s="1914">
        <v>75584</v>
      </c>
      <c r="L27" s="3138">
        <v>1</v>
      </c>
      <c r="M27" s="3135">
        <v>1</v>
      </c>
      <c r="N27" s="3128">
        <v>1</v>
      </c>
      <c r="O27" s="3128">
        <v>1</v>
      </c>
      <c r="P27" s="3128">
        <v>1</v>
      </c>
      <c r="Q27" s="3128">
        <v>1</v>
      </c>
      <c r="R27" s="3131">
        <v>1</v>
      </c>
      <c r="S27" s="3126" t="s">
        <v>1565</v>
      </c>
      <c r="T27" s="3147" t="s">
        <v>1565</v>
      </c>
    </row>
    <row r="28" spans="1:20" ht="28.5" customHeight="1">
      <c r="A28" s="3390"/>
      <c r="B28" s="718" t="s">
        <v>89</v>
      </c>
      <c r="C28" s="701" t="s">
        <v>1173</v>
      </c>
      <c r="D28" s="689" t="s">
        <v>1055</v>
      </c>
      <c r="E28" s="2715">
        <v>15256</v>
      </c>
      <c r="F28" s="1915">
        <v>16464</v>
      </c>
      <c r="G28" s="1913">
        <v>16464</v>
      </c>
      <c r="H28" s="1913">
        <v>16464</v>
      </c>
      <c r="I28" s="1913">
        <v>16465</v>
      </c>
      <c r="J28" s="1913">
        <v>16467</v>
      </c>
      <c r="K28" s="1914">
        <v>16469</v>
      </c>
      <c r="L28" s="3138">
        <v>2</v>
      </c>
      <c r="M28" s="3135">
        <v>2</v>
      </c>
      <c r="N28" s="3128">
        <v>1</v>
      </c>
      <c r="O28" s="3128">
        <v>1</v>
      </c>
      <c r="P28" s="3128">
        <v>1</v>
      </c>
      <c r="Q28" s="3128">
        <v>1</v>
      </c>
      <c r="R28" s="3131">
        <v>1</v>
      </c>
      <c r="S28" s="3126" t="s">
        <v>1564</v>
      </c>
      <c r="T28" s="3147" t="s">
        <v>891</v>
      </c>
    </row>
    <row r="29" spans="1:20" ht="25.5" customHeight="1">
      <c r="A29" s="3390"/>
      <c r="B29" s="714" t="s">
        <v>46</v>
      </c>
      <c r="C29" s="701" t="s">
        <v>1098</v>
      </c>
      <c r="D29" s="689" t="s">
        <v>1097</v>
      </c>
      <c r="E29" s="2715">
        <v>254</v>
      </c>
      <c r="F29" s="1915">
        <v>314</v>
      </c>
      <c r="G29" s="1913">
        <v>314</v>
      </c>
      <c r="H29" s="1913">
        <v>314</v>
      </c>
      <c r="I29" s="1913">
        <v>315</v>
      </c>
      <c r="J29" s="1913">
        <v>315</v>
      </c>
      <c r="K29" s="1913">
        <v>316</v>
      </c>
      <c r="L29" s="3138">
        <v>3</v>
      </c>
      <c r="M29" s="3135">
        <v>3</v>
      </c>
      <c r="N29" s="3128">
        <v>1</v>
      </c>
      <c r="O29" s="3128">
        <v>1</v>
      </c>
      <c r="P29" s="3128">
        <v>1</v>
      </c>
      <c r="Q29" s="3128">
        <v>1</v>
      </c>
      <c r="R29" s="3131">
        <v>1</v>
      </c>
      <c r="S29" s="3126" t="s">
        <v>1564</v>
      </c>
      <c r="T29" s="3147" t="s">
        <v>891</v>
      </c>
    </row>
    <row r="30" spans="1:20" ht="23.25" customHeight="1">
      <c r="A30" s="3390"/>
      <c r="B30" s="717"/>
      <c r="C30" s="704" t="s">
        <v>1139</v>
      </c>
      <c r="D30" s="689" t="s">
        <v>1055</v>
      </c>
      <c r="E30" s="2714">
        <v>7</v>
      </c>
      <c r="F30" s="1911">
        <v>9</v>
      </c>
      <c r="G30" s="1912">
        <v>10</v>
      </c>
      <c r="H30" s="1913">
        <v>10</v>
      </c>
      <c r="I30" s="1913">
        <v>10</v>
      </c>
      <c r="J30" s="1913">
        <v>10</v>
      </c>
      <c r="K30" s="1914">
        <v>10</v>
      </c>
      <c r="L30" s="3138">
        <v>1</v>
      </c>
      <c r="M30" s="3135">
        <v>1</v>
      </c>
      <c r="N30" s="3128">
        <v>1</v>
      </c>
      <c r="O30" s="3128">
        <v>1</v>
      </c>
      <c r="P30" s="3128">
        <v>1</v>
      </c>
      <c r="Q30" s="3128">
        <v>1</v>
      </c>
      <c r="R30" s="3131">
        <v>1</v>
      </c>
      <c r="S30" s="3126" t="s">
        <v>1564</v>
      </c>
      <c r="T30" s="3147" t="s">
        <v>891</v>
      </c>
    </row>
    <row r="31" spans="1:20" ht="24" customHeight="1" thickBot="1">
      <c r="A31" s="3391"/>
      <c r="B31" s="715"/>
      <c r="C31" s="705" t="s">
        <v>1140</v>
      </c>
      <c r="D31" s="690" t="s">
        <v>1055</v>
      </c>
      <c r="E31" s="2716">
        <v>5</v>
      </c>
      <c r="F31" s="1916">
        <v>6</v>
      </c>
      <c r="G31" s="1917">
        <v>7</v>
      </c>
      <c r="H31" s="1918">
        <v>7</v>
      </c>
      <c r="I31" s="1918">
        <v>7</v>
      </c>
      <c r="J31" s="1918">
        <v>7</v>
      </c>
      <c r="K31" s="1919">
        <v>7</v>
      </c>
      <c r="L31" s="3139">
        <v>1</v>
      </c>
      <c r="M31" s="3136">
        <v>1</v>
      </c>
      <c r="N31" s="3132">
        <v>1</v>
      </c>
      <c r="O31" s="3132">
        <v>1</v>
      </c>
      <c r="P31" s="3132">
        <v>1</v>
      </c>
      <c r="Q31" s="3132">
        <v>1</v>
      </c>
      <c r="R31" s="3133">
        <v>1</v>
      </c>
      <c r="S31" s="3126" t="s">
        <v>1564</v>
      </c>
      <c r="T31" s="3147" t="s">
        <v>891</v>
      </c>
    </row>
    <row r="32" spans="1:20" ht="54" customHeight="1">
      <c r="A32" s="3389" t="s">
        <v>1128</v>
      </c>
      <c r="B32" s="719" t="s">
        <v>8</v>
      </c>
      <c r="C32" s="707" t="s">
        <v>1058</v>
      </c>
      <c r="D32" s="699" t="s">
        <v>1055</v>
      </c>
      <c r="E32" s="2718">
        <f>SUM(E33:E36)</f>
        <v>2631</v>
      </c>
      <c r="F32" s="2555">
        <f t="shared" ref="F32:K32" si="1">SUM(F33:F36)</f>
        <v>2814</v>
      </c>
      <c r="G32" s="2556">
        <f t="shared" si="1"/>
        <v>2815</v>
      </c>
      <c r="H32" s="2556">
        <f t="shared" si="1"/>
        <v>2815</v>
      </c>
      <c r="I32" s="2556">
        <f t="shared" si="1"/>
        <v>2809</v>
      </c>
      <c r="J32" s="2556">
        <f t="shared" si="1"/>
        <v>2809</v>
      </c>
      <c r="K32" s="2557">
        <f t="shared" si="1"/>
        <v>2824</v>
      </c>
      <c r="L32" s="737">
        <f>MAX(L33,L34,L35,L36)</f>
        <v>1</v>
      </c>
      <c r="M32" s="732">
        <f t="shared" ref="M32:R32" si="2">MAX(M33,M34,M35,M36)</f>
        <v>1</v>
      </c>
      <c r="N32" s="696">
        <f t="shared" si="2"/>
        <v>1</v>
      </c>
      <c r="O32" s="696">
        <f t="shared" si="2"/>
        <v>1</v>
      </c>
      <c r="P32" s="696">
        <f t="shared" si="2"/>
        <v>1</v>
      </c>
      <c r="Q32" s="696">
        <f t="shared" si="2"/>
        <v>1</v>
      </c>
      <c r="R32" s="697">
        <f t="shared" si="2"/>
        <v>1</v>
      </c>
      <c r="S32" s="3126" t="s">
        <v>1623</v>
      </c>
      <c r="T32" s="3147" t="s">
        <v>1623</v>
      </c>
    </row>
    <row r="33" spans="1:20" ht="38.25">
      <c r="A33" s="3390"/>
      <c r="B33" s="717" t="s">
        <v>9</v>
      </c>
      <c r="C33" s="704" t="s">
        <v>1059</v>
      </c>
      <c r="D33" s="689" t="s">
        <v>1055</v>
      </c>
      <c r="E33" s="2714">
        <v>1962</v>
      </c>
      <c r="F33" s="1911">
        <v>2070</v>
      </c>
      <c r="G33" s="1912">
        <v>2070</v>
      </c>
      <c r="H33" s="1913">
        <v>2070</v>
      </c>
      <c r="I33" s="1913">
        <v>2070</v>
      </c>
      <c r="J33" s="1913">
        <v>2070</v>
      </c>
      <c r="K33" s="1914">
        <v>2080</v>
      </c>
      <c r="L33" s="735">
        <v>1</v>
      </c>
      <c r="M33" s="730">
        <v>1</v>
      </c>
      <c r="N33" s="686">
        <v>1</v>
      </c>
      <c r="O33" s="686">
        <v>1</v>
      </c>
      <c r="P33" s="686">
        <v>1</v>
      </c>
      <c r="Q33" s="686">
        <v>1</v>
      </c>
      <c r="R33" s="693">
        <v>1</v>
      </c>
      <c r="S33" s="3126" t="s">
        <v>1623</v>
      </c>
      <c r="T33" s="3147" t="s">
        <v>1623</v>
      </c>
    </row>
    <row r="34" spans="1:20" ht="38.25">
      <c r="A34" s="3390"/>
      <c r="B34" s="717" t="s">
        <v>10</v>
      </c>
      <c r="C34" s="704" t="s">
        <v>1060</v>
      </c>
      <c r="D34" s="689" t="s">
        <v>1055</v>
      </c>
      <c r="E34" s="2714">
        <v>209</v>
      </c>
      <c r="F34" s="1911">
        <v>216</v>
      </c>
      <c r="G34" s="1912">
        <v>216</v>
      </c>
      <c r="H34" s="1913">
        <v>216</v>
      </c>
      <c r="I34" s="1913">
        <v>216</v>
      </c>
      <c r="J34" s="1913">
        <v>216</v>
      </c>
      <c r="K34" s="1914">
        <v>216</v>
      </c>
      <c r="L34" s="735">
        <v>1</v>
      </c>
      <c r="M34" s="730">
        <v>1</v>
      </c>
      <c r="N34" s="686">
        <v>1</v>
      </c>
      <c r="O34" s="686">
        <v>1</v>
      </c>
      <c r="P34" s="686">
        <v>1</v>
      </c>
      <c r="Q34" s="686">
        <v>1</v>
      </c>
      <c r="R34" s="693">
        <v>1</v>
      </c>
      <c r="S34" s="3126" t="s">
        <v>1623</v>
      </c>
      <c r="T34" s="3147" t="s">
        <v>1623</v>
      </c>
    </row>
    <row r="35" spans="1:20" ht="38.25">
      <c r="A35" s="3390"/>
      <c r="B35" s="717" t="s">
        <v>11</v>
      </c>
      <c r="C35" s="704" t="s">
        <v>1061</v>
      </c>
      <c r="D35" s="689" t="s">
        <v>1055</v>
      </c>
      <c r="E35" s="2714">
        <v>455</v>
      </c>
      <c r="F35" s="1911">
        <v>498</v>
      </c>
      <c r="G35" s="1912">
        <v>504</v>
      </c>
      <c r="H35" s="1913">
        <v>504</v>
      </c>
      <c r="I35" s="1913">
        <v>498</v>
      </c>
      <c r="J35" s="1913">
        <v>498</v>
      </c>
      <c r="K35" s="1914">
        <v>498</v>
      </c>
      <c r="L35" s="735">
        <v>1</v>
      </c>
      <c r="M35" s="730">
        <v>1</v>
      </c>
      <c r="N35" s="686">
        <v>1</v>
      </c>
      <c r="O35" s="686">
        <v>1</v>
      </c>
      <c r="P35" s="686">
        <v>1</v>
      </c>
      <c r="Q35" s="686">
        <v>1</v>
      </c>
      <c r="R35" s="693">
        <v>1</v>
      </c>
      <c r="S35" s="3126" t="s">
        <v>1623</v>
      </c>
      <c r="T35" s="3147" t="s">
        <v>1623</v>
      </c>
    </row>
    <row r="36" spans="1:20" ht="38.25">
      <c r="A36" s="3390"/>
      <c r="B36" s="717" t="s">
        <v>12</v>
      </c>
      <c r="C36" s="704" t="s">
        <v>1062</v>
      </c>
      <c r="D36" s="689" t="s">
        <v>1055</v>
      </c>
      <c r="E36" s="2714">
        <v>5</v>
      </c>
      <c r="F36" s="1911">
        <v>30</v>
      </c>
      <c r="G36" s="1912">
        <v>25</v>
      </c>
      <c r="H36" s="1913">
        <v>25</v>
      </c>
      <c r="I36" s="1913">
        <v>25</v>
      </c>
      <c r="J36" s="1913">
        <v>25</v>
      </c>
      <c r="K36" s="1914">
        <v>30</v>
      </c>
      <c r="L36" s="735">
        <v>1</v>
      </c>
      <c r="M36" s="730">
        <v>1</v>
      </c>
      <c r="N36" s="686">
        <v>1</v>
      </c>
      <c r="O36" s="686">
        <v>1</v>
      </c>
      <c r="P36" s="686">
        <v>1</v>
      </c>
      <c r="Q36" s="686">
        <v>1</v>
      </c>
      <c r="R36" s="693">
        <v>1</v>
      </c>
      <c r="S36" s="3126" t="s">
        <v>1623</v>
      </c>
      <c r="T36" s="3147" t="s">
        <v>1623</v>
      </c>
    </row>
    <row r="37" spans="1:20" ht="51">
      <c r="A37" s="3390"/>
      <c r="B37" s="720" t="s">
        <v>13</v>
      </c>
      <c r="C37" s="708" t="s">
        <v>1063</v>
      </c>
      <c r="D37" s="689" t="s">
        <v>1055</v>
      </c>
      <c r="E37" s="2719">
        <f>SUM(E38:E41)</f>
        <v>2651</v>
      </c>
      <c r="F37" s="2552">
        <f t="shared" ref="F37:K37" si="3">SUM(F38:F41)</f>
        <v>2834</v>
      </c>
      <c r="G37" s="2553">
        <f t="shared" si="3"/>
        <v>2840</v>
      </c>
      <c r="H37" s="2553">
        <f t="shared" si="3"/>
        <v>2840</v>
      </c>
      <c r="I37" s="2553">
        <f t="shared" si="3"/>
        <v>2834</v>
      </c>
      <c r="J37" s="2553">
        <f t="shared" si="3"/>
        <v>2834</v>
      </c>
      <c r="K37" s="2554">
        <f t="shared" si="3"/>
        <v>2842</v>
      </c>
      <c r="L37" s="125">
        <f>MAX(L38,L39,L40,L41)</f>
        <v>1</v>
      </c>
      <c r="M37" s="733">
        <f t="shared" ref="M37:R37" si="4">MAX(M38,M39,M40,M41)</f>
        <v>1</v>
      </c>
      <c r="N37" s="687">
        <f t="shared" si="4"/>
        <v>1</v>
      </c>
      <c r="O37" s="687">
        <f t="shared" si="4"/>
        <v>1</v>
      </c>
      <c r="P37" s="687">
        <f t="shared" si="4"/>
        <v>1</v>
      </c>
      <c r="Q37" s="687">
        <f t="shared" si="4"/>
        <v>1</v>
      </c>
      <c r="R37" s="698">
        <f t="shared" si="4"/>
        <v>1</v>
      </c>
      <c r="S37" s="3126" t="s">
        <v>1623</v>
      </c>
      <c r="T37" s="3147" t="s">
        <v>1623</v>
      </c>
    </row>
    <row r="38" spans="1:20" ht="38.25">
      <c r="A38" s="3390"/>
      <c r="B38" s="717" t="s">
        <v>14</v>
      </c>
      <c r="C38" s="704" t="s">
        <v>1064</v>
      </c>
      <c r="D38" s="689" t="s">
        <v>1055</v>
      </c>
      <c r="E38" s="2714">
        <v>1971</v>
      </c>
      <c r="F38" s="1911">
        <v>2082</v>
      </c>
      <c r="G38" s="1912">
        <v>2082</v>
      </c>
      <c r="H38" s="1913">
        <v>2082</v>
      </c>
      <c r="I38" s="1913">
        <v>2082</v>
      </c>
      <c r="J38" s="1913">
        <v>2082</v>
      </c>
      <c r="K38" s="1914">
        <v>2090</v>
      </c>
      <c r="L38" s="735">
        <v>1</v>
      </c>
      <c r="M38" s="730">
        <v>1</v>
      </c>
      <c r="N38" s="686">
        <v>1</v>
      </c>
      <c r="O38" s="686">
        <v>1</v>
      </c>
      <c r="P38" s="686">
        <v>1</v>
      </c>
      <c r="Q38" s="686">
        <v>1</v>
      </c>
      <c r="R38" s="693">
        <v>1</v>
      </c>
      <c r="S38" s="3126" t="s">
        <v>1623</v>
      </c>
      <c r="T38" s="3147" t="s">
        <v>1623</v>
      </c>
    </row>
    <row r="39" spans="1:20" ht="38.25">
      <c r="A39" s="3390"/>
      <c r="B39" s="717" t="s">
        <v>15</v>
      </c>
      <c r="C39" s="704" t="s">
        <v>1065</v>
      </c>
      <c r="D39" s="689" t="s">
        <v>1055</v>
      </c>
      <c r="E39" s="2714">
        <v>211</v>
      </c>
      <c r="F39" s="1911">
        <v>220</v>
      </c>
      <c r="G39" s="1912">
        <v>220</v>
      </c>
      <c r="H39" s="1913">
        <v>220</v>
      </c>
      <c r="I39" s="1913">
        <v>220</v>
      </c>
      <c r="J39" s="1913">
        <v>220</v>
      </c>
      <c r="K39" s="1914">
        <v>220</v>
      </c>
      <c r="L39" s="735">
        <v>1</v>
      </c>
      <c r="M39" s="730">
        <v>1</v>
      </c>
      <c r="N39" s="686">
        <v>1</v>
      </c>
      <c r="O39" s="686">
        <v>1</v>
      </c>
      <c r="P39" s="686">
        <v>1</v>
      </c>
      <c r="Q39" s="686">
        <v>1</v>
      </c>
      <c r="R39" s="693">
        <v>1</v>
      </c>
      <c r="S39" s="3126" t="s">
        <v>1623</v>
      </c>
      <c r="T39" s="3147" t="s">
        <v>1623</v>
      </c>
    </row>
    <row r="40" spans="1:20" ht="38.25">
      <c r="A40" s="3390"/>
      <c r="B40" s="717" t="s">
        <v>16</v>
      </c>
      <c r="C40" s="704" t="s">
        <v>1066</v>
      </c>
      <c r="D40" s="689" t="s">
        <v>1055</v>
      </c>
      <c r="E40" s="2714">
        <v>464</v>
      </c>
      <c r="F40" s="1911">
        <v>502</v>
      </c>
      <c r="G40" s="1912">
        <v>508</v>
      </c>
      <c r="H40" s="1913">
        <v>508</v>
      </c>
      <c r="I40" s="1913">
        <v>502</v>
      </c>
      <c r="J40" s="1913">
        <v>502</v>
      </c>
      <c r="K40" s="1914">
        <v>502</v>
      </c>
      <c r="L40" s="735">
        <v>1</v>
      </c>
      <c r="M40" s="730">
        <v>1</v>
      </c>
      <c r="N40" s="686">
        <v>1</v>
      </c>
      <c r="O40" s="686">
        <v>1</v>
      </c>
      <c r="P40" s="686">
        <v>1</v>
      </c>
      <c r="Q40" s="686">
        <v>1</v>
      </c>
      <c r="R40" s="693">
        <v>1</v>
      </c>
      <c r="S40" s="3126" t="s">
        <v>1623</v>
      </c>
      <c r="T40" s="3147" t="s">
        <v>1623</v>
      </c>
    </row>
    <row r="41" spans="1:20" ht="39" thickBot="1">
      <c r="A41" s="3391"/>
      <c r="B41" s="715" t="s">
        <v>17</v>
      </c>
      <c r="C41" s="705" t="s">
        <v>1067</v>
      </c>
      <c r="D41" s="690" t="s">
        <v>1055</v>
      </c>
      <c r="E41" s="2716">
        <v>5</v>
      </c>
      <c r="F41" s="1916">
        <v>30</v>
      </c>
      <c r="G41" s="1917">
        <v>30</v>
      </c>
      <c r="H41" s="1918">
        <v>30</v>
      </c>
      <c r="I41" s="1918">
        <v>30</v>
      </c>
      <c r="J41" s="1918">
        <v>30</v>
      </c>
      <c r="K41" s="1919">
        <v>30</v>
      </c>
      <c r="L41" s="736">
        <v>1</v>
      </c>
      <c r="M41" s="731">
        <v>1</v>
      </c>
      <c r="N41" s="694">
        <v>1</v>
      </c>
      <c r="O41" s="694">
        <v>1</v>
      </c>
      <c r="P41" s="694">
        <v>1</v>
      </c>
      <c r="Q41" s="694">
        <v>1</v>
      </c>
      <c r="R41" s="695">
        <v>1</v>
      </c>
      <c r="S41" s="3126" t="s">
        <v>1623</v>
      </c>
      <c r="T41" s="3147" t="s">
        <v>1623</v>
      </c>
    </row>
    <row r="42" spans="1:20" ht="38.25">
      <c r="A42" s="3392" t="s">
        <v>1129</v>
      </c>
      <c r="B42" s="719" t="s">
        <v>18</v>
      </c>
      <c r="C42" s="707" t="s">
        <v>1068</v>
      </c>
      <c r="D42" s="699" t="s">
        <v>1055</v>
      </c>
      <c r="E42" s="2718">
        <f>SUM(E43:E46)</f>
        <v>4926</v>
      </c>
      <c r="F42" s="2555">
        <f t="shared" ref="F42:K42" si="5">SUM(F43:F46)</f>
        <v>5420</v>
      </c>
      <c r="G42" s="2556">
        <f t="shared" si="5"/>
        <v>5420</v>
      </c>
      <c r="H42" s="2556">
        <f t="shared" si="5"/>
        <v>5420</v>
      </c>
      <c r="I42" s="2556">
        <f t="shared" si="5"/>
        <v>5420</v>
      </c>
      <c r="J42" s="2556">
        <f t="shared" si="5"/>
        <v>5420</v>
      </c>
      <c r="K42" s="2557">
        <f t="shared" si="5"/>
        <v>5420</v>
      </c>
      <c r="L42" s="737">
        <f>MAX(L43,L44,L45,L46)</f>
        <v>1</v>
      </c>
      <c r="M42" s="732">
        <f t="shared" ref="M42:R42" si="6">MAX(M43,M44,M45,M46)</f>
        <v>1</v>
      </c>
      <c r="N42" s="696">
        <f t="shared" si="6"/>
        <v>1</v>
      </c>
      <c r="O42" s="696">
        <f t="shared" si="6"/>
        <v>1</v>
      </c>
      <c r="P42" s="696">
        <f t="shared" si="6"/>
        <v>1</v>
      </c>
      <c r="Q42" s="696">
        <f t="shared" si="6"/>
        <v>1</v>
      </c>
      <c r="R42" s="697">
        <f t="shared" si="6"/>
        <v>1</v>
      </c>
      <c r="S42" s="3126" t="s">
        <v>1623</v>
      </c>
      <c r="T42" s="3147" t="s">
        <v>1623</v>
      </c>
    </row>
    <row r="43" spans="1:20" ht="38.25">
      <c r="A43" s="3393"/>
      <c r="B43" s="717" t="s">
        <v>19</v>
      </c>
      <c r="C43" s="704" t="s">
        <v>1069</v>
      </c>
      <c r="D43" s="689" t="s">
        <v>1055</v>
      </c>
      <c r="E43" s="2714">
        <v>3664</v>
      </c>
      <c r="F43" s="1911">
        <v>3955</v>
      </c>
      <c r="G43" s="1912">
        <v>3955</v>
      </c>
      <c r="H43" s="1913">
        <v>3955</v>
      </c>
      <c r="I43" s="1913">
        <v>3955</v>
      </c>
      <c r="J43" s="1913">
        <v>3955</v>
      </c>
      <c r="K43" s="1914">
        <v>3955</v>
      </c>
      <c r="L43" s="735">
        <v>1</v>
      </c>
      <c r="M43" s="730">
        <v>1</v>
      </c>
      <c r="N43" s="686">
        <v>1</v>
      </c>
      <c r="O43" s="686">
        <v>1</v>
      </c>
      <c r="P43" s="686">
        <v>1</v>
      </c>
      <c r="Q43" s="686">
        <v>1</v>
      </c>
      <c r="R43" s="693">
        <v>1</v>
      </c>
      <c r="S43" s="3126" t="s">
        <v>1623</v>
      </c>
      <c r="T43" s="3147" t="s">
        <v>1623</v>
      </c>
    </row>
    <row r="44" spans="1:20" ht="38.25">
      <c r="A44" s="3393"/>
      <c r="B44" s="717" t="s">
        <v>20</v>
      </c>
      <c r="C44" s="704" t="s">
        <v>1070</v>
      </c>
      <c r="D44" s="689" t="s">
        <v>1055</v>
      </c>
      <c r="E44" s="2714">
        <v>380</v>
      </c>
      <c r="F44" s="1911">
        <v>405</v>
      </c>
      <c r="G44" s="1912">
        <v>405</v>
      </c>
      <c r="H44" s="1913">
        <v>405</v>
      </c>
      <c r="I44" s="1913">
        <v>405</v>
      </c>
      <c r="J44" s="1913">
        <v>405</v>
      </c>
      <c r="K44" s="1914">
        <v>405</v>
      </c>
      <c r="L44" s="735">
        <v>1</v>
      </c>
      <c r="M44" s="730">
        <v>1</v>
      </c>
      <c r="N44" s="686">
        <v>1</v>
      </c>
      <c r="O44" s="686">
        <v>1</v>
      </c>
      <c r="P44" s="686">
        <v>1</v>
      </c>
      <c r="Q44" s="686">
        <v>1</v>
      </c>
      <c r="R44" s="693">
        <v>1</v>
      </c>
      <c r="S44" s="3126" t="s">
        <v>1623</v>
      </c>
      <c r="T44" s="3147" t="s">
        <v>1623</v>
      </c>
    </row>
    <row r="45" spans="1:20" ht="38.25">
      <c r="A45" s="3393"/>
      <c r="B45" s="717" t="s">
        <v>21</v>
      </c>
      <c r="C45" s="704" t="s">
        <v>1071</v>
      </c>
      <c r="D45" s="689" t="s">
        <v>1055</v>
      </c>
      <c r="E45" s="2714">
        <v>852</v>
      </c>
      <c r="F45" s="1911">
        <v>910</v>
      </c>
      <c r="G45" s="1912">
        <v>910</v>
      </c>
      <c r="H45" s="1913">
        <v>910</v>
      </c>
      <c r="I45" s="1913">
        <v>910</v>
      </c>
      <c r="J45" s="1913">
        <v>910</v>
      </c>
      <c r="K45" s="1914">
        <v>910</v>
      </c>
      <c r="L45" s="735">
        <v>1</v>
      </c>
      <c r="M45" s="730">
        <v>1</v>
      </c>
      <c r="N45" s="686">
        <v>1</v>
      </c>
      <c r="O45" s="686">
        <v>1</v>
      </c>
      <c r="P45" s="686">
        <v>1</v>
      </c>
      <c r="Q45" s="686">
        <v>1</v>
      </c>
      <c r="R45" s="693">
        <v>1</v>
      </c>
      <c r="S45" s="3126" t="s">
        <v>1623</v>
      </c>
      <c r="T45" s="3147" t="s">
        <v>1623</v>
      </c>
    </row>
    <row r="46" spans="1:20" ht="38.25">
      <c r="A46" s="3393"/>
      <c r="B46" s="717" t="s">
        <v>22</v>
      </c>
      <c r="C46" s="704" t="s">
        <v>1072</v>
      </c>
      <c r="D46" s="689" t="s">
        <v>1055</v>
      </c>
      <c r="E46" s="2714">
        <v>30</v>
      </c>
      <c r="F46" s="1911">
        <v>150</v>
      </c>
      <c r="G46" s="1912">
        <v>150</v>
      </c>
      <c r="H46" s="1913">
        <v>150</v>
      </c>
      <c r="I46" s="1913">
        <v>150</v>
      </c>
      <c r="J46" s="1913">
        <v>150</v>
      </c>
      <c r="K46" s="1914">
        <v>150</v>
      </c>
      <c r="L46" s="735">
        <v>1</v>
      </c>
      <c r="M46" s="730">
        <v>1</v>
      </c>
      <c r="N46" s="686">
        <v>1</v>
      </c>
      <c r="O46" s="686">
        <v>1</v>
      </c>
      <c r="P46" s="686">
        <v>1</v>
      </c>
      <c r="Q46" s="686">
        <v>1</v>
      </c>
      <c r="R46" s="693">
        <v>1</v>
      </c>
      <c r="S46" s="3126" t="s">
        <v>1623</v>
      </c>
      <c r="T46" s="3147" t="s">
        <v>1623</v>
      </c>
    </row>
    <row r="47" spans="1:20" ht="38.25">
      <c r="A47" s="3393"/>
      <c r="B47" s="720" t="s">
        <v>23</v>
      </c>
      <c r="C47" s="708" t="s">
        <v>1073</v>
      </c>
      <c r="D47" s="689" t="s">
        <v>1055</v>
      </c>
      <c r="E47" s="2719">
        <f>SUM(E48:E51)</f>
        <v>5022</v>
      </c>
      <c r="F47" s="2552">
        <f t="shared" ref="F47:K47" si="7">SUM(F48:F51)</f>
        <v>5486</v>
      </c>
      <c r="G47" s="2553">
        <f t="shared" si="7"/>
        <v>5486</v>
      </c>
      <c r="H47" s="2553">
        <f t="shared" si="7"/>
        <v>5486</v>
      </c>
      <c r="I47" s="2553">
        <f t="shared" si="7"/>
        <v>5486</v>
      </c>
      <c r="J47" s="2553">
        <f t="shared" si="7"/>
        <v>5486</v>
      </c>
      <c r="K47" s="2554">
        <f t="shared" si="7"/>
        <v>5486</v>
      </c>
      <c r="L47" s="125">
        <f>MAX(L48,L49,L50,L51)</f>
        <v>1</v>
      </c>
      <c r="M47" s="733">
        <f t="shared" ref="M47:R47" si="8">MAX(M48,M49,M50,M51)</f>
        <v>1</v>
      </c>
      <c r="N47" s="687">
        <f t="shared" si="8"/>
        <v>1</v>
      </c>
      <c r="O47" s="687">
        <f t="shared" si="8"/>
        <v>1</v>
      </c>
      <c r="P47" s="687">
        <f t="shared" si="8"/>
        <v>1</v>
      </c>
      <c r="Q47" s="687">
        <f t="shared" si="8"/>
        <v>1</v>
      </c>
      <c r="R47" s="698">
        <f t="shared" si="8"/>
        <v>1</v>
      </c>
      <c r="S47" s="3126" t="s">
        <v>1623</v>
      </c>
      <c r="T47" s="3147" t="s">
        <v>1623</v>
      </c>
    </row>
    <row r="48" spans="1:20" ht="31.5" customHeight="1">
      <c r="A48" s="3393"/>
      <c r="B48" s="717" t="s">
        <v>24</v>
      </c>
      <c r="C48" s="704" t="s">
        <v>1074</v>
      </c>
      <c r="D48" s="689" t="s">
        <v>1055</v>
      </c>
      <c r="E48" s="2714">
        <v>3708</v>
      </c>
      <c r="F48" s="1911">
        <v>3976</v>
      </c>
      <c r="G48" s="1912">
        <v>3976</v>
      </c>
      <c r="H48" s="1913">
        <v>3976</v>
      </c>
      <c r="I48" s="1913">
        <v>3976</v>
      </c>
      <c r="J48" s="1913">
        <v>3976</v>
      </c>
      <c r="K48" s="1914">
        <v>3976</v>
      </c>
      <c r="L48" s="735">
        <v>1</v>
      </c>
      <c r="M48" s="730">
        <v>1</v>
      </c>
      <c r="N48" s="686">
        <v>1</v>
      </c>
      <c r="O48" s="686">
        <v>1</v>
      </c>
      <c r="P48" s="686">
        <v>1</v>
      </c>
      <c r="Q48" s="686">
        <v>1</v>
      </c>
      <c r="R48" s="693">
        <v>1</v>
      </c>
      <c r="S48" s="3126" t="s">
        <v>1623</v>
      </c>
      <c r="T48" s="3147" t="s">
        <v>1623</v>
      </c>
    </row>
    <row r="49" spans="1:20" ht="30" customHeight="1">
      <c r="A49" s="3393"/>
      <c r="B49" s="717" t="s">
        <v>25</v>
      </c>
      <c r="C49" s="704" t="s">
        <v>1075</v>
      </c>
      <c r="D49" s="689" t="s">
        <v>1055</v>
      </c>
      <c r="E49" s="2714">
        <v>390</v>
      </c>
      <c r="F49" s="1911">
        <v>420</v>
      </c>
      <c r="G49" s="1912">
        <v>420</v>
      </c>
      <c r="H49" s="1913">
        <v>420</v>
      </c>
      <c r="I49" s="1913">
        <v>420</v>
      </c>
      <c r="J49" s="1913">
        <v>420</v>
      </c>
      <c r="K49" s="1914">
        <v>420</v>
      </c>
      <c r="L49" s="735">
        <v>1</v>
      </c>
      <c r="M49" s="730">
        <v>1</v>
      </c>
      <c r="N49" s="686">
        <v>1</v>
      </c>
      <c r="O49" s="686">
        <v>1</v>
      </c>
      <c r="P49" s="686">
        <v>1</v>
      </c>
      <c r="Q49" s="686">
        <v>1</v>
      </c>
      <c r="R49" s="693">
        <v>1</v>
      </c>
      <c r="S49" s="3126" t="s">
        <v>1623</v>
      </c>
      <c r="T49" s="3147" t="s">
        <v>1623</v>
      </c>
    </row>
    <row r="50" spans="1:20" ht="28.5" customHeight="1">
      <c r="A50" s="3393"/>
      <c r="B50" s="717" t="s">
        <v>26</v>
      </c>
      <c r="C50" s="704" t="s">
        <v>1076</v>
      </c>
      <c r="D50" s="689" t="s">
        <v>1055</v>
      </c>
      <c r="E50" s="2714">
        <v>894</v>
      </c>
      <c r="F50" s="1911">
        <v>940</v>
      </c>
      <c r="G50" s="1912">
        <v>940</v>
      </c>
      <c r="H50" s="1913">
        <v>940</v>
      </c>
      <c r="I50" s="1913">
        <v>940</v>
      </c>
      <c r="J50" s="1913">
        <v>940</v>
      </c>
      <c r="K50" s="1914">
        <v>940</v>
      </c>
      <c r="L50" s="735">
        <v>1</v>
      </c>
      <c r="M50" s="730">
        <v>1</v>
      </c>
      <c r="N50" s="686">
        <v>1</v>
      </c>
      <c r="O50" s="686">
        <v>1</v>
      </c>
      <c r="P50" s="686">
        <v>1</v>
      </c>
      <c r="Q50" s="686">
        <v>1</v>
      </c>
      <c r="R50" s="693">
        <v>1</v>
      </c>
      <c r="S50" s="3126" t="s">
        <v>1623</v>
      </c>
      <c r="T50" s="3147" t="s">
        <v>1623</v>
      </c>
    </row>
    <row r="51" spans="1:20" ht="30" customHeight="1" thickBot="1">
      <c r="A51" s="3394"/>
      <c r="B51" s="715" t="s">
        <v>27</v>
      </c>
      <c r="C51" s="705" t="s">
        <v>1077</v>
      </c>
      <c r="D51" s="690" t="s">
        <v>1055</v>
      </c>
      <c r="E51" s="2716">
        <v>30</v>
      </c>
      <c r="F51" s="1916">
        <v>150</v>
      </c>
      <c r="G51" s="1917">
        <v>150</v>
      </c>
      <c r="H51" s="1918">
        <v>150</v>
      </c>
      <c r="I51" s="1918">
        <v>150</v>
      </c>
      <c r="J51" s="1918">
        <v>150</v>
      </c>
      <c r="K51" s="1919">
        <v>150</v>
      </c>
      <c r="L51" s="736">
        <v>1</v>
      </c>
      <c r="M51" s="731">
        <v>1</v>
      </c>
      <c r="N51" s="694">
        <v>1</v>
      </c>
      <c r="O51" s="694">
        <v>1</v>
      </c>
      <c r="P51" s="694">
        <v>1</v>
      </c>
      <c r="Q51" s="694">
        <v>1</v>
      </c>
      <c r="R51" s="695">
        <v>1</v>
      </c>
      <c r="S51" s="3175" t="s">
        <v>1623</v>
      </c>
      <c r="T51" s="3149" t="s">
        <v>1623</v>
      </c>
    </row>
    <row r="52" spans="1:20" ht="23.25" customHeight="1">
      <c r="A52" s="3389" t="s">
        <v>1175</v>
      </c>
      <c r="B52" s="716" t="s">
        <v>28</v>
      </c>
      <c r="C52" s="703" t="s">
        <v>1078</v>
      </c>
      <c r="D52" s="699" t="s">
        <v>1055</v>
      </c>
      <c r="E52" s="2720">
        <v>71</v>
      </c>
      <c r="F52" s="1926">
        <v>70</v>
      </c>
      <c r="G52" s="1909">
        <v>70</v>
      </c>
      <c r="H52" s="1909">
        <v>70</v>
      </c>
      <c r="I52" s="1909">
        <v>70</v>
      </c>
      <c r="J52" s="1909">
        <v>70</v>
      </c>
      <c r="K52" s="1910">
        <v>70</v>
      </c>
      <c r="L52" s="734">
        <v>1</v>
      </c>
      <c r="M52" s="729">
        <v>1</v>
      </c>
      <c r="N52" s="691">
        <v>1</v>
      </c>
      <c r="O52" s="691">
        <v>1</v>
      </c>
      <c r="P52" s="691">
        <v>1</v>
      </c>
      <c r="Q52" s="691">
        <v>1</v>
      </c>
      <c r="R52" s="692">
        <v>1</v>
      </c>
      <c r="S52" s="3127" t="s">
        <v>1566</v>
      </c>
      <c r="T52" s="3146" t="s">
        <v>1566</v>
      </c>
    </row>
    <row r="53" spans="1:20" ht="30" customHeight="1" thickBot="1">
      <c r="A53" s="3391"/>
      <c r="B53" s="715" t="s">
        <v>29</v>
      </c>
      <c r="C53" s="705" t="s">
        <v>1079</v>
      </c>
      <c r="D53" s="690" t="s">
        <v>1055</v>
      </c>
      <c r="E53" s="2721">
        <v>71</v>
      </c>
      <c r="F53" s="1927">
        <v>70</v>
      </c>
      <c r="G53" s="1918">
        <v>70</v>
      </c>
      <c r="H53" s="1918">
        <v>70</v>
      </c>
      <c r="I53" s="1918">
        <v>70</v>
      </c>
      <c r="J53" s="1918">
        <v>70</v>
      </c>
      <c r="K53" s="1919">
        <v>70</v>
      </c>
      <c r="L53" s="736">
        <v>1</v>
      </c>
      <c r="M53" s="731">
        <v>1</v>
      </c>
      <c r="N53" s="694">
        <v>1</v>
      </c>
      <c r="O53" s="694">
        <v>1</v>
      </c>
      <c r="P53" s="694">
        <v>1</v>
      </c>
      <c r="Q53" s="694">
        <v>1</v>
      </c>
      <c r="R53" s="695">
        <v>1</v>
      </c>
      <c r="S53" s="3176" t="s">
        <v>1566</v>
      </c>
      <c r="T53" s="3177" t="s">
        <v>1566</v>
      </c>
    </row>
    <row r="54" spans="1:20" ht="25.5">
      <c r="A54" s="3389" t="s">
        <v>1142</v>
      </c>
      <c r="B54" s="713" t="s">
        <v>42</v>
      </c>
      <c r="C54" s="700" t="s">
        <v>1093</v>
      </c>
      <c r="D54" s="699" t="s">
        <v>1055</v>
      </c>
      <c r="E54" s="2713">
        <v>51</v>
      </c>
      <c r="F54" s="1907">
        <v>51</v>
      </c>
      <c r="G54" s="1908">
        <v>51</v>
      </c>
      <c r="H54" s="1909">
        <v>51</v>
      </c>
      <c r="I54" s="1909">
        <v>52</v>
      </c>
      <c r="J54" s="1909">
        <v>54</v>
      </c>
      <c r="K54" s="1910">
        <v>56</v>
      </c>
      <c r="L54" s="3153">
        <v>1</v>
      </c>
      <c r="M54" s="729">
        <v>1</v>
      </c>
      <c r="N54" s="691">
        <v>1</v>
      </c>
      <c r="O54" s="691">
        <v>1</v>
      </c>
      <c r="P54" s="691">
        <v>1</v>
      </c>
      <c r="Q54" s="691">
        <v>1</v>
      </c>
      <c r="R54" s="692">
        <v>1</v>
      </c>
      <c r="S54" s="3127" t="s">
        <v>1566</v>
      </c>
      <c r="T54" s="3146" t="s">
        <v>1566</v>
      </c>
    </row>
    <row r="55" spans="1:20" ht="26.25" thickBot="1">
      <c r="A55" s="3391"/>
      <c r="B55" s="721" t="s">
        <v>478</v>
      </c>
      <c r="C55" s="702" t="s">
        <v>1092</v>
      </c>
      <c r="D55" s="690" t="s">
        <v>1055</v>
      </c>
      <c r="E55" s="2716">
        <v>60</v>
      </c>
      <c r="F55" s="1916">
        <v>60</v>
      </c>
      <c r="G55" s="1917">
        <v>60</v>
      </c>
      <c r="H55" s="1918">
        <v>60</v>
      </c>
      <c r="I55" s="1918">
        <v>60</v>
      </c>
      <c r="J55" s="1918">
        <v>60</v>
      </c>
      <c r="K55" s="1919">
        <v>60</v>
      </c>
      <c r="L55" s="736">
        <v>1</v>
      </c>
      <c r="M55" s="731">
        <v>1</v>
      </c>
      <c r="N55" s="694">
        <v>1</v>
      </c>
      <c r="O55" s="694">
        <v>1</v>
      </c>
      <c r="P55" s="694">
        <v>1</v>
      </c>
      <c r="Q55" s="694">
        <v>1</v>
      </c>
      <c r="R55" s="695">
        <v>1</v>
      </c>
      <c r="S55" s="3176" t="s">
        <v>1566</v>
      </c>
      <c r="T55" s="3177" t="s">
        <v>1566</v>
      </c>
    </row>
    <row r="56" spans="1:20" ht="51.75" thickBot="1">
      <c r="A56" s="3389" t="s">
        <v>1141</v>
      </c>
      <c r="B56" s="716" t="s">
        <v>30</v>
      </c>
      <c r="C56" s="703" t="s">
        <v>1080</v>
      </c>
      <c r="D56" s="699" t="s">
        <v>1081</v>
      </c>
      <c r="E56" s="2720">
        <v>1693898</v>
      </c>
      <c r="F56" s="1926">
        <v>1490500</v>
      </c>
      <c r="G56" s="1909">
        <v>1590200</v>
      </c>
      <c r="H56" s="1909">
        <v>1590200</v>
      </c>
      <c r="I56" s="1909">
        <v>1490200</v>
      </c>
      <c r="J56" s="1909">
        <v>1460200</v>
      </c>
      <c r="K56" s="1910">
        <v>1440200</v>
      </c>
      <c r="L56" s="3153">
        <v>2</v>
      </c>
      <c r="M56" s="3127">
        <v>2</v>
      </c>
      <c r="N56" s="3145">
        <v>2</v>
      </c>
      <c r="O56" s="3145">
        <v>1</v>
      </c>
      <c r="P56" s="3145">
        <v>1</v>
      </c>
      <c r="Q56" s="3145">
        <v>1</v>
      </c>
      <c r="R56" s="3146">
        <v>1</v>
      </c>
      <c r="S56" s="3127" t="s">
        <v>1567</v>
      </c>
      <c r="T56" s="3146" t="s">
        <v>1567</v>
      </c>
    </row>
    <row r="57" spans="1:20" ht="26.25" thickBot="1">
      <c r="A57" s="3390"/>
      <c r="B57" s="714" t="s">
        <v>36</v>
      </c>
      <c r="C57" s="701" t="s">
        <v>1086</v>
      </c>
      <c r="D57" s="689" t="s">
        <v>1055</v>
      </c>
      <c r="E57" s="2715">
        <v>3270</v>
      </c>
      <c r="F57" s="1915">
        <v>3270</v>
      </c>
      <c r="G57" s="1913">
        <v>3200</v>
      </c>
      <c r="H57" s="1913">
        <v>3090</v>
      </c>
      <c r="I57" s="1913">
        <v>2928</v>
      </c>
      <c r="J57" s="1913">
        <v>2715</v>
      </c>
      <c r="K57" s="1914">
        <v>2530</v>
      </c>
      <c r="L57" s="3154">
        <v>1</v>
      </c>
      <c r="M57" s="3126">
        <v>1</v>
      </c>
      <c r="N57" s="3144">
        <v>1</v>
      </c>
      <c r="O57" s="3144">
        <v>1</v>
      </c>
      <c r="P57" s="3144">
        <v>1</v>
      </c>
      <c r="Q57" s="3144">
        <v>1</v>
      </c>
      <c r="R57" s="3147">
        <v>1</v>
      </c>
      <c r="S57" s="3127" t="s">
        <v>1567</v>
      </c>
      <c r="T57" s="3146" t="s">
        <v>1567</v>
      </c>
    </row>
    <row r="58" spans="1:20" ht="26.25" thickBot="1">
      <c r="A58" s="3390"/>
      <c r="B58" s="718" t="s">
        <v>43</v>
      </c>
      <c r="C58" s="704" t="s">
        <v>1094</v>
      </c>
      <c r="D58" s="689" t="s">
        <v>1055</v>
      </c>
      <c r="E58" s="2715">
        <f>'8. Ремонтна програма'!D32+'8. Ремонтна програма'!D26</f>
        <v>1340</v>
      </c>
      <c r="F58" s="1915">
        <f>'8. Ремонтна програма'!E32+'8. Ремонтна програма'!E26</f>
        <v>1327</v>
      </c>
      <c r="G58" s="1913">
        <f>'8. Ремонтна програма'!F32+'8. Ремонтна програма'!F26</f>
        <v>1292</v>
      </c>
      <c r="H58" s="1913">
        <f>'8. Ремонтна програма'!G32+'8. Ремонтна програма'!G26</f>
        <v>1262</v>
      </c>
      <c r="I58" s="1913">
        <f>'8. Ремонтна програма'!H32+'8. Ремонтна програма'!H26</f>
        <v>1232</v>
      </c>
      <c r="J58" s="1913">
        <f>'8. Ремонтна програма'!I32+'8. Ремонтна програма'!I26</f>
        <v>1202</v>
      </c>
      <c r="K58" s="1914">
        <f>'8. Ремонтна програма'!J32+'8. Ремонтна програма'!J26</f>
        <v>1182</v>
      </c>
      <c r="L58" s="3154">
        <v>1</v>
      </c>
      <c r="M58" s="3126">
        <v>1</v>
      </c>
      <c r="N58" s="3144">
        <v>1</v>
      </c>
      <c r="O58" s="3144">
        <v>1</v>
      </c>
      <c r="P58" s="3144">
        <v>1</v>
      </c>
      <c r="Q58" s="3144">
        <v>1</v>
      </c>
      <c r="R58" s="3147">
        <v>1</v>
      </c>
      <c r="S58" s="3127" t="s">
        <v>1567</v>
      </c>
      <c r="T58" s="3146" t="s">
        <v>1567</v>
      </c>
    </row>
    <row r="59" spans="1:20" ht="26.25" thickBot="1">
      <c r="A59" s="3390"/>
      <c r="B59" s="718" t="s">
        <v>44</v>
      </c>
      <c r="C59" s="704" t="s">
        <v>1096</v>
      </c>
      <c r="D59" s="689" t="s">
        <v>1055</v>
      </c>
      <c r="E59" s="2715">
        <v>76</v>
      </c>
      <c r="F59" s="1915">
        <v>76</v>
      </c>
      <c r="G59" s="1913">
        <v>75</v>
      </c>
      <c r="H59" s="1913">
        <v>73</v>
      </c>
      <c r="I59" s="1913">
        <v>69</v>
      </c>
      <c r="J59" s="1913">
        <v>65</v>
      </c>
      <c r="K59" s="1914">
        <v>50</v>
      </c>
      <c r="L59" s="3154">
        <v>1</v>
      </c>
      <c r="M59" s="3126">
        <v>1</v>
      </c>
      <c r="N59" s="3144">
        <v>1</v>
      </c>
      <c r="O59" s="3144">
        <v>1</v>
      </c>
      <c r="P59" s="3144">
        <v>1</v>
      </c>
      <c r="Q59" s="3144">
        <v>1</v>
      </c>
      <c r="R59" s="3147">
        <v>1</v>
      </c>
      <c r="S59" s="3127" t="s">
        <v>1567</v>
      </c>
      <c r="T59" s="3146" t="s">
        <v>1567</v>
      </c>
    </row>
    <row r="60" spans="1:20" ht="26.25" thickBot="1">
      <c r="A60" s="3391"/>
      <c r="B60" s="722" t="s">
        <v>45</v>
      </c>
      <c r="C60" s="705" t="s">
        <v>1095</v>
      </c>
      <c r="D60" s="690" t="s">
        <v>1055</v>
      </c>
      <c r="E60" s="2721">
        <v>127</v>
      </c>
      <c r="F60" s="1927">
        <v>127</v>
      </c>
      <c r="G60" s="1918">
        <v>125</v>
      </c>
      <c r="H60" s="1918">
        <v>125</v>
      </c>
      <c r="I60" s="1918">
        <v>122</v>
      </c>
      <c r="J60" s="1918">
        <v>121</v>
      </c>
      <c r="K60" s="1919">
        <v>121</v>
      </c>
      <c r="L60" s="3155">
        <v>1</v>
      </c>
      <c r="M60" s="3175">
        <v>1</v>
      </c>
      <c r="N60" s="3148">
        <v>1</v>
      </c>
      <c r="O60" s="3148">
        <v>1</v>
      </c>
      <c r="P60" s="3148">
        <v>1</v>
      </c>
      <c r="Q60" s="3148">
        <v>1</v>
      </c>
      <c r="R60" s="3149">
        <v>1</v>
      </c>
      <c r="S60" s="3127" t="s">
        <v>1567</v>
      </c>
      <c r="T60" s="3146" t="s">
        <v>1567</v>
      </c>
    </row>
    <row r="61" spans="1:20" ht="38.25">
      <c r="A61" s="3389" t="s">
        <v>1146</v>
      </c>
      <c r="B61" s="716" t="s">
        <v>49</v>
      </c>
      <c r="C61" s="703" t="s">
        <v>1082</v>
      </c>
      <c r="D61" s="699" t="s">
        <v>1486</v>
      </c>
      <c r="E61" s="2722">
        <f>'4. Отчет и прогн. потребление'!D10</f>
        <v>47549511</v>
      </c>
      <c r="F61" s="2528">
        <f>'4. Отчет и прогн. потребление'!E10</f>
        <v>46400000</v>
      </c>
      <c r="G61" s="2529">
        <f>'4. Отчет и прогн. потребление'!F10</f>
        <v>42794559.899999999</v>
      </c>
      <c r="H61" s="2529">
        <f>'4. Отчет и прогн. потребление'!G10</f>
        <v>41836781.597085796</v>
      </c>
      <c r="I61" s="2529">
        <f>'4. Отчет и прогн. потребление'!H10</f>
        <v>40545731.491278999</v>
      </c>
      <c r="J61" s="2529">
        <f>'4. Отчет и прогн. потребление'!I10</f>
        <v>39779344.423457801</v>
      </c>
      <c r="K61" s="2530">
        <f>'4. Отчет и прогн. потребление'!J10</f>
        <v>39169230.378991</v>
      </c>
      <c r="L61" s="767">
        <v>1</v>
      </c>
      <c r="M61" s="729">
        <v>1</v>
      </c>
      <c r="N61" s="691">
        <v>1</v>
      </c>
      <c r="O61" s="691">
        <v>1</v>
      </c>
      <c r="P61" s="691">
        <v>1</v>
      </c>
      <c r="Q61" s="691">
        <v>1</v>
      </c>
      <c r="R61" s="692">
        <v>1</v>
      </c>
      <c r="S61" s="3127" t="s">
        <v>1591</v>
      </c>
      <c r="T61" s="3146" t="s">
        <v>1591</v>
      </c>
    </row>
    <row r="62" spans="1:20" ht="42" customHeight="1">
      <c r="A62" s="3390"/>
      <c r="B62" s="714" t="s">
        <v>1053</v>
      </c>
      <c r="C62" s="704" t="s">
        <v>1084</v>
      </c>
      <c r="D62" s="689" t="s">
        <v>1486</v>
      </c>
      <c r="E62" s="2723">
        <f>'4. Отчет и прогн. потребление'!D21</f>
        <v>7526429</v>
      </c>
      <c r="F62" s="2540">
        <f>'4. Отчет и прогн. потребление'!E21</f>
        <v>7526422</v>
      </c>
      <c r="G62" s="2541">
        <f>'4. Отчет и прогн. потребление'!F21</f>
        <v>8046098.1900000004</v>
      </c>
      <c r="H62" s="2541">
        <f>'4. Отчет и прогн. потребление'!G21</f>
        <v>7998318.6809500009</v>
      </c>
      <c r="I62" s="2541">
        <f>'4. Отчет и прогн. потребление'!H21</f>
        <v>7940255.2743547494</v>
      </c>
      <c r="J62" s="2541">
        <f>'4. Отчет и прогн. потребление'!I21</f>
        <v>7876409.0507265199</v>
      </c>
      <c r="K62" s="2542">
        <f>'4. Отчет и прогн. потребление'!J21</f>
        <v>7894281.0959801599</v>
      </c>
      <c r="L62" s="768">
        <v>1</v>
      </c>
      <c r="M62" s="730">
        <v>1</v>
      </c>
      <c r="N62" s="686">
        <v>1</v>
      </c>
      <c r="O62" s="686">
        <v>1</v>
      </c>
      <c r="P62" s="686">
        <v>1</v>
      </c>
      <c r="Q62" s="686">
        <v>1</v>
      </c>
      <c r="R62" s="693">
        <v>1</v>
      </c>
      <c r="S62" s="3126" t="s">
        <v>1568</v>
      </c>
      <c r="T62" s="3147" t="s">
        <v>1568</v>
      </c>
    </row>
    <row r="63" spans="1:20" ht="45.75" customHeight="1" thickBot="1">
      <c r="A63" s="3390"/>
      <c r="B63" s="714" t="s">
        <v>1054</v>
      </c>
      <c r="C63" s="704" t="s">
        <v>1083</v>
      </c>
      <c r="D63" s="689" t="s">
        <v>1486</v>
      </c>
      <c r="E63" s="2724">
        <f>'4. Отчет и прогн. потребление'!D48</f>
        <v>40023082</v>
      </c>
      <c r="F63" s="2540">
        <f>'4. Отчет и прогн. потребление'!E48</f>
        <v>38873578</v>
      </c>
      <c r="G63" s="2541">
        <f>'4. Отчет и прогн. потребление'!F48</f>
        <v>34748462</v>
      </c>
      <c r="H63" s="2541">
        <f>'4. Отчет и прогн. потребление'!G48</f>
        <v>33838463</v>
      </c>
      <c r="I63" s="2541">
        <f>'4. Отчет и прогн. потребление'!H48</f>
        <v>32605476</v>
      </c>
      <c r="J63" s="2541">
        <f>'4. Отчет и прогн. потребление'!I48</f>
        <v>31902935</v>
      </c>
      <c r="K63" s="2542">
        <f>'4. Отчет и прогн. потребление'!J48</f>
        <v>31274949</v>
      </c>
      <c r="L63" s="768">
        <v>1</v>
      </c>
      <c r="M63" s="730">
        <v>1</v>
      </c>
      <c r="N63" s="686">
        <v>1</v>
      </c>
      <c r="O63" s="686">
        <v>1</v>
      </c>
      <c r="P63" s="686">
        <v>1</v>
      </c>
      <c r="Q63" s="686">
        <v>1</v>
      </c>
      <c r="R63" s="693">
        <v>1</v>
      </c>
      <c r="S63" s="3126" t="s">
        <v>1592</v>
      </c>
      <c r="T63" s="3147" t="s">
        <v>1592</v>
      </c>
    </row>
    <row r="64" spans="1:20" ht="39" thickBot="1">
      <c r="A64" s="3390"/>
      <c r="B64" s="1367" t="s">
        <v>51</v>
      </c>
      <c r="C64" s="1368" t="s">
        <v>1101</v>
      </c>
      <c r="D64" s="1369" t="s">
        <v>1486</v>
      </c>
      <c r="E64" s="2721">
        <v>5214061</v>
      </c>
      <c r="F64" s="1927">
        <v>5655000</v>
      </c>
      <c r="G64" s="1918">
        <v>5870000</v>
      </c>
      <c r="H64" s="1918">
        <v>6100000</v>
      </c>
      <c r="I64" s="1918">
        <v>6200000</v>
      </c>
      <c r="J64" s="1918">
        <v>6300000</v>
      </c>
      <c r="K64" s="1919">
        <v>6400000</v>
      </c>
      <c r="L64" s="1370">
        <v>1</v>
      </c>
      <c r="M64" s="1371">
        <v>1</v>
      </c>
      <c r="N64" s="1372">
        <v>1</v>
      </c>
      <c r="O64" s="1372">
        <v>1</v>
      </c>
      <c r="P64" s="1372">
        <v>1</v>
      </c>
      <c r="Q64" s="1372">
        <v>1</v>
      </c>
      <c r="R64" s="1373">
        <v>1</v>
      </c>
      <c r="S64" s="3127" t="s">
        <v>1591</v>
      </c>
      <c r="T64" s="3146" t="s">
        <v>1591</v>
      </c>
    </row>
    <row r="65" spans="1:20" ht="38.25">
      <c r="A65" s="3392" t="s">
        <v>1180</v>
      </c>
      <c r="B65" s="1375"/>
      <c r="C65" s="700" t="s">
        <v>1176</v>
      </c>
      <c r="D65" s="699" t="s">
        <v>1055</v>
      </c>
      <c r="E65" s="2720">
        <v>42</v>
      </c>
      <c r="F65" s="1926">
        <v>42</v>
      </c>
      <c r="G65" s="1909">
        <v>47</v>
      </c>
      <c r="H65" s="1909">
        <v>47</v>
      </c>
      <c r="I65" s="1909">
        <v>47</v>
      </c>
      <c r="J65" s="1909">
        <v>47</v>
      </c>
      <c r="K65" s="1910">
        <v>47</v>
      </c>
      <c r="L65" s="734">
        <v>1</v>
      </c>
      <c r="M65" s="729">
        <v>1</v>
      </c>
      <c r="N65" s="691">
        <v>1</v>
      </c>
      <c r="O65" s="691">
        <v>1</v>
      </c>
      <c r="P65" s="691">
        <v>1</v>
      </c>
      <c r="Q65" s="691">
        <v>1</v>
      </c>
      <c r="R65" s="3146">
        <v>1</v>
      </c>
      <c r="S65" s="3126" t="s">
        <v>1565</v>
      </c>
      <c r="T65" s="3147" t="s">
        <v>1565</v>
      </c>
    </row>
    <row r="66" spans="1:20" ht="38.25">
      <c r="A66" s="3393"/>
      <c r="B66" s="1376"/>
      <c r="C66" s="701" t="s">
        <v>1373</v>
      </c>
      <c r="D66" s="689" t="s">
        <v>226</v>
      </c>
      <c r="E66" s="2725">
        <v>0.22</v>
      </c>
      <c r="F66" s="1928">
        <v>0.22</v>
      </c>
      <c r="G66" s="1929">
        <v>0.25</v>
      </c>
      <c r="H66" s="1929">
        <v>0.25</v>
      </c>
      <c r="I66" s="1929">
        <v>0.25</v>
      </c>
      <c r="J66" s="1929">
        <v>0.25</v>
      </c>
      <c r="K66" s="1930">
        <v>0.25</v>
      </c>
      <c r="L66" s="735">
        <v>1</v>
      </c>
      <c r="M66" s="730">
        <v>1</v>
      </c>
      <c r="N66" s="686">
        <v>1</v>
      </c>
      <c r="O66" s="686">
        <v>1</v>
      </c>
      <c r="P66" s="686">
        <v>1</v>
      </c>
      <c r="Q66" s="686">
        <v>1</v>
      </c>
      <c r="R66" s="3147">
        <v>1</v>
      </c>
      <c r="S66" s="3126" t="s">
        <v>1591</v>
      </c>
      <c r="T66" s="3147" t="s">
        <v>1591</v>
      </c>
    </row>
    <row r="67" spans="1:20" ht="51">
      <c r="A67" s="3393"/>
      <c r="B67" s="1376"/>
      <c r="C67" s="701" t="s">
        <v>1374</v>
      </c>
      <c r="D67" s="689" t="s">
        <v>226</v>
      </c>
      <c r="E67" s="2725">
        <v>0</v>
      </c>
      <c r="F67" s="1928">
        <v>0</v>
      </c>
      <c r="G67" s="1929">
        <v>0</v>
      </c>
      <c r="H67" s="1929">
        <v>0</v>
      </c>
      <c r="I67" s="1929">
        <v>0</v>
      </c>
      <c r="J67" s="1929">
        <v>0</v>
      </c>
      <c r="K67" s="1930">
        <v>0</v>
      </c>
      <c r="L67" s="735">
        <v>1</v>
      </c>
      <c r="M67" s="730">
        <v>1</v>
      </c>
      <c r="N67" s="686">
        <v>1</v>
      </c>
      <c r="O67" s="686">
        <v>1</v>
      </c>
      <c r="P67" s="686">
        <v>1</v>
      </c>
      <c r="Q67" s="686">
        <v>1</v>
      </c>
      <c r="R67" s="3147">
        <v>1</v>
      </c>
      <c r="S67" s="3126" t="s">
        <v>1591</v>
      </c>
      <c r="T67" s="3147" t="s">
        <v>1591</v>
      </c>
    </row>
    <row r="68" spans="1:20" ht="38.25">
      <c r="A68" s="3393"/>
      <c r="B68" s="1376"/>
      <c r="C68" s="701" t="s">
        <v>1371</v>
      </c>
      <c r="D68" s="689" t="s">
        <v>226</v>
      </c>
      <c r="E68" s="2725">
        <v>0.78</v>
      </c>
      <c r="F68" s="1928">
        <v>0.78</v>
      </c>
      <c r="G68" s="1929">
        <v>0.75</v>
      </c>
      <c r="H68" s="1929">
        <v>0.75</v>
      </c>
      <c r="I68" s="1929">
        <v>0.75</v>
      </c>
      <c r="J68" s="1929">
        <v>0.75</v>
      </c>
      <c r="K68" s="1930">
        <v>0.75</v>
      </c>
      <c r="L68" s="735">
        <v>2</v>
      </c>
      <c r="M68" s="730">
        <v>2</v>
      </c>
      <c r="N68" s="686">
        <v>2</v>
      </c>
      <c r="O68" s="686">
        <v>2</v>
      </c>
      <c r="P68" s="686">
        <v>2</v>
      </c>
      <c r="Q68" s="686">
        <v>2</v>
      </c>
      <c r="R68" s="3147">
        <v>2</v>
      </c>
      <c r="S68" s="3126" t="s">
        <v>1624</v>
      </c>
      <c r="T68" s="3147" t="s">
        <v>1591</v>
      </c>
    </row>
    <row r="69" spans="1:20">
      <c r="A69" s="3393"/>
      <c r="B69" s="1377"/>
      <c r="C69" s="1378" t="s">
        <v>1372</v>
      </c>
      <c r="D69" s="1381" t="s">
        <v>226</v>
      </c>
      <c r="E69" s="2726">
        <f>SUM(E66:E68)</f>
        <v>1</v>
      </c>
      <c r="F69" s="2549">
        <f t="shared" ref="F69:K69" si="9">SUM(F66:F68)</f>
        <v>1</v>
      </c>
      <c r="G69" s="2550">
        <f t="shared" si="9"/>
        <v>1</v>
      </c>
      <c r="H69" s="2550">
        <f t="shared" si="9"/>
        <v>1</v>
      </c>
      <c r="I69" s="2550">
        <f t="shared" si="9"/>
        <v>1</v>
      </c>
      <c r="J69" s="2550">
        <f t="shared" si="9"/>
        <v>1</v>
      </c>
      <c r="K69" s="2551">
        <f t="shared" si="9"/>
        <v>1</v>
      </c>
      <c r="L69" s="1383"/>
      <c r="M69" s="1382"/>
      <c r="N69" s="1374"/>
      <c r="O69" s="1374"/>
      <c r="P69" s="1374"/>
      <c r="Q69" s="1374"/>
      <c r="R69" s="1384"/>
      <c r="S69" s="3178"/>
      <c r="T69" s="3179"/>
    </row>
    <row r="70" spans="1:20" ht="38.25">
      <c r="A70" s="3393"/>
      <c r="B70" s="1376"/>
      <c r="C70" s="701" t="s">
        <v>1177</v>
      </c>
      <c r="D70" s="689" t="s">
        <v>1055</v>
      </c>
      <c r="E70" s="2715">
        <v>223</v>
      </c>
      <c r="F70" s="1915">
        <v>223</v>
      </c>
      <c r="G70" s="1913">
        <v>228</v>
      </c>
      <c r="H70" s="1913">
        <v>228</v>
      </c>
      <c r="I70" s="1913">
        <v>228</v>
      </c>
      <c r="J70" s="1913">
        <v>228</v>
      </c>
      <c r="K70" s="1914">
        <v>228</v>
      </c>
      <c r="L70" s="3154">
        <v>2</v>
      </c>
      <c r="M70" s="3151">
        <v>2</v>
      </c>
      <c r="N70" s="3144">
        <v>1</v>
      </c>
      <c r="O70" s="3144">
        <v>1</v>
      </c>
      <c r="P70" s="3144">
        <v>1</v>
      </c>
      <c r="Q70" s="3144">
        <v>1</v>
      </c>
      <c r="R70" s="3160">
        <v>1</v>
      </c>
      <c r="S70" s="3126" t="s">
        <v>1590</v>
      </c>
      <c r="T70" s="3147" t="s">
        <v>1569</v>
      </c>
    </row>
    <row r="71" spans="1:20" ht="51">
      <c r="A71" s="3393"/>
      <c r="B71" s="1376" t="s">
        <v>1011</v>
      </c>
      <c r="C71" s="701" t="s">
        <v>1400</v>
      </c>
      <c r="D71" s="689" t="s">
        <v>1055</v>
      </c>
      <c r="E71" s="2715">
        <v>0</v>
      </c>
      <c r="F71" s="1915">
        <v>6</v>
      </c>
      <c r="G71" s="1913">
        <v>60</v>
      </c>
      <c r="H71" s="1913">
        <v>100</v>
      </c>
      <c r="I71" s="1913">
        <v>140</v>
      </c>
      <c r="J71" s="1913">
        <v>170</v>
      </c>
      <c r="K71" s="1914">
        <v>200</v>
      </c>
      <c r="L71" s="3154">
        <v>1</v>
      </c>
      <c r="M71" s="3151">
        <v>1</v>
      </c>
      <c r="N71" s="3144">
        <v>1</v>
      </c>
      <c r="O71" s="3144">
        <v>1</v>
      </c>
      <c r="P71" s="3144">
        <v>1</v>
      </c>
      <c r="Q71" s="3144">
        <v>1</v>
      </c>
      <c r="R71" s="3160">
        <v>1</v>
      </c>
      <c r="S71" s="3126" t="s">
        <v>1590</v>
      </c>
      <c r="T71" s="3147" t="s">
        <v>1590</v>
      </c>
    </row>
    <row r="72" spans="1:20" ht="38.25">
      <c r="A72" s="3393"/>
      <c r="B72" s="1379" t="s">
        <v>1114</v>
      </c>
      <c r="C72" s="701" t="s">
        <v>1122</v>
      </c>
      <c r="D72" s="689" t="s">
        <v>1055</v>
      </c>
      <c r="E72" s="2715">
        <v>1076</v>
      </c>
      <c r="F72" s="1915">
        <v>10600</v>
      </c>
      <c r="G72" s="1913">
        <v>10600</v>
      </c>
      <c r="H72" s="1913">
        <v>10600</v>
      </c>
      <c r="I72" s="1913">
        <v>10600</v>
      </c>
      <c r="J72" s="1913">
        <v>10600</v>
      </c>
      <c r="K72" s="1914">
        <v>10600</v>
      </c>
      <c r="L72" s="3154">
        <v>1</v>
      </c>
      <c r="M72" s="3151">
        <v>1</v>
      </c>
      <c r="N72" s="3144">
        <v>1</v>
      </c>
      <c r="O72" s="3144">
        <v>1</v>
      </c>
      <c r="P72" s="3144">
        <v>1</v>
      </c>
      <c r="Q72" s="3144">
        <v>1</v>
      </c>
      <c r="R72" s="3160">
        <v>1</v>
      </c>
      <c r="S72" s="3126" t="s">
        <v>1569</v>
      </c>
      <c r="T72" s="3147" t="s">
        <v>1569</v>
      </c>
    </row>
    <row r="73" spans="1:20" ht="38.25">
      <c r="A73" s="3393"/>
      <c r="B73" s="1379" t="s">
        <v>1120</v>
      </c>
      <c r="C73" s="701" t="s">
        <v>1121</v>
      </c>
      <c r="D73" s="689" t="s">
        <v>1055</v>
      </c>
      <c r="E73" s="2715">
        <v>22846</v>
      </c>
      <c r="F73" s="1915">
        <v>27039</v>
      </c>
      <c r="G73" s="1913">
        <v>31380</v>
      </c>
      <c r="H73" s="1913">
        <v>35024</v>
      </c>
      <c r="I73" s="1913">
        <v>39221</v>
      </c>
      <c r="J73" s="1913">
        <v>42212</v>
      </c>
      <c r="K73" s="1914">
        <v>42812</v>
      </c>
      <c r="L73" s="3154">
        <v>1</v>
      </c>
      <c r="M73" s="3151">
        <v>1</v>
      </c>
      <c r="N73" s="3144">
        <v>1</v>
      </c>
      <c r="O73" s="3144">
        <v>1</v>
      </c>
      <c r="P73" s="3144">
        <v>1</v>
      </c>
      <c r="Q73" s="3144">
        <v>1</v>
      </c>
      <c r="R73" s="3160">
        <v>1</v>
      </c>
      <c r="S73" s="3126" t="s">
        <v>1569</v>
      </c>
      <c r="T73" s="3147" t="s">
        <v>1569</v>
      </c>
    </row>
    <row r="74" spans="1:20" ht="38.25">
      <c r="A74" s="3393"/>
      <c r="B74" s="1379"/>
      <c r="C74" s="701" t="s">
        <v>1178</v>
      </c>
      <c r="D74" s="689" t="s">
        <v>1055</v>
      </c>
      <c r="E74" s="2715">
        <v>6</v>
      </c>
      <c r="F74" s="1915">
        <v>7</v>
      </c>
      <c r="G74" s="1913">
        <v>7</v>
      </c>
      <c r="H74" s="1913">
        <v>7</v>
      </c>
      <c r="I74" s="1913">
        <v>7</v>
      </c>
      <c r="J74" s="1913">
        <v>7</v>
      </c>
      <c r="K74" s="1914">
        <v>7</v>
      </c>
      <c r="L74" s="3154">
        <v>1</v>
      </c>
      <c r="M74" s="3151">
        <v>1</v>
      </c>
      <c r="N74" s="3144">
        <v>1</v>
      </c>
      <c r="O74" s="3144">
        <v>1</v>
      </c>
      <c r="P74" s="3144">
        <v>1</v>
      </c>
      <c r="Q74" s="3144">
        <v>1</v>
      </c>
      <c r="R74" s="3160">
        <v>1</v>
      </c>
      <c r="S74" s="3126" t="s">
        <v>1569</v>
      </c>
      <c r="T74" s="3147" t="s">
        <v>1569</v>
      </c>
    </row>
    <row r="75" spans="1:20" ht="39" thickBot="1">
      <c r="A75" s="3394"/>
      <c r="B75" s="1380"/>
      <c r="C75" s="709" t="s">
        <v>1179</v>
      </c>
      <c r="D75" s="2632" t="s">
        <v>1055</v>
      </c>
      <c r="E75" s="2721">
        <v>2</v>
      </c>
      <c r="F75" s="1927">
        <v>2</v>
      </c>
      <c r="G75" s="1918">
        <v>3</v>
      </c>
      <c r="H75" s="1918">
        <v>3</v>
      </c>
      <c r="I75" s="1918">
        <v>3</v>
      </c>
      <c r="J75" s="1918">
        <v>3</v>
      </c>
      <c r="K75" s="1919">
        <v>3</v>
      </c>
      <c r="L75" s="3154">
        <v>1</v>
      </c>
      <c r="M75" s="3151">
        <v>1</v>
      </c>
      <c r="N75" s="3144">
        <v>1</v>
      </c>
      <c r="O75" s="3144">
        <v>1</v>
      </c>
      <c r="P75" s="3144">
        <v>1</v>
      </c>
      <c r="Q75" s="3144">
        <v>1</v>
      </c>
      <c r="R75" s="3160">
        <v>1</v>
      </c>
      <c r="S75" s="3126" t="s">
        <v>1569</v>
      </c>
      <c r="T75" s="3147" t="s">
        <v>1569</v>
      </c>
    </row>
    <row r="76" spans="1:20" ht="24.75" customHeight="1">
      <c r="A76" s="3390" t="s">
        <v>1144</v>
      </c>
      <c r="B76" s="769" t="s">
        <v>54</v>
      </c>
      <c r="C76" s="770" t="s">
        <v>1102</v>
      </c>
      <c r="D76" s="688" t="s">
        <v>1085</v>
      </c>
      <c r="E76" s="2727">
        <v>25</v>
      </c>
      <c r="F76" s="1931">
        <v>53</v>
      </c>
      <c r="G76" s="1922">
        <v>53</v>
      </c>
      <c r="H76" s="1922">
        <v>53</v>
      </c>
      <c r="I76" s="1922">
        <v>56</v>
      </c>
      <c r="J76" s="1922">
        <v>56</v>
      </c>
      <c r="K76" s="1923">
        <v>58</v>
      </c>
      <c r="L76" s="3158">
        <v>1</v>
      </c>
      <c r="M76" s="3159">
        <v>1</v>
      </c>
      <c r="N76" s="3156">
        <v>1</v>
      </c>
      <c r="O76" s="3156">
        <v>1</v>
      </c>
      <c r="P76" s="3156">
        <v>1</v>
      </c>
      <c r="Q76" s="3156">
        <v>1</v>
      </c>
      <c r="R76" s="3157">
        <v>1</v>
      </c>
      <c r="S76" s="3174" t="s">
        <v>1593</v>
      </c>
      <c r="T76" s="3157" t="s">
        <v>891</v>
      </c>
    </row>
    <row r="77" spans="1:20" ht="51.75" thickBot="1">
      <c r="A77" s="3391"/>
      <c r="B77" s="721" t="s">
        <v>1112</v>
      </c>
      <c r="C77" s="702" t="s">
        <v>1143</v>
      </c>
      <c r="D77" s="690" t="s">
        <v>1085</v>
      </c>
      <c r="E77" s="2721">
        <v>158</v>
      </c>
      <c r="F77" s="1927">
        <v>160</v>
      </c>
      <c r="G77" s="1918">
        <v>170</v>
      </c>
      <c r="H77" s="1918">
        <v>170</v>
      </c>
      <c r="I77" s="1918">
        <v>175</v>
      </c>
      <c r="J77" s="1918">
        <v>175</v>
      </c>
      <c r="K77" s="1919">
        <v>180</v>
      </c>
      <c r="L77" s="3155">
        <v>3</v>
      </c>
      <c r="M77" s="3152">
        <v>3</v>
      </c>
      <c r="N77" s="3148">
        <v>3</v>
      </c>
      <c r="O77" s="3148">
        <v>1</v>
      </c>
      <c r="P77" s="3148">
        <v>1</v>
      </c>
      <c r="Q77" s="3148">
        <v>1</v>
      </c>
      <c r="R77" s="3149">
        <v>1</v>
      </c>
      <c r="S77" s="3175" t="s">
        <v>1570</v>
      </c>
      <c r="T77" s="3149" t="s">
        <v>891</v>
      </c>
    </row>
    <row r="78" spans="1:20" ht="38.25">
      <c r="A78" s="3395" t="s">
        <v>1145</v>
      </c>
      <c r="B78" s="723" t="s">
        <v>48</v>
      </c>
      <c r="C78" s="700" t="s">
        <v>1099</v>
      </c>
      <c r="D78" s="699" t="s">
        <v>503</v>
      </c>
      <c r="E78" s="2728">
        <f>'6. Ел.Енергия'!C12</f>
        <v>59324858.899999999</v>
      </c>
      <c r="F78" s="2543">
        <f>'6. Ел.Енергия'!D12</f>
        <v>58673664.899999999</v>
      </c>
      <c r="G78" s="2544">
        <f>'6. Ел.Енергия'!E12</f>
        <v>53745426.376261681</v>
      </c>
      <c r="H78" s="2544">
        <f>'6. Ел.Енергия'!F12</f>
        <v>52538326.863984577</v>
      </c>
      <c r="I78" s="2544">
        <f>'6. Ел.Енергия'!G12</f>
        <v>49975369.571570009</v>
      </c>
      <c r="J78" s="2544">
        <f>'6. Ел.Енергия'!H12</f>
        <v>48016466.249133766</v>
      </c>
      <c r="K78" s="2545">
        <f>'6. Ел.Енергия'!I12</f>
        <v>46251082.567960113</v>
      </c>
      <c r="L78" s="3153">
        <v>1</v>
      </c>
      <c r="M78" s="3150">
        <v>1</v>
      </c>
      <c r="N78" s="3145">
        <v>1</v>
      </c>
      <c r="O78" s="3145">
        <v>1</v>
      </c>
      <c r="P78" s="3145">
        <v>1</v>
      </c>
      <c r="Q78" s="3145">
        <v>1</v>
      </c>
      <c r="R78" s="3146">
        <v>1</v>
      </c>
      <c r="S78" s="3127" t="s">
        <v>1571</v>
      </c>
      <c r="T78" s="3146" t="s">
        <v>1571</v>
      </c>
    </row>
    <row r="79" spans="1:20" ht="39" thickBot="1">
      <c r="A79" s="3396"/>
      <c r="B79" s="724" t="s">
        <v>50</v>
      </c>
      <c r="C79" s="702" t="s">
        <v>1376</v>
      </c>
      <c r="D79" s="690" t="s">
        <v>503</v>
      </c>
      <c r="E79" s="2729">
        <f>'6. Ел.Енергия'!C37</f>
        <v>3755989.9799999995</v>
      </c>
      <c r="F79" s="2546">
        <f>'6. Ел.Енергия'!D37</f>
        <v>3755989.9799999995</v>
      </c>
      <c r="G79" s="2547">
        <f>'6. Ел.Енергия'!E37</f>
        <v>3523626.1886027493</v>
      </c>
      <c r="H79" s="2547">
        <f>'6. Ел.Енергия'!F37</f>
        <v>3533144.1851229244</v>
      </c>
      <c r="I79" s="2547">
        <f>'6. Ел.Енергия'!G37</f>
        <v>3487262.5334718358</v>
      </c>
      <c r="J79" s="2547">
        <f>'6. Ел.Енергия'!H37</f>
        <v>3441182.1886075349</v>
      </c>
      <c r="K79" s="2548">
        <f>'6. Ел.Енергия'!I37</f>
        <v>3395904.5295174019</v>
      </c>
      <c r="L79" s="3155">
        <v>1</v>
      </c>
      <c r="M79" s="3152">
        <v>1</v>
      </c>
      <c r="N79" s="3148">
        <v>1</v>
      </c>
      <c r="O79" s="3148">
        <v>1</v>
      </c>
      <c r="P79" s="3148">
        <v>1</v>
      </c>
      <c r="Q79" s="3148">
        <v>1</v>
      </c>
      <c r="R79" s="3149">
        <v>1</v>
      </c>
      <c r="S79" s="3175" t="s">
        <v>1571</v>
      </c>
      <c r="T79" s="3149" t="s">
        <v>1571</v>
      </c>
    </row>
    <row r="80" spans="1:20" ht="38.25">
      <c r="A80" s="3395" t="s">
        <v>1147</v>
      </c>
      <c r="B80" s="713" t="s">
        <v>52</v>
      </c>
      <c r="C80" s="700" t="s">
        <v>1100</v>
      </c>
      <c r="D80" s="699" t="s">
        <v>805</v>
      </c>
      <c r="E80" s="2720">
        <v>930</v>
      </c>
      <c r="F80" s="2528">
        <f>'7. Утайки от ПСОВ'!D18+'7. Утайки от ПСОВ'!E17</f>
        <v>0</v>
      </c>
      <c r="G80" s="2529">
        <f>'7. Утайки от ПСОВ'!E18+'7. Утайки от ПСОВ'!F17</f>
        <v>0</v>
      </c>
      <c r="H80" s="2529">
        <f>'7. Утайки от ПСОВ'!F18+'7. Утайки от ПСОВ'!G17</f>
        <v>0</v>
      </c>
      <c r="I80" s="2529">
        <f>'7. Утайки от ПСОВ'!G18+'7. Утайки от ПСОВ'!H17</f>
        <v>250</v>
      </c>
      <c r="J80" s="2529">
        <f>'7. Утайки от ПСОВ'!H18+'7. Утайки от ПСОВ'!I17</f>
        <v>350</v>
      </c>
      <c r="K80" s="2530">
        <f>'7. Утайки от ПСОВ'!I18+'7. Утайки от ПСОВ'!J17</f>
        <v>450</v>
      </c>
      <c r="L80" s="3153">
        <v>1</v>
      </c>
      <c r="M80" s="3150">
        <v>1</v>
      </c>
      <c r="N80" s="3145">
        <v>1</v>
      </c>
      <c r="O80" s="3145">
        <v>1</v>
      </c>
      <c r="P80" s="3145">
        <v>1</v>
      </c>
      <c r="Q80" s="3145">
        <v>1</v>
      </c>
      <c r="R80" s="3146">
        <v>1</v>
      </c>
      <c r="S80" s="3127" t="s">
        <v>1571</v>
      </c>
      <c r="T80" s="3146" t="s">
        <v>1571</v>
      </c>
    </row>
    <row r="81" spans="1:20" ht="39" thickBot="1">
      <c r="A81" s="3396"/>
      <c r="B81" s="721" t="s">
        <v>53</v>
      </c>
      <c r="C81" s="702" t="s">
        <v>1110</v>
      </c>
      <c r="D81" s="690" t="s">
        <v>805</v>
      </c>
      <c r="E81" s="2721">
        <v>1187</v>
      </c>
      <c r="F81" s="2531">
        <f>'7. Утайки от ПСОВ'!D13</f>
        <v>619</v>
      </c>
      <c r="G81" s="2532">
        <f>'7. Утайки от ПСОВ'!E13</f>
        <v>574</v>
      </c>
      <c r="H81" s="2532">
        <f>'7. Утайки от ПСОВ'!F13</f>
        <v>543</v>
      </c>
      <c r="I81" s="2532">
        <f>'7. Утайки от ПСОВ'!G13</f>
        <v>526</v>
      </c>
      <c r="J81" s="2532">
        <f>'7. Утайки от ПСОВ'!H13</f>
        <v>501</v>
      </c>
      <c r="K81" s="2533">
        <f>'7. Утайки от ПСОВ'!I13</f>
        <v>478</v>
      </c>
      <c r="L81" s="3155">
        <v>1</v>
      </c>
      <c r="M81" s="3152">
        <v>1</v>
      </c>
      <c r="N81" s="3148">
        <v>1</v>
      </c>
      <c r="O81" s="3148">
        <v>1</v>
      </c>
      <c r="P81" s="3148">
        <v>1</v>
      </c>
      <c r="Q81" s="3148">
        <v>1</v>
      </c>
      <c r="R81" s="3149">
        <v>1</v>
      </c>
      <c r="S81" s="3175" t="s">
        <v>1572</v>
      </c>
      <c r="T81" s="3149" t="s">
        <v>1572</v>
      </c>
    </row>
    <row r="82" spans="1:20" ht="25.5">
      <c r="A82" s="3389" t="s">
        <v>1148</v>
      </c>
      <c r="B82" s="723" t="s">
        <v>56</v>
      </c>
      <c r="C82" s="703" t="s">
        <v>1104</v>
      </c>
      <c r="D82" s="699" t="s">
        <v>1103</v>
      </c>
      <c r="E82" s="2715">
        <v>14378294.40006</v>
      </c>
      <c r="F82" s="1913">
        <v>14253159.6</v>
      </c>
      <c r="G82" s="2529">
        <f>'16. Необходими приходи'!F11*1000</f>
        <v>16898344.381101307</v>
      </c>
      <c r="H82" s="2529">
        <f>'16. Необходими приходи'!G11*1000</f>
        <v>16933687.742919631</v>
      </c>
      <c r="I82" s="2529">
        <f>'16. Необходими приходи'!H11*1000</f>
        <v>16814521.321846835</v>
      </c>
      <c r="J82" s="2529">
        <f>'16. Необходими приходи'!I11*1000</f>
        <v>16688068.800701832</v>
      </c>
      <c r="K82" s="2529">
        <f>'16. Необходими приходи'!J11*1000</f>
        <v>16743278.754392773</v>
      </c>
      <c r="L82" s="3153">
        <v>1</v>
      </c>
      <c r="M82" s="3150">
        <v>1</v>
      </c>
      <c r="N82" s="3145">
        <v>1</v>
      </c>
      <c r="O82" s="3145">
        <v>1</v>
      </c>
      <c r="P82" s="3145">
        <v>1</v>
      </c>
      <c r="Q82" s="3145">
        <v>1</v>
      </c>
      <c r="R82" s="3146">
        <v>1</v>
      </c>
      <c r="S82" s="3127" t="s">
        <v>1573</v>
      </c>
      <c r="T82" s="3146" t="s">
        <v>180</v>
      </c>
    </row>
    <row r="83" spans="1:20" ht="25.5">
      <c r="A83" s="3390"/>
      <c r="B83" s="725" t="s">
        <v>57</v>
      </c>
      <c r="C83" s="704" t="s">
        <v>1105</v>
      </c>
      <c r="D83" s="689" t="s">
        <v>1103</v>
      </c>
      <c r="E83" s="2723">
        <f>'12. Разходи'!C84*1000</f>
        <v>17587050.702981398</v>
      </c>
      <c r="F83" s="2540">
        <f>'12. Разходи'!D84*1000</f>
        <v>18124541.12040747</v>
      </c>
      <c r="G83" s="2541">
        <f>'12. Разходи'!E84*1000</f>
        <v>15882524.97718147</v>
      </c>
      <c r="H83" s="2541">
        <f>'12. Разходи'!F84*1000</f>
        <v>15818788.202871179</v>
      </c>
      <c r="I83" s="2541">
        <f>'12. Разходи'!G84*1000</f>
        <v>15605993.230088519</v>
      </c>
      <c r="J83" s="2541">
        <f>'12. Разходи'!H84*1000</f>
        <v>15386181.892825643</v>
      </c>
      <c r="K83" s="2542">
        <f>'12. Разходи'!I84*1000</f>
        <v>15334403.182541793</v>
      </c>
      <c r="L83" s="3154">
        <v>1</v>
      </c>
      <c r="M83" s="3151">
        <v>1</v>
      </c>
      <c r="N83" s="3144">
        <v>1</v>
      </c>
      <c r="O83" s="3144">
        <v>1</v>
      </c>
      <c r="P83" s="3144">
        <v>1</v>
      </c>
      <c r="Q83" s="3144">
        <v>1</v>
      </c>
      <c r="R83" s="3147">
        <v>1</v>
      </c>
      <c r="S83" s="3126" t="s">
        <v>1573</v>
      </c>
      <c r="T83" s="3147" t="s">
        <v>180</v>
      </c>
    </row>
    <row r="84" spans="1:20" ht="25.5">
      <c r="A84" s="3390"/>
      <c r="B84" s="718" t="s">
        <v>59</v>
      </c>
      <c r="C84" s="704" t="s">
        <v>1106</v>
      </c>
      <c r="D84" s="689" t="s">
        <v>1103</v>
      </c>
      <c r="E84" s="2715">
        <v>768292</v>
      </c>
      <c r="F84" s="1915">
        <v>919321.25</v>
      </c>
      <c r="G84" s="2541">
        <f>'16. Необходими приходи'!M11*1000</f>
        <v>1217976.4927337556</v>
      </c>
      <c r="H84" s="2541">
        <f>'16. Необходими приходи'!N11*1000</f>
        <v>1384640.1479499692</v>
      </c>
      <c r="I84" s="2541">
        <f>'16. Необходими приходи'!O11*1000</f>
        <v>1416913.9099869239</v>
      </c>
      <c r="J84" s="2541">
        <f>'16. Необходими приходи'!P11*1000</f>
        <v>1432638.0628323082</v>
      </c>
      <c r="K84" s="2541">
        <f>'16. Необходими приходи'!Q11*1000</f>
        <v>1442610.7432611664</v>
      </c>
      <c r="L84" s="3154">
        <v>1</v>
      </c>
      <c r="M84" s="3151">
        <v>1</v>
      </c>
      <c r="N84" s="3144">
        <v>1</v>
      </c>
      <c r="O84" s="3144">
        <v>1</v>
      </c>
      <c r="P84" s="3144">
        <v>1</v>
      </c>
      <c r="Q84" s="3144">
        <v>1</v>
      </c>
      <c r="R84" s="3147">
        <v>1</v>
      </c>
      <c r="S84" s="3126" t="s">
        <v>1573</v>
      </c>
      <c r="T84" s="3147" t="s">
        <v>180</v>
      </c>
    </row>
    <row r="85" spans="1:20" ht="25.5">
      <c r="A85" s="3390"/>
      <c r="B85" s="725" t="s">
        <v>60</v>
      </c>
      <c r="C85" s="704" t="s">
        <v>1107</v>
      </c>
      <c r="D85" s="689" t="s">
        <v>1103</v>
      </c>
      <c r="E85" s="2723">
        <f>'12. Разходи'!J84*1000</f>
        <v>1074390.34870399</v>
      </c>
      <c r="F85" s="2540">
        <f>'12. Разходи'!K84*1000</f>
        <v>1291591.4836928609</v>
      </c>
      <c r="G85" s="2541">
        <f>'12. Разходи'!L84*1000</f>
        <v>1159055.5618465091</v>
      </c>
      <c r="H85" s="2541">
        <f>'12. Разходи'!M84*1000</f>
        <v>1308340.8102397532</v>
      </c>
      <c r="I85" s="2541">
        <f>'12. Разходи'!N84*1000</f>
        <v>1323271.0892607956</v>
      </c>
      <c r="J85" s="2541">
        <f>'12. Разходи'!O84*1000</f>
        <v>1324657.8466002091</v>
      </c>
      <c r="K85" s="2542">
        <f>'12. Разходи'!P84*1000</f>
        <v>1323660.580203132</v>
      </c>
      <c r="L85" s="3154">
        <v>1</v>
      </c>
      <c r="M85" s="3151">
        <v>1</v>
      </c>
      <c r="N85" s="3144">
        <v>1</v>
      </c>
      <c r="O85" s="3144">
        <v>1</v>
      </c>
      <c r="P85" s="3144">
        <v>1</v>
      </c>
      <c r="Q85" s="3144">
        <v>1</v>
      </c>
      <c r="R85" s="3147">
        <v>1</v>
      </c>
      <c r="S85" s="3126" t="s">
        <v>1573</v>
      </c>
      <c r="T85" s="3147" t="s">
        <v>180</v>
      </c>
    </row>
    <row r="86" spans="1:20" ht="25.5">
      <c r="A86" s="3390"/>
      <c r="B86" s="718" t="s">
        <v>62</v>
      </c>
      <c r="C86" s="704" t="s">
        <v>1108</v>
      </c>
      <c r="D86" s="689" t="s">
        <v>1103</v>
      </c>
      <c r="E86" s="2715">
        <v>1332518.8700000001</v>
      </c>
      <c r="F86" s="1915">
        <v>1455480.96</v>
      </c>
      <c r="G86" s="2541">
        <f>'16. Необходими приходи'!T11*1000</f>
        <v>2056118.4242621763</v>
      </c>
      <c r="H86" s="2541">
        <f>'16. Необходими приходи'!U11*1000</f>
        <v>2110958.3164313901</v>
      </c>
      <c r="I86" s="2541">
        <f>'16. Необходими приходи'!V11*1000</f>
        <v>2219447.0563133219</v>
      </c>
      <c r="J86" s="2541">
        <f>'16. Необходими приходи'!W11*1000</f>
        <v>2267680.5391942468</v>
      </c>
      <c r="K86" s="2541">
        <f>'16. Необходими приходи'!X11*1000</f>
        <v>2278627.8022912918</v>
      </c>
      <c r="L86" s="3154">
        <v>1</v>
      </c>
      <c r="M86" s="3151">
        <v>1</v>
      </c>
      <c r="N86" s="3144">
        <v>1</v>
      </c>
      <c r="O86" s="3144">
        <v>1</v>
      </c>
      <c r="P86" s="3144">
        <v>1</v>
      </c>
      <c r="Q86" s="3144">
        <v>1</v>
      </c>
      <c r="R86" s="3147">
        <v>1</v>
      </c>
      <c r="S86" s="3126" t="s">
        <v>1573</v>
      </c>
      <c r="T86" s="3147" t="s">
        <v>180</v>
      </c>
    </row>
    <row r="87" spans="1:20" ht="25.5">
      <c r="A87" s="3390"/>
      <c r="B87" s="725" t="s">
        <v>63</v>
      </c>
      <c r="C87" s="704" t="s">
        <v>1109</v>
      </c>
      <c r="D87" s="689" t="s">
        <v>1103</v>
      </c>
      <c r="E87" s="2723">
        <f>'12. Разходи'!Q84*1000</f>
        <v>1528048.5269835235</v>
      </c>
      <c r="F87" s="2540">
        <f>'12. Разходи'!R84*1000</f>
        <v>1895190.7227425505</v>
      </c>
      <c r="G87" s="2541">
        <f>'12. Разходи'!S84*1000</f>
        <v>1986916.3636165413</v>
      </c>
      <c r="H87" s="2541">
        <f>'12. Разходи'!T84*1000</f>
        <v>2010940.7373586083</v>
      </c>
      <c r="I87" s="2541">
        <f>'12. Разходи'!U84*1000</f>
        <v>2086486.4720791611</v>
      </c>
      <c r="J87" s="2541">
        <f>'12. Разходи'!V84*1000</f>
        <v>2105455.6997875227</v>
      </c>
      <c r="K87" s="2542">
        <f>'12. Разходи'!W84*1000</f>
        <v>2093498.5406828751</v>
      </c>
      <c r="L87" s="3154">
        <v>1</v>
      </c>
      <c r="M87" s="3151">
        <v>1</v>
      </c>
      <c r="N87" s="3144">
        <v>1</v>
      </c>
      <c r="O87" s="3144">
        <v>1</v>
      </c>
      <c r="P87" s="3144">
        <v>1</v>
      </c>
      <c r="Q87" s="3144">
        <v>1</v>
      </c>
      <c r="R87" s="3147">
        <v>1</v>
      </c>
      <c r="S87" s="3126" t="s">
        <v>1573</v>
      </c>
      <c r="T87" s="3147" t="s">
        <v>180</v>
      </c>
    </row>
    <row r="88" spans="1:20" ht="25.5">
      <c r="A88" s="3390"/>
      <c r="B88" s="725" t="s">
        <v>64</v>
      </c>
      <c r="C88" s="704" t="s">
        <v>1115</v>
      </c>
      <c r="D88" s="689" t="s">
        <v>1113</v>
      </c>
      <c r="E88" s="2715">
        <f>(E82+E84+E86)</f>
        <v>16479105.270059999</v>
      </c>
      <c r="F88" s="1915">
        <f>(F82+F84+F86)</f>
        <v>16627961.809999999</v>
      </c>
      <c r="G88" s="1913">
        <f>('16. Необходими приходи'!F11+'16. Необходими приходи'!M11+'16. Необходими приходи'!T11)*0.85*1000</f>
        <v>17146573.403382652</v>
      </c>
      <c r="H88" s="1913">
        <v>17532000</v>
      </c>
      <c r="I88" s="1913">
        <v>17632000</v>
      </c>
      <c r="J88" s="1913">
        <v>17832000</v>
      </c>
      <c r="K88" s="1914">
        <v>17932000</v>
      </c>
      <c r="L88" s="3154">
        <v>1</v>
      </c>
      <c r="M88" s="3151">
        <v>1</v>
      </c>
      <c r="N88" s="3144">
        <v>1</v>
      </c>
      <c r="O88" s="3144">
        <v>1</v>
      </c>
      <c r="P88" s="3144">
        <v>1</v>
      </c>
      <c r="Q88" s="3144">
        <v>1</v>
      </c>
      <c r="R88" s="3147">
        <v>1</v>
      </c>
      <c r="S88" s="3126" t="s">
        <v>1573</v>
      </c>
      <c r="T88" s="3147" t="s">
        <v>180</v>
      </c>
    </row>
    <row r="89" spans="1:20" ht="27.75" customHeight="1">
      <c r="A89" s="3390"/>
      <c r="B89" s="725" t="s">
        <v>65</v>
      </c>
      <c r="C89" s="701" t="s">
        <v>1116</v>
      </c>
      <c r="D89" s="689" t="s">
        <v>1113</v>
      </c>
      <c r="E89" s="2715">
        <v>3495131</v>
      </c>
      <c r="F89" s="1915">
        <v>3150268</v>
      </c>
      <c r="G89" s="1913">
        <v>3150268</v>
      </c>
      <c r="H89" s="1913">
        <v>3150268</v>
      </c>
      <c r="I89" s="1913">
        <v>3150268</v>
      </c>
      <c r="J89" s="1913">
        <v>3150268</v>
      </c>
      <c r="K89" s="1914">
        <v>3150268</v>
      </c>
      <c r="L89" s="3154">
        <v>1</v>
      </c>
      <c r="M89" s="3151">
        <v>1</v>
      </c>
      <c r="N89" s="3144">
        <v>1</v>
      </c>
      <c r="O89" s="3144">
        <v>1</v>
      </c>
      <c r="P89" s="3144">
        <v>1</v>
      </c>
      <c r="Q89" s="3144">
        <v>1</v>
      </c>
      <c r="R89" s="3147">
        <v>1</v>
      </c>
      <c r="S89" s="3126" t="s">
        <v>1573</v>
      </c>
      <c r="T89" s="3147" t="s">
        <v>180</v>
      </c>
    </row>
    <row r="90" spans="1:20" ht="24.75" customHeight="1" thickBot="1">
      <c r="A90" s="3391"/>
      <c r="B90" s="722" t="s">
        <v>66</v>
      </c>
      <c r="C90" s="702" t="s">
        <v>1117</v>
      </c>
      <c r="D90" s="690" t="s">
        <v>1113</v>
      </c>
      <c r="E90" s="2721">
        <v>1499227.45</v>
      </c>
      <c r="F90" s="1927">
        <v>3495131</v>
      </c>
      <c r="G90" s="1918">
        <v>3150268</v>
      </c>
      <c r="H90" s="1918">
        <v>3150268</v>
      </c>
      <c r="I90" s="1918">
        <v>3150268</v>
      </c>
      <c r="J90" s="1918">
        <v>3150268</v>
      </c>
      <c r="K90" s="1919">
        <v>3150268</v>
      </c>
      <c r="L90" s="3155">
        <v>1</v>
      </c>
      <c r="M90" s="3152">
        <v>1</v>
      </c>
      <c r="N90" s="3148">
        <v>1</v>
      </c>
      <c r="O90" s="3148">
        <v>1</v>
      </c>
      <c r="P90" s="3148">
        <v>1</v>
      </c>
      <c r="Q90" s="3148">
        <v>1</v>
      </c>
      <c r="R90" s="3149">
        <v>1</v>
      </c>
      <c r="S90" s="3175" t="s">
        <v>1573</v>
      </c>
      <c r="T90" s="3149" t="s">
        <v>180</v>
      </c>
    </row>
    <row r="91" spans="1:20" ht="26.25" customHeight="1">
      <c r="A91" s="3389" t="s">
        <v>1150</v>
      </c>
      <c r="B91" s="726" t="s">
        <v>67</v>
      </c>
      <c r="C91" s="710" t="s">
        <v>1172</v>
      </c>
      <c r="D91" s="699" t="s">
        <v>1055</v>
      </c>
      <c r="E91" s="2730">
        <f>SUM(E92:E94)</f>
        <v>184</v>
      </c>
      <c r="F91" s="2537">
        <f t="shared" ref="F91:K91" si="10">SUM(F92:F94)</f>
        <v>205</v>
      </c>
      <c r="G91" s="2538">
        <f t="shared" si="10"/>
        <v>205</v>
      </c>
      <c r="H91" s="2538">
        <f t="shared" si="10"/>
        <v>205</v>
      </c>
      <c r="I91" s="2538">
        <f t="shared" si="10"/>
        <v>205</v>
      </c>
      <c r="J91" s="2538">
        <f t="shared" si="10"/>
        <v>205</v>
      </c>
      <c r="K91" s="2539">
        <f t="shared" si="10"/>
        <v>205</v>
      </c>
      <c r="L91" s="3153">
        <v>1</v>
      </c>
      <c r="M91" s="3150">
        <v>1</v>
      </c>
      <c r="N91" s="3145">
        <v>1</v>
      </c>
      <c r="O91" s="3145">
        <v>1</v>
      </c>
      <c r="P91" s="3145">
        <v>1</v>
      </c>
      <c r="Q91" s="3145">
        <v>1</v>
      </c>
      <c r="R91" s="3146">
        <v>1</v>
      </c>
      <c r="S91" s="3127" t="s">
        <v>1574</v>
      </c>
      <c r="T91" s="3146" t="s">
        <v>1574</v>
      </c>
    </row>
    <row r="92" spans="1:20" ht="25.5">
      <c r="A92" s="3390"/>
      <c r="B92" s="725" t="s">
        <v>68</v>
      </c>
      <c r="C92" s="701" t="s">
        <v>1171</v>
      </c>
      <c r="D92" s="689" t="s">
        <v>1055</v>
      </c>
      <c r="E92" s="2715">
        <v>73</v>
      </c>
      <c r="F92" s="1915">
        <v>66</v>
      </c>
      <c r="G92" s="1913">
        <v>66</v>
      </c>
      <c r="H92" s="1913">
        <v>66</v>
      </c>
      <c r="I92" s="1913">
        <v>66</v>
      </c>
      <c r="J92" s="1913">
        <v>66</v>
      </c>
      <c r="K92" s="1914">
        <v>66</v>
      </c>
      <c r="L92" s="3154">
        <v>1</v>
      </c>
      <c r="M92" s="3151">
        <v>1</v>
      </c>
      <c r="N92" s="3144">
        <v>1</v>
      </c>
      <c r="O92" s="3144">
        <v>1</v>
      </c>
      <c r="P92" s="3144">
        <v>1</v>
      </c>
      <c r="Q92" s="3144">
        <v>1</v>
      </c>
      <c r="R92" s="3147">
        <v>1</v>
      </c>
      <c r="S92" s="3126" t="s">
        <v>1574</v>
      </c>
      <c r="T92" s="3147" t="s">
        <v>1574</v>
      </c>
    </row>
    <row r="93" spans="1:20" ht="25.5">
      <c r="A93" s="3390"/>
      <c r="B93" s="725" t="s">
        <v>69</v>
      </c>
      <c r="C93" s="701" t="s">
        <v>1170</v>
      </c>
      <c r="D93" s="689" t="s">
        <v>1055</v>
      </c>
      <c r="E93" s="2715">
        <v>8</v>
      </c>
      <c r="F93" s="1915">
        <v>14</v>
      </c>
      <c r="G93" s="1913">
        <v>14</v>
      </c>
      <c r="H93" s="1913">
        <v>14</v>
      </c>
      <c r="I93" s="1913">
        <v>14</v>
      </c>
      <c r="J93" s="1913">
        <v>14</v>
      </c>
      <c r="K93" s="1914">
        <v>14</v>
      </c>
      <c r="L93" s="3154">
        <v>1</v>
      </c>
      <c r="M93" s="3151">
        <v>1</v>
      </c>
      <c r="N93" s="3144">
        <v>1</v>
      </c>
      <c r="O93" s="3144">
        <v>1</v>
      </c>
      <c r="P93" s="3144">
        <v>1</v>
      </c>
      <c r="Q93" s="3144">
        <v>1</v>
      </c>
      <c r="R93" s="3147">
        <v>1</v>
      </c>
      <c r="S93" s="3126" t="s">
        <v>1574</v>
      </c>
      <c r="T93" s="3147" t="s">
        <v>1574</v>
      </c>
    </row>
    <row r="94" spans="1:20" ht="39" thickBot="1">
      <c r="A94" s="3391"/>
      <c r="B94" s="724" t="s">
        <v>70</v>
      </c>
      <c r="C94" s="702" t="s">
        <v>1169</v>
      </c>
      <c r="D94" s="690" t="s">
        <v>1055</v>
      </c>
      <c r="E94" s="2721">
        <v>103</v>
      </c>
      <c r="F94" s="1927">
        <v>125</v>
      </c>
      <c r="G94" s="1918">
        <v>125</v>
      </c>
      <c r="H94" s="1918">
        <v>125</v>
      </c>
      <c r="I94" s="1918">
        <v>125</v>
      </c>
      <c r="J94" s="1918">
        <v>125</v>
      </c>
      <c r="K94" s="1919">
        <v>125</v>
      </c>
      <c r="L94" s="3155">
        <v>1</v>
      </c>
      <c r="M94" s="3152">
        <v>1</v>
      </c>
      <c r="N94" s="3148">
        <v>1</v>
      </c>
      <c r="O94" s="3148">
        <v>1</v>
      </c>
      <c r="P94" s="3148">
        <v>1</v>
      </c>
      <c r="Q94" s="3148">
        <v>1</v>
      </c>
      <c r="R94" s="3149">
        <v>1</v>
      </c>
      <c r="S94" s="3175" t="s">
        <v>1574</v>
      </c>
      <c r="T94" s="3149" t="s">
        <v>1574</v>
      </c>
    </row>
    <row r="95" spans="1:20" ht="20.25" customHeight="1">
      <c r="A95" s="3389" t="s">
        <v>1149</v>
      </c>
      <c r="B95" s="726" t="s">
        <v>71</v>
      </c>
      <c r="C95" s="710" t="s">
        <v>1377</v>
      </c>
      <c r="D95" s="699" t="s">
        <v>1055</v>
      </c>
      <c r="E95" s="2730">
        <f t="shared" ref="E95:K95" si="11">E96+E101+E106</f>
        <v>237</v>
      </c>
      <c r="F95" s="2537">
        <f t="shared" si="11"/>
        <v>205</v>
      </c>
      <c r="G95" s="2538">
        <f t="shared" si="11"/>
        <v>205</v>
      </c>
      <c r="H95" s="2538">
        <f t="shared" si="11"/>
        <v>205</v>
      </c>
      <c r="I95" s="2538">
        <f t="shared" si="11"/>
        <v>205</v>
      </c>
      <c r="J95" s="2538">
        <f t="shared" si="11"/>
        <v>205</v>
      </c>
      <c r="K95" s="2539">
        <f t="shared" si="11"/>
        <v>205</v>
      </c>
      <c r="L95" s="3153">
        <v>1</v>
      </c>
      <c r="M95" s="3150">
        <v>1</v>
      </c>
      <c r="N95" s="3145">
        <v>1</v>
      </c>
      <c r="O95" s="3145">
        <v>1</v>
      </c>
      <c r="P95" s="3145">
        <v>1</v>
      </c>
      <c r="Q95" s="3145">
        <v>1</v>
      </c>
      <c r="R95" s="3146">
        <v>1</v>
      </c>
      <c r="S95" s="3127" t="s">
        <v>1574</v>
      </c>
      <c r="T95" s="3146" t="s">
        <v>1574</v>
      </c>
    </row>
    <row r="96" spans="1:20" ht="25.5">
      <c r="A96" s="3390"/>
      <c r="B96" s="727" t="s">
        <v>72</v>
      </c>
      <c r="C96" s="711" t="s">
        <v>1167</v>
      </c>
      <c r="D96" s="689" t="s">
        <v>1055</v>
      </c>
      <c r="E96" s="2731">
        <f>SUM(E97:E100)</f>
        <v>83</v>
      </c>
      <c r="F96" s="2534">
        <f t="shared" ref="F96:K96" si="12">SUM(F97:F100)</f>
        <v>66</v>
      </c>
      <c r="G96" s="2535">
        <f t="shared" si="12"/>
        <v>66</v>
      </c>
      <c r="H96" s="2535">
        <f t="shared" si="12"/>
        <v>66</v>
      </c>
      <c r="I96" s="2535">
        <f t="shared" si="12"/>
        <v>66</v>
      </c>
      <c r="J96" s="2535">
        <f t="shared" si="12"/>
        <v>66</v>
      </c>
      <c r="K96" s="2536">
        <f t="shared" si="12"/>
        <v>66</v>
      </c>
      <c r="L96" s="3154">
        <v>1</v>
      </c>
      <c r="M96" s="3151">
        <v>1</v>
      </c>
      <c r="N96" s="3144">
        <v>1</v>
      </c>
      <c r="O96" s="3144">
        <v>1</v>
      </c>
      <c r="P96" s="3144">
        <v>1</v>
      </c>
      <c r="Q96" s="3144">
        <v>1</v>
      </c>
      <c r="R96" s="3147">
        <v>1</v>
      </c>
      <c r="S96" s="3126" t="s">
        <v>1574</v>
      </c>
      <c r="T96" s="3147" t="s">
        <v>1574</v>
      </c>
    </row>
    <row r="97" spans="1:20" ht="25.5">
      <c r="A97" s="3390"/>
      <c r="B97" s="717" t="s">
        <v>38</v>
      </c>
      <c r="C97" s="124" t="s">
        <v>1168</v>
      </c>
      <c r="D97" s="689" t="s">
        <v>1055</v>
      </c>
      <c r="E97" s="2715">
        <v>6</v>
      </c>
      <c r="F97" s="1915">
        <v>5</v>
      </c>
      <c r="G97" s="1913">
        <v>5</v>
      </c>
      <c r="H97" s="1913">
        <v>5</v>
      </c>
      <c r="I97" s="1913">
        <v>5</v>
      </c>
      <c r="J97" s="1913">
        <v>5</v>
      </c>
      <c r="K97" s="1914">
        <v>5</v>
      </c>
      <c r="L97" s="3154">
        <v>1</v>
      </c>
      <c r="M97" s="3151">
        <v>1</v>
      </c>
      <c r="N97" s="3144">
        <v>1</v>
      </c>
      <c r="O97" s="3144">
        <v>1</v>
      </c>
      <c r="P97" s="3144">
        <v>1</v>
      </c>
      <c r="Q97" s="3144">
        <v>1</v>
      </c>
      <c r="R97" s="3147">
        <v>1</v>
      </c>
      <c r="S97" s="3126" t="s">
        <v>1574</v>
      </c>
      <c r="T97" s="3147" t="s">
        <v>1574</v>
      </c>
    </row>
    <row r="98" spans="1:20" ht="21" customHeight="1">
      <c r="A98" s="3390"/>
      <c r="B98" s="725" t="s">
        <v>73</v>
      </c>
      <c r="C98" s="701" t="s">
        <v>1166</v>
      </c>
      <c r="D98" s="689" t="s">
        <v>1055</v>
      </c>
      <c r="E98" s="2715">
        <v>26</v>
      </c>
      <c r="F98" s="1915">
        <v>25</v>
      </c>
      <c r="G98" s="1913">
        <v>25</v>
      </c>
      <c r="H98" s="1913">
        <v>25</v>
      </c>
      <c r="I98" s="1913">
        <v>25</v>
      </c>
      <c r="J98" s="1913">
        <v>25</v>
      </c>
      <c r="K98" s="1914">
        <v>25</v>
      </c>
      <c r="L98" s="3154">
        <v>1</v>
      </c>
      <c r="M98" s="3151">
        <v>1</v>
      </c>
      <c r="N98" s="3144">
        <v>1</v>
      </c>
      <c r="O98" s="3144">
        <v>1</v>
      </c>
      <c r="P98" s="3144">
        <v>1</v>
      </c>
      <c r="Q98" s="3144">
        <v>1</v>
      </c>
      <c r="R98" s="3147">
        <v>1</v>
      </c>
      <c r="S98" s="3126" t="s">
        <v>1574</v>
      </c>
      <c r="T98" s="3147" t="s">
        <v>1574</v>
      </c>
    </row>
    <row r="99" spans="1:20" ht="25.5">
      <c r="A99" s="3390"/>
      <c r="B99" s="725" t="s">
        <v>74</v>
      </c>
      <c r="C99" s="701" t="s">
        <v>1378</v>
      </c>
      <c r="D99" s="689" t="s">
        <v>1055</v>
      </c>
      <c r="E99" s="2715">
        <v>4</v>
      </c>
      <c r="F99" s="1915">
        <v>0</v>
      </c>
      <c r="G99" s="1913">
        <v>0</v>
      </c>
      <c r="H99" s="1913">
        <v>0</v>
      </c>
      <c r="I99" s="1913">
        <v>0</v>
      </c>
      <c r="J99" s="1913">
        <v>0</v>
      </c>
      <c r="K99" s="1914">
        <v>0</v>
      </c>
      <c r="L99" s="3154">
        <v>1</v>
      </c>
      <c r="M99" s="3151">
        <v>1</v>
      </c>
      <c r="N99" s="3144">
        <v>1</v>
      </c>
      <c r="O99" s="3144">
        <v>1</v>
      </c>
      <c r="P99" s="3144">
        <v>1</v>
      </c>
      <c r="Q99" s="3144">
        <v>1</v>
      </c>
      <c r="R99" s="3147">
        <v>1</v>
      </c>
      <c r="S99" s="3126" t="s">
        <v>1574</v>
      </c>
      <c r="T99" s="3147" t="s">
        <v>1574</v>
      </c>
    </row>
    <row r="100" spans="1:20" ht="25.5">
      <c r="A100" s="3390"/>
      <c r="B100" s="725" t="s">
        <v>75</v>
      </c>
      <c r="C100" s="701" t="s">
        <v>1165</v>
      </c>
      <c r="D100" s="689" t="s">
        <v>1055</v>
      </c>
      <c r="E100" s="2715">
        <v>47</v>
      </c>
      <c r="F100" s="1915">
        <v>36</v>
      </c>
      <c r="G100" s="1913">
        <v>36</v>
      </c>
      <c r="H100" s="1913">
        <v>36</v>
      </c>
      <c r="I100" s="1913">
        <v>36</v>
      </c>
      <c r="J100" s="1913">
        <v>36</v>
      </c>
      <c r="K100" s="1914">
        <v>36</v>
      </c>
      <c r="L100" s="3154">
        <v>1</v>
      </c>
      <c r="M100" s="3151">
        <v>1</v>
      </c>
      <c r="N100" s="3144">
        <v>1</v>
      </c>
      <c r="O100" s="3144">
        <v>1</v>
      </c>
      <c r="P100" s="3144">
        <v>1</v>
      </c>
      <c r="Q100" s="3144">
        <v>1</v>
      </c>
      <c r="R100" s="3147">
        <v>1</v>
      </c>
      <c r="S100" s="3126" t="s">
        <v>1574</v>
      </c>
      <c r="T100" s="3147" t="s">
        <v>1574</v>
      </c>
    </row>
    <row r="101" spans="1:20" ht="25.5">
      <c r="A101" s="3390"/>
      <c r="B101" s="727" t="s">
        <v>76</v>
      </c>
      <c r="C101" s="711" t="s">
        <v>1164</v>
      </c>
      <c r="D101" s="689" t="s">
        <v>1055</v>
      </c>
      <c r="E101" s="2731">
        <f>SUM(E102:E105)</f>
        <v>26</v>
      </c>
      <c r="F101" s="2534">
        <f t="shared" ref="F101:K101" si="13">SUM(F102:F105)</f>
        <v>14</v>
      </c>
      <c r="G101" s="2535">
        <f t="shared" si="13"/>
        <v>14</v>
      </c>
      <c r="H101" s="2535">
        <f t="shared" si="13"/>
        <v>14</v>
      </c>
      <c r="I101" s="2535">
        <f t="shared" si="13"/>
        <v>14</v>
      </c>
      <c r="J101" s="2535">
        <f t="shared" si="13"/>
        <v>14</v>
      </c>
      <c r="K101" s="2536">
        <f t="shared" si="13"/>
        <v>14</v>
      </c>
      <c r="L101" s="3154">
        <v>1</v>
      </c>
      <c r="M101" s="3151">
        <v>1</v>
      </c>
      <c r="N101" s="3144">
        <v>1</v>
      </c>
      <c r="O101" s="3144">
        <v>1</v>
      </c>
      <c r="P101" s="3144">
        <v>1</v>
      </c>
      <c r="Q101" s="3144">
        <v>1</v>
      </c>
      <c r="R101" s="3147">
        <v>1</v>
      </c>
      <c r="S101" s="3126" t="s">
        <v>1574</v>
      </c>
      <c r="T101" s="3147" t="s">
        <v>1574</v>
      </c>
    </row>
    <row r="102" spans="1:20" ht="25.5">
      <c r="A102" s="3390"/>
      <c r="B102" s="725" t="s">
        <v>77</v>
      </c>
      <c r="C102" s="701" t="s">
        <v>1163</v>
      </c>
      <c r="D102" s="689" t="s">
        <v>1055</v>
      </c>
      <c r="E102" s="2715">
        <v>4</v>
      </c>
      <c r="F102" s="1915">
        <v>3</v>
      </c>
      <c r="G102" s="1913">
        <v>3</v>
      </c>
      <c r="H102" s="1913">
        <v>3</v>
      </c>
      <c r="I102" s="1913">
        <v>3</v>
      </c>
      <c r="J102" s="1913">
        <v>3</v>
      </c>
      <c r="K102" s="1914">
        <v>3</v>
      </c>
      <c r="L102" s="3154">
        <v>1</v>
      </c>
      <c r="M102" s="3151">
        <v>1</v>
      </c>
      <c r="N102" s="3144">
        <v>1</v>
      </c>
      <c r="O102" s="3144">
        <v>1</v>
      </c>
      <c r="P102" s="3144">
        <v>1</v>
      </c>
      <c r="Q102" s="3144">
        <v>1</v>
      </c>
      <c r="R102" s="3147">
        <v>1</v>
      </c>
      <c r="S102" s="3126" t="s">
        <v>1574</v>
      </c>
      <c r="T102" s="3147" t="s">
        <v>1574</v>
      </c>
    </row>
    <row r="103" spans="1:20" ht="25.5">
      <c r="A103" s="3390"/>
      <c r="B103" s="725" t="s">
        <v>78</v>
      </c>
      <c r="C103" s="701" t="s">
        <v>1162</v>
      </c>
      <c r="D103" s="689" t="s">
        <v>1055</v>
      </c>
      <c r="E103" s="2715">
        <v>6</v>
      </c>
      <c r="F103" s="1915">
        <v>6</v>
      </c>
      <c r="G103" s="1913">
        <v>6</v>
      </c>
      <c r="H103" s="1913">
        <v>6</v>
      </c>
      <c r="I103" s="1913">
        <v>6</v>
      </c>
      <c r="J103" s="1913">
        <v>6</v>
      </c>
      <c r="K103" s="1914">
        <v>6</v>
      </c>
      <c r="L103" s="3154">
        <v>1</v>
      </c>
      <c r="M103" s="3151">
        <v>1</v>
      </c>
      <c r="N103" s="3144">
        <v>1</v>
      </c>
      <c r="O103" s="3144">
        <v>1</v>
      </c>
      <c r="P103" s="3144">
        <v>1</v>
      </c>
      <c r="Q103" s="3144">
        <v>1</v>
      </c>
      <c r="R103" s="3147">
        <v>1</v>
      </c>
      <c r="S103" s="3126" t="s">
        <v>1574</v>
      </c>
      <c r="T103" s="3147" t="s">
        <v>1574</v>
      </c>
    </row>
    <row r="104" spans="1:20" ht="25.5">
      <c r="A104" s="3390"/>
      <c r="B104" s="725" t="s">
        <v>79</v>
      </c>
      <c r="C104" s="701" t="s">
        <v>1161</v>
      </c>
      <c r="D104" s="689" t="s">
        <v>1055</v>
      </c>
      <c r="E104" s="2715">
        <v>0</v>
      </c>
      <c r="F104" s="1915">
        <v>0</v>
      </c>
      <c r="G104" s="1913">
        <v>0</v>
      </c>
      <c r="H104" s="1913">
        <v>0</v>
      </c>
      <c r="I104" s="1913">
        <v>0</v>
      </c>
      <c r="J104" s="1913">
        <v>0</v>
      </c>
      <c r="K104" s="1914">
        <v>0</v>
      </c>
      <c r="L104" s="3154">
        <v>1</v>
      </c>
      <c r="M104" s="3151">
        <v>1</v>
      </c>
      <c r="N104" s="3144">
        <v>1</v>
      </c>
      <c r="O104" s="3144">
        <v>1</v>
      </c>
      <c r="P104" s="3144">
        <v>1</v>
      </c>
      <c r="Q104" s="3144">
        <v>1</v>
      </c>
      <c r="R104" s="3147">
        <v>1</v>
      </c>
      <c r="S104" s="3126" t="s">
        <v>1574</v>
      </c>
      <c r="T104" s="3147" t="s">
        <v>1574</v>
      </c>
    </row>
    <row r="105" spans="1:20" ht="25.5">
      <c r="A105" s="3390"/>
      <c r="B105" s="725" t="s">
        <v>80</v>
      </c>
      <c r="C105" s="701" t="s">
        <v>1160</v>
      </c>
      <c r="D105" s="689" t="s">
        <v>1055</v>
      </c>
      <c r="E105" s="2715">
        <v>16</v>
      </c>
      <c r="F105" s="1915">
        <v>5</v>
      </c>
      <c r="G105" s="1913">
        <v>5</v>
      </c>
      <c r="H105" s="1913">
        <v>5</v>
      </c>
      <c r="I105" s="1913">
        <v>5</v>
      </c>
      <c r="J105" s="1913">
        <v>5</v>
      </c>
      <c r="K105" s="1914">
        <v>5</v>
      </c>
      <c r="L105" s="3154">
        <v>1</v>
      </c>
      <c r="M105" s="3151">
        <v>1</v>
      </c>
      <c r="N105" s="3144">
        <v>1</v>
      </c>
      <c r="O105" s="3144">
        <v>1</v>
      </c>
      <c r="P105" s="3144">
        <v>1</v>
      </c>
      <c r="Q105" s="3144">
        <v>1</v>
      </c>
      <c r="R105" s="3147">
        <v>1</v>
      </c>
      <c r="S105" s="3126" t="s">
        <v>1574</v>
      </c>
      <c r="T105" s="3147" t="s">
        <v>1574</v>
      </c>
    </row>
    <row r="106" spans="1:20" ht="39" thickBot="1">
      <c r="A106" s="3391"/>
      <c r="B106" s="728" t="s">
        <v>81</v>
      </c>
      <c r="C106" s="712" t="s">
        <v>1159</v>
      </c>
      <c r="D106" s="690" t="s">
        <v>1055</v>
      </c>
      <c r="E106" s="2721">
        <v>128</v>
      </c>
      <c r="F106" s="1927">
        <v>125</v>
      </c>
      <c r="G106" s="1918">
        <v>125</v>
      </c>
      <c r="H106" s="1918">
        <v>125</v>
      </c>
      <c r="I106" s="1918">
        <v>125</v>
      </c>
      <c r="J106" s="1918">
        <v>125</v>
      </c>
      <c r="K106" s="1919">
        <v>125</v>
      </c>
      <c r="L106" s="3155">
        <v>1</v>
      </c>
      <c r="M106" s="3152">
        <v>1</v>
      </c>
      <c r="N106" s="3148">
        <v>1</v>
      </c>
      <c r="O106" s="3148">
        <v>1</v>
      </c>
      <c r="P106" s="3148">
        <v>1</v>
      </c>
      <c r="Q106" s="3148">
        <v>1</v>
      </c>
      <c r="R106" s="3149">
        <v>1</v>
      </c>
      <c r="S106" s="3175" t="s">
        <v>1574</v>
      </c>
      <c r="T106" s="3149" t="s">
        <v>1574</v>
      </c>
    </row>
    <row r="107" spans="1:20" ht="51">
      <c r="A107" s="3389" t="s">
        <v>1151</v>
      </c>
      <c r="B107" s="723" t="s">
        <v>82</v>
      </c>
      <c r="C107" s="700" t="s">
        <v>1156</v>
      </c>
      <c r="D107" s="699" t="s">
        <v>1055</v>
      </c>
      <c r="E107" s="2720">
        <v>118</v>
      </c>
      <c r="F107" s="1926">
        <v>150</v>
      </c>
      <c r="G107" s="1909">
        <v>282</v>
      </c>
      <c r="H107" s="1909">
        <v>282</v>
      </c>
      <c r="I107" s="1909">
        <v>283</v>
      </c>
      <c r="J107" s="1909">
        <v>283</v>
      </c>
      <c r="K107" s="1910">
        <v>283</v>
      </c>
      <c r="L107" s="734">
        <v>1</v>
      </c>
      <c r="M107" s="729">
        <v>1</v>
      </c>
      <c r="N107" s="691">
        <v>1</v>
      </c>
      <c r="O107" s="691">
        <v>1</v>
      </c>
      <c r="P107" s="691">
        <v>1</v>
      </c>
      <c r="Q107" s="691">
        <v>1</v>
      </c>
      <c r="R107" s="692">
        <v>1</v>
      </c>
      <c r="S107" s="3127" t="s">
        <v>1575</v>
      </c>
      <c r="T107" s="3146" t="s">
        <v>1575</v>
      </c>
    </row>
    <row r="108" spans="1:20" ht="51">
      <c r="A108" s="3390"/>
      <c r="B108" s="725" t="s">
        <v>83</v>
      </c>
      <c r="C108" s="701" t="s">
        <v>1157</v>
      </c>
      <c r="D108" s="689" t="s">
        <v>1055</v>
      </c>
      <c r="E108" s="2715">
        <v>278</v>
      </c>
      <c r="F108" s="1915">
        <v>280</v>
      </c>
      <c r="G108" s="1913">
        <v>282</v>
      </c>
      <c r="H108" s="1913">
        <v>282</v>
      </c>
      <c r="I108" s="1913">
        <v>283</v>
      </c>
      <c r="J108" s="1913">
        <v>283</v>
      </c>
      <c r="K108" s="1914">
        <v>283</v>
      </c>
      <c r="L108" s="735">
        <v>1</v>
      </c>
      <c r="M108" s="730">
        <v>1</v>
      </c>
      <c r="N108" s="686">
        <v>1</v>
      </c>
      <c r="O108" s="686">
        <v>1</v>
      </c>
      <c r="P108" s="686">
        <v>1</v>
      </c>
      <c r="Q108" s="686">
        <v>1</v>
      </c>
      <c r="R108" s="693">
        <v>1</v>
      </c>
      <c r="S108" s="3126" t="s">
        <v>1575</v>
      </c>
      <c r="T108" s="3147" t="s">
        <v>1575</v>
      </c>
    </row>
    <row r="109" spans="1:20" ht="51">
      <c r="A109" s="3390"/>
      <c r="B109" s="725" t="s">
        <v>84</v>
      </c>
      <c r="C109" s="701" t="s">
        <v>1158</v>
      </c>
      <c r="D109" s="689" t="s">
        <v>1055</v>
      </c>
      <c r="E109" s="2715">
        <v>22</v>
      </c>
      <c r="F109" s="1915">
        <v>24</v>
      </c>
      <c r="G109" s="1913">
        <v>24</v>
      </c>
      <c r="H109" s="1913">
        <v>26</v>
      </c>
      <c r="I109" s="1913">
        <v>26</v>
      </c>
      <c r="J109" s="1913">
        <v>28</v>
      </c>
      <c r="K109" s="1914">
        <v>29</v>
      </c>
      <c r="L109" s="735">
        <v>1</v>
      </c>
      <c r="M109" s="730">
        <v>1</v>
      </c>
      <c r="N109" s="686">
        <v>1</v>
      </c>
      <c r="O109" s="686">
        <v>1</v>
      </c>
      <c r="P109" s="686">
        <v>1</v>
      </c>
      <c r="Q109" s="686">
        <v>1</v>
      </c>
      <c r="R109" s="693">
        <v>1</v>
      </c>
      <c r="S109" s="3126" t="s">
        <v>1575</v>
      </c>
      <c r="T109" s="3147" t="s">
        <v>1575</v>
      </c>
    </row>
    <row r="110" spans="1:20" ht="51.75" thickBot="1">
      <c r="A110" s="3391"/>
      <c r="B110" s="724" t="s">
        <v>85</v>
      </c>
      <c r="C110" s="702" t="s">
        <v>1155</v>
      </c>
      <c r="D110" s="690" t="s">
        <v>1055</v>
      </c>
      <c r="E110" s="2721">
        <v>22</v>
      </c>
      <c r="F110" s="1927">
        <v>24</v>
      </c>
      <c r="G110" s="1918">
        <v>24</v>
      </c>
      <c r="H110" s="1918">
        <v>26</v>
      </c>
      <c r="I110" s="1918">
        <v>26</v>
      </c>
      <c r="J110" s="1918">
        <v>28</v>
      </c>
      <c r="K110" s="1919">
        <v>29</v>
      </c>
      <c r="L110" s="736">
        <v>1</v>
      </c>
      <c r="M110" s="731">
        <v>1</v>
      </c>
      <c r="N110" s="694">
        <v>1</v>
      </c>
      <c r="O110" s="694">
        <v>1</v>
      </c>
      <c r="P110" s="694">
        <v>1</v>
      </c>
      <c r="Q110" s="694">
        <v>1</v>
      </c>
      <c r="R110" s="695">
        <v>1</v>
      </c>
      <c r="S110" s="3175" t="s">
        <v>1575</v>
      </c>
      <c r="T110" s="3149" t="s">
        <v>1575</v>
      </c>
    </row>
    <row r="111" spans="1:20" ht="51">
      <c r="A111" s="3395" t="s">
        <v>1152</v>
      </c>
      <c r="B111" s="723" t="s">
        <v>86</v>
      </c>
      <c r="C111" s="700" t="s">
        <v>1153</v>
      </c>
      <c r="D111" s="699" t="s">
        <v>1055</v>
      </c>
      <c r="E111" s="2728">
        <f>'5. Персонал'!C14+'5. Персонал'!AE14+'5. Персонал'!AL14</f>
        <v>453</v>
      </c>
      <c r="F111" s="2543">
        <f>'5. Персонал'!D14+'5. Персонал'!AF14+'5. Персонал'!AM14</f>
        <v>453</v>
      </c>
      <c r="G111" s="2544">
        <f>'5. Персонал'!E14+'5. Персонал'!AG14+'5. Персонал'!AN14</f>
        <v>414</v>
      </c>
      <c r="H111" s="2544">
        <f>'5. Персонал'!F14+'5. Персонал'!AH14+'5. Персонал'!AO14</f>
        <v>411</v>
      </c>
      <c r="I111" s="2544">
        <f>'5. Персонал'!G14+'5. Персонал'!AI14+'5. Персонал'!AP14</f>
        <v>411</v>
      </c>
      <c r="J111" s="2544">
        <f>'5. Персонал'!H14+'5. Персонал'!AJ14+'5. Персонал'!AQ14</f>
        <v>408</v>
      </c>
      <c r="K111" s="2545">
        <f>'5. Персонал'!I14+'5. Персонал'!AK14+'5. Персонал'!AR14</f>
        <v>406</v>
      </c>
      <c r="L111" s="734">
        <v>1</v>
      </c>
      <c r="M111" s="729">
        <v>1</v>
      </c>
      <c r="N111" s="691">
        <v>1</v>
      </c>
      <c r="O111" s="691">
        <v>1</v>
      </c>
      <c r="P111" s="691">
        <v>1</v>
      </c>
      <c r="Q111" s="691">
        <v>1</v>
      </c>
      <c r="R111" s="692">
        <v>1</v>
      </c>
      <c r="S111" s="3127" t="s">
        <v>1576</v>
      </c>
      <c r="T111" s="3146" t="s">
        <v>1576</v>
      </c>
    </row>
    <row r="112" spans="1:20" ht="51.75" thickBot="1">
      <c r="A112" s="3396"/>
      <c r="B112" s="724" t="s">
        <v>88</v>
      </c>
      <c r="C112" s="702" t="s">
        <v>1154</v>
      </c>
      <c r="D112" s="690" t="s">
        <v>1055</v>
      </c>
      <c r="E112" s="2732">
        <f>'5. Персонал'!J14+'5. Персонал'!Q14</f>
        <v>135</v>
      </c>
      <c r="F112" s="2531">
        <f>'5. Персонал'!K14+'5. Персонал'!R14</f>
        <v>143</v>
      </c>
      <c r="G112" s="2532">
        <f>'5. Персонал'!L14+'5. Персонал'!S14</f>
        <v>153</v>
      </c>
      <c r="H112" s="2532">
        <f>'5. Персонал'!M14+'5. Персонал'!T14</f>
        <v>153</v>
      </c>
      <c r="I112" s="2532">
        <f>'5. Персонал'!N14+'5. Персонал'!U14</f>
        <v>153</v>
      </c>
      <c r="J112" s="2532">
        <f>'5. Персонал'!O14+'5. Персонал'!V14</f>
        <v>153</v>
      </c>
      <c r="K112" s="2533">
        <f>'5. Персонал'!P14+'5. Персонал'!W14</f>
        <v>153</v>
      </c>
      <c r="L112" s="736">
        <v>1</v>
      </c>
      <c r="M112" s="731">
        <v>1</v>
      </c>
      <c r="N112" s="694">
        <v>1</v>
      </c>
      <c r="O112" s="694">
        <v>1</v>
      </c>
      <c r="P112" s="694">
        <v>1</v>
      </c>
      <c r="Q112" s="694">
        <v>1</v>
      </c>
      <c r="R112" s="695">
        <v>1</v>
      </c>
      <c r="S112" s="3175" t="s">
        <v>1576</v>
      </c>
      <c r="T112" s="3149" t="s">
        <v>1576</v>
      </c>
    </row>
    <row r="114" spans="1:20">
      <c r="D114" s="2739"/>
    </row>
    <row r="115" spans="1:20">
      <c r="E115" s="2733" t="str">
        <f>'1. Анкетна карта'!H53</f>
        <v>Главен счетоводител:</v>
      </c>
      <c r="G115" s="2707" t="s">
        <v>4</v>
      </c>
    </row>
    <row r="116" spans="1:20">
      <c r="H116" s="2707" t="s">
        <v>246</v>
      </c>
    </row>
    <row r="117" spans="1:20">
      <c r="C117" s="678" t="str">
        <f>'1. Анкетна карта'!B54</f>
        <v>Дата: 10.11.2017 г.</v>
      </c>
    </row>
    <row r="118" spans="1:20">
      <c r="F118" s="2733" t="str">
        <f>'1. Анкетна карта'!H57</f>
        <v>Управител:</v>
      </c>
      <c r="G118" s="2707" t="s">
        <v>4</v>
      </c>
    </row>
    <row r="119" spans="1:20">
      <c r="A119" s="679" t="s">
        <v>757</v>
      </c>
    </row>
    <row r="120" spans="1:20">
      <c r="A120" s="681" t="s">
        <v>248</v>
      </c>
      <c r="H120" s="2707" t="s">
        <v>6</v>
      </c>
    </row>
    <row r="121" spans="1:20">
      <c r="A121" s="681" t="s">
        <v>1369</v>
      </c>
    </row>
    <row r="122" spans="1:20">
      <c r="A122" s="681" t="s">
        <v>1370</v>
      </c>
    </row>
    <row r="123" spans="1:20">
      <c r="A123" s="3074" t="s">
        <v>1532</v>
      </c>
    </row>
    <row r="124" spans="1:20" s="680" customFormat="1" ht="15.75">
      <c r="D124" s="2740"/>
      <c r="E124" s="2734"/>
      <c r="F124" s="2734"/>
      <c r="G124" s="2735"/>
      <c r="H124" s="2736"/>
      <c r="I124" s="2735"/>
      <c r="J124" s="2737"/>
      <c r="K124" s="2734"/>
      <c r="L124" s="2734"/>
      <c r="M124" s="2734"/>
      <c r="N124" s="2734"/>
      <c r="O124" s="2734"/>
      <c r="P124" s="2734"/>
      <c r="Q124" s="2734"/>
      <c r="R124" s="2734"/>
      <c r="S124" s="2734"/>
      <c r="T124" s="2734"/>
    </row>
    <row r="125" spans="1:20" s="684" customFormat="1" ht="12">
      <c r="C125" s="682"/>
      <c r="D125" s="1563"/>
      <c r="E125" s="2738"/>
      <c r="F125" s="1562"/>
      <c r="G125" s="1562"/>
      <c r="H125" s="1562"/>
      <c r="I125" s="1561"/>
      <c r="J125" s="1561"/>
      <c r="K125" s="1561"/>
      <c r="L125" s="1561"/>
      <c r="M125" s="1561"/>
      <c r="N125" s="1561"/>
      <c r="O125" s="1561"/>
      <c r="P125" s="1561"/>
      <c r="Q125" s="1561"/>
      <c r="R125" s="1561"/>
      <c r="S125" s="1561"/>
      <c r="T125" s="1561"/>
    </row>
  </sheetData>
  <sheetProtection password="C6DB" sheet="1" objects="1" scenarios="1" formatCells="0" formatColumns="0" formatRows="0"/>
  <mergeCells count="30">
    <mergeCell ref="A95:A106"/>
    <mergeCell ref="A91:A94"/>
    <mergeCell ref="A107:A110"/>
    <mergeCell ref="A111:A112"/>
    <mergeCell ref="A52:A53"/>
    <mergeCell ref="A78:A79"/>
    <mergeCell ref="A61:A64"/>
    <mergeCell ref="A80:A81"/>
    <mergeCell ref="A82:A90"/>
    <mergeCell ref="A56:A60"/>
    <mergeCell ref="A54:A55"/>
    <mergeCell ref="A76:A77"/>
    <mergeCell ref="A65:A75"/>
    <mergeCell ref="A8:A11"/>
    <mergeCell ref="A12:A14"/>
    <mergeCell ref="A32:A41"/>
    <mergeCell ref="A42:A51"/>
    <mergeCell ref="A15:A18"/>
    <mergeCell ref="A19:A31"/>
    <mergeCell ref="E1:F1"/>
    <mergeCell ref="D6:D7"/>
    <mergeCell ref="C6:C7"/>
    <mergeCell ref="B6:B7"/>
    <mergeCell ref="E6:K6"/>
    <mergeCell ref="S6:T6"/>
    <mergeCell ref="L6:R6"/>
    <mergeCell ref="A4:R4"/>
    <mergeCell ref="A2:R2"/>
    <mergeCell ref="A3:R3"/>
    <mergeCell ref="A6:A7"/>
  </mergeCells>
  <conditionalFormatting sqref="B70:B71 B65:B68">
    <cfRule type="duplicateValues" dxfId="8" priority="3"/>
  </conditionalFormatting>
  <conditionalFormatting sqref="A6">
    <cfRule type="duplicateValues" dxfId="7" priority="2"/>
  </conditionalFormatting>
  <conditionalFormatting sqref="B97">
    <cfRule type="duplicateValues" dxfId="6" priority="1"/>
  </conditionalFormatting>
  <conditionalFormatting sqref="B98:B112 B64 B6 B26:B61 B76:B96 B72:B74 B8:B24 B69">
    <cfRule type="duplicateValues" dxfId="5" priority="11"/>
  </conditionalFormatting>
  <printOptions horizontalCentered="1"/>
  <pageMargins left="0.39370078740157483" right="0.39370078740157483" top="0.86614173228346458" bottom="0.39370078740157483" header="0.39370078740157483" footer="0.39370078740157483"/>
  <pageSetup paperSize="9" scale="48" fitToHeight="4" orientation="landscape" r:id="rId1"/>
  <headerFooter alignWithMargins="0">
    <oddFooter>&amp;A&amp;RPage &amp;P</oddFooter>
  </headerFooter>
  <rowBreaks count="3" manualBreakCount="3">
    <brk id="31" max="19" man="1"/>
    <brk id="55" max="19" man="1"/>
    <brk id="81" max="19" man="1"/>
  </rowBreaks>
  <ignoredErrors>
    <ignoredError sqref="E112:K112"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CC"/>
  </sheetPr>
  <dimension ref="A1:O50"/>
  <sheetViews>
    <sheetView showGridLines="0" view="pageBreakPreview" zoomScale="90" zoomScaleNormal="90" zoomScaleSheetLayoutView="90" workbookViewId="0">
      <pane xSplit="4" ySplit="6" topLeftCell="F31" activePane="bottomRight" state="frozen"/>
      <selection pane="topRight" activeCell="E1" sqref="E1"/>
      <selection pane="bottomLeft" activeCell="A7" sqref="A7"/>
      <selection pane="bottomRight" activeCell="K22" sqref="K22"/>
    </sheetView>
  </sheetViews>
  <sheetFormatPr defaultColWidth="9.140625" defaultRowHeight="12.75"/>
  <cols>
    <col min="1" max="1" width="6.28515625" style="11" customWidth="1"/>
    <col min="2" max="2" width="7.7109375" style="11" customWidth="1"/>
    <col min="3" max="3" width="64.42578125" style="2" bestFit="1" customWidth="1"/>
    <col min="4" max="4" width="13.28515625" style="2" bestFit="1" customWidth="1"/>
    <col min="5" max="10" width="12.7109375" style="2" customWidth="1"/>
    <col min="11" max="11" width="13.28515625" style="2" customWidth="1"/>
    <col min="12" max="13" width="16" style="2" customWidth="1"/>
    <col min="14" max="14" width="14.85546875" style="2" customWidth="1"/>
    <col min="15" max="15" width="12" style="2" customWidth="1"/>
    <col min="16" max="16384" width="9.140625" style="2"/>
  </cols>
  <sheetData>
    <row r="1" spans="1:15" ht="13.5">
      <c r="A1" s="6"/>
      <c r="B1" s="6"/>
      <c r="C1" s="7"/>
      <c r="E1" s="7"/>
      <c r="F1" s="7"/>
      <c r="G1" s="7"/>
      <c r="H1" s="7"/>
      <c r="I1" s="7"/>
      <c r="K1" s="118"/>
      <c r="L1" s="128" t="str">
        <f>'2. Променливи'!R1:R1</f>
        <v>Приложение № 2</v>
      </c>
      <c r="M1" s="128"/>
      <c r="N1" s="23"/>
      <c r="O1" s="23"/>
    </row>
    <row r="2" spans="1:15" s="8" customFormat="1" ht="37.5" customHeight="1">
      <c r="A2" s="3397" t="s">
        <v>498</v>
      </c>
      <c r="B2" s="3397"/>
      <c r="C2" s="3397"/>
      <c r="D2" s="3397"/>
      <c r="E2" s="3397"/>
      <c r="F2" s="3397"/>
      <c r="G2" s="3397"/>
      <c r="H2" s="3397"/>
      <c r="I2" s="3397"/>
      <c r="J2" s="3397"/>
      <c r="K2" s="3397"/>
      <c r="L2" s="3397"/>
      <c r="M2" s="3043"/>
      <c r="N2" s="23"/>
      <c r="O2" s="23"/>
    </row>
    <row r="3" spans="1:15" s="44" customFormat="1" ht="15.75" customHeight="1">
      <c r="A3" s="3376" t="str">
        <f>'1. Анкетна карта'!A3:J3</f>
        <v>на "ВОДОСНАБДЯВАНЕ И КАНАЛИЗАЦИЯ ДОБРИЧ" АД, гр. Добрич</v>
      </c>
      <c r="B3" s="3376"/>
      <c r="C3" s="3376"/>
      <c r="D3" s="3376"/>
      <c r="E3" s="3376"/>
      <c r="F3" s="3376"/>
      <c r="G3" s="3376"/>
      <c r="H3" s="3376"/>
      <c r="I3" s="3376"/>
      <c r="J3" s="3376"/>
      <c r="K3" s="3376"/>
      <c r="L3" s="3376"/>
      <c r="M3" s="3042"/>
      <c r="N3" s="117"/>
      <c r="O3" s="117"/>
    </row>
    <row r="4" spans="1:15" s="44" customFormat="1" ht="15.75" customHeight="1">
      <c r="A4" s="3376" t="str">
        <f>'1. Анкетна карта'!A4:J4</f>
        <v>ЕИК по БУЛСТАТ: 204219357</v>
      </c>
      <c r="B4" s="3376"/>
      <c r="C4" s="3376"/>
      <c r="D4" s="3376"/>
      <c r="E4" s="3376"/>
      <c r="F4" s="3376"/>
      <c r="G4" s="3376"/>
      <c r="H4" s="3376"/>
      <c r="I4" s="3376"/>
      <c r="J4" s="3376"/>
      <c r="K4" s="3376"/>
      <c r="L4" s="3376"/>
      <c r="M4" s="3042"/>
      <c r="N4" s="117"/>
      <c r="O4" s="117"/>
    </row>
    <row r="5" spans="1:15" s="8" customFormat="1" ht="15" thickBot="1">
      <c r="A5" s="9"/>
      <c r="B5" s="9"/>
      <c r="C5" s="10"/>
      <c r="D5" s="119"/>
      <c r="E5" s="10"/>
      <c r="F5" s="10"/>
      <c r="G5" s="10"/>
      <c r="H5" s="10"/>
      <c r="I5" s="10"/>
      <c r="J5" s="10"/>
      <c r="L5" s="123"/>
      <c r="M5" s="123"/>
      <c r="N5" s="23"/>
      <c r="O5" s="23"/>
    </row>
    <row r="6" spans="1:15" ht="46.5" customHeight="1" thickBot="1">
      <c r="A6" s="2694" t="s">
        <v>1</v>
      </c>
      <c r="B6" s="2695" t="s">
        <v>1043</v>
      </c>
      <c r="C6" s="2696" t="s">
        <v>90</v>
      </c>
      <c r="D6" s="2697" t="s">
        <v>1015</v>
      </c>
      <c r="E6" s="2698" t="str">
        <f>'Приложение '!$G12</f>
        <v>2015 г.</v>
      </c>
      <c r="F6" s="2697" t="str">
        <f>'Приложение '!$G13</f>
        <v>2016 г.</v>
      </c>
      <c r="G6" s="2697" t="str">
        <f>'Приложение '!$G14</f>
        <v>2017 г.</v>
      </c>
      <c r="H6" s="2697" t="str">
        <f>'Приложение '!$G15</f>
        <v>2018 г.</v>
      </c>
      <c r="I6" s="2697" t="str">
        <f>'Приложение '!$G16</f>
        <v>2019 г.</v>
      </c>
      <c r="J6" s="2697" t="str">
        <f>'Приложение '!$G17</f>
        <v>2020 г.</v>
      </c>
      <c r="K6" s="2699" t="str">
        <f>'Приложение '!$G18</f>
        <v>2021 г.</v>
      </c>
      <c r="L6" s="2697" t="str">
        <f>"Качество на информацията за "
&amp;'Приложение '!G12</f>
        <v>Качество на информацията за 2015 г.</v>
      </c>
      <c r="M6" s="2697" t="str">
        <f>"Качество на информацията за "
&amp;'Приложение '!G18</f>
        <v>Качество на информацията за 2021 г.</v>
      </c>
      <c r="N6" s="2700" t="s">
        <v>1050</v>
      </c>
      <c r="O6" s="2701" t="s">
        <v>1051</v>
      </c>
    </row>
    <row r="7" spans="1:15" ht="14.25">
      <c r="A7" s="672">
        <v>1</v>
      </c>
      <c r="B7" s="669" t="s">
        <v>136</v>
      </c>
      <c r="C7" s="120" t="s">
        <v>1020</v>
      </c>
      <c r="D7" s="668" t="s">
        <v>226</v>
      </c>
      <c r="E7" s="410">
        <f>'2. Променливи'!E8/'2. Променливи'!E11</f>
        <v>1</v>
      </c>
      <c r="F7" s="402">
        <f>'2. Променливи'!F8/'2. Променливи'!F11</f>
        <v>1</v>
      </c>
      <c r="G7" s="402">
        <f>'2. Променливи'!G8/'2. Променливи'!G11</f>
        <v>1</v>
      </c>
      <c r="H7" s="1932">
        <f>'2. Променливи'!H8/'2. Променливи'!H11</f>
        <v>1</v>
      </c>
      <c r="I7" s="1932">
        <f>'2. Променливи'!I8/'2. Променливи'!I11</f>
        <v>1</v>
      </c>
      <c r="J7" s="1932">
        <f>'2. Променливи'!J8/'2. Променливи'!J11</f>
        <v>1</v>
      </c>
      <c r="K7" s="1933">
        <f>'2. Променливи'!K8/'2. Променливи'!K11</f>
        <v>1</v>
      </c>
      <c r="L7" s="734">
        <v>1</v>
      </c>
      <c r="M7" s="734">
        <v>1</v>
      </c>
      <c r="N7" s="3153">
        <v>99.9</v>
      </c>
      <c r="O7" s="2025">
        <v>0.99</v>
      </c>
    </row>
    <row r="8" spans="1:15" ht="14.25">
      <c r="A8" s="672">
        <v>2</v>
      </c>
      <c r="B8" s="670" t="s">
        <v>137</v>
      </c>
      <c r="C8" s="48" t="s">
        <v>1021</v>
      </c>
      <c r="D8" s="668" t="s">
        <v>226</v>
      </c>
      <c r="E8" s="401">
        <f>'2. Променливи'!E32/'2. Променливи'!E37</f>
        <v>0.99245567710297999</v>
      </c>
      <c r="F8" s="402">
        <f>'2. Променливи'!F32/'2. Променливи'!F37</f>
        <v>0.99294283697953423</v>
      </c>
      <c r="G8" s="402">
        <f>'2. Променливи'!G32/'2. Променливи'!G37</f>
        <v>0.99119718309859151</v>
      </c>
      <c r="H8" s="1932">
        <f>'2. Променливи'!H32/'2. Променливи'!H37</f>
        <v>0.99119718309859151</v>
      </c>
      <c r="I8" s="1932">
        <f>'2. Променливи'!I32/'2. Променливи'!I37</f>
        <v>0.99117854622441781</v>
      </c>
      <c r="J8" s="1932">
        <f>'2. Променливи'!J32/'2. Променливи'!J37</f>
        <v>0.99117854622441781</v>
      </c>
      <c r="K8" s="1933">
        <f>'2. Променливи'!K32/'2. Променливи'!K37</f>
        <v>0.99366643209007743</v>
      </c>
      <c r="L8" s="735">
        <v>1</v>
      </c>
      <c r="M8" s="735">
        <v>1</v>
      </c>
      <c r="N8" s="3154">
        <v>99</v>
      </c>
      <c r="O8" s="2026">
        <v>0.99</v>
      </c>
    </row>
    <row r="9" spans="1:15" ht="14.25">
      <c r="A9" s="672">
        <v>3</v>
      </c>
      <c r="B9" s="670" t="s">
        <v>138</v>
      </c>
      <c r="C9" s="48" t="s">
        <v>1022</v>
      </c>
      <c r="D9" s="668" t="s">
        <v>226</v>
      </c>
      <c r="E9" s="401">
        <f>'2. Променливи'!E42/'2. Променливи'!E47</f>
        <v>0.98088410991636799</v>
      </c>
      <c r="F9" s="402">
        <f>'2. Променливи'!F42/'2. Променливи'!F47</f>
        <v>0.98796937659496897</v>
      </c>
      <c r="G9" s="402">
        <f>'2. Променливи'!G42/'2. Променливи'!G47</f>
        <v>0.98796937659496897</v>
      </c>
      <c r="H9" s="1932">
        <f>'2. Променливи'!H42/'2. Променливи'!H47</f>
        <v>0.98796937659496897</v>
      </c>
      <c r="I9" s="1932">
        <f>'2. Променливи'!I42/'2. Променливи'!I47</f>
        <v>0.98796937659496897</v>
      </c>
      <c r="J9" s="1932">
        <f>'2. Променливи'!J42/'2. Променливи'!J47</f>
        <v>0.98796937659496897</v>
      </c>
      <c r="K9" s="1933">
        <f>'2. Променливи'!K42/'2. Променливи'!K47</f>
        <v>0.98796937659496897</v>
      </c>
      <c r="L9" s="735">
        <v>1</v>
      </c>
      <c r="M9" s="735">
        <v>1</v>
      </c>
      <c r="N9" s="3154">
        <v>98</v>
      </c>
      <c r="O9" s="2026">
        <v>0.98</v>
      </c>
    </row>
    <row r="10" spans="1:15" ht="14.25">
      <c r="A10" s="672">
        <v>4</v>
      </c>
      <c r="B10" s="670" t="s">
        <v>139</v>
      </c>
      <c r="C10" s="48" t="s">
        <v>1023</v>
      </c>
      <c r="D10" s="668" t="s">
        <v>226</v>
      </c>
      <c r="E10" s="401">
        <f>'2. Променливи'!E52/'2. Променливи'!E53</f>
        <v>1</v>
      </c>
      <c r="F10" s="402">
        <f>'2. Променливи'!F52/'2. Променливи'!F53</f>
        <v>1</v>
      </c>
      <c r="G10" s="402">
        <f>'2. Променливи'!G52/'2. Променливи'!G53</f>
        <v>1</v>
      </c>
      <c r="H10" s="1932">
        <f>'2. Променливи'!H52/'2. Променливи'!H53</f>
        <v>1</v>
      </c>
      <c r="I10" s="1932">
        <f>'2. Променливи'!I52/'2. Променливи'!I53</f>
        <v>1</v>
      </c>
      <c r="J10" s="1932">
        <f>'2. Променливи'!J52/'2. Променливи'!J53</f>
        <v>1</v>
      </c>
      <c r="K10" s="1933">
        <f>'2. Променливи'!K52/'2. Променливи'!K53</f>
        <v>1</v>
      </c>
      <c r="L10" s="735">
        <v>1</v>
      </c>
      <c r="M10" s="735">
        <v>1</v>
      </c>
      <c r="N10" s="3154">
        <v>100</v>
      </c>
      <c r="O10" s="2026">
        <v>1</v>
      </c>
    </row>
    <row r="11" spans="1:15" ht="14.25">
      <c r="A11" s="672">
        <v>5</v>
      </c>
      <c r="B11" s="670" t="s">
        <v>140</v>
      </c>
      <c r="C11" s="48" t="s">
        <v>1024</v>
      </c>
      <c r="D11" s="668" t="s">
        <v>1472</v>
      </c>
      <c r="E11" s="403">
        <f>'2. Променливи'!E56/('2. Променливи'!E8*24*365)*1000</f>
        <v>1.0706881556479393</v>
      </c>
      <c r="F11" s="404">
        <f>'2. Променливи'!F56/('2. Променливи'!F8*24*365)*1000</f>
        <v>0.94974748607033599</v>
      </c>
      <c r="G11" s="404">
        <f>'2. Променливи'!G56/('2. Променливи'!G8*24*365)*1000</f>
        <v>1.0234323769251576</v>
      </c>
      <c r="H11" s="1934">
        <f>'2. Променливи'!H56/('2. Променливи'!H8*24*365)*1000</f>
        <v>1.0337940151421605</v>
      </c>
      <c r="I11" s="1934">
        <f>'2. Променливи'!I56/('2. Променливи'!I8*24*365)*1000</f>
        <v>0.97869237357245054</v>
      </c>
      <c r="J11" s="1934">
        <f>'2. Променливи'!J56/('2. Променливи'!J8*24*365)*1000</f>
        <v>0.96889966122352345</v>
      </c>
      <c r="K11" s="1935">
        <f>'2. Променливи'!K56/('2. Променливи'!K8*24*365)*1000</f>
        <v>0.96549937805267949</v>
      </c>
      <c r="L11" s="735">
        <v>2</v>
      </c>
      <c r="M11" s="735">
        <v>1</v>
      </c>
      <c r="N11" s="3154">
        <v>1.1000000000000001</v>
      </c>
      <c r="O11" s="2027">
        <v>8</v>
      </c>
    </row>
    <row r="12" spans="1:15" ht="14.25">
      <c r="A12" s="672">
        <v>6</v>
      </c>
      <c r="B12" s="670" t="s">
        <v>1013</v>
      </c>
      <c r="C12" s="48" t="s">
        <v>1025</v>
      </c>
      <c r="D12" s="668" t="s">
        <v>1483</v>
      </c>
      <c r="E12" s="403">
        <f>'2. Променливи'!E63/'2. Променливи'!E24/365</f>
        <v>32.222239039686983</v>
      </c>
      <c r="F12" s="403">
        <f>'2. Променливи'!F63/'2. Променливи'!F24/365</f>
        <v>31.296783257319287</v>
      </c>
      <c r="G12" s="403">
        <f>'2. Променливи'!G63/'2. Променливи'!G24/365</f>
        <v>27.967469375271641</v>
      </c>
      <c r="H12" s="1936">
        <f>'2. Променливи'!H63/'2. Променливи'!H24/365</f>
        <v>27.235052235082016</v>
      </c>
      <c r="I12" s="1936">
        <f>'2. Променливи'!I63/'2. Променливи'!I24/365</f>
        <v>26.242676625404439</v>
      </c>
      <c r="J12" s="1936">
        <f>'2. Променливи'!J63/'2. Променливи'!J24/365</f>
        <v>25.669692032265203</v>
      </c>
      <c r="K12" s="1937">
        <f>'2. Променливи'!K63/'2. Променливи'!K24/365</f>
        <v>25.164402872488083</v>
      </c>
      <c r="L12" s="735">
        <v>2</v>
      </c>
      <c r="M12" s="735">
        <v>1</v>
      </c>
      <c r="N12" s="3154">
        <v>27.3</v>
      </c>
      <c r="O12" s="2027">
        <v>15</v>
      </c>
    </row>
    <row r="13" spans="1:15" ht="14.25">
      <c r="A13" s="672">
        <v>7</v>
      </c>
      <c r="B13" s="670" t="s">
        <v>1014</v>
      </c>
      <c r="C13" s="48" t="s">
        <v>1025</v>
      </c>
      <c r="D13" s="668" t="s">
        <v>226</v>
      </c>
      <c r="E13" s="401">
        <f>'2. Променливи'!E63/'2. Променливи'!E61</f>
        <v>0.84171385064296456</v>
      </c>
      <c r="F13" s="401">
        <f>'2. Променливи'!F63/'2. Променливи'!F61</f>
        <v>0.83779262931034482</v>
      </c>
      <c r="G13" s="401">
        <f>'2. Променливи'!G63/'2. Променливи'!G61</f>
        <v>0.81198316050447339</v>
      </c>
      <c r="H13" s="1938">
        <f>'2. Променливи'!H63/'2. Променливи'!H61</f>
        <v>0.80882089176661398</v>
      </c>
      <c r="I13" s="1938">
        <f>'2. Променливи'!I63/'2. Променливи'!I61</f>
        <v>0.8041654398814615</v>
      </c>
      <c r="J13" s="1938">
        <f>'2. Променливи'!J63/'2. Променливи'!J61</f>
        <v>0.80199750554930971</v>
      </c>
      <c r="K13" s="1939">
        <f>'2. Променливи'!K63/'2. Променливи'!K61</f>
        <v>0.79845707197695626</v>
      </c>
      <c r="L13" s="735">
        <v>2</v>
      </c>
      <c r="M13" s="735">
        <v>1</v>
      </c>
      <c r="N13" s="3154">
        <v>81.81</v>
      </c>
      <c r="O13" s="2026">
        <v>0.49</v>
      </c>
    </row>
    <row r="14" spans="1:15" ht="14.25">
      <c r="A14" s="672">
        <v>8</v>
      </c>
      <c r="B14" s="670" t="s">
        <v>141</v>
      </c>
      <c r="C14" s="48" t="s">
        <v>1026</v>
      </c>
      <c r="D14" s="668" t="s">
        <v>1018</v>
      </c>
      <c r="E14" s="403">
        <f>'2. Променливи'!E57/'2. Променливи'!E23*100</f>
        <v>96.091683808404355</v>
      </c>
      <c r="F14" s="403">
        <f>'2. Променливи'!F57/'2. Променливи'!F23*100</f>
        <v>96.091683808404355</v>
      </c>
      <c r="G14" s="403">
        <f>'2. Променливи'!G57/'2. Променливи'!G23*100</f>
        <v>94.007050528789662</v>
      </c>
      <c r="H14" s="1936">
        <f>'2. Променливи'!H57/'2. Променливи'!H23*100</f>
        <v>90.77555816686251</v>
      </c>
      <c r="I14" s="1936">
        <f>'2. Променливи'!I57/'2. Променливи'!I23*100</f>
        <v>86.016451233842545</v>
      </c>
      <c r="J14" s="1936">
        <f>'2. Променливи'!J57/'2. Променливи'!J23*100</f>
        <v>79.735682819383257</v>
      </c>
      <c r="K14" s="1937">
        <f>'2. Променливи'!K57/'2. Променливи'!K23*100</f>
        <v>74.302496328928044</v>
      </c>
      <c r="L14" s="735">
        <v>2</v>
      </c>
      <c r="M14" s="735">
        <v>1</v>
      </c>
      <c r="N14" s="3154">
        <v>74.319999999999993</v>
      </c>
      <c r="O14" s="2027">
        <v>60</v>
      </c>
    </row>
    <row r="15" spans="1:15" ht="14.25">
      <c r="A15" s="672">
        <v>9</v>
      </c>
      <c r="B15" s="670" t="s">
        <v>142</v>
      </c>
      <c r="C15" s="121" t="s">
        <v>1027</v>
      </c>
      <c r="D15" s="668" t="s">
        <v>226</v>
      </c>
      <c r="E15" s="401">
        <f>'2. Променливи'!E71/'2. Променливи'!E25</f>
        <v>0</v>
      </c>
      <c r="F15" s="401">
        <f>'2. Променливи'!F71/'2. Променливи'!F25</f>
        <v>2.4E-2</v>
      </c>
      <c r="G15" s="401">
        <f>'2. Променливи'!G71/'2. Променливи'!G25</f>
        <v>0.24</v>
      </c>
      <c r="H15" s="1938">
        <f>'2. Променливи'!H71/'2. Променливи'!H25</f>
        <v>0.4</v>
      </c>
      <c r="I15" s="1938">
        <f>'2. Променливи'!I71/'2. Променливи'!I25</f>
        <v>0.56000000000000005</v>
      </c>
      <c r="J15" s="1938">
        <f>'2. Променливи'!J71/'2. Променливи'!J25</f>
        <v>0.68</v>
      </c>
      <c r="K15" s="1939">
        <f>'2. Променливи'!K71/'2. Променливи'!K25</f>
        <v>0.8</v>
      </c>
      <c r="L15" s="735">
        <v>1</v>
      </c>
      <c r="M15" s="735">
        <v>1</v>
      </c>
      <c r="N15" s="3154">
        <v>80</v>
      </c>
      <c r="O15" s="2026">
        <v>1</v>
      </c>
    </row>
    <row r="16" spans="1:15" ht="14.25">
      <c r="A16" s="672">
        <v>10</v>
      </c>
      <c r="B16" s="670" t="s">
        <v>143</v>
      </c>
      <c r="C16" s="48" t="s">
        <v>1028</v>
      </c>
      <c r="D16" s="668" t="s">
        <v>226</v>
      </c>
      <c r="E16" s="401">
        <f>'2. Променливи'!E9/'2. Променливи'!E11</f>
        <v>0.54377329029185884</v>
      </c>
      <c r="F16" s="402">
        <f>'2. Променливи'!F9/'2. Променливи'!F11</f>
        <v>0.54817383305275091</v>
      </c>
      <c r="G16" s="402">
        <f>'2. Променливи'!G9/'2. Променливи'!G11</f>
        <v>0.59345989872213079</v>
      </c>
      <c r="H16" s="1932">
        <f>'2. Променливи'!H9/'2. Променливи'!H11</f>
        <v>0.59946832380765791</v>
      </c>
      <c r="I16" s="1932">
        <f>'2. Променливи'!I9/'2. Променливи'!I11</f>
        <v>0.60559965665196525</v>
      </c>
      <c r="J16" s="1932">
        <f>'2. Променливи'!J9/'2. Променливи'!J11</f>
        <v>0.61185770750988144</v>
      </c>
      <c r="K16" s="1933">
        <f>'2. Променливи'!K9/'2. Променливи'!K11</f>
        <v>0.61817746175150279</v>
      </c>
      <c r="L16" s="735">
        <v>1</v>
      </c>
      <c r="M16" s="735">
        <v>1</v>
      </c>
      <c r="N16" s="3154"/>
      <c r="O16" s="2026">
        <v>0.75</v>
      </c>
    </row>
    <row r="17" spans="1:15" ht="14.25">
      <c r="A17" s="672">
        <v>11</v>
      </c>
      <c r="B17" s="670" t="s">
        <v>144</v>
      </c>
      <c r="C17" s="48" t="s">
        <v>1029</v>
      </c>
      <c r="D17" s="668" t="s">
        <v>226</v>
      </c>
      <c r="E17" s="401">
        <f>'2. Променливи'!E10/'2. Променливи'!E11</f>
        <v>0.55324721347057881</v>
      </c>
      <c r="F17" s="402">
        <f>'2. Променливи'!F10/'2. Променливи'!F11</f>
        <v>0.55772442495501007</v>
      </c>
      <c r="G17" s="402">
        <f>'2. Променливи'!G10/'2. Променливи'!G11</f>
        <v>0.59345989872213079</v>
      </c>
      <c r="H17" s="1932">
        <f>'2. Променливи'!H10/'2. Променливи'!H11</f>
        <v>0.59946832380765791</v>
      </c>
      <c r="I17" s="1932">
        <f>'2. Променливи'!I10/'2. Променливи'!I11</f>
        <v>0.60559965665196525</v>
      </c>
      <c r="J17" s="1932">
        <f>'2. Променливи'!J10/'2. Променливи'!J11</f>
        <v>0.61185770750988144</v>
      </c>
      <c r="K17" s="1933">
        <f>'2. Променливи'!K10/'2. Променливи'!K11</f>
        <v>0.61817746175150279</v>
      </c>
      <c r="L17" s="735">
        <v>1</v>
      </c>
      <c r="M17" s="735">
        <v>1</v>
      </c>
      <c r="N17" s="3154"/>
      <c r="O17" s="2026">
        <v>0.75</v>
      </c>
    </row>
    <row r="18" spans="1:15" ht="14.25">
      <c r="A18" s="672">
        <v>12</v>
      </c>
      <c r="B18" s="670" t="s">
        <v>145</v>
      </c>
      <c r="C18" s="48" t="s">
        <v>1030</v>
      </c>
      <c r="D18" s="668" t="s">
        <v>226</v>
      </c>
      <c r="E18" s="401">
        <f>'2. Променливи'!E54/'2. Променливи'!E55</f>
        <v>0.85</v>
      </c>
      <c r="F18" s="402">
        <f>'2. Променливи'!F54/'2. Променливи'!F55</f>
        <v>0.85</v>
      </c>
      <c r="G18" s="402">
        <f>'2. Променливи'!G54/'2. Променливи'!G55</f>
        <v>0.85</v>
      </c>
      <c r="H18" s="1932">
        <f>'2. Променливи'!H54/'2. Променливи'!H55</f>
        <v>0.85</v>
      </c>
      <c r="I18" s="1932">
        <f>'2. Променливи'!I54/'2. Променливи'!I55</f>
        <v>0.8666666666666667</v>
      </c>
      <c r="J18" s="1932">
        <f>'2. Променливи'!J54/'2. Променливи'!J55</f>
        <v>0.9</v>
      </c>
      <c r="K18" s="1933">
        <f>'2. Променливи'!K54/'2. Променливи'!K55</f>
        <v>0.93333333333333335</v>
      </c>
      <c r="L18" s="735">
        <v>1</v>
      </c>
      <c r="M18" s="735">
        <v>1</v>
      </c>
      <c r="N18" s="3154">
        <v>93</v>
      </c>
      <c r="O18" s="2026">
        <v>0.93</v>
      </c>
    </row>
    <row r="19" spans="1:15" ht="14.25">
      <c r="A19" s="672">
        <v>13</v>
      </c>
      <c r="B19" s="670" t="s">
        <v>146</v>
      </c>
      <c r="C19" s="48" t="s">
        <v>1031</v>
      </c>
      <c r="D19" s="668" t="s">
        <v>1018</v>
      </c>
      <c r="E19" s="405">
        <f>('2. Променливи'!E58+'2. Променливи'!E59+'2. Променливи'!E60)/'2. Променливи'!E29*100</f>
        <v>607.48031496062993</v>
      </c>
      <c r="F19" s="405">
        <f>('2. Променливи'!F58+'2. Променливи'!F59+'2. Променливи'!F60)/'2. Променливи'!F29*100</f>
        <v>487.26114649681529</v>
      </c>
      <c r="G19" s="405">
        <f>('2. Променливи'!G58+'2. Променливи'!G59+'2. Променливи'!G60)/'2. Променливи'!G29*100</f>
        <v>475.15923566878985</v>
      </c>
      <c r="H19" s="1940">
        <f>('2. Променливи'!H58+'2. Променливи'!H59+'2. Променливи'!H60)/'2. Променливи'!H29*100</f>
        <v>464.96815286624206</v>
      </c>
      <c r="I19" s="1940">
        <f>('2. Променливи'!I58+'2. Променливи'!I59+'2. Променливи'!I60)/'2. Променливи'!I29*100</f>
        <v>451.74603174603175</v>
      </c>
      <c r="J19" s="1940">
        <f>('2. Променливи'!J58+'2. Променливи'!J59+'2. Променливи'!J60)/'2. Променливи'!J29*100</f>
        <v>440.63492063492066</v>
      </c>
      <c r="K19" s="1941">
        <f>('2. Променливи'!K58+'2. Променливи'!K59+'2. Променливи'!K60)/'2. Променливи'!K29*100</f>
        <v>428.16455696202536</v>
      </c>
      <c r="L19" s="735">
        <v>1</v>
      </c>
      <c r="M19" s="735">
        <v>1</v>
      </c>
      <c r="N19" s="3154">
        <v>483.11</v>
      </c>
      <c r="O19" s="2027">
        <v>120</v>
      </c>
    </row>
    <row r="20" spans="1:15" ht="14.25">
      <c r="A20" s="672">
        <v>14</v>
      </c>
      <c r="B20" s="670" t="s">
        <v>147</v>
      </c>
      <c r="C20" s="121" t="s">
        <v>1032</v>
      </c>
      <c r="D20" s="668" t="s">
        <v>1019</v>
      </c>
      <c r="E20" s="405">
        <f>'2. Променливи'!E103/'2. Променливи'!E12*10000</f>
        <v>0.52099162071810012</v>
      </c>
      <c r="F20" s="406">
        <f>'2. Променливи'!F103/'2. Променливи'!F12*10000</f>
        <v>0.52099162071810012</v>
      </c>
      <c r="G20" s="406">
        <f>'2. Променливи'!G103/'2. Променливи'!G12*10000</f>
        <v>0.52036130419888216</v>
      </c>
      <c r="H20" s="1942">
        <f>'2. Променливи'!H103/'2. Променливи'!H12*10000</f>
        <v>0.51972575804167331</v>
      </c>
      <c r="I20" s="1942">
        <f>'2. Променливи'!I103/'2. Променливи'!I12*10000</f>
        <v>0.5190917624463065</v>
      </c>
      <c r="J20" s="1942">
        <f>'2. Променливи'!J103/'2. Променливи'!J12*10000</f>
        <v>0.51845707175445865</v>
      </c>
      <c r="K20" s="1943">
        <f>'2. Променливи'!K103/'2. Променливи'!K12*10000</f>
        <v>0.51782393123298198</v>
      </c>
      <c r="L20" s="735">
        <v>1</v>
      </c>
      <c r="M20" s="735">
        <v>1</v>
      </c>
      <c r="N20" s="3154"/>
      <c r="O20" s="2027">
        <v>0.5</v>
      </c>
    </row>
    <row r="21" spans="1:15" ht="14.25">
      <c r="A21" s="672">
        <v>15</v>
      </c>
      <c r="B21" s="670" t="s">
        <v>148</v>
      </c>
      <c r="C21" s="121" t="s">
        <v>1033</v>
      </c>
      <c r="D21" s="668" t="s">
        <v>1484</v>
      </c>
      <c r="E21" s="403">
        <f>'2. Променливи'!E78/'2. Променливи'!E61</f>
        <v>1.2476439326578983</v>
      </c>
      <c r="F21" s="403">
        <f>'2. Променливи'!F78/'2. Променливи'!F61</f>
        <v>1.264518640086207</v>
      </c>
      <c r="G21" s="403">
        <f>'2. Променливи'!G78/'2. Променливи'!G61</f>
        <v>1.2558938916967735</v>
      </c>
      <c r="H21" s="1936">
        <f>'2. Променливи'!H78/'2. Променливи'!H61</f>
        <v>1.2557927464392771</v>
      </c>
      <c r="I21" s="1936">
        <f>'2. Променливи'!I78/'2. Променливи'!I61</f>
        <v>1.2325679605094617</v>
      </c>
      <c r="J21" s="1936">
        <f>'2. Променливи'!J78/'2. Променливи'!J61</f>
        <v>1.2070703261971947</v>
      </c>
      <c r="K21" s="1937">
        <f>'2. Променливи'!K78/'2. Променливи'!K61</f>
        <v>1.1808014127529953</v>
      </c>
      <c r="L21" s="735">
        <v>1</v>
      </c>
      <c r="M21" s="735">
        <v>1</v>
      </c>
      <c r="N21" s="3154">
        <v>1.3</v>
      </c>
      <c r="O21" s="2027">
        <v>0.45</v>
      </c>
    </row>
    <row r="22" spans="1:15" ht="14.25">
      <c r="A22" s="672">
        <v>16</v>
      </c>
      <c r="B22" s="670" t="s">
        <v>149</v>
      </c>
      <c r="C22" s="121" t="s">
        <v>1034</v>
      </c>
      <c r="D22" s="668" t="s">
        <v>1484</v>
      </c>
      <c r="E22" s="407">
        <f>'2. Променливи'!E79/'2. Променливи'!E64</f>
        <v>0.72035788994413363</v>
      </c>
      <c r="F22" s="408">
        <f>'2. Променливи'!F79/'2. Променливи'!F64</f>
        <v>0.66418920954907157</v>
      </c>
      <c r="G22" s="408">
        <f>'2. Променливи'!G79/'2. Променливи'!G64</f>
        <v>0.60027703383351771</v>
      </c>
      <c r="H22" s="1944">
        <f>'2. Променливи'!H79/'2. Променливи'!H64</f>
        <v>0.57920396477424985</v>
      </c>
      <c r="I22" s="1944">
        <f>'2. Променливи'!I79/'2. Променливи'!I64</f>
        <v>0.56246169894707032</v>
      </c>
      <c r="J22" s="1944">
        <f>'2. Променливи'!J79/'2. Променливи'!J64</f>
        <v>0.54621939501706906</v>
      </c>
      <c r="K22" s="1945">
        <f>'2. Променливи'!K79/'2. Променливи'!K64</f>
        <v>0.53061008273709409</v>
      </c>
      <c r="L22" s="735">
        <v>1</v>
      </c>
      <c r="M22" s="735">
        <v>1</v>
      </c>
      <c r="N22" s="3154"/>
      <c r="O22" s="2027">
        <v>0.25</v>
      </c>
    </row>
    <row r="23" spans="1:15" ht="14.25">
      <c r="A23" s="672">
        <v>17</v>
      </c>
      <c r="B23" s="670" t="s">
        <v>150</v>
      </c>
      <c r="C23" s="48" t="s">
        <v>1035</v>
      </c>
      <c r="D23" s="668" t="s">
        <v>226</v>
      </c>
      <c r="E23" s="401">
        <f>'2. Променливи'!E80/'2. Променливи'!E81</f>
        <v>0.78348778433024435</v>
      </c>
      <c r="F23" s="402">
        <f>'2. Променливи'!F80/'2. Променливи'!F81</f>
        <v>0</v>
      </c>
      <c r="G23" s="402">
        <f>'2. Променливи'!G80/'2. Променливи'!G81</f>
        <v>0</v>
      </c>
      <c r="H23" s="1932">
        <f>'2. Променливи'!H80/'2. Променливи'!H81</f>
        <v>0</v>
      </c>
      <c r="I23" s="1932">
        <f>'2. Променливи'!I80/'2. Променливи'!I81</f>
        <v>0.47528517110266161</v>
      </c>
      <c r="J23" s="1932">
        <f>'2. Променливи'!J80/'2. Променливи'!J81</f>
        <v>0.69860279441117767</v>
      </c>
      <c r="K23" s="1933">
        <f>'2. Променливи'!K80/'2. Променливи'!K81</f>
        <v>0.94142259414225937</v>
      </c>
      <c r="L23" s="735">
        <v>2</v>
      </c>
      <c r="M23" s="735">
        <v>1</v>
      </c>
      <c r="N23" s="3154">
        <v>90</v>
      </c>
      <c r="O23" s="2026">
        <v>1</v>
      </c>
    </row>
    <row r="24" spans="1:15" ht="14.25">
      <c r="A24" s="672">
        <v>18</v>
      </c>
      <c r="B24" s="670" t="s">
        <v>151</v>
      </c>
      <c r="C24" s="48" t="s">
        <v>1036</v>
      </c>
      <c r="D24" s="668" t="s">
        <v>226</v>
      </c>
      <c r="E24" s="401">
        <f>'2. Променливи'!E76/'2. Променливи'!E23</f>
        <v>7.3464590067587425E-3</v>
      </c>
      <c r="F24" s="402">
        <f>'2. Променливи'!F76/'2. Променливи'!F23</f>
        <v>1.5574493094328533E-2</v>
      </c>
      <c r="G24" s="402">
        <f>'2. Променливи'!G76/'2. Променливи'!G23</f>
        <v>1.5569917743830788E-2</v>
      </c>
      <c r="H24" s="1932">
        <f>'2. Променливи'!H76/'2. Променливи'!H23</f>
        <v>1.5569917743830788E-2</v>
      </c>
      <c r="I24" s="1932">
        <f>'2. Променливи'!I76/'2. Променливи'!I23</f>
        <v>1.6451233842538191E-2</v>
      </c>
      <c r="J24" s="1932">
        <f>'2. Променливи'!J76/'2. Променливи'!J23</f>
        <v>1.644640234948605E-2</v>
      </c>
      <c r="K24" s="1933">
        <f>'2. Променливи'!K76/'2. Променливи'!K23</f>
        <v>1.7033773861967694E-2</v>
      </c>
      <c r="L24" s="735">
        <v>1</v>
      </c>
      <c r="M24" s="735">
        <v>1</v>
      </c>
      <c r="N24" s="3154">
        <v>0.88</v>
      </c>
      <c r="O24" s="2028">
        <v>1.2500000000000001E-2</v>
      </c>
    </row>
    <row r="25" spans="1:15" ht="14.25">
      <c r="A25" s="672">
        <v>19</v>
      </c>
      <c r="B25" s="670" t="s">
        <v>1044</v>
      </c>
      <c r="C25" s="48" t="s">
        <v>1045</v>
      </c>
      <c r="D25" s="668" t="s">
        <v>226</v>
      </c>
      <c r="E25" s="401">
        <f>'2. Променливи'!E77/'2. Променливи'!E23</f>
        <v>4.6429620922715249E-2</v>
      </c>
      <c r="F25" s="401">
        <f>'2. Променливи'!F77/'2. Променливи'!F23</f>
        <v>4.7017337643255948E-2</v>
      </c>
      <c r="G25" s="401">
        <f>'2. Променливи'!G77/'2. Променливи'!G23</f>
        <v>4.9941245593419503E-2</v>
      </c>
      <c r="H25" s="1938">
        <f>'2. Променливи'!H77/'2. Променливи'!H23</f>
        <v>4.9941245593419503E-2</v>
      </c>
      <c r="I25" s="1938">
        <f>'2. Променливи'!I77/'2. Променливи'!I23</f>
        <v>5.1410105757931847E-2</v>
      </c>
      <c r="J25" s="1938">
        <f>'2. Променливи'!J77/'2. Променливи'!J23</f>
        <v>5.1395007342143903E-2</v>
      </c>
      <c r="K25" s="1938">
        <f>'2. Променливи'!K77/'2. Променливи'!K23</f>
        <v>5.2863436123348019E-2</v>
      </c>
      <c r="L25" s="735">
        <v>1</v>
      </c>
      <c r="M25" s="735">
        <v>1</v>
      </c>
      <c r="N25" s="3154">
        <v>1.71</v>
      </c>
      <c r="O25" s="2028">
        <v>1.2500000000000001E-2</v>
      </c>
    </row>
    <row r="26" spans="1:15" ht="14.25">
      <c r="A26" s="672">
        <v>20</v>
      </c>
      <c r="B26" s="670" t="s">
        <v>152</v>
      </c>
      <c r="C26" s="48" t="s">
        <v>55</v>
      </c>
      <c r="D26" s="668" t="s">
        <v>1472</v>
      </c>
      <c r="E26" s="403">
        <f>'2. Променливи'!E82/'2. Променливи'!E83</f>
        <v>0.81755006242306216</v>
      </c>
      <c r="F26" s="404">
        <f>'2. Променливи'!F82/'2. Променливи'!F83</f>
        <v>0.78640112901680814</v>
      </c>
      <c r="G26" s="404">
        <f>'2. Променливи'!G82/'2. Променливи'!G83</f>
        <v>1.0639583067162981</v>
      </c>
      <c r="H26" s="1934">
        <f>'2. Променливи'!H82/'2. Променливи'!H83</f>
        <v>1.0704794530244797</v>
      </c>
      <c r="I26" s="1934">
        <f>'2. Променливи'!I82/'2. Променливи'!I83</f>
        <v>1.0774399984634275</v>
      </c>
      <c r="J26" s="1934">
        <f>'2. Променливи'!J82/'2. Променливи'!J83</f>
        <v>1.0846140333543854</v>
      </c>
      <c r="K26" s="1935">
        <f>'2. Променливи'!K82/'2. Променливи'!K83</f>
        <v>1.0918767789707644</v>
      </c>
      <c r="L26" s="735">
        <v>1</v>
      </c>
      <c r="M26" s="735">
        <v>1</v>
      </c>
      <c r="N26" s="3154">
        <v>1.1000000000000001</v>
      </c>
      <c r="O26" s="2027">
        <v>1.1000000000000001</v>
      </c>
    </row>
    <row r="27" spans="1:15" ht="14.25">
      <c r="A27" s="672">
        <v>21</v>
      </c>
      <c r="B27" s="670" t="s">
        <v>153</v>
      </c>
      <c r="C27" s="48" t="s">
        <v>58</v>
      </c>
      <c r="D27" s="668" t="s">
        <v>1472</v>
      </c>
      <c r="E27" s="403">
        <f>'2. Променливи'!E84/'2. Променливи'!E85</f>
        <v>0.71509577587584561</v>
      </c>
      <c r="F27" s="404">
        <f>'2. Променливи'!F84/'2. Променливи'!F85</f>
        <v>0.71177401028653242</v>
      </c>
      <c r="G27" s="404">
        <f>'2. Променливи'!G84/'2. Променливи'!G85</f>
        <v>1.0508352945508312</v>
      </c>
      <c r="H27" s="1934">
        <f>'2. Променливи'!H84/'2. Променливи'!H85</f>
        <v>1.0583176318533045</v>
      </c>
      <c r="I27" s="1934">
        <f>'2. Променливи'!I84/'2. Променливи'!I85</f>
        <v>1.0707661653655858</v>
      </c>
      <c r="J27" s="1934">
        <f>'2. Променливи'!J84/'2. Променливи'!J85</f>
        <v>1.0815155524947329</v>
      </c>
      <c r="K27" s="1935">
        <f>'2. Променливи'!K84/'2. Променливи'!K85</f>
        <v>1.0898645505026523</v>
      </c>
      <c r="L27" s="735">
        <v>1</v>
      </c>
      <c r="M27" s="735">
        <v>1</v>
      </c>
      <c r="N27" s="3154">
        <v>1.1000000000000001</v>
      </c>
      <c r="O27" s="2027">
        <v>1.1000000000000001</v>
      </c>
    </row>
    <row r="28" spans="1:15" ht="14.25">
      <c r="A28" s="672">
        <v>22</v>
      </c>
      <c r="B28" s="670" t="s">
        <v>154</v>
      </c>
      <c r="C28" s="48" t="s">
        <v>61</v>
      </c>
      <c r="D28" s="668" t="s">
        <v>1472</v>
      </c>
      <c r="E28" s="403">
        <f>'2. Променливи'!E86/'2. Променливи'!E87</f>
        <v>0.87203962863043827</v>
      </c>
      <c r="F28" s="404">
        <f>'2. Променливи'!F86/'2. Променливи'!F87</f>
        <v>0.76798653694007013</v>
      </c>
      <c r="G28" s="404">
        <f>'2. Променливи'!G86/'2. Променливи'!G87</f>
        <v>1.0348288744875376</v>
      </c>
      <c r="H28" s="1934">
        <f>'2. Променливи'!H86/'2. Променливи'!H87</f>
        <v>1.0497367113882012</v>
      </c>
      <c r="I28" s="1934">
        <f>'2. Променливи'!I86/'2. Променливи'!I87</f>
        <v>1.0637246327802294</v>
      </c>
      <c r="J28" s="1934">
        <f>'2. Променливи'!J86/'2. Променливи'!J87</f>
        <v>1.0770497519482816</v>
      </c>
      <c r="K28" s="1935">
        <f>'2. Променливи'!K86/'2. Променливи'!K87</f>
        <v>1.0884305663514002</v>
      </c>
      <c r="L28" s="735">
        <v>1</v>
      </c>
      <c r="M28" s="735">
        <v>1</v>
      </c>
      <c r="N28" s="3154">
        <v>1.1000000000000001</v>
      </c>
      <c r="O28" s="2027">
        <v>1.1000000000000001</v>
      </c>
    </row>
    <row r="29" spans="1:15" ht="14.25">
      <c r="A29" s="672">
        <v>23</v>
      </c>
      <c r="B29" s="670" t="s">
        <v>155</v>
      </c>
      <c r="C29" s="48" t="s">
        <v>1037</v>
      </c>
      <c r="D29" s="668" t="s">
        <v>226</v>
      </c>
      <c r="E29" s="401">
        <f>('2. Променливи'!E88-('2. Променливи'!E89-'2. Променливи'!E90))/('2. Променливи'!E88+'2. Променливи'!E90)</f>
        <v>0.80559203934966805</v>
      </c>
      <c r="F29" s="402">
        <f>('2. Променливи'!F88-('2. Променливи'!F89-'2. Променливи'!F90))/('2. Променливи'!F88+'2. Променливи'!F90)</f>
        <v>0.84345010830370459</v>
      </c>
      <c r="G29" s="402">
        <f>('2. Променливи'!G88-('2. Променливи'!G89-'2. Променливи'!G90))/('2. Променливи'!G88+'2. Променливи'!G90)</f>
        <v>0.84479023423442723</v>
      </c>
      <c r="H29" s="1932">
        <f>('2. Променливи'!H88-('2. Променливи'!H89-'2. Променливи'!H90))/('2. Променливи'!H88+'2. Променливи'!H90)</f>
        <v>0.84768266226895428</v>
      </c>
      <c r="I29" s="1932">
        <f>('2. Променливи'!I88-('2. Променливи'!I89-'2. Променливи'!I90))/('2. Променливи'!I88+'2. Променливи'!I90)</f>
        <v>0.84841558197594213</v>
      </c>
      <c r="J29" s="1932">
        <f>('2. Променливи'!J88-('2. Променливи'!J89-'2. Променливи'!J90))/('2. Променливи'!J88+'2. Променливи'!J90)</f>
        <v>0.84986046313010588</v>
      </c>
      <c r="K29" s="1933">
        <f>('2. Променливи'!K88-('2. Променливи'!K89-'2. Променливи'!K90))/('2. Променливи'!K88+'2. Променливи'!K90)</f>
        <v>0.85057262340085993</v>
      </c>
      <c r="L29" s="735">
        <v>1</v>
      </c>
      <c r="M29" s="735">
        <v>1</v>
      </c>
      <c r="N29" s="3154">
        <v>77.61</v>
      </c>
      <c r="O29" s="2026">
        <v>0.95</v>
      </c>
    </row>
    <row r="30" spans="1:15" ht="14.25">
      <c r="A30" s="672">
        <v>24</v>
      </c>
      <c r="B30" s="670" t="s">
        <v>1046</v>
      </c>
      <c r="C30" s="48" t="s">
        <v>1048</v>
      </c>
      <c r="D30" s="668" t="s">
        <v>226</v>
      </c>
      <c r="E30" s="401">
        <f>'2. Променливи'!E72/'2. Променливи'!E27</f>
        <v>1.4056356059517433E-2</v>
      </c>
      <c r="F30" s="401">
        <f>'2. Променливи'!F72/'2. Променливи'!F27</f>
        <v>0.14024132091447924</v>
      </c>
      <c r="G30" s="401">
        <f>'2. Променливи'!G72/'2. Променливи'!G27</f>
        <v>0.14024132091447924</v>
      </c>
      <c r="H30" s="1938">
        <f>'2. Променливи'!H72/'2. Променливи'!H27</f>
        <v>0.14024132091447924</v>
      </c>
      <c r="I30" s="1938">
        <f>'2. Променливи'!I72/'2. Променливи'!I27</f>
        <v>0.14024132091447924</v>
      </c>
      <c r="J30" s="1938">
        <f>'2. Променливи'!J72/'2. Променливи'!J27</f>
        <v>0.14024132091447924</v>
      </c>
      <c r="K30" s="1939">
        <f>'2. Променливи'!K72/'2. Променливи'!K27</f>
        <v>0.14024132091447924</v>
      </c>
      <c r="L30" s="735">
        <v>1</v>
      </c>
      <c r="M30" s="735">
        <v>1</v>
      </c>
      <c r="N30" s="3154">
        <v>14</v>
      </c>
      <c r="O30" s="2026">
        <v>0.2</v>
      </c>
    </row>
    <row r="31" spans="1:15" ht="14.25">
      <c r="A31" s="672">
        <v>25</v>
      </c>
      <c r="B31" s="670" t="s">
        <v>1047</v>
      </c>
      <c r="C31" s="48" t="s">
        <v>1049</v>
      </c>
      <c r="D31" s="668" t="s">
        <v>226</v>
      </c>
      <c r="E31" s="401">
        <f>'2. Променливи'!E73/'2. Променливи'!E27</f>
        <v>0.29844935923395471</v>
      </c>
      <c r="F31" s="401">
        <f>'2. Променливи'!F73/'2. Променливи'!F27</f>
        <v>0.3577344411515665</v>
      </c>
      <c r="G31" s="401">
        <f>'2. Променливи'!G73/'2. Променливи'!G27</f>
        <v>0.41516723116003384</v>
      </c>
      <c r="H31" s="1938">
        <f>'2. Променливи'!H73/'2. Променливи'!H27</f>
        <v>0.46337849280270954</v>
      </c>
      <c r="I31" s="1938">
        <f>'2. Променливи'!I73/'2. Променливи'!I27</f>
        <v>0.51890611769686701</v>
      </c>
      <c r="J31" s="1938">
        <f>'2. Променливи'!J73/'2. Променливи'!J27</f>
        <v>0.55847798475867905</v>
      </c>
      <c r="K31" s="1939">
        <f>'2. Променливи'!K73/'2. Променливи'!K27</f>
        <v>0.56641617273497036</v>
      </c>
      <c r="L31" s="735">
        <v>1</v>
      </c>
      <c r="M31" s="735">
        <v>1</v>
      </c>
      <c r="N31" s="3154">
        <v>55.6</v>
      </c>
      <c r="O31" s="2026">
        <v>0.9</v>
      </c>
    </row>
    <row r="32" spans="1:15" ht="14.25">
      <c r="A32" s="672">
        <v>26</v>
      </c>
      <c r="B32" s="670" t="s">
        <v>156</v>
      </c>
      <c r="C32" s="121" t="s">
        <v>1038</v>
      </c>
      <c r="D32" s="668" t="s">
        <v>226</v>
      </c>
      <c r="E32" s="401">
        <f>'2. Променливи'!E91/'2. Променливи'!E95</f>
        <v>0.77637130801687759</v>
      </c>
      <c r="F32" s="402">
        <f>'2. Променливи'!F91/'2. Променливи'!F95</f>
        <v>1</v>
      </c>
      <c r="G32" s="402">
        <f>'2. Променливи'!G91/'2. Променливи'!G95</f>
        <v>1</v>
      </c>
      <c r="H32" s="1932">
        <f>'2. Променливи'!H91/'2. Променливи'!H95</f>
        <v>1</v>
      </c>
      <c r="I32" s="1932">
        <f>'2. Променливи'!I91/'2. Променливи'!I95</f>
        <v>1</v>
      </c>
      <c r="J32" s="1932">
        <f>'2. Променливи'!J91/'2. Променливи'!J95</f>
        <v>1</v>
      </c>
      <c r="K32" s="1933">
        <f>'2. Променливи'!K91/'2. Променливи'!K95</f>
        <v>1</v>
      </c>
      <c r="L32" s="735">
        <v>1</v>
      </c>
      <c r="M32" s="735">
        <v>1</v>
      </c>
      <c r="N32" s="3154">
        <v>100</v>
      </c>
      <c r="O32" s="2026">
        <v>1</v>
      </c>
    </row>
    <row r="33" spans="1:15" ht="14.25">
      <c r="A33" s="672">
        <v>27</v>
      </c>
      <c r="B33" s="670" t="s">
        <v>157</v>
      </c>
      <c r="C33" s="121" t="s">
        <v>1039</v>
      </c>
      <c r="D33" s="668" t="s">
        <v>226</v>
      </c>
      <c r="E33" s="401">
        <f>'2. Променливи'!E107/'2. Променливи'!E108</f>
        <v>0.42446043165467628</v>
      </c>
      <c r="F33" s="402">
        <f>'2. Променливи'!F107/'2. Променливи'!F108</f>
        <v>0.5357142857142857</v>
      </c>
      <c r="G33" s="402">
        <f>'2. Променливи'!G107/'2. Променливи'!G108</f>
        <v>1</v>
      </c>
      <c r="H33" s="1932">
        <f>'2. Променливи'!H107/'2. Променливи'!H108</f>
        <v>1</v>
      </c>
      <c r="I33" s="1932">
        <f>'2. Променливи'!I107/'2. Променливи'!I108</f>
        <v>1</v>
      </c>
      <c r="J33" s="1932">
        <f>'2. Променливи'!J107/'2. Променливи'!J108</f>
        <v>1</v>
      </c>
      <c r="K33" s="1933">
        <f>'2. Променливи'!K107/'2. Променливи'!K108</f>
        <v>1</v>
      </c>
      <c r="L33" s="735">
        <v>1</v>
      </c>
      <c r="M33" s="735">
        <v>1</v>
      </c>
      <c r="N33" s="3154">
        <v>100</v>
      </c>
      <c r="O33" s="2026">
        <v>1</v>
      </c>
    </row>
    <row r="34" spans="1:15" ht="14.25">
      <c r="A34" s="672">
        <v>28</v>
      </c>
      <c r="B34" s="670" t="s">
        <v>158</v>
      </c>
      <c r="C34" s="48" t="s">
        <v>1040</v>
      </c>
      <c r="D34" s="668" t="s">
        <v>226</v>
      </c>
      <c r="E34" s="401">
        <f>'2. Променливи'!E109/'2. Променливи'!E110</f>
        <v>1</v>
      </c>
      <c r="F34" s="402">
        <f>'2. Променливи'!F109/'2. Променливи'!F110</f>
        <v>1</v>
      </c>
      <c r="G34" s="402">
        <f>'2. Променливи'!G109/'2. Променливи'!G110</f>
        <v>1</v>
      </c>
      <c r="H34" s="1932">
        <f>'2. Променливи'!H109/'2. Променливи'!H110</f>
        <v>1</v>
      </c>
      <c r="I34" s="1932">
        <f>'2. Променливи'!I109/'2. Променливи'!I110</f>
        <v>1</v>
      </c>
      <c r="J34" s="1932">
        <f>'2. Променливи'!J109/'2. Променливи'!J110</f>
        <v>1</v>
      </c>
      <c r="K34" s="1933">
        <f>'2. Променливи'!K109/'2. Променливи'!K110</f>
        <v>1</v>
      </c>
      <c r="L34" s="735">
        <v>1</v>
      </c>
      <c r="M34" s="735">
        <v>1</v>
      </c>
      <c r="N34" s="3154">
        <v>100</v>
      </c>
      <c r="O34" s="2026">
        <v>1</v>
      </c>
    </row>
    <row r="35" spans="1:15" ht="14.25">
      <c r="A35" s="672">
        <v>29</v>
      </c>
      <c r="B35" s="670" t="s">
        <v>159</v>
      </c>
      <c r="C35" s="121" t="s">
        <v>1041</v>
      </c>
      <c r="D35" s="668" t="s">
        <v>1016</v>
      </c>
      <c r="E35" s="403">
        <f>'2. Променливи'!E111/'2. Променливи'!E26*1000</f>
        <v>5.9177781551685849</v>
      </c>
      <c r="F35" s="404">
        <f>'2. Променливи'!F111/'2. Променливи'!F26*1000</f>
        <v>5.9933319220999159</v>
      </c>
      <c r="G35" s="404">
        <f>'2. Променливи'!G111/'2. Променливи'!G26*1000</f>
        <v>5.4773497036409822</v>
      </c>
      <c r="H35" s="1936">
        <f>'2. Променливи'!H111/'2. Променливи'!H26*1000</f>
        <v>5.4376587637595257</v>
      </c>
      <c r="I35" s="1934">
        <f>'2. Променливи'!I111/'2. Променливи'!I26*1000</f>
        <v>5.4376587637595257</v>
      </c>
      <c r="J35" s="1934">
        <f>'2. Променливи'!J111/'2. Променливи'!J26*1000</f>
        <v>5.3979678238780693</v>
      </c>
      <c r="K35" s="1937">
        <f>'2. Променливи'!K111/'2. Променливи'!K26*1000</f>
        <v>5.3715071972904314</v>
      </c>
      <c r="L35" s="735">
        <v>1</v>
      </c>
      <c r="M35" s="735">
        <v>1</v>
      </c>
      <c r="N35" s="3154">
        <v>6.71</v>
      </c>
      <c r="O35" s="2027">
        <v>4</v>
      </c>
    </row>
    <row r="36" spans="1:15" ht="21.75" customHeight="1" thickBot="1">
      <c r="A36" s="673">
        <v>30</v>
      </c>
      <c r="B36" s="671" t="s">
        <v>160</v>
      </c>
      <c r="C36" s="122" t="s">
        <v>1042</v>
      </c>
      <c r="D36" s="674" t="s">
        <v>1017</v>
      </c>
      <c r="E36" s="409">
        <f>'2. Променливи'!E112/'2. Променливи'!E28*1000</f>
        <v>8.848977451494493</v>
      </c>
      <c r="F36" s="409">
        <f>'2. Променливи'!F112/'2. Променливи'!F28*1000</f>
        <v>8.6856171039844501</v>
      </c>
      <c r="G36" s="409">
        <f>'2. Променливи'!G112/'2. Променливи'!G28*1000</f>
        <v>9.2930029154518952</v>
      </c>
      <c r="H36" s="1946">
        <f>'2. Променливи'!H112/'2. Променливи'!H28*1000</f>
        <v>9.2930029154518952</v>
      </c>
      <c r="I36" s="1946">
        <f>'2. Променливи'!I112/'2. Променливи'!I28*1000</f>
        <v>9.2924385059216519</v>
      </c>
      <c r="J36" s="1946">
        <f>'2. Променливи'!J112/'2. Променливи'!J28*1000</f>
        <v>9.291309892512297</v>
      </c>
      <c r="K36" s="1947">
        <f>'2. Променливи'!K112/'2. Променливи'!K28*1000</f>
        <v>9.2901815532212026</v>
      </c>
      <c r="L36" s="736">
        <v>1</v>
      </c>
      <c r="M36" s="736">
        <v>1</v>
      </c>
      <c r="N36" s="3155">
        <v>3.69</v>
      </c>
      <c r="O36" s="2029">
        <v>3</v>
      </c>
    </row>
    <row r="37" spans="1:15">
      <c r="F37" s="1195"/>
      <c r="G37" s="1195"/>
      <c r="H37" s="1195"/>
    </row>
    <row r="38" spans="1:15">
      <c r="E38" s="1195"/>
    </row>
    <row r="39" spans="1:15">
      <c r="E39" s="1195"/>
      <c r="F39" s="1195"/>
      <c r="G39" s="1195"/>
      <c r="H39" s="1195"/>
    </row>
    <row r="40" spans="1:15">
      <c r="E40" s="1195"/>
      <c r="F40" s="1195"/>
      <c r="G40" s="1195"/>
      <c r="H40" s="1195"/>
    </row>
    <row r="41" spans="1:15">
      <c r="C41" s="234" t="str">
        <f>'2. Променливи'!C117</f>
        <v>Дата: 10.11.2017 г.</v>
      </c>
    </row>
    <row r="42" spans="1:15">
      <c r="E42" s="233" t="str">
        <f>'2. Променливи'!E115</f>
        <v>Главен счетоводител:</v>
      </c>
      <c r="G42" s="2" t="s">
        <v>4</v>
      </c>
    </row>
    <row r="43" spans="1:15">
      <c r="H43" s="2" t="s">
        <v>246</v>
      </c>
    </row>
    <row r="46" spans="1:15">
      <c r="F46" s="233" t="str">
        <f>'2. Променливи'!F118</f>
        <v>Управител:</v>
      </c>
      <c r="G46" s="2" t="s">
        <v>4</v>
      </c>
    </row>
    <row r="47" spans="1:15">
      <c r="A47" s="679" t="s">
        <v>757</v>
      </c>
      <c r="H47" s="2" t="s">
        <v>6</v>
      </c>
    </row>
    <row r="48" spans="1:15">
      <c r="A48" s="681" t="s">
        <v>248</v>
      </c>
    </row>
    <row r="49" spans="1:1">
      <c r="A49" s="681" t="s">
        <v>1533</v>
      </c>
    </row>
    <row r="50" spans="1:1">
      <c r="A50" s="3074" t="s">
        <v>1534</v>
      </c>
    </row>
  </sheetData>
  <sheetProtection password="C6DB" sheet="1" objects="1" scenarios="1" formatCells="0" formatColumns="0" formatRows="0"/>
  <mergeCells count="3">
    <mergeCell ref="A2:L2"/>
    <mergeCell ref="A3:L3"/>
    <mergeCell ref="A4:L4"/>
  </mergeCells>
  <printOptions horizontalCentered="1"/>
  <pageMargins left="0.23622047244094491" right="0.23622047244094491" top="0.82677165354330717" bottom="0.51181102362204722" header="0.31496062992125984" footer="0.31496062992125984"/>
  <pageSetup paperSize="9" scale="58" fitToHeight="4" orientation="landscape" r:id="rId1"/>
  <headerFooter alignWithMargins="0">
    <oddFooter>&amp;R&amp;P</oddFooter>
  </headerFooter>
  <ignoredErrors>
    <ignoredError sqref="E7:K11 E16:K18 E32:K34 E20:K24 E26:K29 E36:K36 E35:G35" evalErro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pageSetUpPr fitToPage="1"/>
  </sheetPr>
  <dimension ref="A1:Q84"/>
  <sheetViews>
    <sheetView view="pageBreakPreview" zoomScale="85" zoomScaleNormal="85" zoomScaleSheetLayoutView="85" workbookViewId="0">
      <pane xSplit="10" ySplit="8" topLeftCell="K9" activePane="bottomRight" state="frozen"/>
      <selection pane="topRight" activeCell="K1" sqref="K1"/>
      <selection pane="bottomLeft" activeCell="A9" sqref="A9"/>
      <selection pane="bottomRight" activeCell="F15" sqref="F15"/>
    </sheetView>
  </sheetViews>
  <sheetFormatPr defaultRowHeight="12.75"/>
  <cols>
    <col min="1" max="1" width="7" style="412" customWidth="1"/>
    <col min="2" max="2" width="56.42578125" style="414" customWidth="1"/>
    <col min="3" max="3" width="10.28515625" style="414" customWidth="1"/>
    <col min="4" max="10" width="10.7109375" style="414" customWidth="1"/>
    <col min="11" max="11" width="5.28515625" style="414" customWidth="1"/>
    <col min="12" max="12" width="9.7109375" style="414" bestFit="1" customWidth="1"/>
    <col min="13" max="255" width="9.140625" style="414"/>
    <col min="256" max="256" width="5.28515625" style="414" customWidth="1"/>
    <col min="257" max="257" width="56.42578125" style="414" customWidth="1"/>
    <col min="258" max="258" width="10.28515625" style="414" customWidth="1"/>
    <col min="259" max="265" width="10.7109375" style="414" customWidth="1"/>
    <col min="266" max="266" width="9.140625" style="414"/>
    <col min="267" max="267" width="11.28515625" style="414" bestFit="1" customWidth="1"/>
    <col min="268" max="268" width="9.7109375" style="414" bestFit="1" customWidth="1"/>
    <col min="269" max="511" width="9.140625" style="414"/>
    <col min="512" max="512" width="5.28515625" style="414" customWidth="1"/>
    <col min="513" max="513" width="56.42578125" style="414" customWidth="1"/>
    <col min="514" max="514" width="10.28515625" style="414" customWidth="1"/>
    <col min="515" max="521" width="10.7109375" style="414" customWidth="1"/>
    <col min="522" max="522" width="9.140625" style="414"/>
    <col min="523" max="523" width="11.28515625" style="414" bestFit="1" customWidth="1"/>
    <col min="524" max="524" width="9.7109375" style="414" bestFit="1" customWidth="1"/>
    <col min="525" max="767" width="9.140625" style="414"/>
    <col min="768" max="768" width="5.28515625" style="414" customWidth="1"/>
    <col min="769" max="769" width="56.42578125" style="414" customWidth="1"/>
    <col min="770" max="770" width="10.28515625" style="414" customWidth="1"/>
    <col min="771" max="777" width="10.7109375" style="414" customWidth="1"/>
    <col min="778" max="778" width="9.140625" style="414"/>
    <col min="779" max="779" width="11.28515625" style="414" bestFit="1" customWidth="1"/>
    <col min="780" max="780" width="9.7109375" style="414" bestFit="1" customWidth="1"/>
    <col min="781" max="1023" width="9.140625" style="414"/>
    <col min="1024" max="1024" width="5.28515625" style="414" customWidth="1"/>
    <col min="1025" max="1025" width="56.42578125" style="414" customWidth="1"/>
    <col min="1026" max="1026" width="10.28515625" style="414" customWidth="1"/>
    <col min="1027" max="1033" width="10.7109375" style="414" customWidth="1"/>
    <col min="1034" max="1034" width="9.140625" style="414"/>
    <col min="1035" max="1035" width="11.28515625" style="414" bestFit="1" customWidth="1"/>
    <col min="1036" max="1036" width="9.7109375" style="414" bestFit="1" customWidth="1"/>
    <col min="1037" max="1279" width="9.140625" style="414"/>
    <col min="1280" max="1280" width="5.28515625" style="414" customWidth="1"/>
    <col min="1281" max="1281" width="56.42578125" style="414" customWidth="1"/>
    <col min="1282" max="1282" width="10.28515625" style="414" customWidth="1"/>
    <col min="1283" max="1289" width="10.7109375" style="414" customWidth="1"/>
    <col min="1290" max="1290" width="9.140625" style="414"/>
    <col min="1291" max="1291" width="11.28515625" style="414" bestFit="1" customWidth="1"/>
    <col min="1292" max="1292" width="9.7109375" style="414" bestFit="1" customWidth="1"/>
    <col min="1293" max="1535" width="9.140625" style="414"/>
    <col min="1536" max="1536" width="5.28515625" style="414" customWidth="1"/>
    <col min="1537" max="1537" width="56.42578125" style="414" customWidth="1"/>
    <col min="1538" max="1538" width="10.28515625" style="414" customWidth="1"/>
    <col min="1539" max="1545" width="10.7109375" style="414" customWidth="1"/>
    <col min="1546" max="1546" width="9.140625" style="414"/>
    <col min="1547" max="1547" width="11.28515625" style="414" bestFit="1" customWidth="1"/>
    <col min="1548" max="1548" width="9.7109375" style="414" bestFit="1" customWidth="1"/>
    <col min="1549" max="1791" width="9.140625" style="414"/>
    <col min="1792" max="1792" width="5.28515625" style="414" customWidth="1"/>
    <col min="1793" max="1793" width="56.42578125" style="414" customWidth="1"/>
    <col min="1794" max="1794" width="10.28515625" style="414" customWidth="1"/>
    <col min="1795" max="1801" width="10.7109375" style="414" customWidth="1"/>
    <col min="1802" max="1802" width="9.140625" style="414"/>
    <col min="1803" max="1803" width="11.28515625" style="414" bestFit="1" customWidth="1"/>
    <col min="1804" max="1804" width="9.7109375" style="414" bestFit="1" customWidth="1"/>
    <col min="1805" max="2047" width="9.140625" style="414"/>
    <col min="2048" max="2048" width="5.28515625" style="414" customWidth="1"/>
    <col min="2049" max="2049" width="56.42578125" style="414" customWidth="1"/>
    <col min="2050" max="2050" width="10.28515625" style="414" customWidth="1"/>
    <col min="2051" max="2057" width="10.7109375" style="414" customWidth="1"/>
    <col min="2058" max="2058" width="9.140625" style="414"/>
    <col min="2059" max="2059" width="11.28515625" style="414" bestFit="1" customWidth="1"/>
    <col min="2060" max="2060" width="9.7109375" style="414" bestFit="1" customWidth="1"/>
    <col min="2061" max="2303" width="9.140625" style="414"/>
    <col min="2304" max="2304" width="5.28515625" style="414" customWidth="1"/>
    <col min="2305" max="2305" width="56.42578125" style="414" customWidth="1"/>
    <col min="2306" max="2306" width="10.28515625" style="414" customWidth="1"/>
    <col min="2307" max="2313" width="10.7109375" style="414" customWidth="1"/>
    <col min="2314" max="2314" width="9.140625" style="414"/>
    <col min="2315" max="2315" width="11.28515625" style="414" bestFit="1" customWidth="1"/>
    <col min="2316" max="2316" width="9.7109375" style="414" bestFit="1" customWidth="1"/>
    <col min="2317" max="2559" width="9.140625" style="414"/>
    <col min="2560" max="2560" width="5.28515625" style="414" customWidth="1"/>
    <col min="2561" max="2561" width="56.42578125" style="414" customWidth="1"/>
    <col min="2562" max="2562" width="10.28515625" style="414" customWidth="1"/>
    <col min="2563" max="2569" width="10.7109375" style="414" customWidth="1"/>
    <col min="2570" max="2570" width="9.140625" style="414"/>
    <col min="2571" max="2571" width="11.28515625" style="414" bestFit="1" customWidth="1"/>
    <col min="2572" max="2572" width="9.7109375" style="414" bestFit="1" customWidth="1"/>
    <col min="2573" max="2815" width="9.140625" style="414"/>
    <col min="2816" max="2816" width="5.28515625" style="414" customWidth="1"/>
    <col min="2817" max="2817" width="56.42578125" style="414" customWidth="1"/>
    <col min="2818" max="2818" width="10.28515625" style="414" customWidth="1"/>
    <col min="2819" max="2825" width="10.7109375" style="414" customWidth="1"/>
    <col min="2826" max="2826" width="9.140625" style="414"/>
    <col min="2827" max="2827" width="11.28515625" style="414" bestFit="1" customWidth="1"/>
    <col min="2828" max="2828" width="9.7109375" style="414" bestFit="1" customWidth="1"/>
    <col min="2829" max="3071" width="9.140625" style="414"/>
    <col min="3072" max="3072" width="5.28515625" style="414" customWidth="1"/>
    <col min="3073" max="3073" width="56.42578125" style="414" customWidth="1"/>
    <col min="3074" max="3074" width="10.28515625" style="414" customWidth="1"/>
    <col min="3075" max="3081" width="10.7109375" style="414" customWidth="1"/>
    <col min="3082" max="3082" width="9.140625" style="414"/>
    <col min="3083" max="3083" width="11.28515625" style="414" bestFit="1" customWidth="1"/>
    <col min="3084" max="3084" width="9.7109375" style="414" bestFit="1" customWidth="1"/>
    <col min="3085" max="3327" width="9.140625" style="414"/>
    <col min="3328" max="3328" width="5.28515625" style="414" customWidth="1"/>
    <col min="3329" max="3329" width="56.42578125" style="414" customWidth="1"/>
    <col min="3330" max="3330" width="10.28515625" style="414" customWidth="1"/>
    <col min="3331" max="3337" width="10.7109375" style="414" customWidth="1"/>
    <col min="3338" max="3338" width="9.140625" style="414"/>
    <col min="3339" max="3339" width="11.28515625" style="414" bestFit="1" customWidth="1"/>
    <col min="3340" max="3340" width="9.7109375" style="414" bestFit="1" customWidth="1"/>
    <col min="3341" max="3583" width="9.140625" style="414"/>
    <col min="3584" max="3584" width="5.28515625" style="414" customWidth="1"/>
    <col min="3585" max="3585" width="56.42578125" style="414" customWidth="1"/>
    <col min="3586" max="3586" width="10.28515625" style="414" customWidth="1"/>
    <col min="3587" max="3593" width="10.7109375" style="414" customWidth="1"/>
    <col min="3594" max="3594" width="9.140625" style="414"/>
    <col min="3595" max="3595" width="11.28515625" style="414" bestFit="1" customWidth="1"/>
    <col min="3596" max="3596" width="9.7109375" style="414" bestFit="1" customWidth="1"/>
    <col min="3597" max="3839" width="9.140625" style="414"/>
    <col min="3840" max="3840" width="5.28515625" style="414" customWidth="1"/>
    <col min="3841" max="3841" width="56.42578125" style="414" customWidth="1"/>
    <col min="3842" max="3842" width="10.28515625" style="414" customWidth="1"/>
    <col min="3843" max="3849" width="10.7109375" style="414" customWidth="1"/>
    <col min="3850" max="3850" width="9.140625" style="414"/>
    <col min="3851" max="3851" width="11.28515625" style="414" bestFit="1" customWidth="1"/>
    <col min="3852" max="3852" width="9.7109375" style="414" bestFit="1" customWidth="1"/>
    <col min="3853" max="4095" width="9.140625" style="414"/>
    <col min="4096" max="4096" width="5.28515625" style="414" customWidth="1"/>
    <col min="4097" max="4097" width="56.42578125" style="414" customWidth="1"/>
    <col min="4098" max="4098" width="10.28515625" style="414" customWidth="1"/>
    <col min="4099" max="4105" width="10.7109375" style="414" customWidth="1"/>
    <col min="4106" max="4106" width="9.140625" style="414"/>
    <col min="4107" max="4107" width="11.28515625" style="414" bestFit="1" customWidth="1"/>
    <col min="4108" max="4108" width="9.7109375" style="414" bestFit="1" customWidth="1"/>
    <col min="4109" max="4351" width="9.140625" style="414"/>
    <col min="4352" max="4352" width="5.28515625" style="414" customWidth="1"/>
    <col min="4353" max="4353" width="56.42578125" style="414" customWidth="1"/>
    <col min="4354" max="4354" width="10.28515625" style="414" customWidth="1"/>
    <col min="4355" max="4361" width="10.7109375" style="414" customWidth="1"/>
    <col min="4362" max="4362" width="9.140625" style="414"/>
    <col min="4363" max="4363" width="11.28515625" style="414" bestFit="1" customWidth="1"/>
    <col min="4364" max="4364" width="9.7109375" style="414" bestFit="1" customWidth="1"/>
    <col min="4365" max="4607" width="9.140625" style="414"/>
    <col min="4608" max="4608" width="5.28515625" style="414" customWidth="1"/>
    <col min="4609" max="4609" width="56.42578125" style="414" customWidth="1"/>
    <col min="4610" max="4610" width="10.28515625" style="414" customWidth="1"/>
    <col min="4611" max="4617" width="10.7109375" style="414" customWidth="1"/>
    <col min="4618" max="4618" width="9.140625" style="414"/>
    <col min="4619" max="4619" width="11.28515625" style="414" bestFit="1" customWidth="1"/>
    <col min="4620" max="4620" width="9.7109375" style="414" bestFit="1" customWidth="1"/>
    <col min="4621" max="4863" width="9.140625" style="414"/>
    <col min="4864" max="4864" width="5.28515625" style="414" customWidth="1"/>
    <col min="4865" max="4865" width="56.42578125" style="414" customWidth="1"/>
    <col min="4866" max="4866" width="10.28515625" style="414" customWidth="1"/>
    <col min="4867" max="4873" width="10.7109375" style="414" customWidth="1"/>
    <col min="4874" max="4874" width="9.140625" style="414"/>
    <col min="4875" max="4875" width="11.28515625" style="414" bestFit="1" customWidth="1"/>
    <col min="4876" max="4876" width="9.7109375" style="414" bestFit="1" customWidth="1"/>
    <col min="4877" max="5119" width="9.140625" style="414"/>
    <col min="5120" max="5120" width="5.28515625" style="414" customWidth="1"/>
    <col min="5121" max="5121" width="56.42578125" style="414" customWidth="1"/>
    <col min="5122" max="5122" width="10.28515625" style="414" customWidth="1"/>
    <col min="5123" max="5129" width="10.7109375" style="414" customWidth="1"/>
    <col min="5130" max="5130" width="9.140625" style="414"/>
    <col min="5131" max="5131" width="11.28515625" style="414" bestFit="1" customWidth="1"/>
    <col min="5132" max="5132" width="9.7109375" style="414" bestFit="1" customWidth="1"/>
    <col min="5133" max="5375" width="9.140625" style="414"/>
    <col min="5376" max="5376" width="5.28515625" style="414" customWidth="1"/>
    <col min="5377" max="5377" width="56.42578125" style="414" customWidth="1"/>
    <col min="5378" max="5378" width="10.28515625" style="414" customWidth="1"/>
    <col min="5379" max="5385" width="10.7109375" style="414" customWidth="1"/>
    <col min="5386" max="5386" width="9.140625" style="414"/>
    <col min="5387" max="5387" width="11.28515625" style="414" bestFit="1" customWidth="1"/>
    <col min="5388" max="5388" width="9.7109375" style="414" bestFit="1" customWidth="1"/>
    <col min="5389" max="5631" width="9.140625" style="414"/>
    <col min="5632" max="5632" width="5.28515625" style="414" customWidth="1"/>
    <col min="5633" max="5633" width="56.42578125" style="414" customWidth="1"/>
    <col min="5634" max="5634" width="10.28515625" style="414" customWidth="1"/>
    <col min="5635" max="5641" width="10.7109375" style="414" customWidth="1"/>
    <col min="5642" max="5642" width="9.140625" style="414"/>
    <col min="5643" max="5643" width="11.28515625" style="414" bestFit="1" customWidth="1"/>
    <col min="5644" max="5644" width="9.7109375" style="414" bestFit="1" customWidth="1"/>
    <col min="5645" max="5887" width="9.140625" style="414"/>
    <col min="5888" max="5888" width="5.28515625" style="414" customWidth="1"/>
    <col min="5889" max="5889" width="56.42578125" style="414" customWidth="1"/>
    <col min="5890" max="5890" width="10.28515625" style="414" customWidth="1"/>
    <col min="5891" max="5897" width="10.7109375" style="414" customWidth="1"/>
    <col min="5898" max="5898" width="9.140625" style="414"/>
    <col min="5899" max="5899" width="11.28515625" style="414" bestFit="1" customWidth="1"/>
    <col min="5900" max="5900" width="9.7109375" style="414" bestFit="1" customWidth="1"/>
    <col min="5901" max="6143" width="9.140625" style="414"/>
    <col min="6144" max="6144" width="5.28515625" style="414" customWidth="1"/>
    <col min="6145" max="6145" width="56.42578125" style="414" customWidth="1"/>
    <col min="6146" max="6146" width="10.28515625" style="414" customWidth="1"/>
    <col min="6147" max="6153" width="10.7109375" style="414" customWidth="1"/>
    <col min="6154" max="6154" width="9.140625" style="414"/>
    <col min="6155" max="6155" width="11.28515625" style="414" bestFit="1" customWidth="1"/>
    <col min="6156" max="6156" width="9.7109375" style="414" bestFit="1" customWidth="1"/>
    <col min="6157" max="6399" width="9.140625" style="414"/>
    <col min="6400" max="6400" width="5.28515625" style="414" customWidth="1"/>
    <col min="6401" max="6401" width="56.42578125" style="414" customWidth="1"/>
    <col min="6402" max="6402" width="10.28515625" style="414" customWidth="1"/>
    <col min="6403" max="6409" width="10.7109375" style="414" customWidth="1"/>
    <col min="6410" max="6410" width="9.140625" style="414"/>
    <col min="6411" max="6411" width="11.28515625" style="414" bestFit="1" customWidth="1"/>
    <col min="6412" max="6412" width="9.7109375" style="414" bestFit="1" customWidth="1"/>
    <col min="6413" max="6655" width="9.140625" style="414"/>
    <col min="6656" max="6656" width="5.28515625" style="414" customWidth="1"/>
    <col min="6657" max="6657" width="56.42578125" style="414" customWidth="1"/>
    <col min="6658" max="6658" width="10.28515625" style="414" customWidth="1"/>
    <col min="6659" max="6665" width="10.7109375" style="414" customWidth="1"/>
    <col min="6666" max="6666" width="9.140625" style="414"/>
    <col min="6667" max="6667" width="11.28515625" style="414" bestFit="1" customWidth="1"/>
    <col min="6668" max="6668" width="9.7109375" style="414" bestFit="1" customWidth="1"/>
    <col min="6669" max="6911" width="9.140625" style="414"/>
    <col min="6912" max="6912" width="5.28515625" style="414" customWidth="1"/>
    <col min="6913" max="6913" width="56.42578125" style="414" customWidth="1"/>
    <col min="6914" max="6914" width="10.28515625" style="414" customWidth="1"/>
    <col min="6915" max="6921" width="10.7109375" style="414" customWidth="1"/>
    <col min="6922" max="6922" width="9.140625" style="414"/>
    <col min="6923" max="6923" width="11.28515625" style="414" bestFit="1" customWidth="1"/>
    <col min="6924" max="6924" width="9.7109375" style="414" bestFit="1" customWidth="1"/>
    <col min="6925" max="7167" width="9.140625" style="414"/>
    <col min="7168" max="7168" width="5.28515625" style="414" customWidth="1"/>
    <col min="7169" max="7169" width="56.42578125" style="414" customWidth="1"/>
    <col min="7170" max="7170" width="10.28515625" style="414" customWidth="1"/>
    <col min="7171" max="7177" width="10.7109375" style="414" customWidth="1"/>
    <col min="7178" max="7178" width="9.140625" style="414"/>
    <col min="7179" max="7179" width="11.28515625" style="414" bestFit="1" customWidth="1"/>
    <col min="7180" max="7180" width="9.7109375" style="414" bestFit="1" customWidth="1"/>
    <col min="7181" max="7423" width="9.140625" style="414"/>
    <col min="7424" max="7424" width="5.28515625" style="414" customWidth="1"/>
    <col min="7425" max="7425" width="56.42578125" style="414" customWidth="1"/>
    <col min="7426" max="7426" width="10.28515625" style="414" customWidth="1"/>
    <col min="7427" max="7433" width="10.7109375" style="414" customWidth="1"/>
    <col min="7434" max="7434" width="9.140625" style="414"/>
    <col min="7435" max="7435" width="11.28515625" style="414" bestFit="1" customWidth="1"/>
    <col min="7436" max="7436" width="9.7109375" style="414" bestFit="1" customWidth="1"/>
    <col min="7437" max="7679" width="9.140625" style="414"/>
    <col min="7680" max="7680" width="5.28515625" style="414" customWidth="1"/>
    <col min="7681" max="7681" width="56.42578125" style="414" customWidth="1"/>
    <col min="7682" max="7682" width="10.28515625" style="414" customWidth="1"/>
    <col min="7683" max="7689" width="10.7109375" style="414" customWidth="1"/>
    <col min="7690" max="7690" width="9.140625" style="414"/>
    <col min="7691" max="7691" width="11.28515625" style="414" bestFit="1" customWidth="1"/>
    <col min="7692" max="7692" width="9.7109375" style="414" bestFit="1" customWidth="1"/>
    <col min="7693" max="7935" width="9.140625" style="414"/>
    <col min="7936" max="7936" width="5.28515625" style="414" customWidth="1"/>
    <col min="7937" max="7937" width="56.42578125" style="414" customWidth="1"/>
    <col min="7938" max="7938" width="10.28515625" style="414" customWidth="1"/>
    <col min="7939" max="7945" width="10.7109375" style="414" customWidth="1"/>
    <col min="7946" max="7946" width="9.140625" style="414"/>
    <col min="7947" max="7947" width="11.28515625" style="414" bestFit="1" customWidth="1"/>
    <col min="7948" max="7948" width="9.7109375" style="414" bestFit="1" customWidth="1"/>
    <col min="7949" max="8191" width="9.140625" style="414"/>
    <col min="8192" max="8192" width="5.28515625" style="414" customWidth="1"/>
    <col min="8193" max="8193" width="56.42578125" style="414" customWidth="1"/>
    <col min="8194" max="8194" width="10.28515625" style="414" customWidth="1"/>
    <col min="8195" max="8201" width="10.7109375" style="414" customWidth="1"/>
    <col min="8202" max="8202" width="9.140625" style="414"/>
    <col min="8203" max="8203" width="11.28515625" style="414" bestFit="1" customWidth="1"/>
    <col min="8204" max="8204" width="9.7109375" style="414" bestFit="1" customWidth="1"/>
    <col min="8205" max="8447" width="9.140625" style="414"/>
    <col min="8448" max="8448" width="5.28515625" style="414" customWidth="1"/>
    <col min="8449" max="8449" width="56.42578125" style="414" customWidth="1"/>
    <col min="8450" max="8450" width="10.28515625" style="414" customWidth="1"/>
    <col min="8451" max="8457" width="10.7109375" style="414" customWidth="1"/>
    <col min="8458" max="8458" width="9.140625" style="414"/>
    <col min="8459" max="8459" width="11.28515625" style="414" bestFit="1" customWidth="1"/>
    <col min="8460" max="8460" width="9.7109375" style="414" bestFit="1" customWidth="1"/>
    <col min="8461" max="8703" width="9.140625" style="414"/>
    <col min="8704" max="8704" width="5.28515625" style="414" customWidth="1"/>
    <col min="8705" max="8705" width="56.42578125" style="414" customWidth="1"/>
    <col min="8706" max="8706" width="10.28515625" style="414" customWidth="1"/>
    <col min="8707" max="8713" width="10.7109375" style="414" customWidth="1"/>
    <col min="8714" max="8714" width="9.140625" style="414"/>
    <col min="8715" max="8715" width="11.28515625" style="414" bestFit="1" customWidth="1"/>
    <col min="8716" max="8716" width="9.7109375" style="414" bestFit="1" customWidth="1"/>
    <col min="8717" max="8959" width="9.140625" style="414"/>
    <col min="8960" max="8960" width="5.28515625" style="414" customWidth="1"/>
    <col min="8961" max="8961" width="56.42578125" style="414" customWidth="1"/>
    <col min="8962" max="8962" width="10.28515625" style="414" customWidth="1"/>
    <col min="8963" max="8969" width="10.7109375" style="414" customWidth="1"/>
    <col min="8970" max="8970" width="9.140625" style="414"/>
    <col min="8971" max="8971" width="11.28515625" style="414" bestFit="1" customWidth="1"/>
    <col min="8972" max="8972" width="9.7109375" style="414" bestFit="1" customWidth="1"/>
    <col min="8973" max="9215" width="9.140625" style="414"/>
    <col min="9216" max="9216" width="5.28515625" style="414" customWidth="1"/>
    <col min="9217" max="9217" width="56.42578125" style="414" customWidth="1"/>
    <col min="9218" max="9218" width="10.28515625" style="414" customWidth="1"/>
    <col min="9219" max="9225" width="10.7109375" style="414" customWidth="1"/>
    <col min="9226" max="9226" width="9.140625" style="414"/>
    <col min="9227" max="9227" width="11.28515625" style="414" bestFit="1" customWidth="1"/>
    <col min="9228" max="9228" width="9.7109375" style="414" bestFit="1" customWidth="1"/>
    <col min="9229" max="9471" width="9.140625" style="414"/>
    <col min="9472" max="9472" width="5.28515625" style="414" customWidth="1"/>
    <col min="9473" max="9473" width="56.42578125" style="414" customWidth="1"/>
    <col min="9474" max="9474" width="10.28515625" style="414" customWidth="1"/>
    <col min="9475" max="9481" width="10.7109375" style="414" customWidth="1"/>
    <col min="9482" max="9482" width="9.140625" style="414"/>
    <col min="9483" max="9483" width="11.28515625" style="414" bestFit="1" customWidth="1"/>
    <col min="9484" max="9484" width="9.7109375" style="414" bestFit="1" customWidth="1"/>
    <col min="9485" max="9727" width="9.140625" style="414"/>
    <col min="9728" max="9728" width="5.28515625" style="414" customWidth="1"/>
    <col min="9729" max="9729" width="56.42578125" style="414" customWidth="1"/>
    <col min="9730" max="9730" width="10.28515625" style="414" customWidth="1"/>
    <col min="9731" max="9737" width="10.7109375" style="414" customWidth="1"/>
    <col min="9738" max="9738" width="9.140625" style="414"/>
    <col min="9739" max="9739" width="11.28515625" style="414" bestFit="1" customWidth="1"/>
    <col min="9740" max="9740" width="9.7109375" style="414" bestFit="1" customWidth="1"/>
    <col min="9741" max="9983" width="9.140625" style="414"/>
    <col min="9984" max="9984" width="5.28515625" style="414" customWidth="1"/>
    <col min="9985" max="9985" width="56.42578125" style="414" customWidth="1"/>
    <col min="9986" max="9986" width="10.28515625" style="414" customWidth="1"/>
    <col min="9987" max="9993" width="10.7109375" style="414" customWidth="1"/>
    <col min="9994" max="9994" width="9.140625" style="414"/>
    <col min="9995" max="9995" width="11.28515625" style="414" bestFit="1" customWidth="1"/>
    <col min="9996" max="9996" width="9.7109375" style="414" bestFit="1" customWidth="1"/>
    <col min="9997" max="10239" width="9.140625" style="414"/>
    <col min="10240" max="10240" width="5.28515625" style="414" customWidth="1"/>
    <col min="10241" max="10241" width="56.42578125" style="414" customWidth="1"/>
    <col min="10242" max="10242" width="10.28515625" style="414" customWidth="1"/>
    <col min="10243" max="10249" width="10.7109375" style="414" customWidth="1"/>
    <col min="10250" max="10250" width="9.140625" style="414"/>
    <col min="10251" max="10251" width="11.28515625" style="414" bestFit="1" customWidth="1"/>
    <col min="10252" max="10252" width="9.7109375" style="414" bestFit="1" customWidth="1"/>
    <col min="10253" max="10495" width="9.140625" style="414"/>
    <col min="10496" max="10496" width="5.28515625" style="414" customWidth="1"/>
    <col min="10497" max="10497" width="56.42578125" style="414" customWidth="1"/>
    <col min="10498" max="10498" width="10.28515625" style="414" customWidth="1"/>
    <col min="10499" max="10505" width="10.7109375" style="414" customWidth="1"/>
    <col min="10506" max="10506" width="9.140625" style="414"/>
    <col min="10507" max="10507" width="11.28515625" style="414" bestFit="1" customWidth="1"/>
    <col min="10508" max="10508" width="9.7109375" style="414" bestFit="1" customWidth="1"/>
    <col min="10509" max="10751" width="9.140625" style="414"/>
    <col min="10752" max="10752" width="5.28515625" style="414" customWidth="1"/>
    <col min="10753" max="10753" width="56.42578125" style="414" customWidth="1"/>
    <col min="10754" max="10754" width="10.28515625" style="414" customWidth="1"/>
    <col min="10755" max="10761" width="10.7109375" style="414" customWidth="1"/>
    <col min="10762" max="10762" width="9.140625" style="414"/>
    <col min="10763" max="10763" width="11.28515625" style="414" bestFit="1" customWidth="1"/>
    <col min="10764" max="10764" width="9.7109375" style="414" bestFit="1" customWidth="1"/>
    <col min="10765" max="11007" width="9.140625" style="414"/>
    <col min="11008" max="11008" width="5.28515625" style="414" customWidth="1"/>
    <col min="11009" max="11009" width="56.42578125" style="414" customWidth="1"/>
    <col min="11010" max="11010" width="10.28515625" style="414" customWidth="1"/>
    <col min="11011" max="11017" width="10.7109375" style="414" customWidth="1"/>
    <col min="11018" max="11018" width="9.140625" style="414"/>
    <col min="11019" max="11019" width="11.28515625" style="414" bestFit="1" customWidth="1"/>
    <col min="11020" max="11020" width="9.7109375" style="414" bestFit="1" customWidth="1"/>
    <col min="11021" max="11263" width="9.140625" style="414"/>
    <col min="11264" max="11264" width="5.28515625" style="414" customWidth="1"/>
    <col min="11265" max="11265" width="56.42578125" style="414" customWidth="1"/>
    <col min="11266" max="11266" width="10.28515625" style="414" customWidth="1"/>
    <col min="11267" max="11273" width="10.7109375" style="414" customWidth="1"/>
    <col min="11274" max="11274" width="9.140625" style="414"/>
    <col min="11275" max="11275" width="11.28515625" style="414" bestFit="1" customWidth="1"/>
    <col min="11276" max="11276" width="9.7109375" style="414" bestFit="1" customWidth="1"/>
    <col min="11277" max="11519" width="9.140625" style="414"/>
    <col min="11520" max="11520" width="5.28515625" style="414" customWidth="1"/>
    <col min="11521" max="11521" width="56.42578125" style="414" customWidth="1"/>
    <col min="11522" max="11522" width="10.28515625" style="414" customWidth="1"/>
    <col min="11523" max="11529" width="10.7109375" style="414" customWidth="1"/>
    <col min="11530" max="11530" width="9.140625" style="414"/>
    <col min="11531" max="11531" width="11.28515625" style="414" bestFit="1" customWidth="1"/>
    <col min="11532" max="11532" width="9.7109375" style="414" bestFit="1" customWidth="1"/>
    <col min="11533" max="11775" width="9.140625" style="414"/>
    <col min="11776" max="11776" width="5.28515625" style="414" customWidth="1"/>
    <col min="11777" max="11777" width="56.42578125" style="414" customWidth="1"/>
    <col min="11778" max="11778" width="10.28515625" style="414" customWidth="1"/>
    <col min="11779" max="11785" width="10.7109375" style="414" customWidth="1"/>
    <col min="11786" max="11786" width="9.140625" style="414"/>
    <col min="11787" max="11787" width="11.28515625" style="414" bestFit="1" customWidth="1"/>
    <col min="11788" max="11788" width="9.7109375" style="414" bestFit="1" customWidth="1"/>
    <col min="11789" max="12031" width="9.140625" style="414"/>
    <col min="12032" max="12032" width="5.28515625" style="414" customWidth="1"/>
    <col min="12033" max="12033" width="56.42578125" style="414" customWidth="1"/>
    <col min="12034" max="12034" width="10.28515625" style="414" customWidth="1"/>
    <col min="12035" max="12041" width="10.7109375" style="414" customWidth="1"/>
    <col min="12042" max="12042" width="9.140625" style="414"/>
    <col min="12043" max="12043" width="11.28515625" style="414" bestFit="1" customWidth="1"/>
    <col min="12044" max="12044" width="9.7109375" style="414" bestFit="1" customWidth="1"/>
    <col min="12045" max="12287" width="9.140625" style="414"/>
    <col min="12288" max="12288" width="5.28515625" style="414" customWidth="1"/>
    <col min="12289" max="12289" width="56.42578125" style="414" customWidth="1"/>
    <col min="12290" max="12290" width="10.28515625" style="414" customWidth="1"/>
    <col min="12291" max="12297" width="10.7109375" style="414" customWidth="1"/>
    <col min="12298" max="12298" width="9.140625" style="414"/>
    <col min="12299" max="12299" width="11.28515625" style="414" bestFit="1" customWidth="1"/>
    <col min="12300" max="12300" width="9.7109375" style="414" bestFit="1" customWidth="1"/>
    <col min="12301" max="12543" width="9.140625" style="414"/>
    <col min="12544" max="12544" width="5.28515625" style="414" customWidth="1"/>
    <col min="12545" max="12545" width="56.42578125" style="414" customWidth="1"/>
    <col min="12546" max="12546" width="10.28515625" style="414" customWidth="1"/>
    <col min="12547" max="12553" width="10.7109375" style="414" customWidth="1"/>
    <col min="12554" max="12554" width="9.140625" style="414"/>
    <col min="12555" max="12555" width="11.28515625" style="414" bestFit="1" customWidth="1"/>
    <col min="12556" max="12556" width="9.7109375" style="414" bestFit="1" customWidth="1"/>
    <col min="12557" max="12799" width="9.140625" style="414"/>
    <col min="12800" max="12800" width="5.28515625" style="414" customWidth="1"/>
    <col min="12801" max="12801" width="56.42578125" style="414" customWidth="1"/>
    <col min="12802" max="12802" width="10.28515625" style="414" customWidth="1"/>
    <col min="12803" max="12809" width="10.7109375" style="414" customWidth="1"/>
    <col min="12810" max="12810" width="9.140625" style="414"/>
    <col min="12811" max="12811" width="11.28515625" style="414" bestFit="1" customWidth="1"/>
    <col min="12812" max="12812" width="9.7109375" style="414" bestFit="1" customWidth="1"/>
    <col min="12813" max="13055" width="9.140625" style="414"/>
    <col min="13056" max="13056" width="5.28515625" style="414" customWidth="1"/>
    <col min="13057" max="13057" width="56.42578125" style="414" customWidth="1"/>
    <col min="13058" max="13058" width="10.28515625" style="414" customWidth="1"/>
    <col min="13059" max="13065" width="10.7109375" style="414" customWidth="1"/>
    <col min="13066" max="13066" width="9.140625" style="414"/>
    <col min="13067" max="13067" width="11.28515625" style="414" bestFit="1" customWidth="1"/>
    <col min="13068" max="13068" width="9.7109375" style="414" bestFit="1" customWidth="1"/>
    <col min="13069" max="13311" width="9.140625" style="414"/>
    <col min="13312" max="13312" width="5.28515625" style="414" customWidth="1"/>
    <col min="13313" max="13313" width="56.42578125" style="414" customWidth="1"/>
    <col min="13314" max="13314" width="10.28515625" style="414" customWidth="1"/>
    <col min="13315" max="13321" width="10.7109375" style="414" customWidth="1"/>
    <col min="13322" max="13322" width="9.140625" style="414"/>
    <col min="13323" max="13323" width="11.28515625" style="414" bestFit="1" customWidth="1"/>
    <col min="13324" max="13324" width="9.7109375" style="414" bestFit="1" customWidth="1"/>
    <col min="13325" max="13567" width="9.140625" style="414"/>
    <col min="13568" max="13568" width="5.28515625" style="414" customWidth="1"/>
    <col min="13569" max="13569" width="56.42578125" style="414" customWidth="1"/>
    <col min="13570" max="13570" width="10.28515625" style="414" customWidth="1"/>
    <col min="13571" max="13577" width="10.7109375" style="414" customWidth="1"/>
    <col min="13578" max="13578" width="9.140625" style="414"/>
    <col min="13579" max="13579" width="11.28515625" style="414" bestFit="1" customWidth="1"/>
    <col min="13580" max="13580" width="9.7109375" style="414" bestFit="1" customWidth="1"/>
    <col min="13581" max="13823" width="9.140625" style="414"/>
    <col min="13824" max="13824" width="5.28515625" style="414" customWidth="1"/>
    <col min="13825" max="13825" width="56.42578125" style="414" customWidth="1"/>
    <col min="13826" max="13826" width="10.28515625" style="414" customWidth="1"/>
    <col min="13827" max="13833" width="10.7109375" style="414" customWidth="1"/>
    <col min="13834" max="13834" width="9.140625" style="414"/>
    <col min="13835" max="13835" width="11.28515625" style="414" bestFit="1" customWidth="1"/>
    <col min="13836" max="13836" width="9.7109375" style="414" bestFit="1" customWidth="1"/>
    <col min="13837" max="14079" width="9.140625" style="414"/>
    <col min="14080" max="14080" width="5.28515625" style="414" customWidth="1"/>
    <col min="14081" max="14081" width="56.42578125" style="414" customWidth="1"/>
    <col min="14082" max="14082" width="10.28515625" style="414" customWidth="1"/>
    <col min="14083" max="14089" width="10.7109375" style="414" customWidth="1"/>
    <col min="14090" max="14090" width="9.140625" style="414"/>
    <col min="14091" max="14091" width="11.28515625" style="414" bestFit="1" customWidth="1"/>
    <col min="14092" max="14092" width="9.7109375" style="414" bestFit="1" customWidth="1"/>
    <col min="14093" max="14335" width="9.140625" style="414"/>
    <col min="14336" max="14336" width="5.28515625" style="414" customWidth="1"/>
    <col min="14337" max="14337" width="56.42578125" style="414" customWidth="1"/>
    <col min="14338" max="14338" width="10.28515625" style="414" customWidth="1"/>
    <col min="14339" max="14345" width="10.7109375" style="414" customWidth="1"/>
    <col min="14346" max="14346" width="9.140625" style="414"/>
    <col min="14347" max="14347" width="11.28515625" style="414" bestFit="1" customWidth="1"/>
    <col min="14348" max="14348" width="9.7109375" style="414" bestFit="1" customWidth="1"/>
    <col min="14349" max="14591" width="9.140625" style="414"/>
    <col min="14592" max="14592" width="5.28515625" style="414" customWidth="1"/>
    <col min="14593" max="14593" width="56.42578125" style="414" customWidth="1"/>
    <col min="14594" max="14594" width="10.28515625" style="414" customWidth="1"/>
    <col min="14595" max="14601" width="10.7109375" style="414" customWidth="1"/>
    <col min="14602" max="14602" width="9.140625" style="414"/>
    <col min="14603" max="14603" width="11.28515625" style="414" bestFit="1" customWidth="1"/>
    <col min="14604" max="14604" width="9.7109375" style="414" bestFit="1" customWidth="1"/>
    <col min="14605" max="14847" width="9.140625" style="414"/>
    <col min="14848" max="14848" width="5.28515625" style="414" customWidth="1"/>
    <col min="14849" max="14849" width="56.42578125" style="414" customWidth="1"/>
    <col min="14850" max="14850" width="10.28515625" style="414" customWidth="1"/>
    <col min="14851" max="14857" width="10.7109375" style="414" customWidth="1"/>
    <col min="14858" max="14858" width="9.140625" style="414"/>
    <col min="14859" max="14859" width="11.28515625" style="414" bestFit="1" customWidth="1"/>
    <col min="14860" max="14860" width="9.7109375" style="414" bestFit="1" customWidth="1"/>
    <col min="14861" max="15103" width="9.140625" style="414"/>
    <col min="15104" max="15104" width="5.28515625" style="414" customWidth="1"/>
    <col min="15105" max="15105" width="56.42578125" style="414" customWidth="1"/>
    <col min="15106" max="15106" width="10.28515625" style="414" customWidth="1"/>
    <col min="15107" max="15113" width="10.7109375" style="414" customWidth="1"/>
    <col min="15114" max="15114" width="9.140625" style="414"/>
    <col min="15115" max="15115" width="11.28515625" style="414" bestFit="1" customWidth="1"/>
    <col min="15116" max="15116" width="9.7109375" style="414" bestFit="1" customWidth="1"/>
    <col min="15117" max="15359" width="9.140625" style="414"/>
    <col min="15360" max="15360" width="5.28515625" style="414" customWidth="1"/>
    <col min="15361" max="15361" width="56.42578125" style="414" customWidth="1"/>
    <col min="15362" max="15362" width="10.28515625" style="414" customWidth="1"/>
    <col min="15363" max="15369" width="10.7109375" style="414" customWidth="1"/>
    <col min="15370" max="15370" width="9.140625" style="414"/>
    <col min="15371" max="15371" width="11.28515625" style="414" bestFit="1" customWidth="1"/>
    <col min="15372" max="15372" width="9.7109375" style="414" bestFit="1" customWidth="1"/>
    <col min="15373" max="15615" width="9.140625" style="414"/>
    <col min="15616" max="15616" width="5.28515625" style="414" customWidth="1"/>
    <col min="15617" max="15617" width="56.42578125" style="414" customWidth="1"/>
    <col min="15618" max="15618" width="10.28515625" style="414" customWidth="1"/>
    <col min="15619" max="15625" width="10.7109375" style="414" customWidth="1"/>
    <col min="15626" max="15626" width="9.140625" style="414"/>
    <col min="15627" max="15627" width="11.28515625" style="414" bestFit="1" customWidth="1"/>
    <col min="15628" max="15628" width="9.7109375" style="414" bestFit="1" customWidth="1"/>
    <col min="15629" max="15871" width="9.140625" style="414"/>
    <col min="15872" max="15872" width="5.28515625" style="414" customWidth="1"/>
    <col min="15873" max="15873" width="56.42578125" style="414" customWidth="1"/>
    <col min="15874" max="15874" width="10.28515625" style="414" customWidth="1"/>
    <col min="15875" max="15881" width="10.7109375" style="414" customWidth="1"/>
    <col min="15882" max="15882" width="9.140625" style="414"/>
    <col min="15883" max="15883" width="11.28515625" style="414" bestFit="1" customWidth="1"/>
    <col min="15884" max="15884" width="9.7109375" style="414" bestFit="1" customWidth="1"/>
    <col min="15885" max="16127" width="9.140625" style="414"/>
    <col min="16128" max="16128" width="5.28515625" style="414" customWidth="1"/>
    <col min="16129" max="16129" width="56.42578125" style="414" customWidth="1"/>
    <col min="16130" max="16130" width="10.28515625" style="414" customWidth="1"/>
    <col min="16131" max="16137" width="10.7109375" style="414" customWidth="1"/>
    <col min="16138" max="16138" width="9.140625" style="414"/>
    <col min="16139" max="16139" width="11.28515625" style="414" bestFit="1" customWidth="1"/>
    <col min="16140" max="16140" width="9.7109375" style="414" bestFit="1" customWidth="1"/>
    <col min="16141" max="16384" width="9.140625" style="414"/>
  </cols>
  <sheetData>
    <row r="1" spans="1:12" ht="13.5" customHeight="1">
      <c r="B1" s="413"/>
      <c r="C1" s="413"/>
      <c r="D1" s="413"/>
      <c r="E1" s="413"/>
      <c r="F1" s="413"/>
      <c r="G1" s="413"/>
      <c r="H1" s="413"/>
      <c r="I1" s="413"/>
      <c r="J1" s="415" t="s">
        <v>0</v>
      </c>
    </row>
    <row r="2" spans="1:12" s="416" customFormat="1" ht="27.75" customHeight="1">
      <c r="A2" s="3415" t="s">
        <v>1407</v>
      </c>
      <c r="B2" s="3415"/>
      <c r="C2" s="3415"/>
      <c r="D2" s="3415"/>
      <c r="E2" s="3415"/>
      <c r="F2" s="3415"/>
      <c r="G2" s="3415"/>
      <c r="H2" s="3415"/>
      <c r="I2" s="3415"/>
      <c r="J2" s="3415"/>
    </row>
    <row r="3" spans="1:12" s="416" customFormat="1" ht="12.75" customHeight="1">
      <c r="A3" s="3415"/>
      <c r="B3" s="3415"/>
      <c r="C3" s="3415"/>
      <c r="D3" s="3415"/>
      <c r="E3" s="3415"/>
      <c r="F3" s="3415"/>
      <c r="G3" s="3415"/>
      <c r="H3" s="3415"/>
      <c r="I3" s="3415"/>
      <c r="J3" s="3415"/>
    </row>
    <row r="4" spans="1:12" s="416" customFormat="1" ht="12.75" customHeight="1">
      <c r="A4" s="417"/>
      <c r="B4" s="417"/>
      <c r="C4" s="417"/>
      <c r="D4" s="417"/>
      <c r="E4" s="417"/>
      <c r="F4" s="417"/>
      <c r="G4" s="417"/>
      <c r="H4" s="417"/>
      <c r="I4" s="417"/>
      <c r="J4" s="417"/>
    </row>
    <row r="5" spans="1:12" ht="15.75" customHeight="1">
      <c r="A5" s="3416" t="str">
        <f>'1. Анкетна карта'!A3:J3</f>
        <v>на "ВОДОСНАБДЯВАНЕ И КАНАЛИЗАЦИЯ ДОБРИЧ" АД, гр. Добрич</v>
      </c>
      <c r="B5" s="3416"/>
      <c r="C5" s="3416"/>
      <c r="D5" s="3416"/>
      <c r="E5" s="3416"/>
      <c r="F5" s="3416"/>
      <c r="G5" s="3416"/>
      <c r="H5" s="3416"/>
      <c r="I5" s="3416"/>
      <c r="J5" s="3416"/>
    </row>
    <row r="6" spans="1:12" ht="15.75" customHeight="1">
      <c r="A6" s="3416" t="str">
        <f>'1. Анкетна карта'!A4:J4</f>
        <v>ЕИК по БУЛСТАТ: 204219357</v>
      </c>
      <c r="B6" s="3416"/>
      <c r="C6" s="3416"/>
      <c r="D6" s="3416"/>
      <c r="E6" s="3416"/>
      <c r="F6" s="3416"/>
      <c r="G6" s="3416"/>
      <c r="H6" s="3416"/>
      <c r="I6" s="3416"/>
      <c r="J6" s="3416"/>
      <c r="K6" s="423"/>
    </row>
    <row r="7" spans="1:12" ht="13.5" thickBot="1">
      <c r="A7" s="414"/>
    </row>
    <row r="8" spans="1:12" s="416" customFormat="1" ht="54" customHeight="1" thickBot="1">
      <c r="A8" s="1606" t="s">
        <v>1</v>
      </c>
      <c r="B8" s="2891" t="s">
        <v>95</v>
      </c>
      <c r="C8" s="2892" t="s">
        <v>222</v>
      </c>
      <c r="D8" s="1607" t="str">
        <f>'Приложение '!$G12</f>
        <v>2015 г.</v>
      </c>
      <c r="E8" s="1607" t="str">
        <f>'Приложение '!$G13</f>
        <v>2016 г.</v>
      </c>
      <c r="F8" s="1607" t="str">
        <f>'Приложение '!$G14</f>
        <v>2017 г.</v>
      </c>
      <c r="G8" s="1607" t="str">
        <f>'Приложение '!$G15</f>
        <v>2018 г.</v>
      </c>
      <c r="H8" s="1607" t="str">
        <f>'Приложение '!$G16</f>
        <v>2019 г.</v>
      </c>
      <c r="I8" s="1607" t="str">
        <f>'Приложение '!$G17</f>
        <v>2020 г.</v>
      </c>
      <c r="J8" s="1608" t="str">
        <f>'Приложение '!$G18</f>
        <v>2021 г.</v>
      </c>
      <c r="K8" s="740"/>
      <c r="L8" s="418"/>
    </row>
    <row r="9" spans="1:12" ht="21" customHeight="1" thickBot="1">
      <c r="A9" s="1598" t="s">
        <v>223</v>
      </c>
      <c r="B9" s="2893" t="s">
        <v>224</v>
      </c>
      <c r="C9" s="2894"/>
      <c r="D9" s="1603"/>
      <c r="E9" s="1603"/>
      <c r="F9" s="1603"/>
      <c r="G9" s="1603"/>
      <c r="H9" s="1603"/>
      <c r="I9" s="1603"/>
      <c r="J9" s="1604"/>
      <c r="K9" s="423"/>
    </row>
    <row r="10" spans="1:12" s="419" customFormat="1" ht="15.75">
      <c r="A10" s="1599" t="s">
        <v>268</v>
      </c>
      <c r="B10" s="1602" t="s">
        <v>772</v>
      </c>
      <c r="C10" s="2895" t="s">
        <v>1052</v>
      </c>
      <c r="D10" s="1954">
        <f>D11+D12+D13+D14-D15-D16-D17-D18</f>
        <v>47549511</v>
      </c>
      <c r="E10" s="1954">
        <f t="shared" ref="E10:J10" si="0">E11+E12+E13+E14-E15-E16-E17-E18</f>
        <v>46400000</v>
      </c>
      <c r="F10" s="1954">
        <f t="shared" si="0"/>
        <v>42794559.899999999</v>
      </c>
      <c r="G10" s="1954">
        <f t="shared" si="0"/>
        <v>41836781.597085796</v>
      </c>
      <c r="H10" s="1954">
        <f t="shared" si="0"/>
        <v>40545731.491278999</v>
      </c>
      <c r="I10" s="1954">
        <f t="shared" si="0"/>
        <v>39779344.423457801</v>
      </c>
      <c r="J10" s="1955">
        <f t="shared" si="0"/>
        <v>39169230.378991</v>
      </c>
      <c r="K10" s="441"/>
    </row>
    <row r="11" spans="1:12" s="419" customFormat="1" ht="15.75">
      <c r="A11" s="1600" t="s">
        <v>98</v>
      </c>
      <c r="B11" s="2896" t="s">
        <v>1181</v>
      </c>
      <c r="C11" s="2897" t="s">
        <v>1052</v>
      </c>
      <c r="D11" s="1956"/>
      <c r="E11" s="1956"/>
      <c r="F11" s="1956"/>
      <c r="G11" s="1956"/>
      <c r="H11" s="1956"/>
      <c r="I11" s="1956"/>
      <c r="J11" s="1956"/>
      <c r="K11" s="441"/>
    </row>
    <row r="12" spans="1:12" s="419" customFormat="1" ht="15.75">
      <c r="A12" s="1600" t="s">
        <v>99</v>
      </c>
      <c r="B12" s="2896" t="s">
        <v>1182</v>
      </c>
      <c r="C12" s="2897" t="s">
        <v>1052</v>
      </c>
      <c r="D12" s="1956">
        <v>47549511</v>
      </c>
      <c r="E12" s="1956">
        <v>46400000</v>
      </c>
      <c r="F12" s="1956">
        <v>42794559.899999999</v>
      </c>
      <c r="G12" s="1956">
        <v>41836781.597085796</v>
      </c>
      <c r="H12" s="1956">
        <v>40545731.491278999</v>
      </c>
      <c r="I12" s="1956">
        <v>39779344.423457801</v>
      </c>
      <c r="J12" s="1957">
        <v>39169230.378991</v>
      </c>
      <c r="K12" s="738"/>
    </row>
    <row r="13" spans="1:12" s="419" customFormat="1" ht="15.75">
      <c r="A13" s="1600" t="s">
        <v>101</v>
      </c>
      <c r="B13" s="2896" t="s">
        <v>1183</v>
      </c>
      <c r="C13" s="2897" t="s">
        <v>1052</v>
      </c>
      <c r="D13" s="1956"/>
      <c r="E13" s="1958"/>
      <c r="F13" s="1958"/>
      <c r="G13" s="1958"/>
      <c r="H13" s="1958"/>
      <c r="I13" s="1958"/>
      <c r="J13" s="1959"/>
      <c r="K13" s="420"/>
    </row>
    <row r="14" spans="1:12" s="419" customFormat="1" ht="15.75">
      <c r="A14" s="1600" t="s">
        <v>197</v>
      </c>
      <c r="B14" s="2896" t="s">
        <v>1184</v>
      </c>
      <c r="C14" s="2897" t="s">
        <v>1052</v>
      </c>
      <c r="D14" s="1956"/>
      <c r="E14" s="1958"/>
      <c r="F14" s="1958"/>
      <c r="G14" s="1958"/>
      <c r="H14" s="1958"/>
      <c r="I14" s="1958"/>
      <c r="J14" s="1959"/>
      <c r="K14" s="420"/>
    </row>
    <row r="15" spans="1:12" s="419" customFormat="1" ht="15.75">
      <c r="A15" s="1600" t="s">
        <v>199</v>
      </c>
      <c r="B15" s="2896" t="s">
        <v>1379</v>
      </c>
      <c r="C15" s="2897" t="s">
        <v>1052</v>
      </c>
      <c r="D15" s="1956"/>
      <c r="E15" s="1958"/>
      <c r="F15" s="1958"/>
      <c r="G15" s="1958"/>
      <c r="H15" s="1958"/>
      <c r="I15" s="1958"/>
      <c r="J15" s="1959"/>
      <c r="K15" s="420"/>
    </row>
    <row r="16" spans="1:12" s="419" customFormat="1" ht="15.75">
      <c r="A16" s="1600" t="s">
        <v>201</v>
      </c>
      <c r="B16" s="2896" t="s">
        <v>1480</v>
      </c>
      <c r="C16" s="2897" t="s">
        <v>1052</v>
      </c>
      <c r="D16" s="1956"/>
      <c r="E16" s="1958"/>
      <c r="F16" s="1958"/>
      <c r="G16" s="1958"/>
      <c r="H16" s="1958"/>
      <c r="I16" s="1958"/>
      <c r="J16" s="1959"/>
      <c r="K16" s="420"/>
    </row>
    <row r="17" spans="1:12" s="419" customFormat="1" ht="15.75">
      <c r="A17" s="1600" t="s">
        <v>203</v>
      </c>
      <c r="B17" s="2896" t="s">
        <v>1380</v>
      </c>
      <c r="C17" s="2897" t="s">
        <v>1052</v>
      </c>
      <c r="D17" s="1956"/>
      <c r="E17" s="1958"/>
      <c r="F17" s="1958"/>
      <c r="G17" s="1958"/>
      <c r="H17" s="1958"/>
      <c r="I17" s="1958"/>
      <c r="J17" s="1959"/>
      <c r="K17" s="420"/>
    </row>
    <row r="18" spans="1:12" s="419" customFormat="1" ht="18" customHeight="1" thickBot="1">
      <c r="A18" s="1601" t="s">
        <v>205</v>
      </c>
      <c r="B18" s="2896" t="s">
        <v>1481</v>
      </c>
      <c r="C18" s="2897" t="s">
        <v>1052</v>
      </c>
      <c r="D18" s="1960"/>
      <c r="E18" s="1961"/>
      <c r="F18" s="1961"/>
      <c r="G18" s="1961"/>
      <c r="H18" s="1961"/>
      <c r="I18" s="1961"/>
      <c r="J18" s="1962"/>
      <c r="K18" s="420"/>
    </row>
    <row r="19" spans="1:12" s="419" customFormat="1" ht="15" customHeight="1">
      <c r="A19" s="3401" t="s">
        <v>103</v>
      </c>
      <c r="B19" s="3418" t="s">
        <v>773</v>
      </c>
      <c r="C19" s="2898" t="s">
        <v>1052</v>
      </c>
      <c r="D19" s="1963">
        <f>D21+D31</f>
        <v>9395493</v>
      </c>
      <c r="E19" s="1964">
        <f t="shared" ref="E19:J19" si="1">E21+E31</f>
        <v>9349602</v>
      </c>
      <c r="F19" s="1964">
        <f t="shared" si="1"/>
        <v>9752690.1900000013</v>
      </c>
      <c r="G19" s="1964">
        <f t="shared" si="1"/>
        <v>9667562.6809500009</v>
      </c>
      <c r="H19" s="1964">
        <f t="shared" si="1"/>
        <v>9558987.2743547484</v>
      </c>
      <c r="I19" s="1964">
        <f t="shared" si="1"/>
        <v>9464185.0507265199</v>
      </c>
      <c r="J19" s="1965">
        <f t="shared" si="1"/>
        <v>9457083.0959801599</v>
      </c>
      <c r="K19" s="420"/>
      <c r="L19" s="441"/>
    </row>
    <row r="20" spans="1:12" s="419" customFormat="1" ht="15" customHeight="1" thickBot="1">
      <c r="A20" s="3417"/>
      <c r="B20" s="3419"/>
      <c r="C20" s="2899" t="s">
        <v>226</v>
      </c>
      <c r="D20" s="1966">
        <f>D19/D10</f>
        <v>0.19759389323688312</v>
      </c>
      <c r="E20" s="1967">
        <f t="shared" ref="E20:J20" si="2">E19/E10</f>
        <v>0.20150004310344827</v>
      </c>
      <c r="F20" s="1967">
        <f t="shared" si="2"/>
        <v>0.22789555992139088</v>
      </c>
      <c r="G20" s="1967">
        <f t="shared" si="2"/>
        <v>0.23107806843400711</v>
      </c>
      <c r="H20" s="1967">
        <f t="shared" si="2"/>
        <v>0.23575816547817852</v>
      </c>
      <c r="I20" s="1967">
        <f t="shared" si="2"/>
        <v>0.2379170694714996</v>
      </c>
      <c r="J20" s="1968">
        <f t="shared" si="2"/>
        <v>0.24144163682758002</v>
      </c>
      <c r="K20" s="420"/>
    </row>
    <row r="21" spans="1:12" s="419" customFormat="1" ht="15" customHeight="1">
      <c r="A21" s="3398" t="s">
        <v>105</v>
      </c>
      <c r="B21" s="3420" t="s">
        <v>774</v>
      </c>
      <c r="C21" s="2900" t="s">
        <v>1052</v>
      </c>
      <c r="D21" s="1969">
        <f>D23+D27</f>
        <v>7526429</v>
      </c>
      <c r="E21" s="1970">
        <f t="shared" ref="E21:J21" si="3">E23+E27</f>
        <v>7526422</v>
      </c>
      <c r="F21" s="1970">
        <f t="shared" si="3"/>
        <v>8046098.1900000004</v>
      </c>
      <c r="G21" s="1970">
        <f t="shared" si="3"/>
        <v>7998318.6809500009</v>
      </c>
      <c r="H21" s="1970">
        <f t="shared" si="3"/>
        <v>7940255.2743547494</v>
      </c>
      <c r="I21" s="1970">
        <f t="shared" si="3"/>
        <v>7876409.0507265199</v>
      </c>
      <c r="J21" s="1971">
        <f t="shared" si="3"/>
        <v>7894281.0959801599</v>
      </c>
      <c r="K21" s="420"/>
    </row>
    <row r="22" spans="1:12" s="419" customFormat="1" ht="15" customHeight="1">
      <c r="A22" s="3399"/>
      <c r="B22" s="3421"/>
      <c r="C22" s="2897" t="s">
        <v>226</v>
      </c>
      <c r="D22" s="1972">
        <f>D21/D10</f>
        <v>0.15828614935703544</v>
      </c>
      <c r="E22" s="1973">
        <f t="shared" ref="E22:J22" si="4">E21/E10</f>
        <v>0.16220737068965518</v>
      </c>
      <c r="F22" s="1973">
        <f t="shared" si="4"/>
        <v>0.18801684627208892</v>
      </c>
      <c r="G22" s="1973">
        <f t="shared" si="4"/>
        <v>0.19117911023794276</v>
      </c>
      <c r="H22" s="1973">
        <f t="shared" si="4"/>
        <v>0.19583455476842546</v>
      </c>
      <c r="I22" s="1973">
        <f t="shared" si="4"/>
        <v>0.19800248508071985</v>
      </c>
      <c r="J22" s="1974">
        <f t="shared" si="4"/>
        <v>0.20154292079770797</v>
      </c>
      <c r="K22" s="420"/>
    </row>
    <row r="23" spans="1:12" s="419" customFormat="1" ht="15" customHeight="1">
      <c r="A23" s="742" t="s">
        <v>775</v>
      </c>
      <c r="B23" s="2901" t="s">
        <v>776</v>
      </c>
      <c r="C23" s="2897" t="s">
        <v>1052</v>
      </c>
      <c r="D23" s="1975">
        <f>SUM(D24:D26)</f>
        <v>7526429</v>
      </c>
      <c r="E23" s="1976">
        <f t="shared" ref="E23:J23" si="5">SUM(E24:E26)</f>
        <v>7526422</v>
      </c>
      <c r="F23" s="1976">
        <f t="shared" si="5"/>
        <v>8046098.1900000004</v>
      </c>
      <c r="G23" s="1976">
        <f t="shared" si="5"/>
        <v>7998318.6809500009</v>
      </c>
      <c r="H23" s="1976">
        <f t="shared" si="5"/>
        <v>7940255.2743547494</v>
      </c>
      <c r="I23" s="1976">
        <f t="shared" si="5"/>
        <v>7876409.0507265199</v>
      </c>
      <c r="J23" s="1977">
        <f t="shared" si="5"/>
        <v>7894281.0959801599</v>
      </c>
      <c r="K23" s="420"/>
    </row>
    <row r="24" spans="1:12" s="419" customFormat="1" ht="15" customHeight="1">
      <c r="A24" s="743" t="s">
        <v>777</v>
      </c>
      <c r="B24" s="757" t="s">
        <v>778</v>
      </c>
      <c r="C24" s="2897" t="s">
        <v>1052</v>
      </c>
      <c r="D24" s="1956">
        <v>5176410</v>
      </c>
      <c r="E24" s="1956">
        <v>5176410</v>
      </c>
      <c r="F24" s="1956">
        <v>5505824</v>
      </c>
      <c r="G24" s="1956">
        <v>5445343.1200000001</v>
      </c>
      <c r="H24" s="1956">
        <v>5344514.8355999999</v>
      </c>
      <c r="I24" s="1956">
        <v>5295839.9097779999</v>
      </c>
      <c r="J24" s="1956">
        <v>5266819.1093268897</v>
      </c>
      <c r="K24" s="420"/>
    </row>
    <row r="25" spans="1:12" s="419" customFormat="1" ht="15" customHeight="1">
      <c r="A25" s="743" t="s">
        <v>779</v>
      </c>
      <c r="B25" s="2902" t="s">
        <v>780</v>
      </c>
      <c r="C25" s="2897" t="s">
        <v>1052</v>
      </c>
      <c r="D25" s="1956">
        <v>1062326</v>
      </c>
      <c r="E25" s="1956">
        <v>1062326</v>
      </c>
      <c r="F25" s="1956">
        <v>1136688.82</v>
      </c>
      <c r="G25" s="1956">
        <v>1142372.2641</v>
      </c>
      <c r="H25" s="1956">
        <v>1158084.1254205001</v>
      </c>
      <c r="I25" s="1956">
        <v>1158824.5460476</v>
      </c>
      <c r="J25" s="1956">
        <v>1159593.66877784</v>
      </c>
      <c r="K25" s="420"/>
    </row>
    <row r="26" spans="1:12" s="419" customFormat="1" ht="15" customHeight="1">
      <c r="A26" s="743" t="s">
        <v>781</v>
      </c>
      <c r="B26" s="757" t="s">
        <v>782</v>
      </c>
      <c r="C26" s="2897" t="s">
        <v>1052</v>
      </c>
      <c r="D26" s="1956">
        <v>1287693</v>
      </c>
      <c r="E26" s="1956">
        <v>1287686</v>
      </c>
      <c r="F26" s="1956">
        <v>1403585.37</v>
      </c>
      <c r="G26" s="1956">
        <v>1410603.29685</v>
      </c>
      <c r="H26" s="1956">
        <v>1437656.3133342499</v>
      </c>
      <c r="I26" s="1956">
        <v>1421744.5949009201</v>
      </c>
      <c r="J26" s="1956">
        <v>1467868.31787543</v>
      </c>
      <c r="K26" s="420"/>
    </row>
    <row r="27" spans="1:12" s="419" customFormat="1" ht="15" customHeight="1">
      <c r="A27" s="742" t="s">
        <v>783</v>
      </c>
      <c r="B27" s="2901" t="s">
        <v>784</v>
      </c>
      <c r="C27" s="2897" t="s">
        <v>1052</v>
      </c>
      <c r="D27" s="1975">
        <f>SUM(D28:D30)</f>
        <v>0</v>
      </c>
      <c r="E27" s="1976">
        <f t="shared" ref="E27:J27" si="6">SUM(E28:E30)</f>
        <v>0</v>
      </c>
      <c r="F27" s="1976">
        <f t="shared" si="6"/>
        <v>0</v>
      </c>
      <c r="G27" s="1976">
        <f t="shared" si="6"/>
        <v>0</v>
      </c>
      <c r="H27" s="1976">
        <f t="shared" si="6"/>
        <v>0</v>
      </c>
      <c r="I27" s="1976">
        <f t="shared" si="6"/>
        <v>0</v>
      </c>
      <c r="J27" s="1977">
        <f t="shared" si="6"/>
        <v>0</v>
      </c>
      <c r="K27" s="420"/>
    </row>
    <row r="28" spans="1:12" s="419" customFormat="1" ht="15" customHeight="1">
      <c r="A28" s="743" t="s">
        <v>785</v>
      </c>
      <c r="B28" s="757" t="s">
        <v>778</v>
      </c>
      <c r="C28" s="2897" t="s">
        <v>1052</v>
      </c>
      <c r="D28" s="1956"/>
      <c r="E28" s="1958"/>
      <c r="F28" s="1958"/>
      <c r="G28" s="1958"/>
      <c r="H28" s="1958"/>
      <c r="I28" s="1958"/>
      <c r="J28" s="1959"/>
      <c r="K28" s="420"/>
    </row>
    <row r="29" spans="1:12" s="419" customFormat="1" ht="15" customHeight="1">
      <c r="A29" s="743" t="s">
        <v>786</v>
      </c>
      <c r="B29" s="2902" t="s">
        <v>780</v>
      </c>
      <c r="C29" s="2897" t="s">
        <v>1052</v>
      </c>
      <c r="D29" s="1956"/>
      <c r="E29" s="1958"/>
      <c r="F29" s="1958"/>
      <c r="G29" s="1958"/>
      <c r="H29" s="1958"/>
      <c r="I29" s="1958"/>
      <c r="J29" s="1959"/>
      <c r="K29" s="420"/>
    </row>
    <row r="30" spans="1:12" s="419" customFormat="1" ht="15" customHeight="1" thickBot="1">
      <c r="A30" s="744" t="s">
        <v>787</v>
      </c>
      <c r="B30" s="758" t="s">
        <v>782</v>
      </c>
      <c r="C30" s="2903" t="s">
        <v>1052</v>
      </c>
      <c r="D30" s="1960"/>
      <c r="E30" s="1961"/>
      <c r="F30" s="1961"/>
      <c r="G30" s="1961"/>
      <c r="H30" s="1961"/>
      <c r="I30" s="1961"/>
      <c r="J30" s="1962"/>
      <c r="K30" s="420"/>
    </row>
    <row r="31" spans="1:12" s="419" customFormat="1" ht="15" customHeight="1">
      <c r="A31" s="3422" t="s">
        <v>107</v>
      </c>
      <c r="B31" s="3424" t="s">
        <v>922</v>
      </c>
      <c r="C31" s="2904" t="s">
        <v>1052</v>
      </c>
      <c r="D31" s="1978">
        <f>D33+D34</f>
        <v>1869064</v>
      </c>
      <c r="E31" s="1979">
        <f t="shared" ref="E31:J31" si="7">E33+E34</f>
        <v>1823180</v>
      </c>
      <c r="F31" s="1979">
        <f t="shared" si="7"/>
        <v>1706592</v>
      </c>
      <c r="G31" s="1979">
        <f t="shared" si="7"/>
        <v>1669244</v>
      </c>
      <c r="H31" s="1979">
        <f t="shared" si="7"/>
        <v>1618732</v>
      </c>
      <c r="I31" s="1979">
        <f t="shared" si="7"/>
        <v>1587776</v>
      </c>
      <c r="J31" s="1980">
        <f t="shared" si="7"/>
        <v>1562802</v>
      </c>
      <c r="K31" s="420"/>
    </row>
    <row r="32" spans="1:12" s="419" customFormat="1">
      <c r="A32" s="3423"/>
      <c r="B32" s="3421"/>
      <c r="C32" s="2897" t="s">
        <v>226</v>
      </c>
      <c r="D32" s="1981">
        <f>D31/D10</f>
        <v>3.930774387984768E-2</v>
      </c>
      <c r="E32" s="1982">
        <f t="shared" ref="E32:J32" si="8">E31/E10</f>
        <v>3.9292672413793105E-2</v>
      </c>
      <c r="F32" s="1982">
        <f t="shared" si="8"/>
        <v>3.9878713649301956E-2</v>
      </c>
      <c r="G32" s="1982">
        <f t="shared" si="8"/>
        <v>3.9898958196064337E-2</v>
      </c>
      <c r="H32" s="1982">
        <f t="shared" si="8"/>
        <v>3.9923610709753109E-2</v>
      </c>
      <c r="I32" s="1982">
        <f t="shared" si="8"/>
        <v>3.9914584390779745E-2</v>
      </c>
      <c r="J32" s="1983">
        <f t="shared" si="8"/>
        <v>3.9898716029872064E-2</v>
      </c>
      <c r="K32" s="420"/>
    </row>
    <row r="33" spans="1:13" s="419" customFormat="1" ht="15.75">
      <c r="A33" s="2639" t="s">
        <v>212</v>
      </c>
      <c r="B33" s="2638" t="s">
        <v>788</v>
      </c>
      <c r="C33" s="2897" t="s">
        <v>1052</v>
      </c>
      <c r="D33" s="1956"/>
      <c r="E33" s="1956"/>
      <c r="F33" s="1956"/>
      <c r="G33" s="1956"/>
      <c r="H33" s="1956"/>
      <c r="I33" s="1956"/>
      <c r="J33" s="1956"/>
      <c r="K33" s="420"/>
    </row>
    <row r="34" spans="1:13" s="419" customFormat="1" ht="15" customHeight="1" thickBot="1">
      <c r="A34" s="745" t="s">
        <v>217</v>
      </c>
      <c r="B34" s="759" t="s">
        <v>789</v>
      </c>
      <c r="C34" s="2903" t="s">
        <v>1052</v>
      </c>
      <c r="D34" s="1960">
        <v>1869064</v>
      </c>
      <c r="E34" s="1960">
        <v>1823180</v>
      </c>
      <c r="F34" s="1960">
        <v>1706592</v>
      </c>
      <c r="G34" s="1960">
        <v>1669244</v>
      </c>
      <c r="H34" s="1960">
        <v>1618732</v>
      </c>
      <c r="I34" s="1960">
        <v>1587776</v>
      </c>
      <c r="J34" s="1984">
        <v>1562802</v>
      </c>
      <c r="K34" s="420"/>
    </row>
    <row r="35" spans="1:13" s="419" customFormat="1" ht="15" customHeight="1">
      <c r="A35" s="3425" t="s">
        <v>110</v>
      </c>
      <c r="B35" s="3426" t="s">
        <v>923</v>
      </c>
      <c r="C35" s="2895" t="s">
        <v>1052</v>
      </c>
      <c r="D35" s="1954">
        <f>D38+D42</f>
        <v>38154018</v>
      </c>
      <c r="E35" s="1985">
        <f t="shared" ref="E35:J35" si="9">E38+E42</f>
        <v>37050398</v>
      </c>
      <c r="F35" s="1985">
        <f t="shared" si="9"/>
        <v>33041870</v>
      </c>
      <c r="G35" s="1985">
        <f t="shared" si="9"/>
        <v>32169219</v>
      </c>
      <c r="H35" s="1985">
        <f t="shared" si="9"/>
        <v>30986744</v>
      </c>
      <c r="I35" s="1985">
        <f t="shared" si="9"/>
        <v>30315159</v>
      </c>
      <c r="J35" s="1986">
        <f t="shared" si="9"/>
        <v>29712147</v>
      </c>
      <c r="K35" s="420"/>
    </row>
    <row r="36" spans="1:13" s="419" customFormat="1" ht="15" customHeight="1">
      <c r="A36" s="3402"/>
      <c r="B36" s="3427"/>
      <c r="C36" s="2905" t="s">
        <v>226</v>
      </c>
      <c r="D36" s="1987">
        <f>D35/D10</f>
        <v>0.80240610676311686</v>
      </c>
      <c r="E36" s="1988">
        <f t="shared" ref="E36:J36" si="10">E35/E10</f>
        <v>0.79849995689655173</v>
      </c>
      <c r="F36" s="1988">
        <f t="shared" si="10"/>
        <v>0.77210444685517143</v>
      </c>
      <c r="G36" s="1988">
        <f t="shared" si="10"/>
        <v>0.76892193357054972</v>
      </c>
      <c r="H36" s="1988">
        <f t="shared" si="10"/>
        <v>0.76424182917170835</v>
      </c>
      <c r="I36" s="1988">
        <f t="shared" si="10"/>
        <v>0.76208292115852994</v>
      </c>
      <c r="J36" s="1989">
        <f t="shared" si="10"/>
        <v>0.75855835594708421</v>
      </c>
      <c r="K36" s="420"/>
    </row>
    <row r="37" spans="1:13" s="419" customFormat="1" ht="15" customHeight="1" thickBot="1">
      <c r="A37" s="3417"/>
      <c r="B37" s="3419"/>
      <c r="C37" s="2899" t="s">
        <v>1485</v>
      </c>
      <c r="D37" s="1990">
        <f>D35/'2. Променливи'!E24/365</f>
        <v>30.717471690973717</v>
      </c>
      <c r="E37" s="1991">
        <f>E35/'2. Променливи'!F24/365</f>
        <v>29.828956722311901</v>
      </c>
      <c r="F37" s="1991">
        <f>F35/'2. Променливи'!G24/365</f>
        <v>26.593910467942628</v>
      </c>
      <c r="G37" s="1991">
        <f>G35/'2. Променливи'!H24/365</f>
        <v>25.891553047985447</v>
      </c>
      <c r="H37" s="1991">
        <f>H35/'2. Променливи'!I24/365</f>
        <v>24.939832268242036</v>
      </c>
      <c r="I37" s="1991">
        <f>I35/'2. Променливи'!J24/365</f>
        <v>24.392138072536362</v>
      </c>
      <c r="J37" s="1992">
        <f>J35/'2. Променливи'!K24/365</f>
        <v>23.906943455434192</v>
      </c>
      <c r="K37" s="420"/>
    </row>
    <row r="38" spans="1:13" s="422" customFormat="1" ht="15" customHeight="1">
      <c r="A38" s="3398" t="s">
        <v>227</v>
      </c>
      <c r="B38" s="3429" t="s">
        <v>790</v>
      </c>
      <c r="C38" s="2900" t="s">
        <v>1052</v>
      </c>
      <c r="D38" s="1993">
        <f>D40+D41</f>
        <v>3738129</v>
      </c>
      <c r="E38" s="1994">
        <f t="shared" ref="E38:J38" si="11">E40+E41</f>
        <v>3646360</v>
      </c>
      <c r="F38" s="1994">
        <f t="shared" si="11"/>
        <v>3347184</v>
      </c>
      <c r="G38" s="1994">
        <f t="shared" si="11"/>
        <v>3162488</v>
      </c>
      <c r="H38" s="1994">
        <f t="shared" si="11"/>
        <v>2975464</v>
      </c>
      <c r="I38" s="1994">
        <f t="shared" si="11"/>
        <v>2830552</v>
      </c>
      <c r="J38" s="1995">
        <f t="shared" si="11"/>
        <v>2679604</v>
      </c>
      <c r="K38" s="421"/>
    </row>
    <row r="39" spans="1:13" s="422" customFormat="1" ht="15" customHeight="1">
      <c r="A39" s="3399"/>
      <c r="B39" s="3430"/>
      <c r="C39" s="2897" t="s">
        <v>226</v>
      </c>
      <c r="D39" s="1996">
        <f t="shared" ref="D39:J39" si="12">D38/D10</f>
        <v>7.8615508790405852E-2</v>
      </c>
      <c r="E39" s="1997">
        <f t="shared" si="12"/>
        <v>7.8585344827586209E-2</v>
      </c>
      <c r="F39" s="1997">
        <f t="shared" si="12"/>
        <v>7.8215175195667799E-2</v>
      </c>
      <c r="G39" s="1997">
        <f t="shared" si="12"/>
        <v>7.5591091840111521E-2</v>
      </c>
      <c r="H39" s="1997">
        <f t="shared" si="12"/>
        <v>7.3385382149043082E-2</v>
      </c>
      <c r="I39" s="1997">
        <f t="shared" si="12"/>
        <v>7.1156326003473019E-2</v>
      </c>
      <c r="J39" s="1998">
        <f t="shared" si="12"/>
        <v>6.8410943336717836E-2</v>
      </c>
      <c r="K39" s="421"/>
    </row>
    <row r="40" spans="1:13" s="422" customFormat="1" ht="15" customHeight="1">
      <c r="A40" s="746" t="s">
        <v>791</v>
      </c>
      <c r="B40" s="760" t="s">
        <v>792</v>
      </c>
      <c r="C40" s="2897" t="s">
        <v>1052</v>
      </c>
      <c r="D40" s="1956">
        <v>12900</v>
      </c>
      <c r="E40" s="1956">
        <v>12900</v>
      </c>
      <c r="F40" s="1956">
        <v>12000</v>
      </c>
      <c r="G40" s="1956">
        <v>11500</v>
      </c>
      <c r="H40" s="1956">
        <v>11500</v>
      </c>
      <c r="I40" s="1956">
        <v>11200</v>
      </c>
      <c r="J40" s="1957">
        <v>11000</v>
      </c>
      <c r="K40" s="421"/>
    </row>
    <row r="41" spans="1:13" s="422" customFormat="1" ht="15" customHeight="1" thickBot="1">
      <c r="A41" s="747" t="s">
        <v>793</v>
      </c>
      <c r="B41" s="761" t="s">
        <v>794</v>
      </c>
      <c r="C41" s="2903" t="s">
        <v>1052</v>
      </c>
      <c r="D41" s="1960">
        <v>3725229</v>
      </c>
      <c r="E41" s="1960">
        <v>3633460</v>
      </c>
      <c r="F41" s="1960">
        <v>3335184</v>
      </c>
      <c r="G41" s="1960">
        <v>3150988</v>
      </c>
      <c r="H41" s="1960">
        <v>2963964</v>
      </c>
      <c r="I41" s="1960">
        <v>2819352</v>
      </c>
      <c r="J41" s="1984">
        <v>2668604</v>
      </c>
      <c r="K41" s="421"/>
    </row>
    <row r="42" spans="1:13" s="422" customFormat="1" ht="15" customHeight="1">
      <c r="A42" s="3398" t="s">
        <v>228</v>
      </c>
      <c r="B42" s="3407" t="s">
        <v>795</v>
      </c>
      <c r="C42" s="2900" t="s">
        <v>1052</v>
      </c>
      <c r="D42" s="1993">
        <f>SUM(D44:D47)</f>
        <v>34415889</v>
      </c>
      <c r="E42" s="1994">
        <f t="shared" ref="E42:J42" si="13">SUM(E44:E47)</f>
        <v>33404038</v>
      </c>
      <c r="F42" s="1994">
        <f t="shared" si="13"/>
        <v>29694686</v>
      </c>
      <c r="G42" s="1994">
        <f t="shared" si="13"/>
        <v>29006731</v>
      </c>
      <c r="H42" s="1994">
        <f t="shared" si="13"/>
        <v>28011280</v>
      </c>
      <c r="I42" s="1994">
        <f t="shared" si="13"/>
        <v>27484607</v>
      </c>
      <c r="J42" s="1995">
        <f t="shared" si="13"/>
        <v>27032543</v>
      </c>
      <c r="K42" s="421"/>
    </row>
    <row r="43" spans="1:13" s="422" customFormat="1" ht="15" customHeight="1">
      <c r="A43" s="3399"/>
      <c r="B43" s="3408"/>
      <c r="C43" s="2897" t="s">
        <v>226</v>
      </c>
      <c r="D43" s="1996">
        <f t="shared" ref="D43:J43" si="14">D42/D10</f>
        <v>0.72379059797271106</v>
      </c>
      <c r="E43" s="1997">
        <f t="shared" si="14"/>
        <v>0.71991461206896556</v>
      </c>
      <c r="F43" s="1997">
        <f t="shared" si="14"/>
        <v>0.69388927165950365</v>
      </c>
      <c r="G43" s="1997">
        <f t="shared" si="14"/>
        <v>0.69333084173043813</v>
      </c>
      <c r="H43" s="1997">
        <f t="shared" si="14"/>
        <v>0.69085644702266524</v>
      </c>
      <c r="I43" s="1997">
        <f t="shared" si="14"/>
        <v>0.69092659515505694</v>
      </c>
      <c r="J43" s="1998">
        <f t="shared" si="14"/>
        <v>0.69014741261036638</v>
      </c>
      <c r="K43" s="421"/>
    </row>
    <row r="44" spans="1:13" s="422" customFormat="1" ht="25.5">
      <c r="A44" s="746" t="s">
        <v>796</v>
      </c>
      <c r="B44" s="762" t="s">
        <v>797</v>
      </c>
      <c r="C44" s="2897" t="s">
        <v>1052</v>
      </c>
      <c r="D44" s="1956">
        <v>1651286</v>
      </c>
      <c r="E44" s="1956">
        <v>1500200</v>
      </c>
      <c r="F44" s="1956">
        <v>1400300</v>
      </c>
      <c r="G44" s="1956">
        <v>1330100</v>
      </c>
      <c r="H44" s="1956">
        <v>1250000</v>
      </c>
      <c r="I44" s="1956">
        <v>1090800</v>
      </c>
      <c r="J44" s="1957">
        <v>920000</v>
      </c>
      <c r="K44" s="421"/>
    </row>
    <row r="45" spans="1:13" s="422" customFormat="1" ht="15" customHeight="1">
      <c r="A45" s="746" t="s">
        <v>798</v>
      </c>
      <c r="B45" s="760" t="s">
        <v>799</v>
      </c>
      <c r="C45" s="2897" t="s">
        <v>1052</v>
      </c>
      <c r="D45" s="1956">
        <v>29462030</v>
      </c>
      <c r="E45" s="1956">
        <v>28902590</v>
      </c>
      <c r="F45" s="1956">
        <v>25433886</v>
      </c>
      <c r="G45" s="1956">
        <v>25136131</v>
      </c>
      <c r="H45" s="1956">
        <v>24631280</v>
      </c>
      <c r="I45" s="1956">
        <v>24473507</v>
      </c>
      <c r="J45" s="1957">
        <v>24412543</v>
      </c>
      <c r="K45" s="421"/>
    </row>
    <row r="46" spans="1:13" s="422" customFormat="1" ht="15" customHeight="1">
      <c r="A46" s="746" t="s">
        <v>800</v>
      </c>
      <c r="B46" s="760" t="s">
        <v>801</v>
      </c>
      <c r="C46" s="2897" t="s">
        <v>1052</v>
      </c>
      <c r="D46" s="1956">
        <v>990772</v>
      </c>
      <c r="E46" s="1956">
        <v>980700</v>
      </c>
      <c r="F46" s="1956">
        <v>880000</v>
      </c>
      <c r="G46" s="1956">
        <v>750500</v>
      </c>
      <c r="H46" s="1956">
        <v>580000</v>
      </c>
      <c r="I46" s="1956">
        <v>500000</v>
      </c>
      <c r="J46" s="1957">
        <v>450000</v>
      </c>
      <c r="K46" s="421"/>
    </row>
    <row r="47" spans="1:13" s="419" customFormat="1" ht="15" customHeight="1" thickBot="1">
      <c r="A47" s="747" t="s">
        <v>802</v>
      </c>
      <c r="B47" s="763" t="s">
        <v>803</v>
      </c>
      <c r="C47" s="2903" t="s">
        <v>1052</v>
      </c>
      <c r="D47" s="1960">
        <v>2311801</v>
      </c>
      <c r="E47" s="1960">
        <v>2020548</v>
      </c>
      <c r="F47" s="1960">
        <v>1980500</v>
      </c>
      <c r="G47" s="1960">
        <v>1790000</v>
      </c>
      <c r="H47" s="1960">
        <v>1550000</v>
      </c>
      <c r="I47" s="1960">
        <v>1420300</v>
      </c>
      <c r="J47" s="1984">
        <v>1250000</v>
      </c>
      <c r="K47" s="420"/>
    </row>
    <row r="48" spans="1:13" s="419" customFormat="1" ht="15" customHeight="1">
      <c r="A48" s="3401" t="s">
        <v>111</v>
      </c>
      <c r="B48" s="3404" t="s">
        <v>804</v>
      </c>
      <c r="C48" s="2898" t="s">
        <v>1052</v>
      </c>
      <c r="D48" s="1963">
        <f t="shared" ref="D48:J48" si="15">D35+D31</f>
        <v>40023082</v>
      </c>
      <c r="E48" s="1964">
        <f t="shared" si="15"/>
        <v>38873578</v>
      </c>
      <c r="F48" s="1964">
        <f t="shared" si="15"/>
        <v>34748462</v>
      </c>
      <c r="G48" s="1964">
        <f t="shared" si="15"/>
        <v>33838463</v>
      </c>
      <c r="H48" s="1964">
        <f t="shared" si="15"/>
        <v>32605476</v>
      </c>
      <c r="I48" s="1964">
        <f t="shared" si="15"/>
        <v>31902935</v>
      </c>
      <c r="J48" s="1965">
        <f t="shared" si="15"/>
        <v>31274949</v>
      </c>
      <c r="K48" s="420"/>
      <c r="M48" s="419" t="s">
        <v>263</v>
      </c>
    </row>
    <row r="49" spans="1:17" s="419" customFormat="1" ht="15" customHeight="1">
      <c r="A49" s="3402"/>
      <c r="B49" s="3405"/>
      <c r="C49" s="2905" t="s">
        <v>226</v>
      </c>
      <c r="D49" s="1987">
        <f t="shared" ref="D49:I49" si="16">D48/D10</f>
        <v>0.84171385064296456</v>
      </c>
      <c r="E49" s="1988">
        <f t="shared" si="16"/>
        <v>0.83779262931034482</v>
      </c>
      <c r="F49" s="1988">
        <f t="shared" si="16"/>
        <v>0.81198316050447339</v>
      </c>
      <c r="G49" s="1988">
        <f t="shared" si="16"/>
        <v>0.80882089176661398</v>
      </c>
      <c r="H49" s="1988">
        <f t="shared" si="16"/>
        <v>0.8041654398814615</v>
      </c>
      <c r="I49" s="1988">
        <f t="shared" si="16"/>
        <v>0.80199750554930971</v>
      </c>
      <c r="J49" s="1989">
        <f>J48/J10</f>
        <v>0.79845707197695626</v>
      </c>
      <c r="K49" s="420"/>
    </row>
    <row r="50" spans="1:17" s="419" customFormat="1" ht="15" customHeight="1">
      <c r="A50" s="3402"/>
      <c r="B50" s="3405"/>
      <c r="C50" s="2905" t="s">
        <v>1485</v>
      </c>
      <c r="D50" s="1999">
        <f>D48/'2. Променливи'!E24/365</f>
        <v>32.222239039686983</v>
      </c>
      <c r="E50" s="2000">
        <f>E48/'2. Променливи'!F24/365</f>
        <v>31.296783257319287</v>
      </c>
      <c r="F50" s="2000">
        <f>F48/'2. Променливи'!G24/365</f>
        <v>27.967469375271641</v>
      </c>
      <c r="G50" s="2000">
        <f>G48/'2. Променливи'!H24/365</f>
        <v>27.235052235082016</v>
      </c>
      <c r="H50" s="2000">
        <f>H48/'2. Променливи'!I24/365</f>
        <v>26.242676625404439</v>
      </c>
      <c r="I50" s="2000">
        <f>I48/'2. Променливи'!J24/365</f>
        <v>25.669692032265203</v>
      </c>
      <c r="J50" s="2001">
        <f>J48/'2. Променливи'!K24/365</f>
        <v>25.164402872488083</v>
      </c>
      <c r="K50" s="420"/>
    </row>
    <row r="51" spans="1:17" s="419" customFormat="1" ht="15" customHeight="1" thickBot="1">
      <c r="A51" s="3403"/>
      <c r="B51" s="3406"/>
      <c r="C51" s="2906" t="s">
        <v>991</v>
      </c>
      <c r="D51" s="2002">
        <f>D10-D21-D48</f>
        <v>0</v>
      </c>
      <c r="E51" s="2003">
        <f t="shared" ref="E51:J51" si="17">E10-E21-E48</f>
        <v>0</v>
      </c>
      <c r="F51" s="2003">
        <f t="shared" si="17"/>
        <v>-0.28999999910593033</v>
      </c>
      <c r="G51" s="2003">
        <f t="shared" si="17"/>
        <v>-8.3864204585552216E-2</v>
      </c>
      <c r="H51" s="2003">
        <f t="shared" si="17"/>
        <v>0.21692425012588501</v>
      </c>
      <c r="I51" s="2003">
        <f t="shared" si="17"/>
        <v>0.3727312833070755</v>
      </c>
      <c r="J51" s="2004">
        <f t="shared" si="17"/>
        <v>0.28301084041595459</v>
      </c>
      <c r="K51" s="420"/>
    </row>
    <row r="52" spans="1:17" ht="21" customHeight="1" thickBot="1">
      <c r="A52" s="748" t="s">
        <v>229</v>
      </c>
      <c r="B52" s="764" t="s">
        <v>230</v>
      </c>
      <c r="C52" s="2907"/>
      <c r="D52" s="2005"/>
      <c r="E52" s="2005"/>
      <c r="F52" s="2005"/>
      <c r="G52" s="2005"/>
      <c r="H52" s="2005"/>
      <c r="I52" s="2005"/>
      <c r="J52" s="2006"/>
      <c r="K52" s="423"/>
      <c r="L52" s="424"/>
      <c r="M52" s="423"/>
      <c r="N52" s="423"/>
      <c r="O52" s="423"/>
      <c r="P52" s="423"/>
      <c r="Q52" s="423"/>
    </row>
    <row r="53" spans="1:17" ht="15" customHeight="1">
      <c r="A53" s="3409">
        <v>5</v>
      </c>
      <c r="B53" s="3411" t="s">
        <v>231</v>
      </c>
      <c r="C53" s="2895" t="s">
        <v>1052</v>
      </c>
      <c r="D53" s="1948">
        <f t="shared" ref="D53:J53" si="18">D55+D57</f>
        <v>4077081</v>
      </c>
      <c r="E53" s="1949">
        <f t="shared" si="18"/>
        <v>4071397</v>
      </c>
      <c r="F53" s="1949">
        <f t="shared" si="18"/>
        <v>5030936</v>
      </c>
      <c r="G53" s="1949">
        <f t="shared" si="18"/>
        <v>5391648</v>
      </c>
      <c r="H53" s="1949">
        <f t="shared" si="18"/>
        <v>5432648</v>
      </c>
      <c r="I53" s="1949">
        <f t="shared" si="18"/>
        <v>5431648</v>
      </c>
      <c r="J53" s="1950">
        <f t="shared" si="18"/>
        <v>5397648</v>
      </c>
      <c r="K53" s="425"/>
    </row>
    <row r="54" spans="1:17" ht="21" customHeight="1" thickBot="1">
      <c r="A54" s="3410"/>
      <c r="B54" s="3412"/>
      <c r="C54" s="2899" t="s">
        <v>226</v>
      </c>
      <c r="D54" s="1951">
        <f t="shared" ref="D54:J54" si="19">D53/D21</f>
        <v>0.54170191467959106</v>
      </c>
      <c r="E54" s="1952">
        <f t="shared" si="19"/>
        <v>0.5409472123673108</v>
      </c>
      <c r="F54" s="1952">
        <f t="shared" si="19"/>
        <v>0.62526405733559653</v>
      </c>
      <c r="G54" s="1952">
        <f t="shared" si="19"/>
        <v>0.67409767165711465</v>
      </c>
      <c r="H54" s="1952">
        <f t="shared" si="19"/>
        <v>0.68419059744165145</v>
      </c>
      <c r="I54" s="1952">
        <f t="shared" si="19"/>
        <v>0.68960968951948798</v>
      </c>
      <c r="J54" s="1953">
        <f t="shared" si="19"/>
        <v>0.68374155092457145</v>
      </c>
      <c r="K54" s="425"/>
    </row>
    <row r="55" spans="1:17" ht="15" customHeight="1">
      <c r="A55" s="749" t="s">
        <v>119</v>
      </c>
      <c r="B55" s="2908" t="s">
        <v>233</v>
      </c>
      <c r="C55" s="2900" t="s">
        <v>1052</v>
      </c>
      <c r="D55" s="1969">
        <f>D56</f>
        <v>2794681</v>
      </c>
      <c r="E55" s="1970">
        <f t="shared" ref="E55:J55" si="20">E56</f>
        <v>2834943</v>
      </c>
      <c r="F55" s="1970">
        <f t="shared" si="20"/>
        <v>3510989</v>
      </c>
      <c r="G55" s="1970">
        <f t="shared" si="20"/>
        <v>3894201</v>
      </c>
      <c r="H55" s="1970">
        <f t="shared" si="20"/>
        <v>3934201</v>
      </c>
      <c r="I55" s="1970">
        <f t="shared" si="20"/>
        <v>3914201</v>
      </c>
      <c r="J55" s="1971">
        <f t="shared" si="20"/>
        <v>3852201</v>
      </c>
      <c r="K55" s="423"/>
    </row>
    <row r="56" spans="1:17" s="423" customFormat="1" ht="15" customHeight="1">
      <c r="A56" s="750" t="s">
        <v>971</v>
      </c>
      <c r="B56" s="2909" t="s">
        <v>234</v>
      </c>
      <c r="C56" s="2897" t="s">
        <v>1052</v>
      </c>
      <c r="D56" s="1956">
        <v>2794681</v>
      </c>
      <c r="E56" s="1956">
        <v>2834943</v>
      </c>
      <c r="F56" s="1956">
        <f>3510989</f>
        <v>3510989</v>
      </c>
      <c r="G56" s="1956">
        <v>3894201</v>
      </c>
      <c r="H56" s="1956">
        <v>3934201</v>
      </c>
      <c r="I56" s="1956">
        <v>3914201</v>
      </c>
      <c r="J56" s="1957">
        <v>3852201</v>
      </c>
    </row>
    <row r="57" spans="1:17" ht="15" customHeight="1">
      <c r="A57" s="751" t="s">
        <v>124</v>
      </c>
      <c r="B57" s="2910" t="s">
        <v>236</v>
      </c>
      <c r="C57" s="2897" t="s">
        <v>1052</v>
      </c>
      <c r="D57" s="1975">
        <f>D59+D60+D61</f>
        <v>1282400</v>
      </c>
      <c r="E57" s="1976">
        <f>E59+E60+E61</f>
        <v>1236454</v>
      </c>
      <c r="F57" s="1976">
        <f>F58</f>
        <v>1519947</v>
      </c>
      <c r="G57" s="1976">
        <f>G58</f>
        <v>1497447</v>
      </c>
      <c r="H57" s="1976">
        <f>H58</f>
        <v>1498447</v>
      </c>
      <c r="I57" s="1976">
        <f>I58</f>
        <v>1517447</v>
      </c>
      <c r="J57" s="1977">
        <f>J58</f>
        <v>1545447</v>
      </c>
    </row>
    <row r="58" spans="1:17" ht="15.75">
      <c r="A58" s="750" t="s">
        <v>880</v>
      </c>
      <c r="B58" s="2909" t="s">
        <v>812</v>
      </c>
      <c r="C58" s="2897" t="s">
        <v>1052</v>
      </c>
      <c r="D58" s="2010"/>
      <c r="E58" s="2011"/>
      <c r="F58" s="1958">
        <v>1519947</v>
      </c>
      <c r="G58" s="1958">
        <v>1497447</v>
      </c>
      <c r="H58" s="1958">
        <v>1498447</v>
      </c>
      <c r="I58" s="1958">
        <v>1517447</v>
      </c>
      <c r="J58" s="1959">
        <v>1545447</v>
      </c>
    </row>
    <row r="59" spans="1:17" ht="15.75">
      <c r="A59" s="750"/>
      <c r="B59" s="2911" t="s">
        <v>1381</v>
      </c>
      <c r="C59" s="2897" t="s">
        <v>1052</v>
      </c>
      <c r="D59" s="1956">
        <v>607515</v>
      </c>
      <c r="E59" s="1958">
        <v>611200</v>
      </c>
      <c r="F59" s="2011"/>
      <c r="G59" s="2011"/>
      <c r="H59" s="2011"/>
      <c r="I59" s="2011"/>
      <c r="J59" s="2012"/>
    </row>
    <row r="60" spans="1:17" ht="15.75">
      <c r="A60" s="750"/>
      <c r="B60" s="2911" t="s">
        <v>1382</v>
      </c>
      <c r="C60" s="2897" t="s">
        <v>1052</v>
      </c>
      <c r="D60" s="1956">
        <v>442206</v>
      </c>
      <c r="E60" s="1958">
        <v>438159</v>
      </c>
      <c r="F60" s="2011"/>
      <c r="G60" s="2011"/>
      <c r="H60" s="2011"/>
      <c r="I60" s="2011"/>
      <c r="J60" s="2012"/>
    </row>
    <row r="61" spans="1:17" ht="16.5" thickBot="1">
      <c r="A61" s="752"/>
      <c r="B61" s="2912" t="s">
        <v>1383</v>
      </c>
      <c r="C61" s="2903" t="s">
        <v>1052</v>
      </c>
      <c r="D61" s="1960">
        <v>232679</v>
      </c>
      <c r="E61" s="1961">
        <v>187095</v>
      </c>
      <c r="F61" s="2013"/>
      <c r="G61" s="2013"/>
      <c r="H61" s="2013"/>
      <c r="I61" s="2013"/>
      <c r="J61" s="2014"/>
    </row>
    <row r="62" spans="1:17" ht="21" customHeight="1" thickBot="1">
      <c r="A62" s="753" t="s">
        <v>240</v>
      </c>
      <c r="B62" s="2913" t="s">
        <v>241</v>
      </c>
      <c r="C62" s="2907"/>
      <c r="D62" s="2015"/>
      <c r="E62" s="2015"/>
      <c r="F62" s="2015"/>
      <c r="G62" s="2015"/>
      <c r="H62" s="2015"/>
      <c r="I62" s="2015"/>
      <c r="J62" s="2016"/>
    </row>
    <row r="63" spans="1:17" ht="15" customHeight="1">
      <c r="A63" s="3409">
        <v>6</v>
      </c>
      <c r="B63" s="3411" t="s">
        <v>242</v>
      </c>
      <c r="C63" s="2895" t="s">
        <v>1052</v>
      </c>
      <c r="D63" s="1948">
        <f t="shared" ref="D63:J63" si="21">D65+D67</f>
        <v>4155184</v>
      </c>
      <c r="E63" s="1949">
        <f t="shared" si="21"/>
        <v>4840779</v>
      </c>
      <c r="F63" s="1949">
        <f t="shared" si="21"/>
        <v>4890860.5999999996</v>
      </c>
      <c r="G63" s="1949">
        <f t="shared" si="21"/>
        <v>5018493.5999999996</v>
      </c>
      <c r="H63" s="1949">
        <f t="shared" si="21"/>
        <v>5276053.5999999996</v>
      </c>
      <c r="I63" s="1949">
        <f t="shared" si="21"/>
        <v>5389927.5999999996</v>
      </c>
      <c r="J63" s="1950">
        <f t="shared" si="21"/>
        <v>5376828.5999999996</v>
      </c>
    </row>
    <row r="64" spans="1:17" ht="15" customHeight="1" thickBot="1">
      <c r="A64" s="3410"/>
      <c r="B64" s="3412"/>
      <c r="C64" s="2899" t="s">
        <v>226</v>
      </c>
      <c r="D64" s="1951">
        <f t="shared" ref="D64:J64" si="22">D63/D21</f>
        <v>0.55207908026502339</v>
      </c>
      <c r="E64" s="1952">
        <f t="shared" si="22"/>
        <v>0.64317135021129557</v>
      </c>
      <c r="F64" s="1952">
        <f t="shared" si="22"/>
        <v>0.6078549483871013</v>
      </c>
      <c r="G64" s="1952">
        <f t="shared" si="22"/>
        <v>0.62744356660266598</v>
      </c>
      <c r="H64" s="1952">
        <f t="shared" si="22"/>
        <v>0.66446901487417842</v>
      </c>
      <c r="I64" s="1952">
        <f t="shared" si="22"/>
        <v>0.68431280870345768</v>
      </c>
      <c r="J64" s="1953">
        <f t="shared" si="22"/>
        <v>0.68110427468030366</v>
      </c>
      <c r="K64" s="423"/>
    </row>
    <row r="65" spans="1:13" ht="15" customHeight="1">
      <c r="A65" s="754" t="s">
        <v>333</v>
      </c>
      <c r="B65" s="2908" t="s">
        <v>233</v>
      </c>
      <c r="C65" s="2900" t="s">
        <v>1052</v>
      </c>
      <c r="D65" s="1969">
        <f>D66</f>
        <v>2859431</v>
      </c>
      <c r="E65" s="1970">
        <f t="shared" ref="E65:J65" si="23">E66</f>
        <v>3582137</v>
      </c>
      <c r="F65" s="1970">
        <f t="shared" si="23"/>
        <v>3091674</v>
      </c>
      <c r="G65" s="1970">
        <f t="shared" si="23"/>
        <v>3193174</v>
      </c>
      <c r="H65" s="1970">
        <f t="shared" si="23"/>
        <v>3333174</v>
      </c>
      <c r="I65" s="1970">
        <f t="shared" si="23"/>
        <v>3413174</v>
      </c>
      <c r="J65" s="1971">
        <f t="shared" si="23"/>
        <v>3451174</v>
      </c>
    </row>
    <row r="66" spans="1:13" ht="15" customHeight="1">
      <c r="A66" s="755" t="s">
        <v>514</v>
      </c>
      <c r="B66" s="2909" t="s">
        <v>244</v>
      </c>
      <c r="C66" s="2897" t="s">
        <v>1052</v>
      </c>
      <c r="D66" s="1956">
        <v>2859431</v>
      </c>
      <c r="E66" s="1956">
        <v>3582137</v>
      </c>
      <c r="F66" s="1956">
        <v>3091674</v>
      </c>
      <c r="G66" s="1956">
        <v>3193174</v>
      </c>
      <c r="H66" s="1956">
        <v>3333174</v>
      </c>
      <c r="I66" s="1956">
        <v>3413174</v>
      </c>
      <c r="J66" s="1957">
        <v>3451174</v>
      </c>
    </row>
    <row r="67" spans="1:13" ht="15" customHeight="1">
      <c r="A67" s="751" t="s">
        <v>335</v>
      </c>
      <c r="B67" s="2910" t="s">
        <v>236</v>
      </c>
      <c r="C67" s="2897" t="s">
        <v>1052</v>
      </c>
      <c r="D67" s="1975">
        <f>D69+D70+D71</f>
        <v>1295753</v>
      </c>
      <c r="E67" s="1976">
        <f t="shared" ref="E67:J67" si="24">E69+E70+E71</f>
        <v>1258642</v>
      </c>
      <c r="F67" s="1976">
        <f t="shared" si="24"/>
        <v>1799186.6</v>
      </c>
      <c r="G67" s="1976">
        <f t="shared" si="24"/>
        <v>1825319.6</v>
      </c>
      <c r="H67" s="1976">
        <f t="shared" si="24"/>
        <v>1942879.6</v>
      </c>
      <c r="I67" s="1976">
        <f t="shared" si="24"/>
        <v>1976753.6</v>
      </c>
      <c r="J67" s="1977">
        <f t="shared" si="24"/>
        <v>1925654.6</v>
      </c>
    </row>
    <row r="68" spans="1:13" ht="15" customHeight="1">
      <c r="A68" s="2914"/>
      <c r="B68" s="2909" t="s">
        <v>245</v>
      </c>
      <c r="C68" s="2897" t="s">
        <v>1052</v>
      </c>
      <c r="D68" s="2007"/>
      <c r="E68" s="2008"/>
      <c r="F68" s="2008"/>
      <c r="G68" s="2008"/>
      <c r="H68" s="2008"/>
      <c r="I68" s="2008"/>
      <c r="J68" s="2009"/>
    </row>
    <row r="69" spans="1:13" ht="15" customHeight="1">
      <c r="A69" s="751" t="s">
        <v>515</v>
      </c>
      <c r="B69" s="2911" t="s">
        <v>1381</v>
      </c>
      <c r="C69" s="2897" t="s">
        <v>1052</v>
      </c>
      <c r="D69" s="1956">
        <v>618150</v>
      </c>
      <c r="E69" s="1958">
        <v>630670</v>
      </c>
      <c r="F69" s="1958">
        <v>1107750</v>
      </c>
      <c r="G69" s="1958">
        <v>1133883</v>
      </c>
      <c r="H69" s="1958">
        <v>1251443</v>
      </c>
      <c r="I69" s="1958">
        <v>1285317</v>
      </c>
      <c r="J69" s="1959">
        <v>1234218</v>
      </c>
    </row>
    <row r="70" spans="1:13" ht="15" customHeight="1">
      <c r="A70" s="751" t="s">
        <v>972</v>
      </c>
      <c r="B70" s="2911" t="s">
        <v>1382</v>
      </c>
      <c r="C70" s="2897" t="s">
        <v>1052</v>
      </c>
      <c r="D70" s="1956">
        <v>442206</v>
      </c>
      <c r="E70" s="1958">
        <v>438159</v>
      </c>
      <c r="F70" s="1956">
        <v>446319.6</v>
      </c>
      <c r="G70" s="1958">
        <v>446319.6</v>
      </c>
      <c r="H70" s="1956">
        <v>446319.6</v>
      </c>
      <c r="I70" s="1958">
        <v>446319.6</v>
      </c>
      <c r="J70" s="1957">
        <v>446319.6</v>
      </c>
    </row>
    <row r="71" spans="1:13" ht="15" customHeight="1" thickBot="1">
      <c r="A71" s="756" t="s">
        <v>973</v>
      </c>
      <c r="B71" s="2912" t="s">
        <v>1383</v>
      </c>
      <c r="C71" s="2903" t="s">
        <v>1052</v>
      </c>
      <c r="D71" s="1960">
        <v>235397</v>
      </c>
      <c r="E71" s="1961">
        <v>189813</v>
      </c>
      <c r="F71" s="1960">
        <v>245117</v>
      </c>
      <c r="G71" s="1961">
        <v>245117</v>
      </c>
      <c r="H71" s="1960">
        <v>245117</v>
      </c>
      <c r="I71" s="1961">
        <v>245117</v>
      </c>
      <c r="J71" s="1984">
        <v>245117</v>
      </c>
    </row>
    <row r="72" spans="1:13" ht="15" customHeight="1">
      <c r="A72" s="414"/>
      <c r="K72" s="426"/>
      <c r="L72" s="426"/>
    </row>
    <row r="73" spans="1:13" ht="29.25" customHeight="1">
      <c r="A73" s="414"/>
      <c r="B73" s="427" t="str">
        <f>'2. Променливи'!C117</f>
        <v>Дата: 10.11.2017 г.</v>
      </c>
      <c r="K73" s="428"/>
      <c r="L73" s="428"/>
    </row>
    <row r="74" spans="1:13" ht="14.25" customHeight="1">
      <c r="A74" s="414"/>
      <c r="B74" s="429"/>
      <c r="C74" s="429"/>
      <c r="D74" s="429"/>
      <c r="E74" s="430" t="str">
        <f>'2. Променливи'!E115</f>
        <v>Главен счетоводител:</v>
      </c>
      <c r="F74" s="429" t="s">
        <v>4</v>
      </c>
      <c r="I74" s="431"/>
      <c r="J74" s="432"/>
      <c r="K74" s="433"/>
      <c r="L74" s="433"/>
      <c r="M74" s="432"/>
    </row>
    <row r="75" spans="1:13">
      <c r="A75" s="414"/>
      <c r="E75" s="434"/>
      <c r="F75" s="435"/>
      <c r="G75" s="436" t="s">
        <v>246</v>
      </c>
      <c r="J75" s="432"/>
      <c r="K75" s="433"/>
      <c r="L75" s="433"/>
      <c r="M75" s="432"/>
    </row>
    <row r="76" spans="1:13">
      <c r="A76" s="414"/>
      <c r="E76" s="434"/>
      <c r="F76" s="435"/>
      <c r="G76" s="436"/>
      <c r="J76" s="432"/>
      <c r="K76" s="433"/>
      <c r="L76" s="433"/>
      <c r="M76" s="432"/>
    </row>
    <row r="77" spans="1:13">
      <c r="A77" s="414"/>
      <c r="E77" s="434"/>
      <c r="F77" s="435"/>
      <c r="G77" s="436"/>
      <c r="J77" s="432"/>
      <c r="K77" s="433"/>
      <c r="L77" s="433"/>
      <c r="M77" s="432"/>
    </row>
    <row r="78" spans="1:13">
      <c r="A78" s="414"/>
      <c r="E78" s="430" t="str">
        <f>'2. Променливи'!F118</f>
        <v>Управител:</v>
      </c>
      <c r="F78" s="429" t="s">
        <v>4</v>
      </c>
      <c r="J78" s="437"/>
      <c r="K78" s="433"/>
      <c r="L78" s="433"/>
      <c r="M78" s="437"/>
    </row>
    <row r="79" spans="1:13">
      <c r="A79" s="414"/>
      <c r="E79" s="434"/>
      <c r="F79" s="435"/>
      <c r="G79" s="436" t="s">
        <v>6</v>
      </c>
    </row>
    <row r="80" spans="1:13">
      <c r="A80" s="414"/>
      <c r="E80" s="434"/>
    </row>
    <row r="81" spans="1:10">
      <c r="A81" s="3400" t="s">
        <v>247</v>
      </c>
      <c r="B81" s="3400"/>
      <c r="C81" s="3400"/>
      <c r="D81" s="3400"/>
      <c r="E81" s="438"/>
      <c r="F81" s="438"/>
      <c r="G81" s="438"/>
    </row>
    <row r="82" spans="1:10" s="440" customFormat="1">
      <c r="A82" s="3428" t="s">
        <v>248</v>
      </c>
      <c r="B82" s="3428"/>
      <c r="C82" s="3428"/>
      <c r="D82" s="3428"/>
      <c r="E82" s="438"/>
      <c r="F82" s="438"/>
      <c r="G82" s="438"/>
      <c r="H82" s="439"/>
      <c r="I82" s="439"/>
    </row>
    <row r="83" spans="1:10" s="440" customFormat="1" ht="24" customHeight="1">
      <c r="A83" s="3414" t="s">
        <v>992</v>
      </c>
      <c r="B83" s="3414"/>
      <c r="C83" s="3414"/>
      <c r="D83" s="3414"/>
      <c r="E83" s="3414"/>
      <c r="F83" s="3414"/>
      <c r="G83" s="3414"/>
      <c r="H83" s="3414"/>
      <c r="I83" s="3414"/>
      <c r="J83" s="3414"/>
    </row>
    <row r="84" spans="1:10" ht="60" customHeight="1">
      <c r="A84" s="3413" t="s">
        <v>1549</v>
      </c>
      <c r="B84" s="3413"/>
      <c r="C84" s="3413"/>
      <c r="D84" s="3413"/>
      <c r="E84" s="3413"/>
      <c r="F84" s="3413"/>
      <c r="G84" s="3413"/>
      <c r="H84" s="3413"/>
      <c r="I84" s="3413"/>
      <c r="J84" s="3413"/>
    </row>
  </sheetData>
  <sheetProtection password="C6DB" sheet="1" objects="1" scenarios="1" formatCells="0" formatColumns="0" formatRows="0"/>
  <mergeCells count="25">
    <mergeCell ref="A84:J84"/>
    <mergeCell ref="A83:J83"/>
    <mergeCell ref="A2:J3"/>
    <mergeCell ref="A5:J5"/>
    <mergeCell ref="A6:J6"/>
    <mergeCell ref="A19:A20"/>
    <mergeCell ref="B19:B20"/>
    <mergeCell ref="A21:A22"/>
    <mergeCell ref="B21:B22"/>
    <mergeCell ref="A31:A32"/>
    <mergeCell ref="B31:B32"/>
    <mergeCell ref="A35:A37"/>
    <mergeCell ref="B35:B37"/>
    <mergeCell ref="A82:D82"/>
    <mergeCell ref="A38:A39"/>
    <mergeCell ref="B38:B39"/>
    <mergeCell ref="A42:A43"/>
    <mergeCell ref="A81:D81"/>
    <mergeCell ref="A48:A51"/>
    <mergeCell ref="B48:B51"/>
    <mergeCell ref="B42:B43"/>
    <mergeCell ref="A53:A54"/>
    <mergeCell ref="B53:B54"/>
    <mergeCell ref="A63:A64"/>
    <mergeCell ref="B63:B64"/>
  </mergeCells>
  <printOptions horizontalCentered="1"/>
  <pageMargins left="0.70866141732283472" right="0.70866141732283472" top="0.74803149606299213" bottom="0.74803149606299213" header="0.31496062992125984" footer="0.31496062992125984"/>
  <pageSetup paperSize="9" scale="54" orientation="portrait" r:id="rId1"/>
  <ignoredErrors>
    <ignoredError sqref="D19:J19 D48:J48" unlockedFormula="1"/>
    <ignoredError sqref="A19:A43 A10:A15" numberStoredAsText="1"/>
    <ignoredError sqref="D20:J22 D49:I49" evalError="1" unlockedFormula="1"/>
    <ignoredError sqref="D23:J23 D27:J27 D31:J32 D35:J36 D42:J43 D38:J39" evalError="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CC"/>
  </sheetPr>
  <dimension ref="A1:BC50"/>
  <sheetViews>
    <sheetView zoomScale="90" zoomScaleNormal="90" zoomScaleSheetLayoutView="70" workbookViewId="0">
      <pane xSplit="2" ySplit="9" topLeftCell="Q10" activePane="bottomRight" state="frozen"/>
      <selection pane="topRight" activeCell="C1" sqref="C1"/>
      <selection pane="bottomLeft" activeCell="A10" sqref="A10"/>
      <selection pane="bottomRight" activeCell="U32" sqref="U32"/>
    </sheetView>
  </sheetViews>
  <sheetFormatPr defaultColWidth="9.140625" defaultRowHeight="12.75"/>
  <cols>
    <col min="1" max="1" width="4.42578125" style="1541" customWidth="1"/>
    <col min="2" max="2" width="58.7109375" style="1540" customWidth="1"/>
    <col min="3" max="9" width="8.28515625" style="1541" customWidth="1"/>
    <col min="10" max="44" width="8.28515625" style="1540" customWidth="1"/>
    <col min="45" max="51" width="8.28515625" style="1585" customWidth="1"/>
    <col min="52" max="16384" width="9.140625" style="1540"/>
  </cols>
  <sheetData>
    <row r="1" spans="1:55" ht="15">
      <c r="A1" s="2210"/>
      <c r="B1" s="2210"/>
      <c r="C1" s="2210"/>
      <c r="D1" s="2210"/>
      <c r="E1" s="2210"/>
      <c r="F1" s="2210"/>
      <c r="G1" s="2210"/>
      <c r="H1" s="2210"/>
      <c r="I1" s="2210"/>
      <c r="J1" s="2210"/>
      <c r="K1" s="2210"/>
      <c r="L1" s="2210"/>
      <c r="M1" s="2210"/>
      <c r="N1" s="2210"/>
      <c r="O1" s="2210"/>
      <c r="P1" s="2210"/>
      <c r="Q1" s="2210"/>
      <c r="R1" s="2210"/>
      <c r="S1" s="2210"/>
      <c r="T1" s="2210"/>
      <c r="U1" s="2210"/>
      <c r="V1" s="2210"/>
      <c r="W1" s="2210"/>
      <c r="X1" s="2210"/>
      <c r="Y1" s="2210"/>
      <c r="Z1" s="2210"/>
      <c r="AA1" s="2210"/>
      <c r="AB1" s="2210"/>
      <c r="AC1" s="2210" t="s">
        <v>0</v>
      </c>
      <c r="AD1" s="2210"/>
      <c r="AE1" s="1566"/>
      <c r="AF1" s="1566"/>
      <c r="AG1" s="1566"/>
      <c r="AH1" s="1566"/>
      <c r="AI1" s="1566"/>
      <c r="AJ1" s="1566"/>
      <c r="AK1" s="1566"/>
      <c r="AL1" s="1566"/>
      <c r="AM1" s="1566"/>
      <c r="AN1" s="1566"/>
      <c r="AO1" s="1566"/>
      <c r="AP1" s="1566"/>
      <c r="AQ1" s="1566"/>
      <c r="AR1" s="1566"/>
      <c r="AS1" s="1567"/>
      <c r="AT1" s="1567"/>
      <c r="AU1" s="1567"/>
      <c r="AV1" s="1567"/>
      <c r="AW1" s="1567"/>
      <c r="AX1" s="1567"/>
      <c r="AY1" s="507"/>
      <c r="AZ1" s="1566"/>
      <c r="BA1" s="1566"/>
      <c r="BB1" s="1566"/>
      <c r="BC1" s="1566"/>
    </row>
    <row r="2" spans="1:55" ht="39" customHeight="1">
      <c r="A2" s="3431" t="s">
        <v>744</v>
      </c>
      <c r="B2" s="3431"/>
      <c r="C2" s="3431"/>
      <c r="D2" s="3431"/>
      <c r="E2" s="3431"/>
      <c r="F2" s="3431"/>
      <c r="G2" s="3431"/>
      <c r="H2" s="3431"/>
      <c r="I2" s="3431"/>
      <c r="J2" s="3431"/>
      <c r="K2" s="3431"/>
      <c r="L2" s="3431"/>
      <c r="M2" s="3431"/>
      <c r="N2" s="3431"/>
      <c r="O2" s="3431"/>
      <c r="P2" s="3431"/>
      <c r="Q2" s="3431"/>
      <c r="R2" s="3431"/>
      <c r="S2" s="3431"/>
      <c r="T2" s="3431"/>
      <c r="U2" s="3431"/>
      <c r="V2" s="3431"/>
      <c r="W2" s="3431"/>
      <c r="X2" s="3431"/>
      <c r="Y2" s="3431"/>
      <c r="Z2" s="3431"/>
      <c r="AA2" s="3431"/>
      <c r="AB2" s="3431"/>
      <c r="AC2" s="3431"/>
      <c r="AD2" s="3431"/>
      <c r="AE2" s="1902"/>
      <c r="AF2" s="1902"/>
      <c r="AG2" s="1902"/>
      <c r="AH2" s="1902"/>
      <c r="AI2" s="1902"/>
      <c r="AJ2" s="1902"/>
      <c r="AK2" s="1902"/>
      <c r="AL2" s="1902"/>
      <c r="AM2" s="1902"/>
      <c r="AN2" s="1902"/>
      <c r="AO2" s="1902"/>
      <c r="AP2" s="1902"/>
      <c r="AQ2" s="1902"/>
      <c r="AR2" s="1902"/>
      <c r="AS2" s="1902"/>
      <c r="AT2" s="1902"/>
      <c r="AU2" s="1902"/>
      <c r="AV2" s="1902"/>
      <c r="AW2" s="1902"/>
      <c r="AX2" s="1902"/>
      <c r="AY2" s="1902"/>
      <c r="AZ2" s="1566"/>
      <c r="BA2" s="1566"/>
      <c r="BB2" s="1566"/>
      <c r="BC2" s="1566"/>
    </row>
    <row r="3" spans="1:55" ht="18.75" hidden="1" customHeight="1">
      <c r="A3" s="3431" t="s">
        <v>1152</v>
      </c>
      <c r="B3" s="3431"/>
      <c r="C3" s="3431"/>
      <c r="D3" s="3431"/>
      <c r="E3" s="3431"/>
      <c r="F3" s="3431"/>
      <c r="G3" s="3431"/>
      <c r="H3" s="3431"/>
      <c r="I3" s="3431"/>
      <c r="J3" s="3431"/>
      <c r="K3" s="3431"/>
      <c r="L3" s="3431"/>
      <c r="M3" s="3431"/>
      <c r="N3" s="3431"/>
      <c r="O3" s="3431"/>
      <c r="P3" s="3431"/>
      <c r="Q3" s="3431"/>
      <c r="R3" s="3431"/>
      <c r="S3" s="3431"/>
      <c r="T3" s="3431"/>
      <c r="U3" s="3431"/>
      <c r="V3" s="3431"/>
      <c r="W3" s="3431"/>
      <c r="X3" s="3431"/>
      <c r="Y3" s="3431"/>
      <c r="Z3" s="3431"/>
      <c r="AA3" s="3431"/>
      <c r="AB3" s="3431"/>
      <c r="AC3" s="3431"/>
      <c r="AD3" s="3431"/>
      <c r="AE3" s="1902"/>
      <c r="AF3" s="1902"/>
      <c r="AG3" s="1902"/>
      <c r="AH3" s="1902"/>
      <c r="AI3" s="1902"/>
      <c r="AJ3" s="1902"/>
      <c r="AK3" s="1902"/>
      <c r="AL3" s="1902"/>
      <c r="AM3" s="1902"/>
      <c r="AN3" s="1902"/>
      <c r="AO3" s="1902"/>
      <c r="AP3" s="1902"/>
      <c r="AQ3" s="1902"/>
      <c r="AR3" s="1902"/>
      <c r="AS3" s="1902"/>
      <c r="AT3" s="1902"/>
      <c r="AU3" s="1902"/>
      <c r="AV3" s="1902"/>
      <c r="AW3" s="1902"/>
      <c r="AX3" s="1902"/>
      <c r="AY3" s="1902"/>
      <c r="AZ3" s="1568"/>
      <c r="BA3" s="1568"/>
      <c r="BB3" s="1568"/>
      <c r="BC3" s="1568"/>
    </row>
    <row r="4" spans="1:55" ht="15.75" customHeight="1">
      <c r="A4" s="3432" t="str">
        <f>'1. Анкетна карта'!A3</f>
        <v>на "ВОДОСНАБДЯВАНЕ И КАНАЛИЗАЦИЯ ДОБРИЧ" АД, гр. Добрич</v>
      </c>
      <c r="B4" s="3432"/>
      <c r="C4" s="3432"/>
      <c r="D4" s="3432"/>
      <c r="E4" s="3432"/>
      <c r="F4" s="3432"/>
      <c r="G4" s="3432"/>
      <c r="H4" s="3432"/>
      <c r="I4" s="3432"/>
      <c r="J4" s="3432"/>
      <c r="K4" s="3432"/>
      <c r="L4" s="3432"/>
      <c r="M4" s="3432"/>
      <c r="N4" s="3432"/>
      <c r="O4" s="3432"/>
      <c r="P4" s="3432"/>
      <c r="Q4" s="3432"/>
      <c r="R4" s="3432"/>
      <c r="S4" s="3432"/>
      <c r="T4" s="3432"/>
      <c r="U4" s="3432"/>
      <c r="V4" s="3432"/>
      <c r="W4" s="3432"/>
      <c r="X4" s="3432"/>
      <c r="Y4" s="3432"/>
      <c r="Z4" s="3432"/>
      <c r="AA4" s="3432"/>
      <c r="AB4" s="3432"/>
      <c r="AC4" s="3432"/>
      <c r="AD4" s="3432"/>
      <c r="AE4" s="1903"/>
      <c r="AF4" s="1903"/>
      <c r="AG4" s="1903"/>
      <c r="AH4" s="1903"/>
      <c r="AI4" s="1903"/>
      <c r="AJ4" s="1903"/>
      <c r="AK4" s="1903"/>
      <c r="AL4" s="1903"/>
      <c r="AM4" s="1903"/>
      <c r="AN4" s="1903"/>
      <c r="AO4" s="1903"/>
      <c r="AP4" s="1903"/>
      <c r="AQ4" s="1903"/>
      <c r="AR4" s="1903"/>
      <c r="AS4" s="1903"/>
      <c r="AT4" s="1903"/>
      <c r="AU4" s="1903"/>
      <c r="AV4" s="1903"/>
      <c r="AW4" s="1903"/>
      <c r="AX4" s="1903"/>
      <c r="AY4" s="1903"/>
      <c r="AZ4" s="1566"/>
      <c r="BA4" s="1566"/>
      <c r="BB4" s="1566"/>
      <c r="BC4" s="1566"/>
    </row>
    <row r="5" spans="1:55" ht="15.75" customHeight="1">
      <c r="A5" s="3432" t="str">
        <f>'1. Анкетна карта'!A4</f>
        <v>ЕИК по БУЛСТАТ: 204219357</v>
      </c>
      <c r="B5" s="3432"/>
      <c r="C5" s="3432"/>
      <c r="D5" s="3432"/>
      <c r="E5" s="3432"/>
      <c r="F5" s="3432"/>
      <c r="G5" s="3432"/>
      <c r="H5" s="3432"/>
      <c r="I5" s="3432"/>
      <c r="J5" s="3432"/>
      <c r="K5" s="3432"/>
      <c r="L5" s="3432"/>
      <c r="M5" s="3432"/>
      <c r="N5" s="3432"/>
      <c r="O5" s="3432"/>
      <c r="P5" s="3432"/>
      <c r="Q5" s="3432"/>
      <c r="R5" s="3432"/>
      <c r="S5" s="3432"/>
      <c r="T5" s="3432"/>
      <c r="U5" s="3432"/>
      <c r="V5" s="3432"/>
      <c r="W5" s="3432"/>
      <c r="X5" s="3432"/>
      <c r="Y5" s="3432"/>
      <c r="Z5" s="3432"/>
      <c r="AA5" s="3432"/>
      <c r="AB5" s="3432"/>
      <c r="AC5" s="3432"/>
      <c r="AD5" s="3432"/>
      <c r="AE5" s="1903"/>
      <c r="AF5" s="1903"/>
      <c r="AG5" s="1903"/>
      <c r="AH5" s="1903"/>
      <c r="AI5" s="1903"/>
      <c r="AJ5" s="1903"/>
      <c r="AK5" s="1903"/>
      <c r="AL5" s="1903"/>
      <c r="AM5" s="1903"/>
      <c r="AN5" s="1903"/>
      <c r="AO5" s="1903"/>
      <c r="AP5" s="1903"/>
      <c r="AQ5" s="1903"/>
      <c r="AR5" s="1903"/>
      <c r="AS5" s="1903"/>
      <c r="AT5" s="1903"/>
      <c r="AU5" s="1903"/>
      <c r="AV5" s="1903"/>
      <c r="AW5" s="1903"/>
      <c r="AX5" s="1903"/>
      <c r="AY5" s="1903"/>
      <c r="AZ5" s="1566"/>
      <c r="BA5" s="1566"/>
      <c r="BB5" s="1566"/>
      <c r="BC5" s="1566"/>
    </row>
    <row r="6" spans="1:55" ht="15.75" thickBot="1">
      <c r="A6" s="3433"/>
      <c r="B6" s="3433"/>
      <c r="C6" s="3433"/>
      <c r="D6" s="3433"/>
      <c r="E6" s="3433"/>
      <c r="F6" s="3433"/>
      <c r="G6" s="3433"/>
      <c r="H6" s="3433"/>
      <c r="I6" s="3433"/>
      <c r="J6" s="3433"/>
      <c r="K6" s="3433"/>
      <c r="L6" s="3433"/>
      <c r="M6" s="3433"/>
      <c r="N6" s="3433"/>
      <c r="O6" s="3433"/>
      <c r="P6" s="3433"/>
      <c r="Q6" s="3433"/>
      <c r="R6" s="3433"/>
      <c r="S6" s="3433"/>
      <c r="T6" s="3433"/>
      <c r="U6" s="3433"/>
      <c r="V6" s="3433"/>
      <c r="W6" s="3433"/>
      <c r="X6" s="3433"/>
      <c r="Y6" s="3433"/>
      <c r="Z6" s="3433"/>
      <c r="AA6" s="3433"/>
      <c r="AB6" s="3433"/>
      <c r="AC6" s="3433"/>
      <c r="AD6" s="3433"/>
      <c r="AE6" s="1566"/>
      <c r="AF6" s="1566"/>
      <c r="AG6" s="1566"/>
      <c r="AH6" s="1566"/>
      <c r="AI6" s="1566"/>
      <c r="AJ6" s="1566"/>
      <c r="AK6" s="1566"/>
      <c r="AL6" s="1566"/>
      <c r="AM6" s="1566"/>
      <c r="AN6" s="1566"/>
      <c r="AO6" s="1566"/>
      <c r="AP6" s="1566"/>
      <c r="AQ6" s="1566"/>
      <c r="AR6" s="1566"/>
      <c r="AS6" s="1567"/>
      <c r="AT6" s="1567"/>
      <c r="AU6" s="1567"/>
      <c r="AV6" s="1567"/>
      <c r="AW6" s="1567"/>
      <c r="AX6" s="1904"/>
      <c r="AY6" s="1904"/>
      <c r="AZ6" s="1566"/>
      <c r="BA6" s="1566"/>
      <c r="BB6" s="1566"/>
      <c r="BC6" s="1566"/>
    </row>
    <row r="7" spans="1:55" ht="23.25" customHeight="1" thickBot="1">
      <c r="A7" s="3441" t="s">
        <v>1</v>
      </c>
      <c r="B7" s="3443" t="s">
        <v>265</v>
      </c>
      <c r="C7" s="3453" t="s">
        <v>287</v>
      </c>
      <c r="D7" s="3454"/>
      <c r="E7" s="3454"/>
      <c r="F7" s="3454"/>
      <c r="G7" s="3454"/>
      <c r="H7" s="3454"/>
      <c r="I7" s="3454"/>
      <c r="J7" s="3454"/>
      <c r="K7" s="3454"/>
      <c r="L7" s="3454"/>
      <c r="M7" s="3454"/>
      <c r="N7" s="3454"/>
      <c r="O7" s="3454"/>
      <c r="P7" s="3454"/>
      <c r="Q7" s="3454"/>
      <c r="R7" s="3454"/>
      <c r="S7" s="3454"/>
      <c r="T7" s="3454"/>
      <c r="U7" s="3454"/>
      <c r="V7" s="3454"/>
      <c r="W7" s="3455"/>
      <c r="X7" s="3441" t="s">
        <v>288</v>
      </c>
      <c r="Y7" s="3442"/>
      <c r="Z7" s="3442"/>
      <c r="AA7" s="3442"/>
      <c r="AB7" s="3442"/>
      <c r="AC7" s="3442"/>
      <c r="AD7" s="3443"/>
      <c r="AE7" s="3441" t="s">
        <v>1462</v>
      </c>
      <c r="AF7" s="3442"/>
      <c r="AG7" s="3442"/>
      <c r="AH7" s="3442"/>
      <c r="AI7" s="3442"/>
      <c r="AJ7" s="3442"/>
      <c r="AK7" s="3443"/>
      <c r="AL7" s="3441" t="s">
        <v>1463</v>
      </c>
      <c r="AM7" s="3442"/>
      <c r="AN7" s="3442"/>
      <c r="AO7" s="3442"/>
      <c r="AP7" s="3442"/>
      <c r="AQ7" s="3442"/>
      <c r="AR7" s="3443"/>
      <c r="AS7" s="3435" t="s">
        <v>1461</v>
      </c>
      <c r="AT7" s="3436"/>
      <c r="AU7" s="3436"/>
      <c r="AV7" s="3436"/>
      <c r="AW7" s="3436"/>
      <c r="AX7" s="3436"/>
      <c r="AY7" s="3437"/>
      <c r="AZ7" s="1568"/>
      <c r="BA7" s="1568"/>
      <c r="BB7" s="1568"/>
      <c r="BC7" s="1568"/>
    </row>
    <row r="8" spans="1:55" ht="23.25" customHeight="1">
      <c r="A8" s="3449"/>
      <c r="B8" s="3451"/>
      <c r="C8" s="3456" t="s">
        <v>270</v>
      </c>
      <c r="D8" s="3457"/>
      <c r="E8" s="3457"/>
      <c r="F8" s="3457"/>
      <c r="G8" s="3457"/>
      <c r="H8" s="3457"/>
      <c r="I8" s="3458"/>
      <c r="J8" s="3456" t="s">
        <v>271</v>
      </c>
      <c r="K8" s="3457"/>
      <c r="L8" s="3457"/>
      <c r="M8" s="3457"/>
      <c r="N8" s="3457"/>
      <c r="O8" s="3457"/>
      <c r="P8" s="3458"/>
      <c r="Q8" s="3456" t="s">
        <v>272</v>
      </c>
      <c r="R8" s="3457"/>
      <c r="S8" s="3457"/>
      <c r="T8" s="3457"/>
      <c r="U8" s="3457"/>
      <c r="V8" s="3457"/>
      <c r="W8" s="3458"/>
      <c r="X8" s="3444"/>
      <c r="Y8" s="3445"/>
      <c r="Z8" s="3445"/>
      <c r="AA8" s="3445"/>
      <c r="AB8" s="3445"/>
      <c r="AC8" s="3445"/>
      <c r="AD8" s="3446"/>
      <c r="AE8" s="3444"/>
      <c r="AF8" s="3445"/>
      <c r="AG8" s="3445"/>
      <c r="AH8" s="3445"/>
      <c r="AI8" s="3445"/>
      <c r="AJ8" s="3445"/>
      <c r="AK8" s="3446"/>
      <c r="AL8" s="3444"/>
      <c r="AM8" s="3445"/>
      <c r="AN8" s="3445"/>
      <c r="AO8" s="3445"/>
      <c r="AP8" s="3445"/>
      <c r="AQ8" s="3445"/>
      <c r="AR8" s="3446"/>
      <c r="AS8" s="3438"/>
      <c r="AT8" s="3439"/>
      <c r="AU8" s="3439"/>
      <c r="AV8" s="3439"/>
      <c r="AW8" s="3439"/>
      <c r="AX8" s="3439"/>
      <c r="AY8" s="3440"/>
      <c r="AZ8" s="1568"/>
      <c r="BA8" s="1568"/>
      <c r="BB8" s="1568"/>
      <c r="BC8" s="1568"/>
    </row>
    <row r="9" spans="1:55" ht="23.25" customHeight="1" thickBot="1">
      <c r="A9" s="3450"/>
      <c r="B9" s="3452"/>
      <c r="C9" s="1569" t="str">
        <f>'Приложение '!G12</f>
        <v>2015 г.</v>
      </c>
      <c r="D9" s="1570" t="str">
        <f>'Приложение '!G13</f>
        <v>2016 г.</v>
      </c>
      <c r="E9" s="1570" t="str">
        <f>'Приложение '!G14</f>
        <v>2017 г.</v>
      </c>
      <c r="F9" s="1570" t="str">
        <f>'Приложение '!G15</f>
        <v>2018 г.</v>
      </c>
      <c r="G9" s="1570" t="str">
        <f>'Приложение '!G16</f>
        <v>2019 г.</v>
      </c>
      <c r="H9" s="1570" t="str">
        <f>'Приложение '!G17</f>
        <v>2020 г.</v>
      </c>
      <c r="I9" s="1571" t="str">
        <f>'Приложение '!G18</f>
        <v>2021 г.</v>
      </c>
      <c r="J9" s="1572" t="str">
        <f t="shared" ref="J9:AD9" si="0">C9</f>
        <v>2015 г.</v>
      </c>
      <c r="K9" s="1573" t="str">
        <f t="shared" si="0"/>
        <v>2016 г.</v>
      </c>
      <c r="L9" s="1573" t="str">
        <f t="shared" si="0"/>
        <v>2017 г.</v>
      </c>
      <c r="M9" s="1573" t="str">
        <f t="shared" si="0"/>
        <v>2018 г.</v>
      </c>
      <c r="N9" s="1573" t="str">
        <f t="shared" si="0"/>
        <v>2019 г.</v>
      </c>
      <c r="O9" s="1573" t="str">
        <f t="shared" si="0"/>
        <v>2020 г.</v>
      </c>
      <c r="P9" s="1574" t="str">
        <f t="shared" si="0"/>
        <v>2021 г.</v>
      </c>
      <c r="Q9" s="1572" t="str">
        <f t="shared" si="0"/>
        <v>2015 г.</v>
      </c>
      <c r="R9" s="1573" t="str">
        <f t="shared" si="0"/>
        <v>2016 г.</v>
      </c>
      <c r="S9" s="1573" t="str">
        <f t="shared" si="0"/>
        <v>2017 г.</v>
      </c>
      <c r="T9" s="1573" t="str">
        <f t="shared" si="0"/>
        <v>2018 г.</v>
      </c>
      <c r="U9" s="1573" t="str">
        <f t="shared" si="0"/>
        <v>2019 г.</v>
      </c>
      <c r="V9" s="1573" t="str">
        <f t="shared" si="0"/>
        <v>2020 г.</v>
      </c>
      <c r="W9" s="1574" t="str">
        <f t="shared" si="0"/>
        <v>2021 г.</v>
      </c>
      <c r="X9" s="1572" t="str">
        <f t="shared" si="0"/>
        <v>2015 г.</v>
      </c>
      <c r="Y9" s="1573" t="str">
        <f t="shared" si="0"/>
        <v>2016 г.</v>
      </c>
      <c r="Z9" s="1573" t="str">
        <f t="shared" si="0"/>
        <v>2017 г.</v>
      </c>
      <c r="AA9" s="1573" t="str">
        <f t="shared" si="0"/>
        <v>2018 г.</v>
      </c>
      <c r="AB9" s="1573" t="str">
        <f t="shared" si="0"/>
        <v>2019 г.</v>
      </c>
      <c r="AC9" s="1573" t="str">
        <f t="shared" si="0"/>
        <v>2020 г.</v>
      </c>
      <c r="AD9" s="1574" t="str">
        <f t="shared" si="0"/>
        <v>2021 г.</v>
      </c>
      <c r="AE9" s="1572" t="str">
        <f t="shared" ref="AE9:AR9" si="1">X9</f>
        <v>2015 г.</v>
      </c>
      <c r="AF9" s="1573" t="str">
        <f t="shared" si="1"/>
        <v>2016 г.</v>
      </c>
      <c r="AG9" s="1573" t="str">
        <f t="shared" si="1"/>
        <v>2017 г.</v>
      </c>
      <c r="AH9" s="1573" t="str">
        <f t="shared" si="1"/>
        <v>2018 г.</v>
      </c>
      <c r="AI9" s="1573" t="str">
        <f t="shared" si="1"/>
        <v>2019 г.</v>
      </c>
      <c r="AJ9" s="1573" t="str">
        <f t="shared" si="1"/>
        <v>2020 г.</v>
      </c>
      <c r="AK9" s="1574" t="str">
        <f t="shared" si="1"/>
        <v>2021 г.</v>
      </c>
      <c r="AL9" s="1572" t="str">
        <f t="shared" si="1"/>
        <v>2015 г.</v>
      </c>
      <c r="AM9" s="1573" t="str">
        <f t="shared" si="1"/>
        <v>2016 г.</v>
      </c>
      <c r="AN9" s="1573" t="str">
        <f t="shared" si="1"/>
        <v>2017 г.</v>
      </c>
      <c r="AO9" s="1573" t="str">
        <f t="shared" si="1"/>
        <v>2018 г.</v>
      </c>
      <c r="AP9" s="1573" t="str">
        <f t="shared" si="1"/>
        <v>2019 г.</v>
      </c>
      <c r="AQ9" s="1573" t="str">
        <f t="shared" si="1"/>
        <v>2020 г.</v>
      </c>
      <c r="AR9" s="1574" t="str">
        <f t="shared" si="1"/>
        <v>2021 г.</v>
      </c>
      <c r="AS9" s="1572" t="str">
        <f t="shared" ref="AS9:AY9" si="2">X9</f>
        <v>2015 г.</v>
      </c>
      <c r="AT9" s="1573" t="str">
        <f t="shared" si="2"/>
        <v>2016 г.</v>
      </c>
      <c r="AU9" s="1573" t="str">
        <f t="shared" si="2"/>
        <v>2017 г.</v>
      </c>
      <c r="AV9" s="1573" t="str">
        <f t="shared" si="2"/>
        <v>2018 г.</v>
      </c>
      <c r="AW9" s="1573" t="str">
        <f t="shared" si="2"/>
        <v>2019 г.</v>
      </c>
      <c r="AX9" s="1573" t="str">
        <f t="shared" si="2"/>
        <v>2020 г.</v>
      </c>
      <c r="AY9" s="1574" t="str">
        <f t="shared" si="2"/>
        <v>2021 г.</v>
      </c>
      <c r="AZ9" s="1568"/>
      <c r="BA9" s="1568"/>
      <c r="BB9" s="1568"/>
      <c r="BC9" s="1568"/>
    </row>
    <row r="10" spans="1:55" s="1539" customFormat="1" ht="20.25" customHeight="1">
      <c r="A10" s="2669">
        <v>1</v>
      </c>
      <c r="B10" s="2670" t="s">
        <v>1217</v>
      </c>
      <c r="C10" s="1575"/>
      <c r="D10" s="1576"/>
      <c r="E10" s="1576"/>
      <c r="F10" s="1576"/>
      <c r="G10" s="1576"/>
      <c r="H10" s="1576"/>
      <c r="I10" s="1577"/>
      <c r="J10" s="1578"/>
      <c r="K10" s="1579"/>
      <c r="L10" s="1579"/>
      <c r="M10" s="1579"/>
      <c r="N10" s="1579"/>
      <c r="O10" s="1579"/>
      <c r="P10" s="1580"/>
      <c r="Q10" s="1578"/>
      <c r="R10" s="1579"/>
      <c r="S10" s="1579"/>
      <c r="T10" s="1579"/>
      <c r="U10" s="1579"/>
      <c r="V10" s="1579"/>
      <c r="W10" s="1580"/>
      <c r="X10" s="1578"/>
      <c r="Y10" s="1579"/>
      <c r="Z10" s="1579"/>
      <c r="AA10" s="1579"/>
      <c r="AB10" s="1579"/>
      <c r="AC10" s="1579"/>
      <c r="AD10" s="1580"/>
      <c r="AE10" s="1578"/>
      <c r="AF10" s="1579"/>
      <c r="AG10" s="1579"/>
      <c r="AH10" s="1579"/>
      <c r="AI10" s="1579"/>
      <c r="AJ10" s="1579"/>
      <c r="AK10" s="1580"/>
      <c r="AL10" s="1578"/>
      <c r="AM10" s="1579"/>
      <c r="AN10" s="1579"/>
      <c r="AO10" s="1579"/>
      <c r="AP10" s="1579"/>
      <c r="AQ10" s="1579"/>
      <c r="AR10" s="1580"/>
      <c r="AS10" s="1578"/>
      <c r="AT10" s="1579"/>
      <c r="AU10" s="1579"/>
      <c r="AV10" s="1579"/>
      <c r="AW10" s="1579"/>
      <c r="AX10" s="1579"/>
      <c r="AY10" s="1580"/>
      <c r="AZ10" s="1568"/>
      <c r="BA10" s="1568"/>
      <c r="BB10" s="1568"/>
      <c r="BC10" s="1568"/>
    </row>
    <row r="11" spans="1:55" s="1582" customFormat="1" ht="20.25" customHeight="1">
      <c r="A11" s="2671" t="s">
        <v>642</v>
      </c>
      <c r="B11" s="2672" t="s">
        <v>1214</v>
      </c>
      <c r="C11" s="2558">
        <v>452</v>
      </c>
      <c r="D11" s="2559">
        <v>452</v>
      </c>
      <c r="E11" s="2559">
        <v>413</v>
      </c>
      <c r="F11" s="2559">
        <v>410</v>
      </c>
      <c r="G11" s="2559">
        <v>410</v>
      </c>
      <c r="H11" s="2559">
        <v>407</v>
      </c>
      <c r="I11" s="2560">
        <v>405</v>
      </c>
      <c r="J11" s="2561">
        <v>58</v>
      </c>
      <c r="K11" s="2562">
        <v>58</v>
      </c>
      <c r="L11" s="2562">
        <v>60</v>
      </c>
      <c r="M11" s="2562">
        <v>60</v>
      </c>
      <c r="N11" s="2562">
        <v>60</v>
      </c>
      <c r="O11" s="2562">
        <v>60</v>
      </c>
      <c r="P11" s="2563">
        <v>60</v>
      </c>
      <c r="Q11" s="2561">
        <v>77</v>
      </c>
      <c r="R11" s="2562">
        <v>85</v>
      </c>
      <c r="S11" s="2562">
        <v>93</v>
      </c>
      <c r="T11" s="2562">
        <v>93</v>
      </c>
      <c r="U11" s="2562">
        <v>93</v>
      </c>
      <c r="V11" s="2562">
        <v>93</v>
      </c>
      <c r="W11" s="2563">
        <v>93</v>
      </c>
      <c r="X11" s="2561">
        <v>12</v>
      </c>
      <c r="Y11" s="2562">
        <v>12</v>
      </c>
      <c r="Z11" s="2562">
        <v>12</v>
      </c>
      <c r="AA11" s="2562">
        <v>12</v>
      </c>
      <c r="AB11" s="2562">
        <v>12</v>
      </c>
      <c r="AC11" s="2562">
        <v>12</v>
      </c>
      <c r="AD11" s="2563">
        <v>12</v>
      </c>
      <c r="AE11" s="2561"/>
      <c r="AF11" s="2562"/>
      <c r="AG11" s="2562"/>
      <c r="AH11" s="2562"/>
      <c r="AI11" s="2562"/>
      <c r="AJ11" s="2562"/>
      <c r="AK11" s="2563"/>
      <c r="AL11" s="2561"/>
      <c r="AM11" s="2562"/>
      <c r="AN11" s="2562"/>
      <c r="AO11" s="2562"/>
      <c r="AP11" s="2562"/>
      <c r="AQ11" s="2562"/>
      <c r="AR11" s="2563"/>
      <c r="AS11" s="1394">
        <f>C11+J11+Q11+X11+AE11+AL11</f>
        <v>599</v>
      </c>
      <c r="AT11" s="772">
        <f t="shared" ref="AT11:AY11" si="3">D11+K11+R11+Y11+AF11+AM11</f>
        <v>607</v>
      </c>
      <c r="AU11" s="772">
        <f t="shared" si="3"/>
        <v>578</v>
      </c>
      <c r="AV11" s="772">
        <f t="shared" si="3"/>
        <v>575</v>
      </c>
      <c r="AW11" s="772">
        <f t="shared" si="3"/>
        <v>575</v>
      </c>
      <c r="AX11" s="772">
        <f t="shared" si="3"/>
        <v>572</v>
      </c>
      <c r="AY11" s="1392">
        <f t="shared" si="3"/>
        <v>570</v>
      </c>
      <c r="AZ11" s="1581"/>
      <c r="BA11" s="1581"/>
      <c r="BB11" s="1581"/>
      <c r="BC11" s="1581"/>
    </row>
    <row r="12" spans="1:55" s="1582" customFormat="1" ht="20.25" customHeight="1">
      <c r="A12" s="2673" t="s">
        <v>644</v>
      </c>
      <c r="B12" s="2672" t="s">
        <v>1215</v>
      </c>
      <c r="C12" s="2558">
        <v>1</v>
      </c>
      <c r="D12" s="2559">
        <v>1</v>
      </c>
      <c r="E12" s="2559">
        <v>1</v>
      </c>
      <c r="F12" s="2559">
        <v>1</v>
      </c>
      <c r="G12" s="2559">
        <v>1</v>
      </c>
      <c r="H12" s="2559">
        <v>1</v>
      </c>
      <c r="I12" s="2560">
        <v>1</v>
      </c>
      <c r="J12" s="2561"/>
      <c r="K12" s="2562"/>
      <c r="L12" s="2562"/>
      <c r="M12" s="2562"/>
      <c r="N12" s="2562"/>
      <c r="O12" s="2562"/>
      <c r="P12" s="2563"/>
      <c r="Q12" s="2561"/>
      <c r="R12" s="2562"/>
      <c r="S12" s="2562"/>
      <c r="T12" s="2562"/>
      <c r="U12" s="2562"/>
      <c r="V12" s="2562"/>
      <c r="W12" s="2563"/>
      <c r="X12" s="2561"/>
      <c r="Y12" s="2562"/>
      <c r="Z12" s="2562"/>
      <c r="AA12" s="2562"/>
      <c r="AB12" s="2562"/>
      <c r="AC12" s="2562"/>
      <c r="AD12" s="2563"/>
      <c r="AE12" s="2561"/>
      <c r="AF12" s="2562"/>
      <c r="AG12" s="2562"/>
      <c r="AH12" s="2562"/>
      <c r="AI12" s="2562"/>
      <c r="AJ12" s="2562"/>
      <c r="AK12" s="2563"/>
      <c r="AL12" s="2561"/>
      <c r="AM12" s="2562"/>
      <c r="AN12" s="2562"/>
      <c r="AO12" s="2562"/>
      <c r="AP12" s="2562"/>
      <c r="AQ12" s="2562"/>
      <c r="AR12" s="2563"/>
      <c r="AS12" s="1394">
        <f>C12+J12+Q12+X12+AE12+AL12</f>
        <v>1</v>
      </c>
      <c r="AT12" s="772">
        <f t="shared" ref="AT12:AY14" si="4">D12+K12+R12+Y12+AF12+AM12</f>
        <v>1</v>
      </c>
      <c r="AU12" s="772">
        <f t="shared" si="4"/>
        <v>1</v>
      </c>
      <c r="AV12" s="772">
        <f t="shared" si="4"/>
        <v>1</v>
      </c>
      <c r="AW12" s="772">
        <f t="shared" si="4"/>
        <v>1</v>
      </c>
      <c r="AX12" s="772">
        <f t="shared" si="4"/>
        <v>1</v>
      </c>
      <c r="AY12" s="1392">
        <f t="shared" si="4"/>
        <v>1</v>
      </c>
      <c r="AZ12" s="1581"/>
      <c r="BA12" s="1581"/>
      <c r="BB12" s="1581"/>
      <c r="BC12" s="1581"/>
    </row>
    <row r="13" spans="1:55" s="1582" customFormat="1" ht="20.25" customHeight="1">
      <c r="A13" s="2673" t="s">
        <v>645</v>
      </c>
      <c r="B13" s="2674" t="s">
        <v>1216</v>
      </c>
      <c r="C13" s="2558">
        <v>476</v>
      </c>
      <c r="D13" s="2559">
        <v>491</v>
      </c>
      <c r="E13" s="2559">
        <v>445</v>
      </c>
      <c r="F13" s="2559">
        <v>433</v>
      </c>
      <c r="G13" s="2559">
        <v>433</v>
      </c>
      <c r="H13" s="2559">
        <v>422</v>
      </c>
      <c r="I13" s="2560">
        <v>411</v>
      </c>
      <c r="J13" s="2561">
        <v>60</v>
      </c>
      <c r="K13" s="2562">
        <v>62</v>
      </c>
      <c r="L13" s="2562">
        <v>60</v>
      </c>
      <c r="M13" s="2562">
        <v>60</v>
      </c>
      <c r="N13" s="2562">
        <v>60</v>
      </c>
      <c r="O13" s="2562">
        <v>60</v>
      </c>
      <c r="P13" s="2563">
        <v>60</v>
      </c>
      <c r="Q13" s="2561">
        <v>85</v>
      </c>
      <c r="R13" s="2562">
        <v>87</v>
      </c>
      <c r="S13" s="2562">
        <v>101</v>
      </c>
      <c r="T13" s="2562">
        <v>100</v>
      </c>
      <c r="U13" s="2562">
        <v>101</v>
      </c>
      <c r="V13" s="2562">
        <v>101</v>
      </c>
      <c r="W13" s="2563">
        <v>101</v>
      </c>
      <c r="X13" s="2561">
        <v>12</v>
      </c>
      <c r="Y13" s="2562">
        <v>12</v>
      </c>
      <c r="Z13" s="2562">
        <v>12</v>
      </c>
      <c r="AA13" s="2562">
        <v>12</v>
      </c>
      <c r="AB13" s="2562">
        <v>12</v>
      </c>
      <c r="AC13" s="2562">
        <v>12</v>
      </c>
      <c r="AD13" s="2563">
        <v>12</v>
      </c>
      <c r="AE13" s="2561"/>
      <c r="AF13" s="2562"/>
      <c r="AG13" s="2562"/>
      <c r="AH13" s="2562"/>
      <c r="AI13" s="2562"/>
      <c r="AJ13" s="2562"/>
      <c r="AK13" s="2563"/>
      <c r="AL13" s="2561"/>
      <c r="AM13" s="2562"/>
      <c r="AN13" s="2562"/>
      <c r="AO13" s="2562"/>
      <c r="AP13" s="2562"/>
      <c r="AQ13" s="2562"/>
      <c r="AR13" s="2563"/>
      <c r="AS13" s="1394">
        <f>C13+J13+Q13+X13+AE13+AL13</f>
        <v>633</v>
      </c>
      <c r="AT13" s="772">
        <f t="shared" si="4"/>
        <v>652</v>
      </c>
      <c r="AU13" s="772">
        <f t="shared" si="4"/>
        <v>618</v>
      </c>
      <c r="AV13" s="772">
        <f t="shared" si="4"/>
        <v>605</v>
      </c>
      <c r="AW13" s="772">
        <f t="shared" si="4"/>
        <v>606</v>
      </c>
      <c r="AX13" s="772">
        <f t="shared" si="4"/>
        <v>595</v>
      </c>
      <c r="AY13" s="1392">
        <f t="shared" si="4"/>
        <v>584</v>
      </c>
      <c r="AZ13" s="1581"/>
      <c r="BA13" s="1581"/>
      <c r="BB13" s="1581"/>
      <c r="BC13" s="1581"/>
    </row>
    <row r="14" spans="1:55" s="1583" customFormat="1" ht="27" customHeight="1" thickBot="1">
      <c r="A14" s="2675" t="s">
        <v>647</v>
      </c>
      <c r="B14" s="2676" t="s">
        <v>1409</v>
      </c>
      <c r="C14" s="1404">
        <f>C11+C12</f>
        <v>453</v>
      </c>
      <c r="D14" s="1405">
        <f t="shared" ref="D14:AD14" si="5">D11+D12</f>
        <v>453</v>
      </c>
      <c r="E14" s="1405">
        <f t="shared" si="5"/>
        <v>414</v>
      </c>
      <c r="F14" s="1405">
        <f t="shared" si="5"/>
        <v>411</v>
      </c>
      <c r="G14" s="1405">
        <f t="shared" si="5"/>
        <v>411</v>
      </c>
      <c r="H14" s="1405">
        <f t="shared" si="5"/>
        <v>408</v>
      </c>
      <c r="I14" s="1406">
        <f t="shared" si="5"/>
        <v>406</v>
      </c>
      <c r="J14" s="1404">
        <f t="shared" si="5"/>
        <v>58</v>
      </c>
      <c r="K14" s="1405">
        <f t="shared" si="5"/>
        <v>58</v>
      </c>
      <c r="L14" s="1405">
        <f t="shared" si="5"/>
        <v>60</v>
      </c>
      <c r="M14" s="1405">
        <f t="shared" si="5"/>
        <v>60</v>
      </c>
      <c r="N14" s="1405">
        <f t="shared" si="5"/>
        <v>60</v>
      </c>
      <c r="O14" s="1405">
        <f t="shared" si="5"/>
        <v>60</v>
      </c>
      <c r="P14" s="1406">
        <f t="shared" si="5"/>
        <v>60</v>
      </c>
      <c r="Q14" s="1404">
        <f t="shared" si="5"/>
        <v>77</v>
      </c>
      <c r="R14" s="1405">
        <f t="shared" si="5"/>
        <v>85</v>
      </c>
      <c r="S14" s="1405">
        <f t="shared" si="5"/>
        <v>93</v>
      </c>
      <c r="T14" s="1405">
        <f t="shared" si="5"/>
        <v>93</v>
      </c>
      <c r="U14" s="1405">
        <f t="shared" si="5"/>
        <v>93</v>
      </c>
      <c r="V14" s="1405">
        <f t="shared" si="5"/>
        <v>93</v>
      </c>
      <c r="W14" s="1406">
        <f t="shared" si="5"/>
        <v>93</v>
      </c>
      <c r="X14" s="1404">
        <f t="shared" si="5"/>
        <v>12</v>
      </c>
      <c r="Y14" s="1405">
        <f t="shared" si="5"/>
        <v>12</v>
      </c>
      <c r="Z14" s="1405">
        <f t="shared" si="5"/>
        <v>12</v>
      </c>
      <c r="AA14" s="1405">
        <f t="shared" si="5"/>
        <v>12</v>
      </c>
      <c r="AB14" s="1405">
        <f t="shared" si="5"/>
        <v>12</v>
      </c>
      <c r="AC14" s="1405">
        <f t="shared" si="5"/>
        <v>12</v>
      </c>
      <c r="AD14" s="1406">
        <f t="shared" si="5"/>
        <v>12</v>
      </c>
      <c r="AE14" s="1404">
        <f t="shared" ref="AE14:AR14" si="6">AE11+AE12</f>
        <v>0</v>
      </c>
      <c r="AF14" s="1405">
        <f t="shared" si="6"/>
        <v>0</v>
      </c>
      <c r="AG14" s="1405">
        <f t="shared" si="6"/>
        <v>0</v>
      </c>
      <c r="AH14" s="1405">
        <f t="shared" si="6"/>
        <v>0</v>
      </c>
      <c r="AI14" s="1405">
        <f t="shared" si="6"/>
        <v>0</v>
      </c>
      <c r="AJ14" s="1405">
        <f t="shared" si="6"/>
        <v>0</v>
      </c>
      <c r="AK14" s="1406">
        <f t="shared" si="6"/>
        <v>0</v>
      </c>
      <c r="AL14" s="1404">
        <f t="shared" si="6"/>
        <v>0</v>
      </c>
      <c r="AM14" s="1405">
        <f t="shared" si="6"/>
        <v>0</v>
      </c>
      <c r="AN14" s="1405">
        <f t="shared" si="6"/>
        <v>0</v>
      </c>
      <c r="AO14" s="1405">
        <f t="shared" si="6"/>
        <v>0</v>
      </c>
      <c r="AP14" s="1405">
        <f t="shared" si="6"/>
        <v>0</v>
      </c>
      <c r="AQ14" s="1405">
        <f t="shared" si="6"/>
        <v>0</v>
      </c>
      <c r="AR14" s="1406">
        <f t="shared" si="6"/>
        <v>0</v>
      </c>
      <c r="AS14" s="1407">
        <f>C14+J14+Q14+X14+AE14+AL14</f>
        <v>600</v>
      </c>
      <c r="AT14" s="1123">
        <f t="shared" si="4"/>
        <v>608</v>
      </c>
      <c r="AU14" s="1123">
        <f t="shared" si="4"/>
        <v>579</v>
      </c>
      <c r="AV14" s="1123">
        <f t="shared" si="4"/>
        <v>576</v>
      </c>
      <c r="AW14" s="1123">
        <f t="shared" si="4"/>
        <v>576</v>
      </c>
      <c r="AX14" s="1123">
        <f t="shared" si="4"/>
        <v>573</v>
      </c>
      <c r="AY14" s="1124">
        <f t="shared" si="4"/>
        <v>571</v>
      </c>
      <c r="AZ14" s="1567"/>
      <c r="BA14" s="1567"/>
      <c r="BB14" s="1567"/>
      <c r="BC14" s="1567"/>
    </row>
    <row r="15" spans="1:55" s="1583" customFormat="1" ht="18" customHeight="1">
      <c r="A15" s="2677" t="s">
        <v>105</v>
      </c>
      <c r="B15" s="2678" t="s">
        <v>1219</v>
      </c>
      <c r="C15" s="1408">
        <f>'12. Разходи'!C58+'12. Разходи'!C59</f>
        <v>3409</v>
      </c>
      <c r="D15" s="1409">
        <f>'12. Разходи'!D58+'12. Разходи'!D59</f>
        <v>3503</v>
      </c>
      <c r="E15" s="1409">
        <f>'12. Разходи'!E58+'12. Разходи'!E59</f>
        <v>3414.4399470198668</v>
      </c>
      <c r="F15" s="1409">
        <f>'12. Разходи'!F58+'12. Разходи'!F59</f>
        <v>3512.3038896335529</v>
      </c>
      <c r="G15" s="1409">
        <f>'12. Разходи'!G58+'12. Разходи'!G59</f>
        <v>3640.4563092810945</v>
      </c>
      <c r="H15" s="1409">
        <f>'12. Разходи'!H58+'12. Разходи'!H59</f>
        <v>3744.1819722134669</v>
      </c>
      <c r="I15" s="1410">
        <f>'12. Разходи'!I58+'12. Разходи'!I59</f>
        <v>3859.7195066687254</v>
      </c>
      <c r="J15" s="1408">
        <f>'12. Разходи'!J58+'12. Разходи'!J59</f>
        <v>443</v>
      </c>
      <c r="K15" s="1409">
        <f>'12. Разходи'!K58+'12. Разходи'!K59</f>
        <v>479</v>
      </c>
      <c r="L15" s="1409">
        <f>'12. Разходи'!L58+'12. Разходи'!L59</f>
        <v>501.89468965517239</v>
      </c>
      <c r="M15" s="1409">
        <f>'12. Разходи'!M58+'12. Разходи'!M59</f>
        <v>519.26090910344828</v>
      </c>
      <c r="N15" s="1409">
        <f>'12. Разходи'!N58+'12. Разходи'!N59</f>
        <v>537.52778001296565</v>
      </c>
      <c r="O15" s="1409">
        <f>'12. Разходи'!O58+'12. Разходи'!O59</f>
        <v>556.41572453340643</v>
      </c>
      <c r="P15" s="1410">
        <f>'12. Разходи'!P58+'12. Разходи'!P59</f>
        <v>575.94585916754227</v>
      </c>
      <c r="Q15" s="1408">
        <f>'12. Разходи'!Q58+'12. Разходи'!Q59</f>
        <v>524</v>
      </c>
      <c r="R15" s="1409">
        <f>'12. Разходи'!R58+'12. Разходи'!R59</f>
        <v>663</v>
      </c>
      <c r="S15" s="1409">
        <f>'12. Разходи'!S58+'12. Разходи'!S59</f>
        <v>701.01610389610403</v>
      </c>
      <c r="T15" s="1409">
        <f>'12. Разходи'!T58+'12. Разходи'!T59</f>
        <v>724.74068571428597</v>
      </c>
      <c r="U15" s="1409">
        <f>'12. Разходи'!U58+'12. Разходи'!U59</f>
        <v>749.30766902857101</v>
      </c>
      <c r="V15" s="1409">
        <f>'12. Разходи'!V58+'12. Разходи'!V59</f>
        <v>774.74792977554296</v>
      </c>
      <c r="W15" s="1410">
        <f>'12. Разходи'!W58+'12. Разходи'!W59</f>
        <v>800.99795938791203</v>
      </c>
      <c r="X15" s="1408">
        <f>'12. Разходи'!X58+'12. Разходи'!X59</f>
        <v>119</v>
      </c>
      <c r="Y15" s="1409">
        <f>'12. Разходи'!Y58+'12. Разходи'!Y59</f>
        <v>121</v>
      </c>
      <c r="Z15" s="1409">
        <f>'12. Разходи'!Z58+'12. Разходи'!Z59</f>
        <v>131</v>
      </c>
      <c r="AA15" s="1409">
        <f>'12. Разходи'!AA58+'12. Разходи'!AA59</f>
        <v>136</v>
      </c>
      <c r="AB15" s="1409">
        <f>'12. Разходи'!AB58+'12. Разходи'!AB59</f>
        <v>141</v>
      </c>
      <c r="AC15" s="1409">
        <f>'12. Разходи'!AC58+'12. Разходи'!AC59</f>
        <v>146</v>
      </c>
      <c r="AD15" s="1410">
        <f>'12. Разходи'!AD58+'12. Разходи'!AD59</f>
        <v>150</v>
      </c>
      <c r="AE15" s="2564"/>
      <c r="AF15" s="2565"/>
      <c r="AG15" s="2565"/>
      <c r="AH15" s="2565"/>
      <c r="AI15" s="2565"/>
      <c r="AJ15" s="2565"/>
      <c r="AK15" s="2566"/>
      <c r="AL15" s="2564"/>
      <c r="AM15" s="2565"/>
      <c r="AN15" s="2565"/>
      <c r="AO15" s="2565"/>
      <c r="AP15" s="2565"/>
      <c r="AQ15" s="2565"/>
      <c r="AR15" s="2566"/>
      <c r="AS15" s="1109">
        <f t="shared" ref="AS15:AS20" si="7">C15+J15+Q15+X15+AE15+AL15</f>
        <v>4495</v>
      </c>
      <c r="AT15" s="1110">
        <f t="shared" ref="AT15:AT20" si="8">D15+K15+R15+Y15+AF15+AM15</f>
        <v>4766</v>
      </c>
      <c r="AU15" s="1110">
        <f t="shared" ref="AU15:AU20" si="9">E15+L15+S15+Z15+AG15+AN15</f>
        <v>4748.3507405711434</v>
      </c>
      <c r="AV15" s="1110">
        <f t="shared" ref="AV15:AV20" si="10">F15+M15+T15+AA15+AH15+AO15</f>
        <v>4892.3054844512872</v>
      </c>
      <c r="AW15" s="1110">
        <f t="shared" ref="AW15:AW20" si="11">G15+N15+U15+AB15+AI15+AP15</f>
        <v>5068.2917583226308</v>
      </c>
      <c r="AX15" s="1110">
        <f t="shared" ref="AX15:AX20" si="12">H15+O15+V15+AC15+AJ15+AQ15</f>
        <v>5221.3456265224158</v>
      </c>
      <c r="AY15" s="1111">
        <f t="shared" ref="AY15:AY20" si="13">I15+P15+W15+AD15+AK15+AR15</f>
        <v>5386.6633252241791</v>
      </c>
      <c r="AZ15" s="1567"/>
      <c r="BA15" s="1567"/>
      <c r="BB15" s="1567"/>
      <c r="BC15" s="1567"/>
    </row>
    <row r="16" spans="1:55" s="1583" customFormat="1" ht="18" customHeight="1">
      <c r="A16" s="2679" t="s">
        <v>107</v>
      </c>
      <c r="B16" s="2680" t="s">
        <v>981</v>
      </c>
      <c r="C16" s="1398">
        <f>'12. Разходи'!C62+'12. Разходи'!C63</f>
        <v>617</v>
      </c>
      <c r="D16" s="1389">
        <f>'12. Разходи'!D62+'12. Разходи'!D63</f>
        <v>644</v>
      </c>
      <c r="E16" s="1389">
        <f>'12. Разходи'!E62+'12. Разходи'!E63</f>
        <v>617.64711813509916</v>
      </c>
      <c r="F16" s="1389">
        <f>'12. Разходи'!F62+'12. Разходи'!F63</f>
        <v>636.23867800964217</v>
      </c>
      <c r="G16" s="1389">
        <f>'12. Разходи'!G62+'12. Разходи'!G63</f>
        <v>661.23460210197004</v>
      </c>
      <c r="H16" s="1389">
        <f>'12. Разходи'!H62+'12. Разходи'!H63</f>
        <v>679.62706986498551</v>
      </c>
      <c r="I16" s="1399">
        <f>'12. Разходи'!I62+'12. Разходи'!I63</f>
        <v>702.40137728039531</v>
      </c>
      <c r="J16" s="1398">
        <f>'12. Разходи'!J62+'12. Разходи'!J63</f>
        <v>85</v>
      </c>
      <c r="K16" s="1389">
        <f>'12. Разходи'!K62+'12. Разходи'!K63</f>
        <v>91</v>
      </c>
      <c r="L16" s="1389">
        <f>'12. Разходи'!L62+'12. Разходи'!L63</f>
        <v>97.067465649742545</v>
      </c>
      <c r="M16" s="1389">
        <f>'12. Разходи'!M62+'12. Разходи'!M63</f>
        <v>101.1780302275388</v>
      </c>
      <c r="N16" s="1389">
        <f>'12. Разходи'!N62+'12. Разходи'!N63</f>
        <v>105.05317403595893</v>
      </c>
      <c r="O16" s="1389">
        <f>'12. Разходи'!O62+'12. Разходи'!O63</f>
        <v>109.06007273386541</v>
      </c>
      <c r="P16" s="1399">
        <f>'12. Разходи'!P62+'12. Разходи'!P63</f>
        <v>113.20320598750065</v>
      </c>
      <c r="Q16" s="1398">
        <f>'12. Разходи'!Q62+'12. Разходи'!Q63</f>
        <v>94</v>
      </c>
      <c r="R16" s="1389">
        <f>'12. Разходи'!R62+'12. Разходи'!R63</f>
        <v>121</v>
      </c>
      <c r="S16" s="1389">
        <f>'12. Разходи'!S62+'12. Разходи'!S63</f>
        <v>135.4176178701299</v>
      </c>
      <c r="T16" s="1389">
        <f>'12. Разходи'!T62+'12. Разходи'!T63</f>
        <v>141.43971675428571</v>
      </c>
      <c r="U16" s="1389">
        <f>'12. Разходи'!U62+'12. Разходи'!U63</f>
        <v>147.2510847239314</v>
      </c>
      <c r="V16" s="1389">
        <f>'12. Разходи'!V62+'12. Разходи'!V63</f>
        <v>152.57023920454509</v>
      </c>
      <c r="W16" s="1399">
        <f>'12. Разходи'!W62+'12. Разходи'!W63</f>
        <v>158.2042449374996</v>
      </c>
      <c r="X16" s="1398">
        <f>'12. Разходи'!X62+'12. Разходи'!X63</f>
        <v>20</v>
      </c>
      <c r="Y16" s="1389">
        <f>'12. Разходи'!Y62+'12. Разходи'!Y63</f>
        <v>22.021999999999998</v>
      </c>
      <c r="Z16" s="1389">
        <f>'12. Разходи'!Z62+'12. Разходи'!Z63</f>
        <v>24.759</v>
      </c>
      <c r="AA16" s="1389">
        <f>'12. Разходи'!AA62+'12. Разходи'!AA63</f>
        <v>26.656000000000002</v>
      </c>
      <c r="AB16" s="1389">
        <f>'12. Разходи'!AB62+'12. Разходи'!AB63</f>
        <v>27.636000000000003</v>
      </c>
      <c r="AC16" s="1389">
        <f>'12. Разходи'!AC62+'12. Разходи'!AC63</f>
        <v>28.616</v>
      </c>
      <c r="AD16" s="1399">
        <f>'12. Разходи'!AD62+'12. Разходи'!AD63</f>
        <v>29.400000000000002</v>
      </c>
      <c r="AE16" s="2564"/>
      <c r="AF16" s="2565"/>
      <c r="AG16" s="2565"/>
      <c r="AH16" s="2565"/>
      <c r="AI16" s="2565"/>
      <c r="AJ16" s="2565"/>
      <c r="AK16" s="2566"/>
      <c r="AL16" s="2564"/>
      <c r="AM16" s="2565"/>
      <c r="AN16" s="2565"/>
      <c r="AO16" s="2565"/>
      <c r="AP16" s="2565"/>
      <c r="AQ16" s="2565"/>
      <c r="AR16" s="2566"/>
      <c r="AS16" s="1112">
        <f t="shared" si="7"/>
        <v>816</v>
      </c>
      <c r="AT16" s="1113">
        <f t="shared" si="8"/>
        <v>878.02200000000005</v>
      </c>
      <c r="AU16" s="1113">
        <f t="shared" si="9"/>
        <v>874.89120165497161</v>
      </c>
      <c r="AV16" s="1113">
        <f t="shared" si="10"/>
        <v>905.51242499146656</v>
      </c>
      <c r="AW16" s="1113">
        <f t="shared" si="11"/>
        <v>941.17486086186034</v>
      </c>
      <c r="AX16" s="1113">
        <f t="shared" si="12"/>
        <v>969.87338180339589</v>
      </c>
      <c r="AY16" s="1114">
        <f t="shared" si="13"/>
        <v>1003.2088282053954</v>
      </c>
      <c r="AZ16" s="1567"/>
      <c r="BA16" s="1567"/>
      <c r="BB16" s="1567"/>
      <c r="BC16" s="1567"/>
    </row>
    <row r="17" spans="1:52" ht="18" customHeight="1">
      <c r="A17" s="2681" t="s">
        <v>225</v>
      </c>
      <c r="B17" s="2682" t="s">
        <v>983</v>
      </c>
      <c r="C17" s="1398">
        <f>'12. Разходи'!C64+'12. Разходи'!C65</f>
        <v>0</v>
      </c>
      <c r="D17" s="1389">
        <f>'12. Разходи'!D64+'12. Разходи'!D65</f>
        <v>0</v>
      </c>
      <c r="E17" s="1389">
        <f>'12. Разходи'!E64+'12. Разходи'!E65</f>
        <v>0</v>
      </c>
      <c r="F17" s="1389">
        <f>'12. Разходи'!F64+'12. Разходи'!F65</f>
        <v>0</v>
      </c>
      <c r="G17" s="1389">
        <f>'12. Разходи'!G64+'12. Разходи'!G65</f>
        <v>0</v>
      </c>
      <c r="H17" s="1389">
        <f>'12. Разходи'!H64+'12. Разходи'!H65</f>
        <v>0</v>
      </c>
      <c r="I17" s="1399">
        <f>'12. Разходи'!I64+'12. Разходи'!I65</f>
        <v>0</v>
      </c>
      <c r="J17" s="1398">
        <f>'12. Разходи'!J64+'12. Разходи'!J65</f>
        <v>0</v>
      </c>
      <c r="K17" s="1389">
        <f>'12. Разходи'!K64+'12. Разходи'!K65</f>
        <v>0</v>
      </c>
      <c r="L17" s="1389">
        <f>'12. Разходи'!L64+'12. Разходи'!L65</f>
        <v>0</v>
      </c>
      <c r="M17" s="1389">
        <f>'12. Разходи'!M64+'12. Разходи'!M65</f>
        <v>0</v>
      </c>
      <c r="N17" s="1389">
        <f>'12. Разходи'!N64+'12. Разходи'!N65</f>
        <v>0</v>
      </c>
      <c r="O17" s="1389">
        <f>'12. Разходи'!O64+'12. Разходи'!O65</f>
        <v>0</v>
      </c>
      <c r="P17" s="1399">
        <f>'12. Разходи'!P64+'12. Разходи'!P65</f>
        <v>0</v>
      </c>
      <c r="Q17" s="1398">
        <f>'12. Разходи'!Q64+'12. Разходи'!Q65</f>
        <v>0</v>
      </c>
      <c r="R17" s="1389">
        <f>'12. Разходи'!R64+'12. Разходи'!R65</f>
        <v>0</v>
      </c>
      <c r="S17" s="1389">
        <f>'12. Разходи'!S64+'12. Разходи'!S65</f>
        <v>0</v>
      </c>
      <c r="T17" s="1389">
        <f>'12. Разходи'!T64+'12. Разходи'!T65</f>
        <v>0</v>
      </c>
      <c r="U17" s="1389">
        <f>'12. Разходи'!U64+'12. Разходи'!U65</f>
        <v>0</v>
      </c>
      <c r="V17" s="1389">
        <f>'12. Разходи'!V64+'12. Разходи'!V65</f>
        <v>0</v>
      </c>
      <c r="W17" s="1399">
        <f>'12. Разходи'!W64+'12. Разходи'!W65</f>
        <v>0</v>
      </c>
      <c r="X17" s="1398">
        <f>'12. Разходи'!X64+'12. Разходи'!X65</f>
        <v>0</v>
      </c>
      <c r="Y17" s="1389">
        <f>'12. Разходи'!Y64+'12. Разходи'!Y65</f>
        <v>0</v>
      </c>
      <c r="Z17" s="1389">
        <f>'12. Разходи'!Z64+'12. Разходи'!Z65</f>
        <v>0</v>
      </c>
      <c r="AA17" s="1389">
        <f>'12. Разходи'!AA64+'12. Разходи'!AA65</f>
        <v>0</v>
      </c>
      <c r="AB17" s="1389">
        <f>'12. Разходи'!AB64+'12. Разходи'!AB65</f>
        <v>0</v>
      </c>
      <c r="AC17" s="1389">
        <f>'12. Разходи'!AC64+'12. Разходи'!AC65</f>
        <v>0</v>
      </c>
      <c r="AD17" s="1399">
        <f>'12. Разходи'!AD64+'12. Разходи'!AD65</f>
        <v>0</v>
      </c>
      <c r="AE17" s="2564"/>
      <c r="AF17" s="2565"/>
      <c r="AG17" s="2565"/>
      <c r="AH17" s="2565"/>
      <c r="AI17" s="2565"/>
      <c r="AJ17" s="2565"/>
      <c r="AK17" s="2566"/>
      <c r="AL17" s="2564"/>
      <c r="AM17" s="2565"/>
      <c r="AN17" s="2565"/>
      <c r="AO17" s="2565"/>
      <c r="AP17" s="2565"/>
      <c r="AQ17" s="2565"/>
      <c r="AR17" s="2566"/>
      <c r="AS17" s="1112">
        <f>C17+J17+Q17+X17+AE17+AL17</f>
        <v>0</v>
      </c>
      <c r="AT17" s="1113">
        <f t="shared" si="8"/>
        <v>0</v>
      </c>
      <c r="AU17" s="1113">
        <f t="shared" si="9"/>
        <v>0</v>
      </c>
      <c r="AV17" s="1113">
        <f t="shared" si="10"/>
        <v>0</v>
      </c>
      <c r="AW17" s="1113">
        <f t="shared" si="11"/>
        <v>0</v>
      </c>
      <c r="AX17" s="1113">
        <f t="shared" si="12"/>
        <v>0</v>
      </c>
      <c r="AY17" s="1114">
        <f t="shared" si="13"/>
        <v>0</v>
      </c>
    </row>
    <row r="18" spans="1:52" ht="18" customHeight="1">
      <c r="A18" s="2681" t="s">
        <v>306</v>
      </c>
      <c r="B18" s="2682" t="s">
        <v>984</v>
      </c>
      <c r="C18" s="2564">
        <v>37</v>
      </c>
      <c r="D18" s="2565">
        <v>37</v>
      </c>
      <c r="E18" s="2565">
        <v>40.995999999999995</v>
      </c>
      <c r="F18" s="2565">
        <v>42.389863999999996</v>
      </c>
      <c r="G18" s="2565">
        <v>43.831119375999997</v>
      </c>
      <c r="H18" s="2565">
        <v>45.321377434783997</v>
      </c>
      <c r="I18" s="2565">
        <v>46.862304267566657</v>
      </c>
      <c r="J18" s="2564">
        <v>19</v>
      </c>
      <c r="K18" s="2565">
        <v>19</v>
      </c>
      <c r="L18" s="2565">
        <v>21.052</v>
      </c>
      <c r="M18" s="2565">
        <v>21.767767999999997</v>
      </c>
      <c r="N18" s="2565">
        <v>22.507872112000005</v>
      </c>
      <c r="O18" s="2565">
        <v>23.273139763808004</v>
      </c>
      <c r="P18" s="2565">
        <v>24.064426515777477</v>
      </c>
      <c r="Q18" s="2564"/>
      <c r="R18" s="2565"/>
      <c r="S18" s="2565"/>
      <c r="T18" s="2565"/>
      <c r="U18" s="2565"/>
      <c r="V18" s="2565"/>
      <c r="W18" s="2565"/>
      <c r="X18" s="2564"/>
      <c r="Y18" s="2565"/>
      <c r="Z18" s="2565"/>
      <c r="AA18" s="2565"/>
      <c r="AB18" s="2565"/>
      <c r="AC18" s="2565"/>
      <c r="AD18" s="2566"/>
      <c r="AE18" s="2564"/>
      <c r="AF18" s="2565"/>
      <c r="AG18" s="2565"/>
      <c r="AH18" s="2565"/>
      <c r="AI18" s="2565"/>
      <c r="AJ18" s="2565"/>
      <c r="AK18" s="2566"/>
      <c r="AL18" s="2564"/>
      <c r="AM18" s="2565"/>
      <c r="AN18" s="2565"/>
      <c r="AO18" s="2565"/>
      <c r="AP18" s="2565"/>
      <c r="AQ18" s="2565"/>
      <c r="AR18" s="2566"/>
      <c r="AS18" s="1112">
        <f t="shared" si="7"/>
        <v>56</v>
      </c>
      <c r="AT18" s="1113">
        <f t="shared" si="8"/>
        <v>56</v>
      </c>
      <c r="AU18" s="1113">
        <f t="shared" si="9"/>
        <v>62.047999999999995</v>
      </c>
      <c r="AV18" s="1113">
        <f t="shared" si="10"/>
        <v>64.157631999999992</v>
      </c>
      <c r="AW18" s="1113">
        <f t="shared" si="11"/>
        <v>66.338991488000005</v>
      </c>
      <c r="AX18" s="1113">
        <f t="shared" si="12"/>
        <v>68.594517198592001</v>
      </c>
      <c r="AY18" s="1114">
        <f t="shared" si="13"/>
        <v>70.926730783344141</v>
      </c>
    </row>
    <row r="19" spans="1:52" ht="17.25" customHeight="1">
      <c r="A19" s="2681" t="s">
        <v>308</v>
      </c>
      <c r="B19" s="2682" t="s">
        <v>985</v>
      </c>
      <c r="C19" s="2564">
        <v>7</v>
      </c>
      <c r="D19" s="2565">
        <v>7</v>
      </c>
      <c r="E19" s="2565">
        <v>7.6334551999999993</v>
      </c>
      <c r="F19" s="2565">
        <v>8.1388538879999999</v>
      </c>
      <c r="G19" s="2565">
        <v>8.4155749201919985</v>
      </c>
      <c r="H19" s="2565">
        <v>8.7017044674785264</v>
      </c>
      <c r="I19" s="2565">
        <v>8.9975624193727981</v>
      </c>
      <c r="J19" s="2564">
        <v>3</v>
      </c>
      <c r="K19" s="2565">
        <v>3</v>
      </c>
      <c r="L19" s="2565">
        <v>4.3356196329978243</v>
      </c>
      <c r="M19" s="2565">
        <v>4.6178259980135534</v>
      </c>
      <c r="N19" s="2565">
        <v>4.7748320819460162</v>
      </c>
      <c r="O19" s="2565">
        <v>4.9371763727321811</v>
      </c>
      <c r="P19" s="2565">
        <v>5.1050403694050752</v>
      </c>
      <c r="Q19" s="3169"/>
      <c r="R19" s="2565"/>
      <c r="S19" s="2565"/>
      <c r="T19" s="2565"/>
      <c r="U19" s="2565"/>
      <c r="V19" s="2565"/>
      <c r="W19" s="2565"/>
      <c r="X19" s="2564"/>
      <c r="Y19" s="2565"/>
      <c r="Z19" s="2565"/>
      <c r="AA19" s="2565"/>
      <c r="AB19" s="2565"/>
      <c r="AC19" s="2565"/>
      <c r="AD19" s="2566"/>
      <c r="AE19" s="2564"/>
      <c r="AF19" s="2565"/>
      <c r="AG19" s="2565"/>
      <c r="AH19" s="2565"/>
      <c r="AI19" s="2565"/>
      <c r="AJ19" s="2565"/>
      <c r="AK19" s="2566"/>
      <c r="AL19" s="2564"/>
      <c r="AM19" s="2565"/>
      <c r="AN19" s="2565"/>
      <c r="AO19" s="2565"/>
      <c r="AP19" s="2565"/>
      <c r="AQ19" s="2565"/>
      <c r="AR19" s="2566"/>
      <c r="AS19" s="1112">
        <f t="shared" si="7"/>
        <v>10</v>
      </c>
      <c r="AT19" s="1113">
        <f t="shared" si="8"/>
        <v>10</v>
      </c>
      <c r="AU19" s="1113">
        <f t="shared" si="9"/>
        <v>11.969074832997823</v>
      </c>
      <c r="AV19" s="1113">
        <f t="shared" si="10"/>
        <v>12.756679886013554</v>
      </c>
      <c r="AW19" s="1113">
        <f t="shared" si="11"/>
        <v>13.190407002138015</v>
      </c>
      <c r="AX19" s="1113">
        <f t="shared" si="12"/>
        <v>13.638880840210707</v>
      </c>
      <c r="AY19" s="1114">
        <f t="shared" si="13"/>
        <v>14.102602788777872</v>
      </c>
    </row>
    <row r="20" spans="1:52" ht="21" customHeight="1" thickBot="1">
      <c r="A20" s="2683" t="s">
        <v>310</v>
      </c>
      <c r="B20" s="2684" t="s">
        <v>986</v>
      </c>
      <c r="C20" s="2567"/>
      <c r="D20" s="2568"/>
      <c r="E20" s="2565"/>
      <c r="F20" s="2565"/>
      <c r="G20" s="2565"/>
      <c r="H20" s="2565"/>
      <c r="I20" s="2565"/>
      <c r="J20" s="2567"/>
      <c r="K20" s="2568"/>
      <c r="L20" s="2565"/>
      <c r="M20" s="2565"/>
      <c r="N20" s="2565"/>
      <c r="O20" s="2565"/>
      <c r="P20" s="2565"/>
      <c r="Q20" s="2567"/>
      <c r="R20" s="2568"/>
      <c r="S20" s="2565"/>
      <c r="T20" s="2565"/>
      <c r="U20" s="2565"/>
      <c r="V20" s="2565"/>
      <c r="W20" s="2565"/>
      <c r="X20" s="2567"/>
      <c r="Y20" s="2568"/>
      <c r="Z20" s="2568"/>
      <c r="AA20" s="2568"/>
      <c r="AB20" s="2568"/>
      <c r="AC20" s="2568"/>
      <c r="AD20" s="2569"/>
      <c r="AE20" s="2567"/>
      <c r="AF20" s="2568"/>
      <c r="AG20" s="2568"/>
      <c r="AH20" s="2568"/>
      <c r="AI20" s="2568"/>
      <c r="AJ20" s="2568"/>
      <c r="AK20" s="2569"/>
      <c r="AL20" s="2567"/>
      <c r="AM20" s="2568"/>
      <c r="AN20" s="2568"/>
      <c r="AO20" s="2568"/>
      <c r="AP20" s="2568"/>
      <c r="AQ20" s="2568"/>
      <c r="AR20" s="2569"/>
      <c r="AS20" s="1411">
        <f t="shared" si="7"/>
        <v>0</v>
      </c>
      <c r="AT20" s="1115">
        <f t="shared" si="8"/>
        <v>0</v>
      </c>
      <c r="AU20" s="1115">
        <f t="shared" si="9"/>
        <v>0</v>
      </c>
      <c r="AV20" s="1115">
        <f t="shared" si="10"/>
        <v>0</v>
      </c>
      <c r="AW20" s="1115">
        <f t="shared" si="11"/>
        <v>0</v>
      </c>
      <c r="AX20" s="1115">
        <f t="shared" si="12"/>
        <v>0</v>
      </c>
      <c r="AY20" s="1116">
        <f t="shared" si="13"/>
        <v>0</v>
      </c>
    </row>
    <row r="21" spans="1:52" s="1583" customFormat="1" ht="30.75" customHeight="1">
      <c r="A21" s="2685" t="s">
        <v>227</v>
      </c>
      <c r="B21" s="2686" t="s">
        <v>1401</v>
      </c>
      <c r="C21" s="1490">
        <f>SUM(C22:C28)</f>
        <v>4437.198298621297</v>
      </c>
      <c r="D21" s="1491">
        <f t="shared" ref="D21:I21" si="14">SUM(D22:D28)</f>
        <v>4564</v>
      </c>
      <c r="E21" s="1491">
        <f t="shared" si="14"/>
        <v>4625</v>
      </c>
      <c r="F21" s="1491">
        <f t="shared" si="14"/>
        <v>4673</v>
      </c>
      <c r="G21" s="1491">
        <f t="shared" si="14"/>
        <v>4833</v>
      </c>
      <c r="H21" s="1491">
        <f t="shared" si="14"/>
        <v>4895</v>
      </c>
      <c r="I21" s="1492">
        <f t="shared" si="14"/>
        <v>4955</v>
      </c>
      <c r="J21" s="1490">
        <f>SUM(J22:J28)</f>
        <v>553.20767494356664</v>
      </c>
      <c r="K21" s="1491">
        <f t="shared" ref="K21:P21" si="15">SUM(K22:K28)</f>
        <v>559</v>
      </c>
      <c r="L21" s="1491">
        <f t="shared" si="15"/>
        <v>605</v>
      </c>
      <c r="M21" s="1491">
        <f t="shared" si="15"/>
        <v>622</v>
      </c>
      <c r="N21" s="1491">
        <f t="shared" si="15"/>
        <v>651</v>
      </c>
      <c r="O21" s="1491">
        <f t="shared" si="15"/>
        <v>673</v>
      </c>
      <c r="P21" s="1492">
        <f t="shared" si="15"/>
        <v>695.5</v>
      </c>
      <c r="Q21" s="1490">
        <f>SUM(Q22:Q28)</f>
        <v>755.22137404580155</v>
      </c>
      <c r="R21" s="1491">
        <f t="shared" ref="R21:W21" si="16">SUM(R22:R28)</f>
        <v>772</v>
      </c>
      <c r="S21" s="1491">
        <f t="shared" si="16"/>
        <v>972</v>
      </c>
      <c r="T21" s="1491">
        <f t="shared" si="16"/>
        <v>984</v>
      </c>
      <c r="U21" s="1491">
        <f t="shared" si="16"/>
        <v>1040</v>
      </c>
      <c r="V21" s="1491">
        <f t="shared" si="16"/>
        <v>1083</v>
      </c>
      <c r="W21" s="1492">
        <f t="shared" si="16"/>
        <v>1139</v>
      </c>
      <c r="X21" s="1490">
        <f>SUM(X22:X28)</f>
        <v>141.18487394957984</v>
      </c>
      <c r="Y21" s="1491">
        <f t="shared" ref="Y21:AD21" si="17">SUM(Y22:Y28)</f>
        <v>143</v>
      </c>
      <c r="Z21" s="1491">
        <f t="shared" si="17"/>
        <v>156</v>
      </c>
      <c r="AA21" s="1491">
        <f t="shared" si="17"/>
        <v>163</v>
      </c>
      <c r="AB21" s="1491">
        <f t="shared" si="17"/>
        <v>169</v>
      </c>
      <c r="AC21" s="1491">
        <f t="shared" si="17"/>
        <v>175</v>
      </c>
      <c r="AD21" s="1492">
        <f t="shared" si="17"/>
        <v>179</v>
      </c>
      <c r="AE21" s="1490">
        <f>SUM(AE22:AE28)</f>
        <v>0</v>
      </c>
      <c r="AF21" s="1491">
        <f t="shared" ref="AF21:AK21" si="18">SUM(AF22:AF28)</f>
        <v>0</v>
      </c>
      <c r="AG21" s="1491">
        <f t="shared" si="18"/>
        <v>0</v>
      </c>
      <c r="AH21" s="1491">
        <f t="shared" si="18"/>
        <v>0</v>
      </c>
      <c r="AI21" s="1491">
        <f t="shared" si="18"/>
        <v>0</v>
      </c>
      <c r="AJ21" s="1491">
        <f t="shared" si="18"/>
        <v>0</v>
      </c>
      <c r="AK21" s="1492">
        <f t="shared" si="18"/>
        <v>0</v>
      </c>
      <c r="AL21" s="1490">
        <f>SUM(AL22:AL28)</f>
        <v>0</v>
      </c>
      <c r="AM21" s="1491">
        <f t="shared" ref="AM21:AR21" si="19">SUM(AM22:AM28)</f>
        <v>0</v>
      </c>
      <c r="AN21" s="1491">
        <f t="shared" si="19"/>
        <v>0</v>
      </c>
      <c r="AO21" s="1491">
        <f t="shared" si="19"/>
        <v>0</v>
      </c>
      <c r="AP21" s="1491">
        <f t="shared" si="19"/>
        <v>0</v>
      </c>
      <c r="AQ21" s="1491">
        <f t="shared" si="19"/>
        <v>0</v>
      </c>
      <c r="AR21" s="1492">
        <f t="shared" si="19"/>
        <v>0</v>
      </c>
      <c r="AS21" s="1490">
        <f>SUM(AS22:AS28)</f>
        <v>5886.8122215602443</v>
      </c>
      <c r="AT21" s="1491">
        <f t="shared" ref="AT21:AY21" si="20">SUM(AT22:AT28)</f>
        <v>6038</v>
      </c>
      <c r="AU21" s="1491">
        <f t="shared" si="20"/>
        <v>6358</v>
      </c>
      <c r="AV21" s="1491">
        <f t="shared" si="20"/>
        <v>6442</v>
      </c>
      <c r="AW21" s="1491">
        <f t="shared" si="20"/>
        <v>6693</v>
      </c>
      <c r="AX21" s="1491">
        <f t="shared" si="20"/>
        <v>6826</v>
      </c>
      <c r="AY21" s="1492">
        <f t="shared" si="20"/>
        <v>6968.5</v>
      </c>
    </row>
    <row r="22" spans="1:52">
      <c r="A22" s="2681" t="s">
        <v>228</v>
      </c>
      <c r="B22" s="2687" t="s">
        <v>1220</v>
      </c>
      <c r="C22" s="2564">
        <v>2581</v>
      </c>
      <c r="D22" s="2565">
        <v>2731</v>
      </c>
      <c r="E22" s="2565">
        <v>2816</v>
      </c>
      <c r="F22" s="2565">
        <v>2857</v>
      </c>
      <c r="G22" s="2565">
        <v>2993</v>
      </c>
      <c r="H22" s="2565">
        <v>3045</v>
      </c>
      <c r="I22" s="2566">
        <v>3096</v>
      </c>
      <c r="J22" s="2564">
        <v>332</v>
      </c>
      <c r="K22" s="2565">
        <v>341</v>
      </c>
      <c r="L22" s="2565">
        <v>384</v>
      </c>
      <c r="M22" s="2565">
        <v>398</v>
      </c>
      <c r="N22" s="2565">
        <v>422</v>
      </c>
      <c r="O22" s="2565">
        <v>441</v>
      </c>
      <c r="P22" s="2566">
        <v>459.5</v>
      </c>
      <c r="Q22" s="2564">
        <v>491</v>
      </c>
      <c r="R22" s="2565">
        <v>476</v>
      </c>
      <c r="S22" s="2565">
        <v>649</v>
      </c>
      <c r="T22" s="2565">
        <v>660</v>
      </c>
      <c r="U22" s="2565">
        <v>708</v>
      </c>
      <c r="V22" s="2565">
        <v>742</v>
      </c>
      <c r="W22" s="2566">
        <v>790</v>
      </c>
      <c r="X22" s="2564">
        <v>94</v>
      </c>
      <c r="Y22" s="2565">
        <v>94</v>
      </c>
      <c r="Z22" s="2565">
        <v>103</v>
      </c>
      <c r="AA22" s="2565">
        <v>108</v>
      </c>
      <c r="AB22" s="2565">
        <v>113</v>
      </c>
      <c r="AC22" s="2565">
        <v>116</v>
      </c>
      <c r="AD22" s="2566">
        <v>120</v>
      </c>
      <c r="AE22" s="2564"/>
      <c r="AF22" s="2565"/>
      <c r="AG22" s="2565"/>
      <c r="AH22" s="2565"/>
      <c r="AI22" s="2565"/>
      <c r="AJ22" s="2565"/>
      <c r="AK22" s="2566"/>
      <c r="AL22" s="2564"/>
      <c r="AM22" s="2565"/>
      <c r="AN22" s="2565"/>
      <c r="AO22" s="2565"/>
      <c r="AP22" s="2565"/>
      <c r="AQ22" s="2565"/>
      <c r="AR22" s="2566"/>
      <c r="AS22" s="1112">
        <f t="shared" ref="AS22:AS28" si="21">C22+J22+Q22+X22+AE22+AL22</f>
        <v>3498</v>
      </c>
      <c r="AT22" s="1113">
        <f t="shared" ref="AT22:AT28" si="22">D22+K22+R22+Y22+AF22+AM22</f>
        <v>3642</v>
      </c>
      <c r="AU22" s="1113">
        <f t="shared" ref="AU22:AU28" si="23">E22+L22+S22+Z22+AG22+AN22</f>
        <v>3952</v>
      </c>
      <c r="AV22" s="1113">
        <f t="shared" ref="AV22:AV28" si="24">F22+M22+T22+AA22+AH22+AO22</f>
        <v>4023</v>
      </c>
      <c r="AW22" s="1113">
        <f t="shared" ref="AW22:AW28" si="25">G22+N22+U22+AB22+AI22+AP22</f>
        <v>4236</v>
      </c>
      <c r="AX22" s="1113">
        <f t="shared" ref="AX22:AX28" si="26">H22+O22+V22+AC22+AJ22+AQ22</f>
        <v>4344</v>
      </c>
      <c r="AY22" s="1114">
        <f t="shared" ref="AY22:AY28" si="27">I22+P22+W22+AD22+AK22+AR22</f>
        <v>4465.5</v>
      </c>
    </row>
    <row r="23" spans="1:52">
      <c r="A23" s="2681" t="s">
        <v>835</v>
      </c>
      <c r="B23" s="2687" t="s">
        <v>1221</v>
      </c>
      <c r="C23" s="2564"/>
      <c r="D23" s="2565"/>
      <c r="E23" s="2565"/>
      <c r="F23" s="2565"/>
      <c r="G23" s="2565"/>
      <c r="H23" s="2565"/>
      <c r="I23" s="2566"/>
      <c r="J23" s="2564"/>
      <c r="K23" s="2565"/>
      <c r="L23" s="2565"/>
      <c r="M23" s="2565"/>
      <c r="N23" s="2565"/>
      <c r="O23" s="2565"/>
      <c r="P23" s="2566"/>
      <c r="Q23" s="2564"/>
      <c r="R23" s="2565"/>
      <c r="S23" s="2565"/>
      <c r="T23" s="2565"/>
      <c r="U23" s="2565"/>
      <c r="V23" s="2565"/>
      <c r="W23" s="2566"/>
      <c r="X23" s="2564"/>
      <c r="Y23" s="2565"/>
      <c r="Z23" s="2565"/>
      <c r="AA23" s="2565"/>
      <c r="AB23" s="2565"/>
      <c r="AC23" s="2565"/>
      <c r="AD23" s="2566"/>
      <c r="AE23" s="2564"/>
      <c r="AF23" s="2565"/>
      <c r="AG23" s="2565"/>
      <c r="AH23" s="2565"/>
      <c r="AI23" s="2565"/>
      <c r="AJ23" s="2565"/>
      <c r="AK23" s="2566"/>
      <c r="AL23" s="2564"/>
      <c r="AM23" s="2565"/>
      <c r="AN23" s="2565"/>
      <c r="AO23" s="2565"/>
      <c r="AP23" s="2565"/>
      <c r="AQ23" s="2565"/>
      <c r="AR23" s="2566"/>
      <c r="AS23" s="1112">
        <f t="shared" si="21"/>
        <v>0</v>
      </c>
      <c r="AT23" s="1113">
        <f t="shared" si="22"/>
        <v>0</v>
      </c>
      <c r="AU23" s="1113">
        <f t="shared" si="23"/>
        <v>0</v>
      </c>
      <c r="AV23" s="1113">
        <f t="shared" si="24"/>
        <v>0</v>
      </c>
      <c r="AW23" s="1113">
        <f t="shared" si="25"/>
        <v>0</v>
      </c>
      <c r="AX23" s="1113">
        <f t="shared" si="26"/>
        <v>0</v>
      </c>
      <c r="AY23" s="1114">
        <f t="shared" si="27"/>
        <v>0</v>
      </c>
    </row>
    <row r="24" spans="1:52">
      <c r="A24" s="2681" t="s">
        <v>1395</v>
      </c>
      <c r="B24" s="2687" t="s">
        <v>1222</v>
      </c>
      <c r="C24" s="2564">
        <v>335</v>
      </c>
      <c r="D24" s="2565">
        <v>310</v>
      </c>
      <c r="E24" s="2565">
        <v>305</v>
      </c>
      <c r="F24" s="2565">
        <v>305</v>
      </c>
      <c r="G24" s="2565">
        <v>305</v>
      </c>
      <c r="H24" s="2565">
        <v>305</v>
      </c>
      <c r="I24" s="2566">
        <v>305</v>
      </c>
      <c r="J24" s="2564">
        <v>35</v>
      </c>
      <c r="K24" s="2565">
        <v>38</v>
      </c>
      <c r="L24" s="2565">
        <v>35</v>
      </c>
      <c r="M24" s="2565">
        <v>35</v>
      </c>
      <c r="N24" s="2565">
        <v>35</v>
      </c>
      <c r="O24" s="2565">
        <v>35</v>
      </c>
      <c r="P24" s="2566">
        <v>35</v>
      </c>
      <c r="Q24" s="2564">
        <v>41</v>
      </c>
      <c r="R24" s="2565">
        <v>56</v>
      </c>
      <c r="S24" s="2565">
        <v>53</v>
      </c>
      <c r="T24" s="2565">
        <v>52</v>
      </c>
      <c r="U24" s="2565">
        <v>47</v>
      </c>
      <c r="V24" s="2565">
        <v>50</v>
      </c>
      <c r="W24" s="2566">
        <v>52</v>
      </c>
      <c r="X24" s="2564">
        <v>7</v>
      </c>
      <c r="Y24" s="2565">
        <v>8</v>
      </c>
      <c r="Z24" s="2565">
        <v>8</v>
      </c>
      <c r="AA24" s="2565">
        <v>8</v>
      </c>
      <c r="AB24" s="2565">
        <v>8</v>
      </c>
      <c r="AC24" s="2565">
        <v>9</v>
      </c>
      <c r="AD24" s="2566">
        <v>9</v>
      </c>
      <c r="AE24" s="2564"/>
      <c r="AF24" s="2565"/>
      <c r="AG24" s="2565"/>
      <c r="AH24" s="2565"/>
      <c r="AI24" s="2565"/>
      <c r="AJ24" s="2565"/>
      <c r="AK24" s="2566"/>
      <c r="AL24" s="2564"/>
      <c r="AM24" s="2565"/>
      <c r="AN24" s="2565"/>
      <c r="AO24" s="2565"/>
      <c r="AP24" s="2565"/>
      <c r="AQ24" s="2565"/>
      <c r="AR24" s="2566"/>
      <c r="AS24" s="1112">
        <f>C24+J24+Q24+X24+AE24+AL24</f>
        <v>418</v>
      </c>
      <c r="AT24" s="1113">
        <f t="shared" si="22"/>
        <v>412</v>
      </c>
      <c r="AU24" s="1113">
        <f t="shared" si="23"/>
        <v>401</v>
      </c>
      <c r="AV24" s="1113">
        <f t="shared" si="24"/>
        <v>400</v>
      </c>
      <c r="AW24" s="1113">
        <f t="shared" si="25"/>
        <v>395</v>
      </c>
      <c r="AX24" s="1113">
        <f t="shared" si="26"/>
        <v>399</v>
      </c>
      <c r="AY24" s="1114">
        <f t="shared" si="27"/>
        <v>401</v>
      </c>
    </row>
    <row r="25" spans="1:52" ht="24">
      <c r="A25" s="2681" t="s">
        <v>1396</v>
      </c>
      <c r="B25" s="2687" t="s">
        <v>1223</v>
      </c>
      <c r="C25" s="2564">
        <v>766</v>
      </c>
      <c r="D25" s="2565">
        <v>756</v>
      </c>
      <c r="E25" s="2565">
        <v>716</v>
      </c>
      <c r="F25" s="2565">
        <v>716</v>
      </c>
      <c r="G25" s="2565">
        <v>716</v>
      </c>
      <c r="H25" s="2565">
        <v>716</v>
      </c>
      <c r="I25" s="2566">
        <v>716</v>
      </c>
      <c r="J25" s="2564">
        <v>80</v>
      </c>
      <c r="K25" s="2565">
        <v>84</v>
      </c>
      <c r="L25" s="2565">
        <v>79</v>
      </c>
      <c r="M25" s="2565">
        <v>80</v>
      </c>
      <c r="N25" s="2565">
        <v>80</v>
      </c>
      <c r="O25" s="2565">
        <v>80</v>
      </c>
      <c r="P25" s="2566">
        <v>80</v>
      </c>
      <c r="Q25" s="2564">
        <v>91</v>
      </c>
      <c r="R25" s="2565">
        <v>108</v>
      </c>
      <c r="S25" s="2565">
        <v>107</v>
      </c>
      <c r="T25" s="2565">
        <v>105</v>
      </c>
      <c r="U25" s="2565">
        <v>105</v>
      </c>
      <c r="V25" s="2565">
        <v>105</v>
      </c>
      <c r="W25" s="2566">
        <v>105</v>
      </c>
      <c r="X25" s="2564">
        <v>15</v>
      </c>
      <c r="Y25" s="2565">
        <v>16</v>
      </c>
      <c r="Z25" s="2565">
        <v>17</v>
      </c>
      <c r="AA25" s="2565">
        <v>17</v>
      </c>
      <c r="AB25" s="2565">
        <v>17</v>
      </c>
      <c r="AC25" s="2565">
        <v>18</v>
      </c>
      <c r="AD25" s="2566">
        <v>18</v>
      </c>
      <c r="AE25" s="2564"/>
      <c r="AF25" s="2565"/>
      <c r="AG25" s="2565"/>
      <c r="AH25" s="2565"/>
      <c r="AI25" s="2565"/>
      <c r="AJ25" s="2565"/>
      <c r="AK25" s="2566"/>
      <c r="AL25" s="2564"/>
      <c r="AM25" s="2565"/>
      <c r="AN25" s="2565"/>
      <c r="AO25" s="2565"/>
      <c r="AP25" s="2565"/>
      <c r="AQ25" s="2565"/>
      <c r="AR25" s="2566"/>
      <c r="AS25" s="1112">
        <f t="shared" si="21"/>
        <v>952</v>
      </c>
      <c r="AT25" s="1113">
        <f t="shared" si="22"/>
        <v>964</v>
      </c>
      <c r="AU25" s="1113">
        <f t="shared" si="23"/>
        <v>919</v>
      </c>
      <c r="AV25" s="1113">
        <f t="shared" si="24"/>
        <v>918</v>
      </c>
      <c r="AW25" s="1113">
        <f t="shared" si="25"/>
        <v>918</v>
      </c>
      <c r="AX25" s="1113">
        <f t="shared" si="26"/>
        <v>919</v>
      </c>
      <c r="AY25" s="1114">
        <f t="shared" si="27"/>
        <v>919</v>
      </c>
    </row>
    <row r="26" spans="1:52" ht="21" customHeight="1">
      <c r="A26" s="2681" t="s">
        <v>1397</v>
      </c>
      <c r="B26" s="2687" t="s">
        <v>1224</v>
      </c>
      <c r="C26" s="2564">
        <v>79</v>
      </c>
      <c r="D26" s="2565">
        <v>84</v>
      </c>
      <c r="E26" s="2565">
        <v>79</v>
      </c>
      <c r="F26" s="2565">
        <v>79</v>
      </c>
      <c r="G26" s="2565">
        <v>79</v>
      </c>
      <c r="H26" s="2565">
        <v>79</v>
      </c>
      <c r="I26" s="2566">
        <v>79</v>
      </c>
      <c r="J26" s="2564">
        <v>14</v>
      </c>
      <c r="K26" s="2565">
        <v>14</v>
      </c>
      <c r="L26" s="2565">
        <v>14</v>
      </c>
      <c r="M26" s="2565">
        <v>14</v>
      </c>
      <c r="N26" s="2565">
        <v>14</v>
      </c>
      <c r="O26" s="2565">
        <v>14</v>
      </c>
      <c r="P26" s="2566">
        <v>14</v>
      </c>
      <c r="Q26" s="2564">
        <v>16</v>
      </c>
      <c r="R26" s="2565">
        <v>17</v>
      </c>
      <c r="S26" s="2565">
        <v>17</v>
      </c>
      <c r="T26" s="2565">
        <v>17</v>
      </c>
      <c r="U26" s="2565">
        <v>17</v>
      </c>
      <c r="V26" s="2565">
        <v>17</v>
      </c>
      <c r="W26" s="2566">
        <v>17</v>
      </c>
      <c r="X26" s="2564">
        <v>3</v>
      </c>
      <c r="Y26" s="2565">
        <v>3</v>
      </c>
      <c r="Z26" s="2565">
        <v>3</v>
      </c>
      <c r="AA26" s="2565">
        <v>3</v>
      </c>
      <c r="AB26" s="2565">
        <v>3</v>
      </c>
      <c r="AC26" s="2565">
        <v>3</v>
      </c>
      <c r="AD26" s="2566">
        <v>3</v>
      </c>
      <c r="AE26" s="2564"/>
      <c r="AF26" s="2565"/>
      <c r="AG26" s="2565"/>
      <c r="AH26" s="2565"/>
      <c r="AI26" s="2565"/>
      <c r="AJ26" s="2565"/>
      <c r="AK26" s="2566"/>
      <c r="AL26" s="2564"/>
      <c r="AM26" s="2565"/>
      <c r="AN26" s="2565"/>
      <c r="AO26" s="2565"/>
      <c r="AP26" s="2565"/>
      <c r="AQ26" s="2565"/>
      <c r="AR26" s="2566"/>
      <c r="AS26" s="1112">
        <f t="shared" si="21"/>
        <v>112</v>
      </c>
      <c r="AT26" s="1113">
        <f t="shared" si="22"/>
        <v>118</v>
      </c>
      <c r="AU26" s="1113">
        <f t="shared" si="23"/>
        <v>113</v>
      </c>
      <c r="AV26" s="1113">
        <f t="shared" si="24"/>
        <v>113</v>
      </c>
      <c r="AW26" s="1113">
        <f t="shared" si="25"/>
        <v>113</v>
      </c>
      <c r="AX26" s="1113">
        <f t="shared" si="26"/>
        <v>113</v>
      </c>
      <c r="AY26" s="1114">
        <f t="shared" si="27"/>
        <v>113</v>
      </c>
    </row>
    <row r="27" spans="1:52" ht="21" customHeight="1">
      <c r="A27" s="2681" t="s">
        <v>1398</v>
      </c>
      <c r="B27" s="2687" t="s">
        <v>1225</v>
      </c>
      <c r="C27" s="2564">
        <f>681-5</f>
        <v>676</v>
      </c>
      <c r="D27" s="2565">
        <v>683</v>
      </c>
      <c r="E27" s="2565">
        <v>709</v>
      </c>
      <c r="F27" s="2565">
        <v>716</v>
      </c>
      <c r="G27" s="2565">
        <v>740</v>
      </c>
      <c r="H27" s="2565">
        <v>750</v>
      </c>
      <c r="I27" s="2566">
        <v>759</v>
      </c>
      <c r="J27" s="2564">
        <v>92</v>
      </c>
      <c r="K27" s="2565">
        <v>82</v>
      </c>
      <c r="L27" s="2565">
        <v>93</v>
      </c>
      <c r="M27" s="2565">
        <v>95</v>
      </c>
      <c r="N27" s="2565">
        <v>100</v>
      </c>
      <c r="O27" s="2565">
        <v>103</v>
      </c>
      <c r="P27" s="2566">
        <v>107</v>
      </c>
      <c r="Q27" s="2564">
        <v>116</v>
      </c>
      <c r="R27" s="2565">
        <v>115</v>
      </c>
      <c r="S27" s="2565">
        <v>146</v>
      </c>
      <c r="T27" s="2565">
        <v>150</v>
      </c>
      <c r="U27" s="2565">
        <v>163</v>
      </c>
      <c r="V27" s="2565">
        <v>169</v>
      </c>
      <c r="W27" s="2566">
        <v>175</v>
      </c>
      <c r="X27" s="2564">
        <v>22</v>
      </c>
      <c r="Y27" s="2565">
        <v>22</v>
      </c>
      <c r="Z27" s="2565">
        <v>25</v>
      </c>
      <c r="AA27" s="2565">
        <v>27</v>
      </c>
      <c r="AB27" s="2565">
        <v>28</v>
      </c>
      <c r="AC27" s="2565">
        <v>29</v>
      </c>
      <c r="AD27" s="2566">
        <v>29</v>
      </c>
      <c r="AE27" s="2564"/>
      <c r="AF27" s="2565"/>
      <c r="AG27" s="2565"/>
      <c r="AH27" s="2565"/>
      <c r="AI27" s="2565"/>
      <c r="AJ27" s="2565"/>
      <c r="AK27" s="2566"/>
      <c r="AL27" s="2564"/>
      <c r="AM27" s="2565"/>
      <c r="AN27" s="2565"/>
      <c r="AO27" s="2565"/>
      <c r="AP27" s="2565"/>
      <c r="AQ27" s="2565"/>
      <c r="AR27" s="2566"/>
      <c r="AS27" s="1112">
        <f t="shared" si="21"/>
        <v>906</v>
      </c>
      <c r="AT27" s="1113">
        <f t="shared" si="22"/>
        <v>902</v>
      </c>
      <c r="AU27" s="1113">
        <f t="shared" si="23"/>
        <v>973</v>
      </c>
      <c r="AV27" s="1113">
        <f t="shared" si="24"/>
        <v>988</v>
      </c>
      <c r="AW27" s="1113">
        <f t="shared" si="25"/>
        <v>1031</v>
      </c>
      <c r="AX27" s="1113">
        <f t="shared" si="26"/>
        <v>1051</v>
      </c>
      <c r="AY27" s="1114">
        <f t="shared" si="27"/>
        <v>1070</v>
      </c>
    </row>
    <row r="28" spans="1:52" ht="21" customHeight="1" thickBot="1">
      <c r="A28" s="2683" t="s">
        <v>1399</v>
      </c>
      <c r="B28" s="2688" t="s">
        <v>1226</v>
      </c>
      <c r="C28" s="3170">
        <f>C27/C15</f>
        <v>0.19829862129656792</v>
      </c>
      <c r="D28" s="2568"/>
      <c r="E28" s="2568"/>
      <c r="F28" s="2568"/>
      <c r="G28" s="2568"/>
      <c r="H28" s="2568"/>
      <c r="I28" s="2569"/>
      <c r="J28" s="3170">
        <f>J27/J15</f>
        <v>0.20767494356659141</v>
      </c>
      <c r="K28" s="2568"/>
      <c r="L28" s="2568"/>
      <c r="M28" s="2568"/>
      <c r="N28" s="2568"/>
      <c r="O28" s="2568"/>
      <c r="P28" s="2569"/>
      <c r="Q28" s="3170">
        <f>Q27/Q15</f>
        <v>0.22137404580152673</v>
      </c>
      <c r="R28" s="2568"/>
      <c r="S28" s="2568"/>
      <c r="T28" s="2568"/>
      <c r="U28" s="2568"/>
      <c r="V28" s="2568"/>
      <c r="W28" s="2569"/>
      <c r="X28" s="3170">
        <f>X27/X15</f>
        <v>0.18487394957983194</v>
      </c>
      <c r="Y28" s="2568"/>
      <c r="Z28" s="2568"/>
      <c r="AA28" s="2568"/>
      <c r="AB28" s="2568"/>
      <c r="AC28" s="2568"/>
      <c r="AD28" s="2569"/>
      <c r="AE28" s="2567"/>
      <c r="AF28" s="2568"/>
      <c r="AG28" s="2568"/>
      <c r="AH28" s="2568"/>
      <c r="AI28" s="2568"/>
      <c r="AJ28" s="2568"/>
      <c r="AK28" s="2569"/>
      <c r="AL28" s="2567"/>
      <c r="AM28" s="2568"/>
      <c r="AN28" s="2568"/>
      <c r="AO28" s="2568"/>
      <c r="AP28" s="2568"/>
      <c r="AQ28" s="2568"/>
      <c r="AR28" s="2569"/>
      <c r="AS28" s="1411">
        <f t="shared" si="21"/>
        <v>0.81222156024451797</v>
      </c>
      <c r="AT28" s="1115">
        <f t="shared" si="22"/>
        <v>0</v>
      </c>
      <c r="AU28" s="1115">
        <f t="shared" si="23"/>
        <v>0</v>
      </c>
      <c r="AV28" s="1115">
        <f t="shared" si="24"/>
        <v>0</v>
      </c>
      <c r="AW28" s="1115">
        <f t="shared" si="25"/>
        <v>0</v>
      </c>
      <c r="AX28" s="1115">
        <f t="shared" si="26"/>
        <v>0</v>
      </c>
      <c r="AY28" s="1116">
        <f t="shared" si="27"/>
        <v>0</v>
      </c>
    </row>
    <row r="29" spans="1:52" ht="18" customHeight="1">
      <c r="A29" s="2689" t="s">
        <v>113</v>
      </c>
      <c r="B29" s="2690" t="s">
        <v>1218</v>
      </c>
      <c r="C29" s="1416">
        <f t="shared" ref="C29:AD29" si="28">C15+C18</f>
        <v>3446</v>
      </c>
      <c r="D29" s="1417">
        <f t="shared" si="28"/>
        <v>3540</v>
      </c>
      <c r="E29" s="1417">
        <f t="shared" si="28"/>
        <v>3455.4359470198669</v>
      </c>
      <c r="F29" s="1417">
        <f t="shared" si="28"/>
        <v>3554.6937536335531</v>
      </c>
      <c r="G29" s="1417">
        <f t="shared" si="28"/>
        <v>3684.2874286570946</v>
      </c>
      <c r="H29" s="1417">
        <f t="shared" si="28"/>
        <v>3789.5033496482511</v>
      </c>
      <c r="I29" s="1418">
        <f t="shared" si="28"/>
        <v>3906.5818109362922</v>
      </c>
      <c r="J29" s="1416">
        <f>J15+J18</f>
        <v>462</v>
      </c>
      <c r="K29" s="1417">
        <f t="shared" si="28"/>
        <v>498</v>
      </c>
      <c r="L29" s="1417">
        <f t="shared" si="28"/>
        <v>522.94668965517235</v>
      </c>
      <c r="M29" s="1417">
        <f t="shared" si="28"/>
        <v>541.02867710344833</v>
      </c>
      <c r="N29" s="1417">
        <f t="shared" si="28"/>
        <v>560.03565212496562</v>
      </c>
      <c r="O29" s="1417">
        <f t="shared" si="28"/>
        <v>579.68886429721442</v>
      </c>
      <c r="P29" s="1418">
        <f t="shared" si="28"/>
        <v>600.01028568331969</v>
      </c>
      <c r="Q29" s="1416">
        <f t="shared" si="28"/>
        <v>524</v>
      </c>
      <c r="R29" s="1417">
        <f t="shared" si="28"/>
        <v>663</v>
      </c>
      <c r="S29" s="1417">
        <f t="shared" si="28"/>
        <v>701.01610389610403</v>
      </c>
      <c r="T29" s="1417">
        <f t="shared" si="28"/>
        <v>724.74068571428597</v>
      </c>
      <c r="U29" s="1417">
        <f t="shared" si="28"/>
        <v>749.30766902857101</v>
      </c>
      <c r="V29" s="1417">
        <f t="shared" si="28"/>
        <v>774.74792977554296</v>
      </c>
      <c r="W29" s="1418">
        <f t="shared" si="28"/>
        <v>800.99795938791203</v>
      </c>
      <c r="X29" s="1416">
        <f t="shared" si="28"/>
        <v>119</v>
      </c>
      <c r="Y29" s="1417">
        <f t="shared" si="28"/>
        <v>121</v>
      </c>
      <c r="Z29" s="1417">
        <f t="shared" si="28"/>
        <v>131</v>
      </c>
      <c r="AA29" s="1417">
        <f t="shared" si="28"/>
        <v>136</v>
      </c>
      <c r="AB29" s="1417">
        <f t="shared" si="28"/>
        <v>141</v>
      </c>
      <c r="AC29" s="1417">
        <f t="shared" si="28"/>
        <v>146</v>
      </c>
      <c r="AD29" s="1418">
        <f t="shared" si="28"/>
        <v>150</v>
      </c>
      <c r="AE29" s="1416">
        <f t="shared" ref="AE29:AR29" si="29">AE15+AE18</f>
        <v>0</v>
      </c>
      <c r="AF29" s="1417">
        <f t="shared" si="29"/>
        <v>0</v>
      </c>
      <c r="AG29" s="1417">
        <f t="shared" si="29"/>
        <v>0</v>
      </c>
      <c r="AH29" s="1417">
        <f t="shared" si="29"/>
        <v>0</v>
      </c>
      <c r="AI29" s="1417">
        <f t="shared" si="29"/>
        <v>0</v>
      </c>
      <c r="AJ29" s="1417">
        <f t="shared" si="29"/>
        <v>0</v>
      </c>
      <c r="AK29" s="1418">
        <f t="shared" si="29"/>
        <v>0</v>
      </c>
      <c r="AL29" s="1416">
        <f t="shared" si="29"/>
        <v>0</v>
      </c>
      <c r="AM29" s="1417">
        <f t="shared" si="29"/>
        <v>0</v>
      </c>
      <c r="AN29" s="1417">
        <f t="shared" si="29"/>
        <v>0</v>
      </c>
      <c r="AO29" s="1417">
        <f t="shared" si="29"/>
        <v>0</v>
      </c>
      <c r="AP29" s="1417">
        <f t="shared" si="29"/>
        <v>0</v>
      </c>
      <c r="AQ29" s="1417">
        <f t="shared" si="29"/>
        <v>0</v>
      </c>
      <c r="AR29" s="1418">
        <f t="shared" si="29"/>
        <v>0</v>
      </c>
      <c r="AS29" s="1419">
        <f t="shared" ref="AS29:AY31" si="30">C29+J29+Q29+X29+AE29+AL29</f>
        <v>4551</v>
      </c>
      <c r="AT29" s="1117">
        <f t="shared" si="30"/>
        <v>4822</v>
      </c>
      <c r="AU29" s="1117">
        <f t="shared" si="30"/>
        <v>4810.3987405711432</v>
      </c>
      <c r="AV29" s="1117">
        <f t="shared" si="30"/>
        <v>4956.4631164512875</v>
      </c>
      <c r="AW29" s="1117">
        <f t="shared" si="30"/>
        <v>5134.6307498106307</v>
      </c>
      <c r="AX29" s="1117">
        <f t="shared" si="30"/>
        <v>5289.9401437210081</v>
      </c>
      <c r="AY29" s="1118">
        <f t="shared" si="30"/>
        <v>5457.5900560075243</v>
      </c>
    </row>
    <row r="30" spans="1:52" ht="18" customHeight="1">
      <c r="A30" s="2681" t="s">
        <v>115</v>
      </c>
      <c r="B30" s="2687" t="s">
        <v>861</v>
      </c>
      <c r="C30" s="1400">
        <f>C16+C19</f>
        <v>624</v>
      </c>
      <c r="D30" s="1119">
        <f t="shared" ref="D30:AD30" si="31">D16+D19</f>
        <v>651</v>
      </c>
      <c r="E30" s="1119">
        <f t="shared" si="31"/>
        <v>625.28057333509912</v>
      </c>
      <c r="F30" s="1119">
        <f t="shared" si="31"/>
        <v>644.37753189764214</v>
      </c>
      <c r="G30" s="1119">
        <f t="shared" si="31"/>
        <v>669.65017702216198</v>
      </c>
      <c r="H30" s="1119">
        <f t="shared" si="31"/>
        <v>688.32877433246404</v>
      </c>
      <c r="I30" s="1401">
        <f t="shared" si="31"/>
        <v>711.39893969976811</v>
      </c>
      <c r="J30" s="1400">
        <f t="shared" si="31"/>
        <v>88</v>
      </c>
      <c r="K30" s="1119">
        <f t="shared" si="31"/>
        <v>94</v>
      </c>
      <c r="L30" s="1119">
        <f t="shared" si="31"/>
        <v>101.40308528274036</v>
      </c>
      <c r="M30" s="1119">
        <f t="shared" si="31"/>
        <v>105.79585622555236</v>
      </c>
      <c r="N30" s="1119">
        <f t="shared" si="31"/>
        <v>109.82800611790495</v>
      </c>
      <c r="O30" s="1119">
        <f t="shared" si="31"/>
        <v>113.99724910659759</v>
      </c>
      <c r="P30" s="1401">
        <f t="shared" si="31"/>
        <v>118.30824635690573</v>
      </c>
      <c r="Q30" s="1400">
        <f t="shared" si="31"/>
        <v>94</v>
      </c>
      <c r="R30" s="1119">
        <f t="shared" si="31"/>
        <v>121</v>
      </c>
      <c r="S30" s="1119">
        <f t="shared" si="31"/>
        <v>135.4176178701299</v>
      </c>
      <c r="T30" s="1119">
        <f t="shared" si="31"/>
        <v>141.43971675428571</v>
      </c>
      <c r="U30" s="1119">
        <f t="shared" si="31"/>
        <v>147.2510847239314</v>
      </c>
      <c r="V30" s="1119">
        <f t="shared" si="31"/>
        <v>152.57023920454509</v>
      </c>
      <c r="W30" s="1401">
        <f t="shared" si="31"/>
        <v>158.2042449374996</v>
      </c>
      <c r="X30" s="1400">
        <f t="shared" si="31"/>
        <v>20</v>
      </c>
      <c r="Y30" s="1119">
        <f t="shared" si="31"/>
        <v>22.021999999999998</v>
      </c>
      <c r="Z30" s="1119">
        <f t="shared" si="31"/>
        <v>24.759</v>
      </c>
      <c r="AA30" s="1119">
        <f t="shared" si="31"/>
        <v>26.656000000000002</v>
      </c>
      <c r="AB30" s="1119">
        <f t="shared" si="31"/>
        <v>27.636000000000003</v>
      </c>
      <c r="AC30" s="1119">
        <f t="shared" si="31"/>
        <v>28.616</v>
      </c>
      <c r="AD30" s="1401">
        <f t="shared" si="31"/>
        <v>29.400000000000002</v>
      </c>
      <c r="AE30" s="1400">
        <f t="shared" ref="AE30:AR30" si="32">AE16+AE19</f>
        <v>0</v>
      </c>
      <c r="AF30" s="1119">
        <f>AF16+AF19</f>
        <v>0</v>
      </c>
      <c r="AG30" s="1119">
        <f t="shared" si="32"/>
        <v>0</v>
      </c>
      <c r="AH30" s="1119">
        <f t="shared" si="32"/>
        <v>0</v>
      </c>
      <c r="AI30" s="1119">
        <f t="shared" si="32"/>
        <v>0</v>
      </c>
      <c r="AJ30" s="1119">
        <f t="shared" si="32"/>
        <v>0</v>
      </c>
      <c r="AK30" s="1401">
        <f t="shared" si="32"/>
        <v>0</v>
      </c>
      <c r="AL30" s="1400">
        <f t="shared" si="32"/>
        <v>0</v>
      </c>
      <c r="AM30" s="1119">
        <f t="shared" si="32"/>
        <v>0</v>
      </c>
      <c r="AN30" s="1119">
        <f t="shared" si="32"/>
        <v>0</v>
      </c>
      <c r="AO30" s="1119">
        <f t="shared" si="32"/>
        <v>0</v>
      </c>
      <c r="AP30" s="1119">
        <f t="shared" si="32"/>
        <v>0</v>
      </c>
      <c r="AQ30" s="1119">
        <f t="shared" si="32"/>
        <v>0</v>
      </c>
      <c r="AR30" s="1401">
        <f t="shared" si="32"/>
        <v>0</v>
      </c>
      <c r="AS30" s="1395">
        <f t="shared" si="30"/>
        <v>826</v>
      </c>
      <c r="AT30" s="1120">
        <f t="shared" si="30"/>
        <v>888.02200000000005</v>
      </c>
      <c r="AU30" s="1120">
        <f t="shared" si="30"/>
        <v>886.86027648796937</v>
      </c>
      <c r="AV30" s="1120">
        <f t="shared" si="30"/>
        <v>918.26910487748023</v>
      </c>
      <c r="AW30" s="1120">
        <f t="shared" si="30"/>
        <v>954.36526786399827</v>
      </c>
      <c r="AX30" s="1120">
        <f t="shared" si="30"/>
        <v>983.51226264360662</v>
      </c>
      <c r="AY30" s="1121">
        <f t="shared" si="30"/>
        <v>1017.3114309941735</v>
      </c>
    </row>
    <row r="31" spans="1:52" ht="18" customHeight="1" thickBot="1">
      <c r="A31" s="2683" t="s">
        <v>116</v>
      </c>
      <c r="B31" s="2688" t="s">
        <v>982</v>
      </c>
      <c r="C31" s="1420">
        <f t="shared" ref="C31:AD31" si="33">C17+C20</f>
        <v>0</v>
      </c>
      <c r="D31" s="1122">
        <f t="shared" si="33"/>
        <v>0</v>
      </c>
      <c r="E31" s="1122">
        <f t="shared" si="33"/>
        <v>0</v>
      </c>
      <c r="F31" s="1122">
        <f t="shared" si="33"/>
        <v>0</v>
      </c>
      <c r="G31" s="1122">
        <f t="shared" si="33"/>
        <v>0</v>
      </c>
      <c r="H31" s="1122">
        <f t="shared" si="33"/>
        <v>0</v>
      </c>
      <c r="I31" s="1421">
        <f t="shared" si="33"/>
        <v>0</v>
      </c>
      <c r="J31" s="1420">
        <f t="shared" si="33"/>
        <v>0</v>
      </c>
      <c r="K31" s="1122">
        <f t="shared" si="33"/>
        <v>0</v>
      </c>
      <c r="L31" s="1122">
        <f t="shared" si="33"/>
        <v>0</v>
      </c>
      <c r="M31" s="1122">
        <f t="shared" si="33"/>
        <v>0</v>
      </c>
      <c r="N31" s="1122">
        <f t="shared" si="33"/>
        <v>0</v>
      </c>
      <c r="O31" s="1122">
        <f t="shared" si="33"/>
        <v>0</v>
      </c>
      <c r="P31" s="1421">
        <f t="shared" si="33"/>
        <v>0</v>
      </c>
      <c r="Q31" s="1420">
        <f t="shared" si="33"/>
        <v>0</v>
      </c>
      <c r="R31" s="1122">
        <f t="shared" si="33"/>
        <v>0</v>
      </c>
      <c r="S31" s="1122">
        <f t="shared" si="33"/>
        <v>0</v>
      </c>
      <c r="T31" s="1122">
        <f t="shared" si="33"/>
        <v>0</v>
      </c>
      <c r="U31" s="1122">
        <f t="shared" si="33"/>
        <v>0</v>
      </c>
      <c r="V31" s="1122">
        <f t="shared" si="33"/>
        <v>0</v>
      </c>
      <c r="W31" s="1421">
        <f t="shared" si="33"/>
        <v>0</v>
      </c>
      <c r="X31" s="1420">
        <f t="shared" si="33"/>
        <v>0</v>
      </c>
      <c r="Y31" s="1122">
        <f t="shared" si="33"/>
        <v>0</v>
      </c>
      <c r="Z31" s="1122">
        <f t="shared" si="33"/>
        <v>0</v>
      </c>
      <c r="AA31" s="1122">
        <f t="shared" si="33"/>
        <v>0</v>
      </c>
      <c r="AB31" s="1122">
        <f t="shared" si="33"/>
        <v>0</v>
      </c>
      <c r="AC31" s="1122">
        <f t="shared" si="33"/>
        <v>0</v>
      </c>
      <c r="AD31" s="1421">
        <f t="shared" si="33"/>
        <v>0</v>
      </c>
      <c r="AE31" s="1420">
        <f>AE17+AE20</f>
        <v>0</v>
      </c>
      <c r="AF31" s="1122">
        <f t="shared" ref="AF31:AR31" si="34">AF17+AF20</f>
        <v>0</v>
      </c>
      <c r="AG31" s="1122">
        <f t="shared" si="34"/>
        <v>0</v>
      </c>
      <c r="AH31" s="1122">
        <f t="shared" si="34"/>
        <v>0</v>
      </c>
      <c r="AI31" s="1122">
        <f t="shared" si="34"/>
        <v>0</v>
      </c>
      <c r="AJ31" s="1122">
        <f t="shared" si="34"/>
        <v>0</v>
      </c>
      <c r="AK31" s="1421">
        <f t="shared" si="34"/>
        <v>0</v>
      </c>
      <c r="AL31" s="1420">
        <f t="shared" si="34"/>
        <v>0</v>
      </c>
      <c r="AM31" s="1122">
        <f t="shared" si="34"/>
        <v>0</v>
      </c>
      <c r="AN31" s="1122">
        <f t="shared" si="34"/>
        <v>0</v>
      </c>
      <c r="AO31" s="1122">
        <f t="shared" si="34"/>
        <v>0</v>
      </c>
      <c r="AP31" s="1122">
        <f t="shared" si="34"/>
        <v>0</v>
      </c>
      <c r="AQ31" s="1122">
        <f t="shared" si="34"/>
        <v>0</v>
      </c>
      <c r="AR31" s="1421">
        <f t="shared" si="34"/>
        <v>0</v>
      </c>
      <c r="AS31" s="1407">
        <f t="shared" si="30"/>
        <v>0</v>
      </c>
      <c r="AT31" s="1123">
        <f t="shared" si="30"/>
        <v>0</v>
      </c>
      <c r="AU31" s="1123">
        <f t="shared" si="30"/>
        <v>0</v>
      </c>
      <c r="AV31" s="1123">
        <f t="shared" si="30"/>
        <v>0</v>
      </c>
      <c r="AW31" s="1123">
        <f t="shared" si="30"/>
        <v>0</v>
      </c>
      <c r="AX31" s="1123">
        <f t="shared" si="30"/>
        <v>0</v>
      </c>
      <c r="AY31" s="1124">
        <f t="shared" si="30"/>
        <v>0</v>
      </c>
    </row>
    <row r="32" spans="1:52" s="1583" customFormat="1" ht="24">
      <c r="A32" s="2691" t="s">
        <v>119</v>
      </c>
      <c r="B32" s="1412" t="s">
        <v>862</v>
      </c>
      <c r="C32" s="1413">
        <f t="shared" ref="C32:AY32" si="35">IFERROR(C29/C14,0)</f>
        <v>7.6070640176600444</v>
      </c>
      <c r="D32" s="1414">
        <f t="shared" si="35"/>
        <v>7.814569536423841</v>
      </c>
      <c r="E32" s="1414">
        <f t="shared" si="35"/>
        <v>8.3464636401446057</v>
      </c>
      <c r="F32" s="1414">
        <f t="shared" si="35"/>
        <v>8.6488899115171609</v>
      </c>
      <c r="G32" s="1414">
        <f t="shared" si="35"/>
        <v>8.9642029894333195</v>
      </c>
      <c r="H32" s="1414">
        <f t="shared" si="35"/>
        <v>9.2879984060006162</v>
      </c>
      <c r="I32" s="1415">
        <f t="shared" si="35"/>
        <v>9.622122687035203</v>
      </c>
      <c r="J32" s="1413">
        <f t="shared" si="35"/>
        <v>7.9655172413793105</v>
      </c>
      <c r="K32" s="1414">
        <f t="shared" si="35"/>
        <v>8.5862068965517242</v>
      </c>
      <c r="L32" s="1414">
        <f t="shared" si="35"/>
        <v>8.7157781609195393</v>
      </c>
      <c r="M32" s="1414">
        <f t="shared" si="35"/>
        <v>9.0171446183908053</v>
      </c>
      <c r="N32" s="1414">
        <f t="shared" si="35"/>
        <v>9.3339275354160929</v>
      </c>
      <c r="O32" s="1414">
        <f t="shared" si="35"/>
        <v>9.6614810716202406</v>
      </c>
      <c r="P32" s="1415">
        <f t="shared" si="35"/>
        <v>10.000171428055328</v>
      </c>
      <c r="Q32" s="1413">
        <f t="shared" si="35"/>
        <v>6.8051948051948052</v>
      </c>
      <c r="R32" s="1414">
        <f t="shared" si="35"/>
        <v>7.8</v>
      </c>
      <c r="S32" s="1414">
        <f t="shared" si="35"/>
        <v>7.5378075687753121</v>
      </c>
      <c r="T32" s="1414">
        <f t="shared" si="35"/>
        <v>7.7929105990783434</v>
      </c>
      <c r="U32" s="1414">
        <f t="shared" si="35"/>
        <v>8.0570717099846352</v>
      </c>
      <c r="V32" s="1414">
        <f t="shared" si="35"/>
        <v>8.3306229008122905</v>
      </c>
      <c r="W32" s="1415">
        <f t="shared" si="35"/>
        <v>8.6128812837409896</v>
      </c>
      <c r="X32" s="1413">
        <f t="shared" si="35"/>
        <v>9.9166666666666661</v>
      </c>
      <c r="Y32" s="1414">
        <f t="shared" si="35"/>
        <v>10.083333333333334</v>
      </c>
      <c r="Z32" s="1414">
        <f t="shared" si="35"/>
        <v>10.916666666666666</v>
      </c>
      <c r="AA32" s="1414">
        <f t="shared" si="35"/>
        <v>11.333333333333334</v>
      </c>
      <c r="AB32" s="1414">
        <f t="shared" si="35"/>
        <v>11.75</v>
      </c>
      <c r="AC32" s="1414">
        <f t="shared" si="35"/>
        <v>12.166666666666666</v>
      </c>
      <c r="AD32" s="1415">
        <f t="shared" si="35"/>
        <v>12.5</v>
      </c>
      <c r="AE32" s="1413">
        <f t="shared" ref="AE32:AR32" si="36">IFERROR(AE29/AE14,0)</f>
        <v>0</v>
      </c>
      <c r="AF32" s="1414">
        <f t="shared" si="36"/>
        <v>0</v>
      </c>
      <c r="AG32" s="1414">
        <f t="shared" si="36"/>
        <v>0</v>
      </c>
      <c r="AH32" s="1414">
        <f t="shared" si="36"/>
        <v>0</v>
      </c>
      <c r="AI32" s="1414">
        <f t="shared" si="36"/>
        <v>0</v>
      </c>
      <c r="AJ32" s="1414">
        <f t="shared" si="36"/>
        <v>0</v>
      </c>
      <c r="AK32" s="1415">
        <f t="shared" si="36"/>
        <v>0</v>
      </c>
      <c r="AL32" s="1413">
        <f t="shared" si="36"/>
        <v>0</v>
      </c>
      <c r="AM32" s="1414">
        <f t="shared" si="36"/>
        <v>0</v>
      </c>
      <c r="AN32" s="1414">
        <f t="shared" si="36"/>
        <v>0</v>
      </c>
      <c r="AO32" s="1414">
        <f t="shared" si="36"/>
        <v>0</v>
      </c>
      <c r="AP32" s="1414">
        <f t="shared" si="36"/>
        <v>0</v>
      </c>
      <c r="AQ32" s="1414">
        <f t="shared" si="36"/>
        <v>0</v>
      </c>
      <c r="AR32" s="1415">
        <f t="shared" si="36"/>
        <v>0</v>
      </c>
      <c r="AS32" s="1413">
        <f t="shared" si="35"/>
        <v>7.585</v>
      </c>
      <c r="AT32" s="1414">
        <f t="shared" si="35"/>
        <v>7.9309210526315788</v>
      </c>
      <c r="AU32" s="1414">
        <f t="shared" si="35"/>
        <v>8.3081152686893667</v>
      </c>
      <c r="AV32" s="1414">
        <f t="shared" si="35"/>
        <v>8.6049706882834851</v>
      </c>
      <c r="AW32" s="1414">
        <f t="shared" si="35"/>
        <v>8.9142894961990109</v>
      </c>
      <c r="AX32" s="1414">
        <f t="shared" si="35"/>
        <v>9.2320072316247952</v>
      </c>
      <c r="AY32" s="1415">
        <f t="shared" si="35"/>
        <v>9.557951061309149</v>
      </c>
      <c r="AZ32" s="1584"/>
    </row>
    <row r="33" spans="1:52" ht="24">
      <c r="A33" s="2681" t="s">
        <v>124</v>
      </c>
      <c r="B33" s="1397" t="s">
        <v>863</v>
      </c>
      <c r="C33" s="1402">
        <f t="shared" ref="C33:AY33" si="37">IFERROR(C30/C14,0)</f>
        <v>1.3774834437086092</v>
      </c>
      <c r="D33" s="1391">
        <f t="shared" si="37"/>
        <v>1.4370860927152318</v>
      </c>
      <c r="E33" s="1391">
        <f t="shared" si="37"/>
        <v>1.5103395491185969</v>
      </c>
      <c r="F33" s="1391">
        <f t="shared" si="37"/>
        <v>1.5678285447631195</v>
      </c>
      <c r="G33" s="1391">
        <f t="shared" si="37"/>
        <v>1.6293191655040438</v>
      </c>
      <c r="H33" s="1391">
        <f t="shared" si="37"/>
        <v>1.6870803292462353</v>
      </c>
      <c r="I33" s="1403">
        <f t="shared" si="37"/>
        <v>1.7522141371915472</v>
      </c>
      <c r="J33" s="1402">
        <f t="shared" si="37"/>
        <v>1.5172413793103448</v>
      </c>
      <c r="K33" s="1391">
        <f t="shared" si="37"/>
        <v>1.6206896551724137</v>
      </c>
      <c r="L33" s="1391">
        <f t="shared" si="37"/>
        <v>1.6900514213790061</v>
      </c>
      <c r="M33" s="1391">
        <f t="shared" si="37"/>
        <v>1.7632642704258725</v>
      </c>
      <c r="N33" s="1391">
        <f t="shared" si="37"/>
        <v>1.8304667686317491</v>
      </c>
      <c r="O33" s="1391">
        <f t="shared" si="37"/>
        <v>1.8999541517766265</v>
      </c>
      <c r="P33" s="1403">
        <f t="shared" si="37"/>
        <v>1.9718041059484288</v>
      </c>
      <c r="Q33" s="1402">
        <f t="shared" si="37"/>
        <v>1.2207792207792207</v>
      </c>
      <c r="R33" s="1391">
        <f t="shared" si="37"/>
        <v>1.4235294117647059</v>
      </c>
      <c r="S33" s="1391">
        <f t="shared" si="37"/>
        <v>1.456103417958386</v>
      </c>
      <c r="T33" s="1391">
        <f t="shared" si="37"/>
        <v>1.5208571694009216</v>
      </c>
      <c r="U33" s="1391">
        <f t="shared" si="37"/>
        <v>1.5833449970315203</v>
      </c>
      <c r="V33" s="1391">
        <f t="shared" si="37"/>
        <v>1.6405402065004848</v>
      </c>
      <c r="W33" s="1403">
        <f t="shared" si="37"/>
        <v>1.7011209133064473</v>
      </c>
      <c r="X33" s="1402">
        <f t="shared" si="37"/>
        <v>1.6666666666666667</v>
      </c>
      <c r="Y33" s="1391">
        <f t="shared" si="37"/>
        <v>1.8351666666666666</v>
      </c>
      <c r="Z33" s="1391">
        <f t="shared" si="37"/>
        <v>2.06325</v>
      </c>
      <c r="AA33" s="1391">
        <f t="shared" si="37"/>
        <v>2.2213333333333334</v>
      </c>
      <c r="AB33" s="1391">
        <f t="shared" si="37"/>
        <v>2.3030000000000004</v>
      </c>
      <c r="AC33" s="1391">
        <f t="shared" si="37"/>
        <v>2.3846666666666665</v>
      </c>
      <c r="AD33" s="1403">
        <f t="shared" si="37"/>
        <v>2.4500000000000002</v>
      </c>
      <c r="AE33" s="1402">
        <f t="shared" ref="AE33:AR33" si="38">IFERROR(AE30/AE14,0)</f>
        <v>0</v>
      </c>
      <c r="AF33" s="1391">
        <f t="shared" si="38"/>
        <v>0</v>
      </c>
      <c r="AG33" s="1391">
        <f t="shared" si="38"/>
        <v>0</v>
      </c>
      <c r="AH33" s="1391">
        <f t="shared" si="38"/>
        <v>0</v>
      </c>
      <c r="AI33" s="1391">
        <f t="shared" si="38"/>
        <v>0</v>
      </c>
      <c r="AJ33" s="1391">
        <f t="shared" si="38"/>
        <v>0</v>
      </c>
      <c r="AK33" s="1403">
        <f t="shared" si="38"/>
        <v>0</v>
      </c>
      <c r="AL33" s="1402">
        <f t="shared" si="38"/>
        <v>0</v>
      </c>
      <c r="AM33" s="1391">
        <f t="shared" si="38"/>
        <v>0</v>
      </c>
      <c r="AN33" s="1391">
        <f t="shared" si="38"/>
        <v>0</v>
      </c>
      <c r="AO33" s="1391">
        <f t="shared" si="38"/>
        <v>0</v>
      </c>
      <c r="AP33" s="1391">
        <f t="shared" si="38"/>
        <v>0</v>
      </c>
      <c r="AQ33" s="1391">
        <f t="shared" si="38"/>
        <v>0</v>
      </c>
      <c r="AR33" s="1403">
        <f t="shared" si="38"/>
        <v>0</v>
      </c>
      <c r="AS33" s="1396">
        <f t="shared" si="37"/>
        <v>1.3766666666666667</v>
      </c>
      <c r="AT33" s="1390">
        <f t="shared" si="37"/>
        <v>1.4605625</v>
      </c>
      <c r="AU33" s="1390">
        <f t="shared" si="37"/>
        <v>1.5317103220863029</v>
      </c>
      <c r="AV33" s="1390">
        <f t="shared" si="37"/>
        <v>1.5942171959678477</v>
      </c>
      <c r="AW33" s="1390">
        <f t="shared" si="37"/>
        <v>1.6568841455972192</v>
      </c>
      <c r="AX33" s="1390">
        <f t="shared" si="37"/>
        <v>1.7164262873361371</v>
      </c>
      <c r="AY33" s="1393">
        <f t="shared" si="37"/>
        <v>1.781631227660549</v>
      </c>
      <c r="AZ33" s="1541"/>
    </row>
    <row r="34" spans="1:52" ht="24">
      <c r="A34" s="2681" t="s">
        <v>91</v>
      </c>
      <c r="B34" s="1397" t="s">
        <v>864</v>
      </c>
      <c r="C34" s="1402">
        <f t="shared" ref="C34:AY34" si="39">IFERROR(C31/C14,0)</f>
        <v>0</v>
      </c>
      <c r="D34" s="1391">
        <f t="shared" si="39"/>
        <v>0</v>
      </c>
      <c r="E34" s="1391">
        <f t="shared" si="39"/>
        <v>0</v>
      </c>
      <c r="F34" s="1391">
        <f t="shared" si="39"/>
        <v>0</v>
      </c>
      <c r="G34" s="1391">
        <f t="shared" si="39"/>
        <v>0</v>
      </c>
      <c r="H34" s="1391">
        <f t="shared" si="39"/>
        <v>0</v>
      </c>
      <c r="I34" s="1403">
        <f t="shared" si="39"/>
        <v>0</v>
      </c>
      <c r="J34" s="1402">
        <f t="shared" si="39"/>
        <v>0</v>
      </c>
      <c r="K34" s="1391">
        <f t="shared" si="39"/>
        <v>0</v>
      </c>
      <c r="L34" s="1391">
        <f t="shared" si="39"/>
        <v>0</v>
      </c>
      <c r="M34" s="1391">
        <f t="shared" si="39"/>
        <v>0</v>
      </c>
      <c r="N34" s="1391">
        <f t="shared" si="39"/>
        <v>0</v>
      </c>
      <c r="O34" s="1391">
        <f t="shared" si="39"/>
        <v>0</v>
      </c>
      <c r="P34" s="1403">
        <f t="shared" si="39"/>
        <v>0</v>
      </c>
      <c r="Q34" s="1402">
        <f t="shared" si="39"/>
        <v>0</v>
      </c>
      <c r="R34" s="1391">
        <f t="shared" si="39"/>
        <v>0</v>
      </c>
      <c r="S34" s="1391">
        <f t="shared" si="39"/>
        <v>0</v>
      </c>
      <c r="T34" s="1391">
        <f t="shared" si="39"/>
        <v>0</v>
      </c>
      <c r="U34" s="1391">
        <f t="shared" si="39"/>
        <v>0</v>
      </c>
      <c r="V34" s="1391">
        <f t="shared" si="39"/>
        <v>0</v>
      </c>
      <c r="W34" s="1403">
        <f t="shared" si="39"/>
        <v>0</v>
      </c>
      <c r="X34" s="1402">
        <f t="shared" si="39"/>
        <v>0</v>
      </c>
      <c r="Y34" s="1391">
        <f t="shared" si="39"/>
        <v>0</v>
      </c>
      <c r="Z34" s="1391">
        <f t="shared" si="39"/>
        <v>0</v>
      </c>
      <c r="AA34" s="1391">
        <f t="shared" si="39"/>
        <v>0</v>
      </c>
      <c r="AB34" s="1391">
        <f t="shared" si="39"/>
        <v>0</v>
      </c>
      <c r="AC34" s="1391">
        <f t="shared" si="39"/>
        <v>0</v>
      </c>
      <c r="AD34" s="1403">
        <f t="shared" si="39"/>
        <v>0</v>
      </c>
      <c r="AE34" s="1402">
        <f t="shared" ref="AE34:AR34" si="40">IFERROR(AE31/AE14,0)</f>
        <v>0</v>
      </c>
      <c r="AF34" s="1391">
        <f t="shared" si="40"/>
        <v>0</v>
      </c>
      <c r="AG34" s="1391">
        <f t="shared" si="40"/>
        <v>0</v>
      </c>
      <c r="AH34" s="1391">
        <f t="shared" si="40"/>
        <v>0</v>
      </c>
      <c r="AI34" s="1391">
        <f t="shared" si="40"/>
        <v>0</v>
      </c>
      <c r="AJ34" s="1391">
        <f t="shared" si="40"/>
        <v>0</v>
      </c>
      <c r="AK34" s="1403">
        <f t="shared" si="40"/>
        <v>0</v>
      </c>
      <c r="AL34" s="1402">
        <f t="shared" si="40"/>
        <v>0</v>
      </c>
      <c r="AM34" s="1391">
        <f t="shared" si="40"/>
        <v>0</v>
      </c>
      <c r="AN34" s="1391">
        <f t="shared" si="40"/>
        <v>0</v>
      </c>
      <c r="AO34" s="1391">
        <f t="shared" si="40"/>
        <v>0</v>
      </c>
      <c r="AP34" s="1391">
        <f t="shared" si="40"/>
        <v>0</v>
      </c>
      <c r="AQ34" s="1391">
        <f t="shared" si="40"/>
        <v>0</v>
      </c>
      <c r="AR34" s="1403">
        <f t="shared" si="40"/>
        <v>0</v>
      </c>
      <c r="AS34" s="1396">
        <f t="shared" si="39"/>
        <v>0</v>
      </c>
      <c r="AT34" s="1390">
        <f t="shared" si="39"/>
        <v>0</v>
      </c>
      <c r="AU34" s="1390">
        <f t="shared" si="39"/>
        <v>0</v>
      </c>
      <c r="AV34" s="1390">
        <f t="shared" si="39"/>
        <v>0</v>
      </c>
      <c r="AW34" s="1390">
        <f t="shared" si="39"/>
        <v>0</v>
      </c>
      <c r="AX34" s="1390">
        <f t="shared" si="39"/>
        <v>0</v>
      </c>
      <c r="AY34" s="1393">
        <f t="shared" si="39"/>
        <v>0</v>
      </c>
      <c r="AZ34" s="1541"/>
    </row>
    <row r="35" spans="1:52" ht="24">
      <c r="A35" s="2681" t="s">
        <v>92</v>
      </c>
      <c r="B35" s="2692" t="s">
        <v>1412</v>
      </c>
      <c r="C35" s="3166">
        <f>IFERROR(C30/C29,0)</f>
        <v>0.18107951247823564</v>
      </c>
      <c r="D35" s="3167">
        <f t="shared" ref="D35:AD35" si="41">IFERROR(D30/D29,0)</f>
        <v>0.18389830508474575</v>
      </c>
      <c r="E35" s="3167">
        <f t="shared" si="41"/>
        <v>0.18095562554831063</v>
      </c>
      <c r="F35" s="3167">
        <f t="shared" si="41"/>
        <v>0.18127511863405094</v>
      </c>
      <c r="G35" s="3167">
        <f t="shared" si="41"/>
        <v>0.18175839697345392</v>
      </c>
      <c r="H35" s="3167">
        <f t="shared" si="41"/>
        <v>0.18164089349501591</v>
      </c>
      <c r="I35" s="3168">
        <f t="shared" si="41"/>
        <v>0.18210266010767781</v>
      </c>
      <c r="J35" s="3166">
        <f t="shared" si="41"/>
        <v>0.19047619047619047</v>
      </c>
      <c r="K35" s="3167">
        <f t="shared" si="41"/>
        <v>0.18875502008032127</v>
      </c>
      <c r="L35" s="3167">
        <f t="shared" si="41"/>
        <v>0.19390711766357083</v>
      </c>
      <c r="M35" s="3167">
        <f t="shared" si="41"/>
        <v>0.19554574591491289</v>
      </c>
      <c r="N35" s="3167">
        <f t="shared" si="41"/>
        <v>0.19610895431599784</v>
      </c>
      <c r="O35" s="3167">
        <f t="shared" si="41"/>
        <v>0.19665247364170452</v>
      </c>
      <c r="P35" s="3168">
        <f t="shared" si="41"/>
        <v>0.19717703042735471</v>
      </c>
      <c r="Q35" s="3166">
        <f t="shared" si="41"/>
        <v>0.17938931297709923</v>
      </c>
      <c r="R35" s="3167">
        <f t="shared" si="41"/>
        <v>0.18250377073906485</v>
      </c>
      <c r="S35" s="3167">
        <f t="shared" si="41"/>
        <v>0.19317333384712063</v>
      </c>
      <c r="T35" s="3167">
        <f t="shared" si="41"/>
        <v>0.19515906798427679</v>
      </c>
      <c r="U35" s="3167">
        <f t="shared" si="41"/>
        <v>0.19651618528719039</v>
      </c>
      <c r="V35" s="3167">
        <f t="shared" si="41"/>
        <v>0.1969288762717277</v>
      </c>
      <c r="W35" s="3168">
        <f t="shared" si="41"/>
        <v>0.19750892381597629</v>
      </c>
      <c r="X35" s="1429">
        <f t="shared" si="41"/>
        <v>0.16806722689075632</v>
      </c>
      <c r="Y35" s="1427">
        <f t="shared" si="41"/>
        <v>0.182</v>
      </c>
      <c r="Z35" s="1427">
        <f t="shared" si="41"/>
        <v>0.189</v>
      </c>
      <c r="AA35" s="1427">
        <f t="shared" si="41"/>
        <v>0.19600000000000001</v>
      </c>
      <c r="AB35" s="1427">
        <f t="shared" si="41"/>
        <v>0.19600000000000001</v>
      </c>
      <c r="AC35" s="1427">
        <f t="shared" si="41"/>
        <v>0.19600000000000001</v>
      </c>
      <c r="AD35" s="1428">
        <f t="shared" si="41"/>
        <v>0.19600000000000001</v>
      </c>
      <c r="AE35" s="1429">
        <f t="shared" ref="AE35:AR35" si="42">IFERROR(AE30/AE29,0)</f>
        <v>0</v>
      </c>
      <c r="AF35" s="1427">
        <f t="shared" si="42"/>
        <v>0</v>
      </c>
      <c r="AG35" s="1427">
        <f t="shared" si="42"/>
        <v>0</v>
      </c>
      <c r="AH35" s="1427">
        <f t="shared" si="42"/>
        <v>0</v>
      </c>
      <c r="AI35" s="1427">
        <f t="shared" si="42"/>
        <v>0</v>
      </c>
      <c r="AJ35" s="1427">
        <f t="shared" si="42"/>
        <v>0</v>
      </c>
      <c r="AK35" s="1428">
        <f t="shared" si="42"/>
        <v>0</v>
      </c>
      <c r="AL35" s="1429">
        <f t="shared" si="42"/>
        <v>0</v>
      </c>
      <c r="AM35" s="1427">
        <f t="shared" si="42"/>
        <v>0</v>
      </c>
      <c r="AN35" s="1427">
        <f t="shared" si="42"/>
        <v>0</v>
      </c>
      <c r="AO35" s="1427">
        <f t="shared" si="42"/>
        <v>0</v>
      </c>
      <c r="AP35" s="1427">
        <f t="shared" si="42"/>
        <v>0</v>
      </c>
      <c r="AQ35" s="1427">
        <f t="shared" si="42"/>
        <v>0</v>
      </c>
      <c r="AR35" s="1428">
        <f t="shared" si="42"/>
        <v>0</v>
      </c>
      <c r="AS35" s="1429">
        <f t="shared" ref="AS35:AY35" si="43">IFERROR(AS30/AS29,0)</f>
        <v>0.18149857174247419</v>
      </c>
      <c r="AT35" s="1427">
        <f t="shared" si="43"/>
        <v>0.18416051430941519</v>
      </c>
      <c r="AU35" s="1427">
        <f t="shared" si="43"/>
        <v>0.18436315247801507</v>
      </c>
      <c r="AV35" s="1427">
        <f t="shared" si="43"/>
        <v>0.18526701062893</v>
      </c>
      <c r="AW35" s="1427">
        <f t="shared" si="43"/>
        <v>0.18586833491370261</v>
      </c>
      <c r="AX35" s="1427">
        <f t="shared" si="43"/>
        <v>0.18592124597307677</v>
      </c>
      <c r="AY35" s="1428">
        <f t="shared" si="43"/>
        <v>0.18640304979930705</v>
      </c>
      <c r="AZ35" s="1541"/>
    </row>
    <row r="36" spans="1:52" ht="21" customHeight="1" thickBot="1">
      <c r="A36" s="2683" t="s">
        <v>491</v>
      </c>
      <c r="B36" s="2693" t="s">
        <v>1413</v>
      </c>
      <c r="C36" s="1432">
        <f>IFERROR(C31/C29,0)</f>
        <v>0</v>
      </c>
      <c r="D36" s="1430">
        <f t="shared" ref="D36:AD36" si="44">IFERROR(D31/D29,0)</f>
        <v>0</v>
      </c>
      <c r="E36" s="1430">
        <f t="shared" si="44"/>
        <v>0</v>
      </c>
      <c r="F36" s="1430">
        <f t="shared" si="44"/>
        <v>0</v>
      </c>
      <c r="G36" s="1430">
        <f t="shared" si="44"/>
        <v>0</v>
      </c>
      <c r="H36" s="1430">
        <f t="shared" si="44"/>
        <v>0</v>
      </c>
      <c r="I36" s="1431">
        <f t="shared" si="44"/>
        <v>0</v>
      </c>
      <c r="J36" s="1432">
        <f t="shared" si="44"/>
        <v>0</v>
      </c>
      <c r="K36" s="1430">
        <f t="shared" si="44"/>
        <v>0</v>
      </c>
      <c r="L36" s="1430">
        <f t="shared" si="44"/>
        <v>0</v>
      </c>
      <c r="M36" s="1430">
        <f t="shared" si="44"/>
        <v>0</v>
      </c>
      <c r="N36" s="1430">
        <f t="shared" si="44"/>
        <v>0</v>
      </c>
      <c r="O36" s="1430">
        <f t="shared" si="44"/>
        <v>0</v>
      </c>
      <c r="P36" s="1431">
        <f t="shared" si="44"/>
        <v>0</v>
      </c>
      <c r="Q36" s="1432">
        <f t="shared" si="44"/>
        <v>0</v>
      </c>
      <c r="R36" s="1430">
        <f t="shared" si="44"/>
        <v>0</v>
      </c>
      <c r="S36" s="1430">
        <f t="shared" si="44"/>
        <v>0</v>
      </c>
      <c r="T36" s="1430">
        <f t="shared" si="44"/>
        <v>0</v>
      </c>
      <c r="U36" s="1430">
        <f t="shared" si="44"/>
        <v>0</v>
      </c>
      <c r="V36" s="1430">
        <f t="shared" si="44"/>
        <v>0</v>
      </c>
      <c r="W36" s="1431">
        <f t="shared" si="44"/>
        <v>0</v>
      </c>
      <c r="X36" s="1432">
        <f t="shared" si="44"/>
        <v>0</v>
      </c>
      <c r="Y36" s="1430">
        <f t="shared" si="44"/>
        <v>0</v>
      </c>
      <c r="Z36" s="1430">
        <f t="shared" si="44"/>
        <v>0</v>
      </c>
      <c r="AA36" s="1430">
        <f t="shared" si="44"/>
        <v>0</v>
      </c>
      <c r="AB36" s="1430">
        <f t="shared" si="44"/>
        <v>0</v>
      </c>
      <c r="AC36" s="1430">
        <f t="shared" si="44"/>
        <v>0</v>
      </c>
      <c r="AD36" s="1431">
        <f t="shared" si="44"/>
        <v>0</v>
      </c>
      <c r="AE36" s="1432">
        <f t="shared" ref="AE36:AR36" si="45">IFERROR(AE31/AE29,0)</f>
        <v>0</v>
      </c>
      <c r="AF36" s="1430">
        <f t="shared" si="45"/>
        <v>0</v>
      </c>
      <c r="AG36" s="1430">
        <f t="shared" si="45"/>
        <v>0</v>
      </c>
      <c r="AH36" s="1430">
        <f t="shared" si="45"/>
        <v>0</v>
      </c>
      <c r="AI36" s="1430">
        <f t="shared" si="45"/>
        <v>0</v>
      </c>
      <c r="AJ36" s="1430">
        <f t="shared" si="45"/>
        <v>0</v>
      </c>
      <c r="AK36" s="1431">
        <f t="shared" si="45"/>
        <v>0</v>
      </c>
      <c r="AL36" s="1432">
        <f t="shared" si="45"/>
        <v>0</v>
      </c>
      <c r="AM36" s="1430">
        <f t="shared" si="45"/>
        <v>0</v>
      </c>
      <c r="AN36" s="1430">
        <f t="shared" si="45"/>
        <v>0</v>
      </c>
      <c r="AO36" s="1430">
        <f t="shared" si="45"/>
        <v>0</v>
      </c>
      <c r="AP36" s="1430">
        <f t="shared" si="45"/>
        <v>0</v>
      </c>
      <c r="AQ36" s="1430">
        <f t="shared" si="45"/>
        <v>0</v>
      </c>
      <c r="AR36" s="1431">
        <f t="shared" si="45"/>
        <v>0</v>
      </c>
      <c r="AS36" s="1432">
        <f t="shared" ref="AS36:AX36" si="46">IFERROR(AS31/AS29,0)</f>
        <v>0</v>
      </c>
      <c r="AT36" s="1430">
        <f>IFERROR(AT31/AT29,0)</f>
        <v>0</v>
      </c>
      <c r="AU36" s="1430">
        <f t="shared" si="46"/>
        <v>0</v>
      </c>
      <c r="AV36" s="1430">
        <f t="shared" si="46"/>
        <v>0</v>
      </c>
      <c r="AW36" s="1430">
        <f t="shared" si="46"/>
        <v>0</v>
      </c>
      <c r="AX36" s="1430">
        <f t="shared" si="46"/>
        <v>0</v>
      </c>
      <c r="AY36" s="1431">
        <f>IFERROR(AY31/AY29,0)</f>
        <v>0</v>
      </c>
      <c r="AZ36" s="1541"/>
    </row>
    <row r="40" spans="1:52" ht="16.5" customHeight="1"/>
    <row r="41" spans="1:52">
      <c r="AP41" s="1541"/>
      <c r="AQ41" s="1541"/>
      <c r="AR41" s="1541"/>
      <c r="AS41" s="1541"/>
      <c r="AT41" s="1541"/>
      <c r="AU41" s="1541"/>
      <c r="AV41" s="1540"/>
    </row>
    <row r="42" spans="1:52">
      <c r="A42" s="1586"/>
      <c r="B42" s="1566"/>
      <c r="C42" s="1586"/>
      <c r="K42" s="1566"/>
      <c r="L42" s="1566"/>
      <c r="M42" s="1566"/>
      <c r="N42" s="1566"/>
      <c r="O42" s="1566"/>
      <c r="P42" s="1566"/>
      <c r="Q42" s="1566"/>
      <c r="R42" s="1566"/>
      <c r="S42" s="1566"/>
      <c r="T42" s="1566"/>
      <c r="U42" s="1566"/>
      <c r="V42" s="1566"/>
      <c r="W42" s="1566"/>
      <c r="X42" s="1566"/>
      <c r="Y42" s="1566"/>
      <c r="Z42" s="1566"/>
      <c r="AA42" s="1566"/>
      <c r="AB42" s="1566"/>
      <c r="AC42" s="1566"/>
      <c r="AD42" s="1566"/>
      <c r="AE42" s="1566"/>
      <c r="AF42" s="1566"/>
      <c r="AG42" s="1566"/>
      <c r="AH42" s="1566"/>
      <c r="AI42" s="1566"/>
      <c r="AJ42" s="1566"/>
      <c r="AK42" s="1566"/>
      <c r="AL42" s="1566"/>
      <c r="AM42" s="1566"/>
      <c r="AN42" s="1566"/>
      <c r="AO42" s="1566"/>
      <c r="AP42" s="1586"/>
      <c r="AQ42" s="1587"/>
      <c r="AR42" s="1588" t="s">
        <v>114</v>
      </c>
      <c r="AS42" s="1587" t="s">
        <v>4</v>
      </c>
      <c r="AT42" s="1589"/>
      <c r="AU42" s="1586"/>
      <c r="AV42" s="1566"/>
      <c r="AW42" s="1567"/>
      <c r="AX42" s="1567"/>
      <c r="AY42" s="1567"/>
    </row>
    <row r="43" spans="1:52">
      <c r="A43" s="1590"/>
      <c r="B43" s="1591" t="str">
        <f>'Приложение '!B56</f>
        <v>Дата: 10.11.2017 г.</v>
      </c>
      <c r="C43" s="1586"/>
      <c r="K43" s="1566"/>
      <c r="L43" s="1566"/>
      <c r="M43" s="1566"/>
      <c r="N43" s="1566"/>
      <c r="O43" s="1566"/>
      <c r="P43" s="1566"/>
      <c r="Q43" s="1566"/>
      <c r="R43" s="1566"/>
      <c r="S43" s="1566"/>
      <c r="T43" s="1566"/>
      <c r="U43" s="1566"/>
      <c r="V43" s="1566"/>
      <c r="W43" s="1566"/>
      <c r="X43" s="1566"/>
      <c r="Y43" s="1566"/>
      <c r="Z43" s="1566"/>
      <c r="AA43" s="1566"/>
      <c r="AB43" s="1566"/>
      <c r="AC43" s="1566"/>
      <c r="AD43" s="1566"/>
      <c r="AE43" s="1566"/>
      <c r="AF43" s="1566"/>
      <c r="AG43" s="1566"/>
      <c r="AH43" s="1566"/>
      <c r="AI43" s="1566"/>
      <c r="AJ43" s="1566"/>
      <c r="AK43" s="1566"/>
      <c r="AL43" s="1566"/>
      <c r="AM43" s="1566"/>
      <c r="AN43" s="1566"/>
      <c r="AO43" s="1566"/>
      <c r="AP43" s="1586"/>
      <c r="AQ43" s="1589"/>
      <c r="AR43" s="1592"/>
      <c r="AS43" s="1587"/>
      <c r="AT43" s="1593" t="s">
        <v>5</v>
      </c>
      <c r="AU43" s="1586"/>
      <c r="AV43" s="1566"/>
      <c r="AW43" s="1567"/>
      <c r="AX43" s="1567"/>
      <c r="AY43" s="1567"/>
    </row>
    <row r="44" spans="1:52">
      <c r="A44" s="1589"/>
      <c r="B44" s="1594"/>
      <c r="C44" s="1586"/>
      <c r="AP44" s="1586"/>
      <c r="AQ44" s="1586"/>
      <c r="AR44" s="1586"/>
      <c r="AS44" s="1586"/>
      <c r="AT44" s="1586"/>
      <c r="AU44" s="1541"/>
      <c r="AV44" s="1540"/>
    </row>
    <row r="45" spans="1:52">
      <c r="A45" s="1589"/>
      <c r="B45" s="1594"/>
      <c r="C45" s="1586"/>
      <c r="AP45" s="1586"/>
      <c r="AQ45" s="1586"/>
      <c r="AR45" s="1586"/>
      <c r="AS45" s="1586"/>
      <c r="AT45" s="1586"/>
      <c r="AU45" s="1541"/>
      <c r="AV45" s="1540"/>
    </row>
    <row r="46" spans="1:52">
      <c r="A46" s="1589"/>
      <c r="B46" s="1594"/>
      <c r="C46" s="1586"/>
      <c r="AP46" s="1586"/>
      <c r="AQ46" s="1586"/>
      <c r="AR46" s="1588" t="s">
        <v>756</v>
      </c>
      <c r="AS46" s="1587" t="s">
        <v>4</v>
      </c>
      <c r="AT46" s="1589"/>
      <c r="AU46" s="1541"/>
      <c r="AV46" s="1540"/>
    </row>
    <row r="47" spans="1:52">
      <c r="A47" s="1589"/>
      <c r="B47" s="1594"/>
      <c r="C47" s="1586"/>
      <c r="AP47" s="1586"/>
      <c r="AQ47" s="1586"/>
      <c r="AR47" s="1586"/>
      <c r="AS47" s="1586"/>
      <c r="AT47" s="1593" t="s">
        <v>6</v>
      </c>
      <c r="AU47" s="1541"/>
      <c r="AV47" s="1540"/>
    </row>
    <row r="48" spans="1:52">
      <c r="A48" s="3447" t="s">
        <v>247</v>
      </c>
      <c r="B48" s="3447"/>
      <c r="C48" s="1595"/>
      <c r="AP48" s="1595"/>
      <c r="AQ48" s="1595"/>
      <c r="AR48" s="1595"/>
      <c r="AS48" s="1595"/>
      <c r="AT48" s="1595"/>
      <c r="AU48" s="1541"/>
      <c r="AV48" s="1540"/>
    </row>
    <row r="49" spans="1:21">
      <c r="A49" s="3448" t="s">
        <v>248</v>
      </c>
      <c r="B49" s="3448"/>
      <c r="C49" s="1596"/>
      <c r="D49" s="1597"/>
      <c r="E49" s="1596"/>
      <c r="F49" s="1596"/>
      <c r="G49" s="1596"/>
      <c r="H49" s="1596"/>
    </row>
    <row r="50" spans="1:21" ht="32.25" customHeight="1">
      <c r="A50" s="3434" t="s">
        <v>1550</v>
      </c>
      <c r="B50" s="3434"/>
      <c r="C50" s="3434"/>
      <c r="D50" s="3434"/>
      <c r="E50" s="3434"/>
      <c r="F50" s="3434"/>
      <c r="G50" s="3434"/>
      <c r="H50" s="3434"/>
      <c r="I50" s="3434"/>
      <c r="J50" s="3434"/>
      <c r="K50" s="3434"/>
      <c r="L50" s="3434"/>
      <c r="M50" s="3434"/>
      <c r="N50" s="3434"/>
      <c r="O50" s="3434"/>
      <c r="P50" s="3434"/>
      <c r="Q50" s="3434"/>
      <c r="R50" s="3434"/>
      <c r="S50" s="3434"/>
      <c r="T50" s="3434"/>
      <c r="U50" s="3434"/>
    </row>
  </sheetData>
  <sheetProtection password="C6DB" sheet="1" objects="1" scenarios="1" formatCells="0" formatColumns="0" formatRows="0"/>
  <mergeCells count="18">
    <mergeCell ref="A50:U50"/>
    <mergeCell ref="AS7:AY8"/>
    <mergeCell ref="AE7:AK8"/>
    <mergeCell ref="AL7:AR8"/>
    <mergeCell ref="A48:B48"/>
    <mergeCell ref="A49:B49"/>
    <mergeCell ref="A7:A9"/>
    <mergeCell ref="B7:B9"/>
    <mergeCell ref="C7:W7"/>
    <mergeCell ref="X7:AD8"/>
    <mergeCell ref="C8:I8"/>
    <mergeCell ref="J8:P8"/>
    <mergeCell ref="Q8:W8"/>
    <mergeCell ref="A2:AD2"/>
    <mergeCell ref="A3:AD3"/>
    <mergeCell ref="A4:AD4"/>
    <mergeCell ref="A5:AD5"/>
    <mergeCell ref="A6:AD6"/>
  </mergeCells>
  <printOptions horizontalCentered="1"/>
  <pageMargins left="0.70866141732283472" right="0.70866141732283472" top="0.82677165354330717" bottom="0.74803149606299213" header="0.31496062992125984" footer="0.31496062992125984"/>
  <pageSetup paperSize="9" scale="37" orientation="landscape" r:id="rId1"/>
  <headerFooter>
    <oddFooter>&amp;A&amp;RPage &amp;P</oddFooter>
  </headerFooter>
  <colBreaks count="1" manualBreakCount="1">
    <brk id="30" max="49"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FFFFCC"/>
  </sheetPr>
  <dimension ref="A1:DA82"/>
  <sheetViews>
    <sheetView view="pageBreakPreview" topLeftCell="H58" zoomScaleNormal="85" zoomScaleSheetLayoutView="100" workbookViewId="0">
      <selection activeCell="E35" sqref="E35:I35"/>
    </sheetView>
  </sheetViews>
  <sheetFormatPr defaultColWidth="9.140625" defaultRowHeight="12.75"/>
  <cols>
    <col min="1" max="1" width="5.28515625" style="1539" customWidth="1"/>
    <col min="2" max="2" width="35.85546875" style="1539" customWidth="1"/>
    <col min="3" max="9" width="9.7109375" style="1538" customWidth="1"/>
    <col min="10" max="16" width="8.5703125" style="1538" customWidth="1"/>
    <col min="17" max="23" width="8.28515625" style="1538" customWidth="1"/>
    <col min="24" max="28" width="9.140625" style="1538"/>
    <col min="29" max="16384" width="9.140625" style="1539"/>
  </cols>
  <sheetData>
    <row r="1" spans="1:105" ht="15">
      <c r="A1" s="160"/>
      <c r="B1" s="160"/>
      <c r="C1" s="541"/>
      <c r="D1" s="541"/>
      <c r="E1" s="541"/>
      <c r="F1" s="541"/>
      <c r="G1" s="541"/>
      <c r="H1" s="541"/>
      <c r="I1" s="541"/>
      <c r="J1" s="541"/>
      <c r="K1" s="541"/>
      <c r="L1" s="541"/>
      <c r="M1" s="541"/>
      <c r="N1" s="541"/>
      <c r="O1" s="541"/>
      <c r="P1" s="541"/>
      <c r="Q1" s="541"/>
      <c r="R1" s="541"/>
      <c r="S1" s="541"/>
      <c r="T1" s="541"/>
      <c r="U1" s="541"/>
      <c r="V1" s="540" t="s">
        <v>1509</v>
      </c>
      <c r="W1" s="1539"/>
    </row>
    <row r="2" spans="1:105" s="1540" customFormat="1" ht="47.25" customHeight="1">
      <c r="A2" s="3466" t="s">
        <v>1410</v>
      </c>
      <c r="B2" s="3466"/>
      <c r="C2" s="3466"/>
      <c r="D2" s="3466"/>
      <c r="E2" s="3466"/>
      <c r="F2" s="3466"/>
      <c r="G2" s="3466"/>
      <c r="H2" s="3466"/>
      <c r="I2" s="3466"/>
      <c r="J2" s="3466"/>
      <c r="K2" s="3466"/>
      <c r="L2" s="3466"/>
      <c r="M2" s="3466"/>
      <c r="N2" s="3466"/>
      <c r="O2" s="3466"/>
      <c r="P2" s="3466"/>
      <c r="Q2" s="3466"/>
      <c r="R2" s="3466"/>
      <c r="S2" s="3466"/>
      <c r="T2" s="3466"/>
      <c r="U2" s="3466"/>
      <c r="V2" s="3466"/>
      <c r="W2" s="3466"/>
      <c r="X2" s="1538"/>
      <c r="Y2" s="1538"/>
      <c r="Z2" s="1538"/>
      <c r="AA2" s="1538"/>
      <c r="AB2" s="1538"/>
      <c r="AC2" s="1539"/>
      <c r="AD2" s="1539"/>
      <c r="AE2" s="1539"/>
      <c r="AF2" s="1539"/>
      <c r="AG2" s="1539"/>
      <c r="AH2" s="1539"/>
      <c r="AI2" s="1539"/>
      <c r="AJ2" s="1539"/>
      <c r="AK2" s="1539"/>
      <c r="AL2" s="1539"/>
      <c r="AM2" s="1539"/>
      <c r="AN2" s="1539"/>
      <c r="AO2" s="1539"/>
      <c r="AP2" s="1539"/>
      <c r="AQ2" s="1539"/>
      <c r="AR2" s="1539"/>
      <c r="AS2" s="1539"/>
      <c r="AT2" s="1539"/>
      <c r="AU2" s="1539"/>
      <c r="AV2" s="1539"/>
      <c r="AW2" s="1539"/>
      <c r="AX2" s="1539"/>
      <c r="AY2" s="1539"/>
      <c r="AZ2" s="1539"/>
      <c r="BA2" s="1539"/>
      <c r="BB2" s="1539"/>
      <c r="BC2" s="1539"/>
      <c r="BD2" s="1539"/>
      <c r="BE2" s="1539"/>
      <c r="BF2" s="1539"/>
      <c r="BG2" s="1539"/>
      <c r="BH2" s="1539"/>
      <c r="BI2" s="1539"/>
      <c r="BJ2" s="1539"/>
      <c r="BK2" s="1539"/>
      <c r="BL2" s="1539"/>
      <c r="BM2" s="1539"/>
      <c r="BN2" s="1539"/>
      <c r="BO2" s="1539"/>
      <c r="BP2" s="1539"/>
      <c r="BQ2" s="1539"/>
      <c r="BR2" s="1539"/>
      <c r="BS2" s="1539"/>
      <c r="BT2" s="1539"/>
      <c r="BU2" s="1539"/>
      <c r="BV2" s="1539"/>
      <c r="BW2" s="1539"/>
      <c r="BX2" s="1539"/>
      <c r="BY2" s="1539"/>
      <c r="BZ2" s="1539"/>
      <c r="CA2" s="1539"/>
      <c r="CB2" s="1539"/>
      <c r="CC2" s="1539"/>
      <c r="CD2" s="1539"/>
      <c r="CE2" s="1539"/>
      <c r="CF2" s="1539"/>
      <c r="CG2" s="1539"/>
      <c r="CH2" s="1539"/>
      <c r="CI2" s="1539"/>
      <c r="CJ2" s="1539"/>
      <c r="CK2" s="1539"/>
      <c r="CL2" s="1539"/>
      <c r="CM2" s="1539"/>
      <c r="CN2" s="1539"/>
      <c r="CO2" s="1539"/>
      <c r="CP2" s="1539"/>
      <c r="CQ2" s="1539"/>
      <c r="CR2" s="1539"/>
      <c r="CS2" s="1539"/>
      <c r="CT2" s="1539"/>
      <c r="CU2" s="1539"/>
      <c r="CV2" s="1539"/>
      <c r="CW2" s="1539"/>
      <c r="CX2" s="1539"/>
      <c r="CY2" s="1539"/>
      <c r="CZ2" s="1539"/>
      <c r="DA2" s="1539"/>
    </row>
    <row r="3" spans="1:105" s="1540" customFormat="1" ht="14.25" customHeight="1">
      <c r="A3" s="3467" t="str">
        <f>'1. Анкетна карта'!A3</f>
        <v>на "ВОДОСНАБДЯВАНЕ И КАНАЛИЗАЦИЯ ДОБРИЧ" АД, гр. Добрич</v>
      </c>
      <c r="B3" s="3467"/>
      <c r="C3" s="3467"/>
      <c r="D3" s="3467"/>
      <c r="E3" s="3467"/>
      <c r="F3" s="3467"/>
      <c r="G3" s="3467"/>
      <c r="H3" s="3467"/>
      <c r="I3" s="3467"/>
      <c r="J3" s="3467"/>
      <c r="K3" s="3467"/>
      <c r="L3" s="3467"/>
      <c r="M3" s="3467"/>
      <c r="N3" s="3467"/>
      <c r="O3" s="3467"/>
      <c r="P3" s="3467"/>
      <c r="Q3" s="3467"/>
      <c r="R3" s="3467"/>
      <c r="S3" s="3467"/>
      <c r="T3" s="3467"/>
      <c r="U3" s="3467"/>
      <c r="V3" s="3467"/>
      <c r="W3" s="3467"/>
      <c r="X3" s="1541"/>
      <c r="Y3" s="1541"/>
      <c r="Z3" s="1541"/>
      <c r="AA3" s="1541"/>
      <c r="AB3" s="1541"/>
    </row>
    <row r="4" spans="1:105" s="1540" customFormat="1" ht="14.25" customHeight="1">
      <c r="A4" s="3467" t="str">
        <f>'1. Анкетна карта'!A4</f>
        <v>ЕИК по БУЛСТАТ: 204219357</v>
      </c>
      <c r="B4" s="3467"/>
      <c r="C4" s="3467"/>
      <c r="D4" s="3467"/>
      <c r="E4" s="3467"/>
      <c r="F4" s="3467"/>
      <c r="G4" s="3467"/>
      <c r="H4" s="3467"/>
      <c r="I4" s="3467"/>
      <c r="J4" s="3467"/>
      <c r="K4" s="3467"/>
      <c r="L4" s="3467"/>
      <c r="M4" s="3467"/>
      <c r="N4" s="3467"/>
      <c r="O4" s="3467"/>
      <c r="P4" s="3467"/>
      <c r="Q4" s="3467"/>
      <c r="R4" s="3467"/>
      <c r="S4" s="3467"/>
      <c r="T4" s="3467"/>
      <c r="U4" s="3467"/>
      <c r="V4" s="3467"/>
      <c r="W4" s="3467"/>
      <c r="X4" s="1541"/>
      <c r="Y4" s="1541"/>
      <c r="Z4" s="1541"/>
      <c r="AA4" s="1541"/>
      <c r="AB4" s="1541"/>
    </row>
    <row r="5" spans="1:105" s="1540" customFormat="1" ht="15">
      <c r="A5" s="1542"/>
      <c r="B5" s="1542"/>
      <c r="C5" s="1543"/>
      <c r="D5" s="1543"/>
      <c r="E5" s="1543"/>
      <c r="F5" s="1543"/>
      <c r="G5" s="1543"/>
      <c r="H5" s="1543"/>
      <c r="I5" s="1543"/>
      <c r="J5" s="1543"/>
      <c r="K5" s="1543"/>
      <c r="L5" s="1543"/>
      <c r="M5" s="1543"/>
      <c r="N5" s="1543"/>
      <c r="O5" s="1543"/>
      <c r="P5" s="541"/>
      <c r="Q5" s="541"/>
      <c r="R5" s="541"/>
      <c r="S5" s="541"/>
      <c r="T5" s="541"/>
      <c r="U5" s="541"/>
      <c r="V5" s="3465"/>
      <c r="W5" s="3465"/>
      <c r="X5" s="1538"/>
      <c r="Y5" s="1538"/>
      <c r="Z5" s="1538"/>
      <c r="AA5" s="1538"/>
      <c r="AB5" s="1538"/>
      <c r="AC5" s="1539"/>
      <c r="AD5" s="1539"/>
      <c r="AE5" s="1539"/>
      <c r="AF5" s="1539"/>
      <c r="AG5" s="1539"/>
      <c r="AH5" s="1539"/>
      <c r="AI5" s="1539"/>
      <c r="AJ5" s="1539"/>
      <c r="AK5" s="1539"/>
      <c r="AL5" s="1539"/>
      <c r="AM5" s="1539"/>
      <c r="AN5" s="1539"/>
      <c r="AO5" s="1539"/>
      <c r="AP5" s="1539"/>
      <c r="AQ5" s="1539"/>
      <c r="AR5" s="1539"/>
      <c r="AS5" s="1539"/>
      <c r="AT5" s="1539"/>
      <c r="AU5" s="1539"/>
      <c r="AV5" s="1539"/>
      <c r="AW5" s="1539"/>
      <c r="AX5" s="1539"/>
      <c r="AY5" s="1539"/>
      <c r="AZ5" s="1539"/>
      <c r="BA5" s="1539"/>
      <c r="BB5" s="1539"/>
      <c r="BC5" s="1539"/>
      <c r="BD5" s="1539"/>
      <c r="BE5" s="1539"/>
      <c r="BF5" s="1539"/>
      <c r="BG5" s="1539"/>
      <c r="BH5" s="1539"/>
      <c r="BI5" s="1539"/>
      <c r="BJ5" s="1539"/>
      <c r="BK5" s="1539"/>
      <c r="BL5" s="1539"/>
      <c r="BM5" s="1539"/>
      <c r="BN5" s="1539"/>
      <c r="BO5" s="1539"/>
      <c r="BP5" s="1539"/>
      <c r="BQ5" s="1539"/>
      <c r="BR5" s="1539"/>
      <c r="BS5" s="1539"/>
      <c r="BT5" s="1539"/>
      <c r="BU5" s="1539"/>
      <c r="BV5" s="1539"/>
      <c r="BW5" s="1539"/>
      <c r="BX5" s="1539"/>
      <c r="BY5" s="1539"/>
      <c r="BZ5" s="1539"/>
      <c r="CA5" s="1539"/>
      <c r="CB5" s="1539"/>
      <c r="CC5" s="1539"/>
      <c r="CD5" s="1539"/>
      <c r="CE5" s="1539"/>
      <c r="CF5" s="1539"/>
      <c r="CG5" s="1539"/>
      <c r="CH5" s="1539"/>
      <c r="CI5" s="1539"/>
      <c r="CJ5" s="1539"/>
      <c r="CK5" s="1539"/>
      <c r="CL5" s="1539"/>
      <c r="CM5" s="1539"/>
      <c r="CN5" s="1539"/>
      <c r="CO5" s="1539"/>
      <c r="CP5" s="1539"/>
      <c r="CQ5" s="1539"/>
      <c r="CR5" s="1539"/>
      <c r="CS5" s="1539"/>
      <c r="CT5" s="1539"/>
      <c r="CU5" s="1539"/>
      <c r="CV5" s="1539"/>
      <c r="CW5" s="1539"/>
      <c r="CX5" s="1539"/>
      <c r="CY5" s="1539"/>
      <c r="CZ5" s="1539"/>
      <c r="DA5" s="1539"/>
    </row>
    <row r="6" spans="1:105" s="1540" customFormat="1" ht="23.25" customHeight="1">
      <c r="A6" s="3462" t="s">
        <v>1</v>
      </c>
      <c r="B6" s="3462" t="s">
        <v>502</v>
      </c>
      <c r="C6" s="3462" t="s">
        <v>270</v>
      </c>
      <c r="D6" s="3462"/>
      <c r="E6" s="3462"/>
      <c r="F6" s="3462"/>
      <c r="G6" s="3462"/>
      <c r="H6" s="3462"/>
      <c r="I6" s="3462"/>
      <c r="J6" s="3462"/>
      <c r="K6" s="3462"/>
      <c r="L6" s="3462"/>
      <c r="M6" s="3462"/>
      <c r="N6" s="3462"/>
      <c r="O6" s="3462"/>
      <c r="P6" s="3462"/>
      <c r="Q6" s="3462"/>
      <c r="R6" s="3462"/>
      <c r="S6" s="3462"/>
      <c r="T6" s="3462"/>
      <c r="U6" s="3462"/>
      <c r="V6" s="3462"/>
      <c r="W6" s="3462"/>
      <c r="X6" s="1538"/>
      <c r="Y6" s="1538"/>
      <c r="Z6" s="1538"/>
      <c r="AA6" s="1538"/>
      <c r="AB6" s="1538"/>
      <c r="AC6" s="1539"/>
      <c r="AD6" s="1539"/>
      <c r="AE6" s="1539"/>
      <c r="AF6" s="1539"/>
      <c r="AG6" s="1539"/>
      <c r="AH6" s="1539"/>
      <c r="AI6" s="1539"/>
      <c r="AJ6" s="1539"/>
      <c r="AK6" s="1539"/>
      <c r="AL6" s="1539"/>
      <c r="AM6" s="1539"/>
      <c r="AN6" s="1539"/>
      <c r="AO6" s="1539"/>
      <c r="AP6" s="1539"/>
      <c r="AQ6" s="1539"/>
      <c r="AR6" s="1539"/>
      <c r="AS6" s="1539"/>
      <c r="AT6" s="1539"/>
      <c r="AU6" s="1539"/>
      <c r="AV6" s="1539"/>
      <c r="AW6" s="1539"/>
      <c r="AX6" s="1539"/>
      <c r="AY6" s="1539"/>
      <c r="AZ6" s="1539"/>
      <c r="BA6" s="1539"/>
      <c r="BB6" s="1539"/>
      <c r="BC6" s="1539"/>
      <c r="BD6" s="1539"/>
      <c r="BE6" s="1539"/>
      <c r="BF6" s="1539"/>
      <c r="BG6" s="1539"/>
      <c r="BH6" s="1539"/>
      <c r="BI6" s="1539"/>
      <c r="BJ6" s="1539"/>
      <c r="BK6" s="1539"/>
      <c r="BL6" s="1539"/>
      <c r="BM6" s="1539"/>
      <c r="BN6" s="1539"/>
      <c r="BO6" s="1539"/>
      <c r="BP6" s="1539"/>
      <c r="BQ6" s="1539"/>
      <c r="BR6" s="1539"/>
      <c r="BS6" s="1539"/>
      <c r="BT6" s="1539"/>
      <c r="BU6" s="1539"/>
      <c r="BV6" s="1539"/>
      <c r="BW6" s="1539"/>
      <c r="BX6" s="1539"/>
      <c r="BY6" s="1539"/>
      <c r="BZ6" s="1539"/>
      <c r="CA6" s="1539"/>
      <c r="CB6" s="1539"/>
      <c r="CC6" s="1539"/>
      <c r="CD6" s="1539"/>
      <c r="CE6" s="1539"/>
      <c r="CF6" s="1539"/>
      <c r="CG6" s="1539"/>
      <c r="CH6" s="1539"/>
      <c r="CI6" s="1539"/>
      <c r="CJ6" s="1539"/>
      <c r="CK6" s="1539"/>
      <c r="CL6" s="1539"/>
      <c r="CM6" s="1539"/>
      <c r="CN6" s="1539"/>
      <c r="CO6" s="1539"/>
      <c r="CP6" s="1539"/>
      <c r="CQ6" s="1539"/>
      <c r="CR6" s="1539"/>
      <c r="CS6" s="1539"/>
      <c r="CT6" s="1539"/>
      <c r="CU6" s="1539"/>
      <c r="CV6" s="1539"/>
      <c r="CW6" s="1539"/>
      <c r="CX6" s="1539"/>
      <c r="CY6" s="1539"/>
      <c r="CZ6" s="1539"/>
      <c r="DA6" s="1539"/>
    </row>
    <row r="7" spans="1:105" s="1540" customFormat="1" ht="23.25" customHeight="1">
      <c r="A7" s="3463"/>
      <c r="B7" s="3463"/>
      <c r="C7" s="3464" t="s">
        <v>503</v>
      </c>
      <c r="D7" s="3464"/>
      <c r="E7" s="3464"/>
      <c r="F7" s="3464"/>
      <c r="G7" s="3464"/>
      <c r="H7" s="3464"/>
      <c r="I7" s="3464"/>
      <c r="J7" s="3464" t="s">
        <v>1186</v>
      </c>
      <c r="K7" s="3464"/>
      <c r="L7" s="3464"/>
      <c r="M7" s="3464"/>
      <c r="N7" s="3464"/>
      <c r="O7" s="3464"/>
      <c r="P7" s="3464"/>
      <c r="Q7" s="3464" t="s">
        <v>1187</v>
      </c>
      <c r="R7" s="3464"/>
      <c r="S7" s="3464"/>
      <c r="T7" s="3464"/>
      <c r="U7" s="3464"/>
      <c r="V7" s="3464"/>
      <c r="W7" s="3464"/>
      <c r="X7" s="1538"/>
      <c r="Y7" s="1538"/>
      <c r="Z7" s="1538"/>
      <c r="AA7" s="1538"/>
      <c r="AB7" s="1538"/>
      <c r="AC7" s="1539"/>
      <c r="AD7" s="1539"/>
      <c r="AE7" s="1539"/>
      <c r="AF7" s="1539"/>
      <c r="AG7" s="1539"/>
      <c r="AH7" s="1539"/>
      <c r="AI7" s="1539"/>
      <c r="AJ7" s="1539"/>
      <c r="AK7" s="1539"/>
      <c r="AL7" s="1539"/>
      <c r="AM7" s="1539"/>
      <c r="AN7" s="1539"/>
      <c r="AO7" s="1539"/>
      <c r="AP7" s="1539"/>
      <c r="AQ7" s="1539"/>
      <c r="AR7" s="1539"/>
      <c r="AS7" s="1539"/>
      <c r="AT7" s="1539"/>
      <c r="AU7" s="1539"/>
      <c r="AV7" s="1539"/>
      <c r="AW7" s="1539"/>
      <c r="AX7" s="1539"/>
      <c r="AY7" s="1539"/>
      <c r="AZ7" s="1539"/>
      <c r="BA7" s="1539"/>
      <c r="BB7" s="1539"/>
      <c r="BC7" s="1539"/>
      <c r="BD7" s="1539"/>
      <c r="BE7" s="1539"/>
      <c r="BF7" s="1539"/>
      <c r="BG7" s="1539"/>
      <c r="BH7" s="1539"/>
      <c r="BI7" s="1539"/>
      <c r="BJ7" s="1539"/>
      <c r="BK7" s="1539"/>
      <c r="BL7" s="1539"/>
      <c r="BM7" s="1539"/>
      <c r="BN7" s="1539"/>
      <c r="BO7" s="1539"/>
      <c r="BP7" s="1539"/>
      <c r="BQ7" s="1539"/>
      <c r="BR7" s="1539"/>
      <c r="BS7" s="1539"/>
      <c r="BT7" s="1539"/>
      <c r="BU7" s="1539"/>
      <c r="BV7" s="1539"/>
      <c r="BW7" s="1539"/>
      <c r="BX7" s="1539"/>
      <c r="BY7" s="1539"/>
      <c r="BZ7" s="1539"/>
      <c r="CA7" s="1539"/>
      <c r="CB7" s="1539"/>
      <c r="CC7" s="1539"/>
      <c r="CD7" s="1539"/>
      <c r="CE7" s="1539"/>
      <c r="CF7" s="1539"/>
      <c r="CG7" s="1539"/>
      <c r="CH7" s="1539"/>
      <c r="CI7" s="1539"/>
      <c r="CJ7" s="1539"/>
      <c r="CK7" s="1539"/>
      <c r="CL7" s="1539"/>
      <c r="CM7" s="1539"/>
      <c r="CN7" s="1539"/>
      <c r="CO7" s="1539"/>
      <c r="CP7" s="1539"/>
      <c r="CQ7" s="1539"/>
      <c r="CR7" s="1539"/>
      <c r="CS7" s="1539"/>
      <c r="CT7" s="1539"/>
      <c r="CU7" s="1539"/>
      <c r="CV7" s="1539"/>
      <c r="CW7" s="1539"/>
      <c r="CX7" s="1539"/>
      <c r="CY7" s="1539"/>
      <c r="CZ7" s="1539"/>
      <c r="DA7" s="1539"/>
    </row>
    <row r="8" spans="1:105" s="1540" customFormat="1" ht="23.25" customHeight="1">
      <c r="A8" s="3463"/>
      <c r="B8" s="3463"/>
      <c r="C8" s="1544" t="str">
        <f>'Приложение '!G12</f>
        <v>2015 г.</v>
      </c>
      <c r="D8" s="1544" t="str">
        <f>'Приложение '!$G13</f>
        <v>2016 г.</v>
      </c>
      <c r="E8" s="1544" t="str">
        <f>'Приложение '!$G14</f>
        <v>2017 г.</v>
      </c>
      <c r="F8" s="1544" t="str">
        <f>'Приложение '!$G15</f>
        <v>2018 г.</v>
      </c>
      <c r="G8" s="1544" t="str">
        <f>'Приложение '!$G16</f>
        <v>2019 г.</v>
      </c>
      <c r="H8" s="1544" t="str">
        <f>'Приложение '!$G17</f>
        <v>2020 г.</v>
      </c>
      <c r="I8" s="1544" t="str">
        <f>'Приложение '!$G18</f>
        <v>2021 г.</v>
      </c>
      <c r="J8" s="1544" t="str">
        <f>C8</f>
        <v>2015 г.</v>
      </c>
      <c r="K8" s="1544" t="str">
        <f t="shared" ref="K8:W8" si="0">D8</f>
        <v>2016 г.</v>
      </c>
      <c r="L8" s="1544" t="str">
        <f t="shared" si="0"/>
        <v>2017 г.</v>
      </c>
      <c r="M8" s="1544" t="str">
        <f t="shared" si="0"/>
        <v>2018 г.</v>
      </c>
      <c r="N8" s="1544" t="str">
        <f t="shared" si="0"/>
        <v>2019 г.</v>
      </c>
      <c r="O8" s="1544" t="str">
        <f t="shared" si="0"/>
        <v>2020 г.</v>
      </c>
      <c r="P8" s="1544" t="str">
        <f t="shared" si="0"/>
        <v>2021 г.</v>
      </c>
      <c r="Q8" s="1544" t="str">
        <f t="shared" si="0"/>
        <v>2015 г.</v>
      </c>
      <c r="R8" s="1544" t="str">
        <f t="shared" si="0"/>
        <v>2016 г.</v>
      </c>
      <c r="S8" s="1544" t="str">
        <f t="shared" si="0"/>
        <v>2017 г.</v>
      </c>
      <c r="T8" s="1544" t="str">
        <f t="shared" si="0"/>
        <v>2018 г.</v>
      </c>
      <c r="U8" s="1544" t="str">
        <f t="shared" si="0"/>
        <v>2019 г.</v>
      </c>
      <c r="V8" s="1544" t="str">
        <f t="shared" si="0"/>
        <v>2020 г.</v>
      </c>
      <c r="W8" s="1544" t="str">
        <f t="shared" si="0"/>
        <v>2021 г.</v>
      </c>
      <c r="X8" s="1538"/>
      <c r="Y8" s="1538"/>
      <c r="Z8" s="1538"/>
      <c r="AA8" s="1538"/>
      <c r="AB8" s="1538"/>
      <c r="AC8" s="1539"/>
      <c r="AD8" s="1539"/>
      <c r="AE8" s="1539"/>
      <c r="AF8" s="1539"/>
      <c r="AG8" s="1539"/>
      <c r="AH8" s="1539"/>
      <c r="AI8" s="1539"/>
      <c r="AJ8" s="1539"/>
      <c r="AK8" s="1539"/>
      <c r="AL8" s="1539"/>
      <c r="AM8" s="1539"/>
      <c r="AN8" s="1539"/>
      <c r="AO8" s="1539"/>
      <c r="AP8" s="1539"/>
      <c r="AQ8" s="1539"/>
      <c r="AR8" s="1539"/>
      <c r="AS8" s="1539"/>
      <c r="AT8" s="1539"/>
      <c r="AU8" s="1539"/>
      <c r="AV8" s="1539"/>
      <c r="AW8" s="1539"/>
      <c r="AX8" s="1539"/>
      <c r="AY8" s="1539"/>
      <c r="AZ8" s="1539"/>
      <c r="BA8" s="1539"/>
      <c r="BB8" s="1539"/>
      <c r="BC8" s="1539"/>
      <c r="BD8" s="1539"/>
      <c r="BE8" s="1539"/>
      <c r="BF8" s="1539"/>
      <c r="BG8" s="1539"/>
      <c r="BH8" s="1539"/>
      <c r="BI8" s="1539"/>
      <c r="BJ8" s="1539"/>
      <c r="BK8" s="1539"/>
      <c r="BL8" s="1539"/>
      <c r="BM8" s="1539"/>
      <c r="BN8" s="1539"/>
      <c r="BO8" s="1539"/>
      <c r="BP8" s="1539"/>
      <c r="BQ8" s="1539"/>
      <c r="BR8" s="1539"/>
      <c r="BS8" s="1539"/>
      <c r="BT8" s="1539"/>
      <c r="BU8" s="1539"/>
      <c r="BV8" s="1539"/>
      <c r="BW8" s="1539"/>
      <c r="BX8" s="1539"/>
      <c r="BY8" s="1539"/>
      <c r="BZ8" s="1539"/>
      <c r="CA8" s="1539"/>
      <c r="CB8" s="1539"/>
      <c r="CC8" s="1539"/>
      <c r="CD8" s="1539"/>
      <c r="CE8" s="1539"/>
      <c r="CF8" s="1539"/>
      <c r="CG8" s="1539"/>
      <c r="CH8" s="1539"/>
      <c r="CI8" s="1539"/>
      <c r="CJ8" s="1539"/>
      <c r="CK8" s="1539"/>
      <c r="CL8" s="1539"/>
      <c r="CM8" s="1539"/>
      <c r="CN8" s="1539"/>
      <c r="CO8" s="1539"/>
      <c r="CP8" s="1539"/>
      <c r="CQ8" s="1539"/>
      <c r="CR8" s="1539"/>
      <c r="CS8" s="1539"/>
      <c r="CT8" s="1539"/>
      <c r="CU8" s="1539"/>
      <c r="CV8" s="1539"/>
      <c r="CW8" s="1539"/>
      <c r="CX8" s="1539"/>
      <c r="CY8" s="1539"/>
      <c r="CZ8" s="1539"/>
      <c r="DA8" s="1539"/>
    </row>
    <row r="9" spans="1:105" s="160" customFormat="1" ht="20.25" customHeight="1">
      <c r="A9" s="765">
        <v>1</v>
      </c>
      <c r="B9" s="766" t="s">
        <v>507</v>
      </c>
      <c r="C9" s="1609">
        <f>25542377.9+634768</f>
        <v>26177145.899999999</v>
      </c>
      <c r="D9" s="2636">
        <v>25542377.899999999</v>
      </c>
      <c r="E9" s="2636">
        <v>23128592.50237849</v>
      </c>
      <c r="F9" s="1609">
        <v>22330892.27640469</v>
      </c>
      <c r="G9" s="2636">
        <v>21297916.359060947</v>
      </c>
      <c r="H9" s="2636">
        <v>20717284.698132522</v>
      </c>
      <c r="I9" s="1609">
        <v>19804542.985163461</v>
      </c>
      <c r="J9" s="1609">
        <v>4064.8507829489995</v>
      </c>
      <c r="K9" s="2636">
        <v>4064.8507829489995</v>
      </c>
      <c r="L9" s="2636">
        <v>3171.6694334584276</v>
      </c>
      <c r="M9" s="1609">
        <v>3062.6254198235652</v>
      </c>
      <c r="N9" s="2636">
        <v>2921.0315295172904</v>
      </c>
      <c r="O9" s="2636">
        <v>2841.5366938159095</v>
      </c>
      <c r="P9" s="1609">
        <v>2716.9769055016736</v>
      </c>
      <c r="Q9" s="2570">
        <f>IFERROR((J9*1000)/(C9/1000),0)</f>
        <v>155.28242836240599</v>
      </c>
      <c r="R9" s="2571">
        <f t="shared" ref="R9:W9" si="1">IFERROR((K9*1000)/(D9/1000),0)</f>
        <v>159.14143933126132</v>
      </c>
      <c r="S9" s="2570">
        <f t="shared" si="1"/>
        <v>137.13196914737722</v>
      </c>
      <c r="T9" s="2570">
        <f t="shared" si="1"/>
        <v>137.14747184820743</v>
      </c>
      <c r="U9" s="2570">
        <f t="shared" si="1"/>
        <v>137.15104709172982</v>
      </c>
      <c r="V9" s="2570">
        <f t="shared" si="1"/>
        <v>137.1577759933013</v>
      </c>
      <c r="W9" s="2570">
        <f t="shared" si="1"/>
        <v>137.18957854958288</v>
      </c>
      <c r="X9" s="541"/>
      <c r="Y9" s="541"/>
      <c r="Z9" s="541"/>
      <c r="AA9" s="541"/>
      <c r="AB9" s="541"/>
    </row>
    <row r="10" spans="1:105" s="160" customFormat="1" ht="24">
      <c r="A10" s="765">
        <v>2</v>
      </c>
      <c r="B10" s="766" t="s">
        <v>508</v>
      </c>
      <c r="C10" s="1609">
        <v>33147713</v>
      </c>
      <c r="D10" s="1609">
        <v>33131287</v>
      </c>
      <c r="E10" s="1609">
        <v>30616833.873883191</v>
      </c>
      <c r="F10" s="1609">
        <v>30207434.587579887</v>
      </c>
      <c r="G10" s="1609">
        <v>28677453.212509062</v>
      </c>
      <c r="H10" s="1609">
        <v>27299181.551001243</v>
      </c>
      <c r="I10" s="1609">
        <v>26446539.582796652</v>
      </c>
      <c r="J10" s="1609">
        <v>4666.6333892661896</v>
      </c>
      <c r="K10" s="1609">
        <v>4664.3208882483332</v>
      </c>
      <c r="L10" s="1609">
        <v>3720.3934401203674</v>
      </c>
      <c r="M10" s="1609">
        <v>3670.7244573727758</v>
      </c>
      <c r="N10" s="1609">
        <v>3486.5596289213127</v>
      </c>
      <c r="O10" s="1609">
        <v>3320.5107758442737</v>
      </c>
      <c r="P10" s="1609">
        <v>3217.6991975067835</v>
      </c>
      <c r="Q10" s="2570">
        <f>IFERROR((J10*1000)/(C10/1000),0)</f>
        <v>140.78296711650029</v>
      </c>
      <c r="R10" s="2570">
        <f t="shared" ref="R10:W12" si="2">IFERROR((K10*1000)/(D10/1000),0)</f>
        <v>140.78296711650029</v>
      </c>
      <c r="S10" s="2570">
        <f t="shared" si="2"/>
        <v>121.51463653771012</v>
      </c>
      <c r="T10" s="2570">
        <f t="shared" si="2"/>
        <v>121.51725254027477</v>
      </c>
      <c r="U10" s="2570">
        <f t="shared" si="2"/>
        <v>121.57842619722175</v>
      </c>
      <c r="V10" s="2570">
        <f t="shared" si="2"/>
        <v>121.6340779169802</v>
      </c>
      <c r="W10" s="2570">
        <f t="shared" si="2"/>
        <v>121.66806123852518</v>
      </c>
      <c r="X10" s="542"/>
      <c r="Y10" s="541"/>
      <c r="Z10" s="541"/>
      <c r="AA10" s="541"/>
      <c r="AB10" s="542"/>
    </row>
    <row r="11" spans="1:105" s="160" customFormat="1" ht="24">
      <c r="A11" s="765">
        <v>3</v>
      </c>
      <c r="B11" s="766" t="s">
        <v>509</v>
      </c>
      <c r="C11" s="1609"/>
      <c r="D11" s="2636"/>
      <c r="E11" s="2636"/>
      <c r="F11" s="1609"/>
      <c r="G11" s="2636"/>
      <c r="H11" s="2636"/>
      <c r="I11" s="1609"/>
      <c r="J11" s="1609"/>
      <c r="K11" s="2636"/>
      <c r="L11" s="2636"/>
      <c r="M11" s="1609"/>
      <c r="N11" s="2636"/>
      <c r="O11" s="2636"/>
      <c r="P11" s="1609"/>
      <c r="Q11" s="2570">
        <f>IFERROR((J11*1000)/(C11/1000),0)</f>
        <v>0</v>
      </c>
      <c r="R11" s="2570">
        <f t="shared" si="2"/>
        <v>0</v>
      </c>
      <c r="S11" s="2570">
        <f t="shared" si="2"/>
        <v>0</v>
      </c>
      <c r="T11" s="2570">
        <f t="shared" si="2"/>
        <v>0</v>
      </c>
      <c r="U11" s="2570">
        <f t="shared" si="2"/>
        <v>0</v>
      </c>
      <c r="V11" s="2570">
        <f t="shared" si="2"/>
        <v>0</v>
      </c>
      <c r="W11" s="2570">
        <f t="shared" si="2"/>
        <v>0</v>
      </c>
      <c r="X11" s="542"/>
      <c r="Y11" s="542"/>
      <c r="Z11" s="542"/>
      <c r="AA11" s="542"/>
      <c r="AB11" s="542"/>
    </row>
    <row r="12" spans="1:105" s="160" customFormat="1" ht="26.25" customHeight="1">
      <c r="A12" s="2575">
        <v>4</v>
      </c>
      <c r="B12" s="2591" t="s">
        <v>506</v>
      </c>
      <c r="C12" s="2575">
        <f>C9+C10+C11</f>
        <v>59324858.899999999</v>
      </c>
      <c r="D12" s="2575">
        <f t="shared" ref="D12:P12" si="3">D9+D10+D11</f>
        <v>58673664.899999999</v>
      </c>
      <c r="E12" s="2575">
        <f t="shared" si="3"/>
        <v>53745426.376261681</v>
      </c>
      <c r="F12" s="2575">
        <f t="shared" si="3"/>
        <v>52538326.863984577</v>
      </c>
      <c r="G12" s="2575">
        <f t="shared" si="3"/>
        <v>49975369.571570009</v>
      </c>
      <c r="H12" s="2575">
        <f t="shared" si="3"/>
        <v>48016466.249133766</v>
      </c>
      <c r="I12" s="2575">
        <f t="shared" si="3"/>
        <v>46251082.567960113</v>
      </c>
      <c r="J12" s="2575">
        <f t="shared" si="3"/>
        <v>8731.4841722151887</v>
      </c>
      <c r="K12" s="2575">
        <f t="shared" si="3"/>
        <v>8729.1716711973331</v>
      </c>
      <c r="L12" s="2575">
        <f t="shared" si="3"/>
        <v>6892.062873578795</v>
      </c>
      <c r="M12" s="2575">
        <f t="shared" si="3"/>
        <v>6733.3498771963405</v>
      </c>
      <c r="N12" s="2575">
        <f t="shared" si="3"/>
        <v>6407.5911584386031</v>
      </c>
      <c r="O12" s="2575">
        <f t="shared" si="3"/>
        <v>6162.0474696601832</v>
      </c>
      <c r="P12" s="2575">
        <f t="shared" si="3"/>
        <v>5934.6761030084572</v>
      </c>
      <c r="Q12" s="2572">
        <f>IFERROR((J12*1000)/(C12/1000),0)</f>
        <v>147.18086707855934</v>
      </c>
      <c r="R12" s="2572">
        <f t="shared" si="2"/>
        <v>148.77495186426191</v>
      </c>
      <c r="S12" s="2572">
        <f t="shared" si="2"/>
        <v>128.23533718625194</v>
      </c>
      <c r="T12" s="2572">
        <f t="shared" si="2"/>
        <v>128.16072149819647</v>
      </c>
      <c r="U12" s="2572">
        <f t="shared" si="2"/>
        <v>128.21498296800499</v>
      </c>
      <c r="V12" s="2572">
        <f t="shared" si="2"/>
        <v>128.33196507398853</v>
      </c>
      <c r="W12" s="2572">
        <f t="shared" si="2"/>
        <v>128.31431770895745</v>
      </c>
      <c r="X12" s="542"/>
      <c r="Y12" s="542"/>
      <c r="Z12" s="542"/>
      <c r="AA12" s="542"/>
      <c r="AB12" s="542"/>
    </row>
    <row r="13" spans="1:105" ht="22.5" customHeight="1">
      <c r="A13" s="2586">
        <v>5</v>
      </c>
      <c r="B13" s="766" t="s">
        <v>511</v>
      </c>
      <c r="C13" s="2573"/>
      <c r="D13" s="2576">
        <f t="shared" ref="D13:I13" si="4">D12-C12</f>
        <v>-651194</v>
      </c>
      <c r="E13" s="2576">
        <f t="shared" si="4"/>
        <v>-4928238.5237383172</v>
      </c>
      <c r="F13" s="2576">
        <f t="shared" si="4"/>
        <v>-1207099.512277104</v>
      </c>
      <c r="G13" s="2576">
        <f t="shared" si="4"/>
        <v>-2562957.2924145684</v>
      </c>
      <c r="H13" s="2576">
        <f t="shared" si="4"/>
        <v>-1958903.3224362433</v>
      </c>
      <c r="I13" s="2576">
        <f t="shared" si="4"/>
        <v>-1765383.6811736524</v>
      </c>
      <c r="J13" s="2573"/>
      <c r="K13" s="2576">
        <f t="shared" ref="K13:P13" si="5">K12-J12</f>
        <v>-2.3125010178555385</v>
      </c>
      <c r="L13" s="2576">
        <f t="shared" si="5"/>
        <v>-1837.1087976185381</v>
      </c>
      <c r="M13" s="2576">
        <f t="shared" si="5"/>
        <v>-158.71299638245455</v>
      </c>
      <c r="N13" s="2576">
        <f t="shared" si="5"/>
        <v>-325.75871875773737</v>
      </c>
      <c r="O13" s="2576">
        <f t="shared" si="5"/>
        <v>-245.54368877841989</v>
      </c>
      <c r="P13" s="2576">
        <f t="shared" si="5"/>
        <v>-227.37136665172602</v>
      </c>
      <c r="Q13" s="2573"/>
      <c r="R13" s="2574">
        <f t="shared" ref="R13:W13" si="6">R12-Q12</f>
        <v>1.5940847857025631</v>
      </c>
      <c r="S13" s="2574">
        <f t="shared" si="6"/>
        <v>-20.539614678009968</v>
      </c>
      <c r="T13" s="2574">
        <f t="shared" si="6"/>
        <v>-7.4615688055473584E-2</v>
      </c>
      <c r="U13" s="2574">
        <f t="shared" si="6"/>
        <v>5.4261469808523088E-2</v>
      </c>
      <c r="V13" s="2574">
        <f t="shared" si="6"/>
        <v>0.11698210598353853</v>
      </c>
      <c r="W13" s="2574">
        <f t="shared" si="6"/>
        <v>-1.7647365031081108E-2</v>
      </c>
    </row>
    <row r="14" spans="1:105" ht="22.5" customHeight="1">
      <c r="A14" s="2594">
        <v>6</v>
      </c>
      <c r="B14" s="2587" t="s">
        <v>1188</v>
      </c>
      <c r="C14" s="2577">
        <f>C12/'4. Отчет и прогн. потребление'!D10</f>
        <v>1.2476439326578983</v>
      </c>
      <c r="D14" s="2577">
        <f>D12/'4. Отчет и прогн. потребление'!E10</f>
        <v>1.264518640086207</v>
      </c>
      <c r="E14" s="2577">
        <f>E12/'4. Отчет и прогн. потребление'!F10</f>
        <v>1.2558938916967735</v>
      </c>
      <c r="F14" s="2577">
        <f>F12/'4. Отчет и прогн. потребление'!G10</f>
        <v>1.2557927464392771</v>
      </c>
      <c r="G14" s="2577">
        <f>G12/'4. Отчет и прогн. потребление'!H10</f>
        <v>1.2325679605094617</v>
      </c>
      <c r="H14" s="2577">
        <f>H12/'4. Отчет и прогн. потребление'!I10</f>
        <v>1.2070703261971947</v>
      </c>
      <c r="I14" s="2578">
        <f>I12/'4. Отчет и прогн. потребление'!J10</f>
        <v>1.1808014127529953</v>
      </c>
      <c r="J14" s="2573"/>
      <c r="K14" s="2573"/>
      <c r="L14" s="2573"/>
      <c r="M14" s="2573"/>
      <c r="N14" s="2573"/>
      <c r="O14" s="2573"/>
      <c r="P14" s="2573"/>
      <c r="Q14" s="2573"/>
      <c r="R14" s="2573"/>
      <c r="S14" s="2573"/>
      <c r="T14" s="2573"/>
      <c r="U14" s="2573"/>
      <c r="V14" s="2573"/>
      <c r="W14" s="2573"/>
    </row>
    <row r="15" spans="1:105" ht="24">
      <c r="A15" s="2594">
        <v>7</v>
      </c>
      <c r="B15" s="2587" t="s">
        <v>1189</v>
      </c>
      <c r="C15" s="2577">
        <f>C12/'4. Отчет и прогн. потребление'!D21</f>
        <v>7.8822053459881172</v>
      </c>
      <c r="D15" s="2577">
        <f>D12/'4. Отчет и прогн. потребление'!E21</f>
        <v>7.7956916181420599</v>
      </c>
      <c r="E15" s="2577">
        <f>E12/'4. Отчет и прогн. потребление'!F21</f>
        <v>6.6796881056036028</v>
      </c>
      <c r="F15" s="2577">
        <f>F12/'4. Отчет и прогн. потребление'!G21</f>
        <v>6.568671362034844</v>
      </c>
      <c r="G15" s="2577">
        <f>G12/'4. Отчет и прогн. потребление'!H21</f>
        <v>6.2939247977302806</v>
      </c>
      <c r="H15" s="2577">
        <f>H12/'4. Отчет и прогн. потребление'!I21</f>
        <v>6.0962382654192808</v>
      </c>
      <c r="I15" s="2578">
        <f>I12/'4. Отчет и прогн. потребление'!J21</f>
        <v>5.858808674992785</v>
      </c>
      <c r="J15" s="2573"/>
      <c r="K15" s="2573"/>
      <c r="L15" s="2573"/>
      <c r="M15" s="2573"/>
      <c r="N15" s="2573"/>
      <c r="O15" s="2573"/>
      <c r="P15" s="2573"/>
      <c r="Q15" s="2573"/>
      <c r="R15" s="2573"/>
      <c r="S15" s="2573"/>
      <c r="T15" s="2573"/>
      <c r="U15" s="2573"/>
      <c r="V15" s="2573"/>
      <c r="W15" s="2573"/>
    </row>
    <row r="16" spans="1:105" s="1540" customFormat="1" ht="12" customHeight="1">
      <c r="A16" s="1546"/>
      <c r="B16" s="598"/>
      <c r="C16" s="1547"/>
      <c r="D16" s="1548"/>
      <c r="E16" s="1549"/>
      <c r="F16" s="1549"/>
      <c r="G16" s="1549"/>
      <c r="H16" s="1549"/>
      <c r="I16" s="1549"/>
      <c r="J16" s="1547"/>
      <c r="K16" s="1548"/>
      <c r="L16" s="1549"/>
      <c r="M16" s="1549"/>
      <c r="N16" s="1549"/>
      <c r="O16" s="1549"/>
      <c r="P16" s="1549"/>
      <c r="Q16" s="1547"/>
      <c r="R16" s="1548"/>
      <c r="S16" s="1549"/>
      <c r="T16" s="1549"/>
      <c r="U16" s="1549"/>
      <c r="V16" s="1549"/>
      <c r="W16" s="1549"/>
      <c r="X16" s="1541"/>
      <c r="Y16" s="1541"/>
      <c r="Z16" s="1541"/>
      <c r="AA16" s="1541"/>
      <c r="AB16" s="1541"/>
    </row>
    <row r="17" spans="1:28" s="1540" customFormat="1" ht="21" customHeight="1">
      <c r="A17" s="3459" t="s">
        <v>913</v>
      </c>
      <c r="B17" s="3460"/>
      <c r="C17" s="3461"/>
      <c r="D17" s="2579"/>
      <c r="E17" s="2580"/>
      <c r="F17" s="2580"/>
      <c r="G17" s="2580"/>
      <c r="H17" s="2580"/>
      <c r="I17" s="2581"/>
      <c r="J17" s="2582">
        <f>J12-'12. Разходи'!C17</f>
        <v>0.48417221518866427</v>
      </c>
      <c r="K17" s="2582">
        <f>K12-'12. Разходи'!D17</f>
        <v>0.17167119733312575</v>
      </c>
      <c r="L17" s="2582">
        <f>L12-'12. Разходи'!E17</f>
        <v>6.2873578795006324E-2</v>
      </c>
      <c r="M17" s="2582">
        <f>M12-'12. Разходи'!F17</f>
        <v>0.34987719634045789</v>
      </c>
      <c r="N17" s="2582">
        <f>N12-'12. Разходи'!G17</f>
        <v>-0.40884156139691186</v>
      </c>
      <c r="O17" s="2582">
        <f>O12-'12. Разходи'!H17</f>
        <v>4.7469660183196538E-2</v>
      </c>
      <c r="P17" s="2582">
        <f>P12-'12. Разходи'!I17</f>
        <v>-0.32389699154282425</v>
      </c>
      <c r="Q17" s="1547"/>
      <c r="R17" s="1548"/>
      <c r="S17" s="1549"/>
      <c r="T17" s="1549"/>
      <c r="U17" s="1549"/>
      <c r="V17" s="1549"/>
      <c r="W17" s="1549"/>
      <c r="X17" s="1541"/>
      <c r="Y17" s="1541"/>
      <c r="Z17" s="1541"/>
      <c r="AA17" s="1541"/>
      <c r="AB17" s="1541"/>
    </row>
    <row r="18" spans="1:28" s="1540" customFormat="1" ht="20.25" customHeight="1">
      <c r="A18" s="1550"/>
      <c r="B18" s="1551"/>
      <c r="C18" s="1549"/>
      <c r="D18" s="1548"/>
      <c r="E18" s="1549"/>
      <c r="F18" s="1549"/>
      <c r="G18" s="1549"/>
      <c r="H18" s="1549"/>
      <c r="I18" s="1549"/>
      <c r="J18" s="1547"/>
      <c r="K18" s="1548"/>
      <c r="L18" s="1549"/>
      <c r="M18" s="1549"/>
      <c r="N18" s="1549"/>
      <c r="O18" s="1549"/>
      <c r="P18" s="1549"/>
      <c r="Q18" s="1547"/>
      <c r="R18" s="1548"/>
      <c r="S18" s="1549"/>
      <c r="T18" s="1549"/>
      <c r="U18" s="1549"/>
      <c r="V18" s="1549"/>
      <c r="W18" s="1549"/>
      <c r="X18" s="1541"/>
      <c r="Y18" s="1541"/>
      <c r="Z18" s="1541"/>
      <c r="AA18" s="1541"/>
      <c r="AB18" s="1541"/>
    </row>
    <row r="19" spans="1:28" ht="24" customHeight="1">
      <c r="A19" s="3462" t="s">
        <v>1</v>
      </c>
      <c r="B19" s="3462" t="s">
        <v>502</v>
      </c>
      <c r="C19" s="3462" t="s">
        <v>271</v>
      </c>
      <c r="D19" s="3462"/>
      <c r="E19" s="3462"/>
      <c r="F19" s="3462"/>
      <c r="G19" s="3462"/>
      <c r="H19" s="3462"/>
      <c r="I19" s="3462"/>
      <c r="J19" s="3462"/>
      <c r="K19" s="3462"/>
      <c r="L19" s="3462"/>
      <c r="M19" s="3462"/>
      <c r="N19" s="3462"/>
      <c r="O19" s="3462"/>
      <c r="P19" s="3462"/>
      <c r="Q19" s="3462"/>
      <c r="R19" s="3462"/>
      <c r="S19" s="3462"/>
      <c r="T19" s="3462"/>
      <c r="U19" s="3462"/>
      <c r="V19" s="3462"/>
      <c r="W19" s="3462"/>
    </row>
    <row r="20" spans="1:28" ht="24" customHeight="1">
      <c r="A20" s="3463"/>
      <c r="B20" s="3463"/>
      <c r="C20" s="3464" t="s">
        <v>503</v>
      </c>
      <c r="D20" s="3464"/>
      <c r="E20" s="3464"/>
      <c r="F20" s="3464"/>
      <c r="G20" s="3464"/>
      <c r="H20" s="3464"/>
      <c r="I20" s="3464"/>
      <c r="J20" s="3464" t="s">
        <v>1186</v>
      </c>
      <c r="K20" s="3464"/>
      <c r="L20" s="3464"/>
      <c r="M20" s="3464"/>
      <c r="N20" s="3464"/>
      <c r="O20" s="3464"/>
      <c r="P20" s="3464"/>
      <c r="Q20" s="3464" t="s">
        <v>1187</v>
      </c>
      <c r="R20" s="3464"/>
      <c r="S20" s="3464"/>
      <c r="T20" s="3464"/>
      <c r="U20" s="3464"/>
      <c r="V20" s="3464"/>
      <c r="W20" s="3464"/>
    </row>
    <row r="21" spans="1:28" ht="24" customHeight="1">
      <c r="A21" s="3463"/>
      <c r="B21" s="3463"/>
      <c r="C21" s="1544" t="str">
        <f>'Приложение '!G12</f>
        <v>2015 г.</v>
      </c>
      <c r="D21" s="1544" t="str">
        <f>'Приложение '!$G13</f>
        <v>2016 г.</v>
      </c>
      <c r="E21" s="1544" t="str">
        <f>'Приложение '!$G14</f>
        <v>2017 г.</v>
      </c>
      <c r="F21" s="1544" t="str">
        <f>'Приложение '!$G15</f>
        <v>2018 г.</v>
      </c>
      <c r="G21" s="1544" t="str">
        <f>'Приложение '!$G16</f>
        <v>2019 г.</v>
      </c>
      <c r="H21" s="1544" t="str">
        <f>'Приложение '!$G17</f>
        <v>2020 г.</v>
      </c>
      <c r="I21" s="1544" t="str">
        <f>'Приложение '!$G18</f>
        <v>2021 г.</v>
      </c>
      <c r="J21" s="1544" t="str">
        <f t="shared" ref="J21:W21" si="7">C21</f>
        <v>2015 г.</v>
      </c>
      <c r="K21" s="1544" t="str">
        <f t="shared" si="7"/>
        <v>2016 г.</v>
      </c>
      <c r="L21" s="1544" t="str">
        <f t="shared" si="7"/>
        <v>2017 г.</v>
      </c>
      <c r="M21" s="1544" t="str">
        <f t="shared" si="7"/>
        <v>2018 г.</v>
      </c>
      <c r="N21" s="1544" t="str">
        <f t="shared" si="7"/>
        <v>2019 г.</v>
      </c>
      <c r="O21" s="1544" t="str">
        <f t="shared" si="7"/>
        <v>2020 г.</v>
      </c>
      <c r="P21" s="1544" t="str">
        <f t="shared" si="7"/>
        <v>2021 г.</v>
      </c>
      <c r="Q21" s="1544" t="str">
        <f t="shared" si="7"/>
        <v>2015 г.</v>
      </c>
      <c r="R21" s="1544" t="str">
        <f t="shared" si="7"/>
        <v>2016 г.</v>
      </c>
      <c r="S21" s="1544" t="str">
        <f t="shared" si="7"/>
        <v>2017 г.</v>
      </c>
      <c r="T21" s="1544" t="str">
        <f t="shared" si="7"/>
        <v>2018 г.</v>
      </c>
      <c r="U21" s="1544" t="str">
        <f t="shared" si="7"/>
        <v>2019 г.</v>
      </c>
      <c r="V21" s="1544" t="str">
        <f t="shared" si="7"/>
        <v>2020 г.</v>
      </c>
      <c r="W21" s="1544" t="str">
        <f t="shared" si="7"/>
        <v>2021 г.</v>
      </c>
    </row>
    <row r="22" spans="1:28" ht="23.25" customHeight="1">
      <c r="A22" s="765">
        <v>1</v>
      </c>
      <c r="B22" s="766" t="s">
        <v>507</v>
      </c>
      <c r="C22" s="1609">
        <v>541013.5</v>
      </c>
      <c r="D22" s="2636">
        <v>541013.5</v>
      </c>
      <c r="E22" s="2636">
        <v>564390</v>
      </c>
      <c r="F22" s="1609">
        <v>563461</v>
      </c>
      <c r="G22" s="2636">
        <v>562665</v>
      </c>
      <c r="H22" s="2636">
        <v>561660</v>
      </c>
      <c r="I22" s="1609">
        <v>560530</v>
      </c>
      <c r="J22" s="1609">
        <v>90.416676828799993</v>
      </c>
      <c r="K22" s="2636">
        <v>90.416676828799993</v>
      </c>
      <c r="L22" s="2636">
        <v>77.431696567088196</v>
      </c>
      <c r="M22" s="2636">
        <v>77.311696567088205</v>
      </c>
      <c r="N22" s="2636">
        <v>77.211696567088197</v>
      </c>
      <c r="O22" s="2636">
        <v>77.111696567088202</v>
      </c>
      <c r="P22" s="2636">
        <v>76.9116965670882</v>
      </c>
      <c r="Q22" s="2570">
        <f t="shared" ref="Q22:W25" si="8">IFERROR((J22*1000)/(C22/1000),0)</f>
        <v>167.12462226691198</v>
      </c>
      <c r="R22" s="2571">
        <f t="shared" si="8"/>
        <v>167.12462226691198</v>
      </c>
      <c r="S22" s="2570">
        <f t="shared" si="8"/>
        <v>137.1953729993235</v>
      </c>
      <c r="T22" s="2570">
        <f t="shared" si="8"/>
        <v>137.20860284400908</v>
      </c>
      <c r="U22" s="2570">
        <f t="shared" si="8"/>
        <v>137.22498567902429</v>
      </c>
      <c r="V22" s="2570">
        <f t="shared" si="8"/>
        <v>137.29248400649541</v>
      </c>
      <c r="W22" s="2570">
        <f t="shared" si="8"/>
        <v>137.21245351201222</v>
      </c>
    </row>
    <row r="23" spans="1:28" ht="24">
      <c r="A23" s="765">
        <v>2</v>
      </c>
      <c r="B23" s="766" t="s">
        <v>508</v>
      </c>
      <c r="C23" s="1609"/>
      <c r="D23" s="2636"/>
      <c r="E23" s="2636"/>
      <c r="F23" s="1609"/>
      <c r="G23" s="2636"/>
      <c r="H23" s="2636"/>
      <c r="I23" s="1609"/>
      <c r="J23" s="1609"/>
      <c r="K23" s="2636"/>
      <c r="L23" s="2636"/>
      <c r="M23" s="1609"/>
      <c r="N23" s="2636"/>
      <c r="O23" s="2636"/>
      <c r="P23" s="1609"/>
      <c r="Q23" s="2570">
        <f t="shared" si="8"/>
        <v>0</v>
      </c>
      <c r="R23" s="2570">
        <f t="shared" si="8"/>
        <v>0</v>
      </c>
      <c r="S23" s="2570">
        <f t="shared" si="8"/>
        <v>0</v>
      </c>
      <c r="T23" s="2570">
        <f t="shared" si="8"/>
        <v>0</v>
      </c>
      <c r="U23" s="2570">
        <f t="shared" si="8"/>
        <v>0</v>
      </c>
      <c r="V23" s="2570">
        <f t="shared" si="8"/>
        <v>0</v>
      </c>
      <c r="W23" s="2570">
        <f t="shared" si="8"/>
        <v>0</v>
      </c>
    </row>
    <row r="24" spans="1:28" ht="24">
      <c r="A24" s="765">
        <v>3</v>
      </c>
      <c r="B24" s="766" t="s">
        <v>509</v>
      </c>
      <c r="C24" s="1609"/>
      <c r="D24" s="2636"/>
      <c r="E24" s="2636"/>
      <c r="F24" s="1609"/>
      <c r="G24" s="2636"/>
      <c r="H24" s="2636"/>
      <c r="I24" s="1609"/>
      <c r="J24" s="1609"/>
      <c r="K24" s="2636"/>
      <c r="L24" s="2636"/>
      <c r="M24" s="1609"/>
      <c r="N24" s="2636"/>
      <c r="O24" s="2636"/>
      <c r="P24" s="1609"/>
      <c r="Q24" s="2570">
        <f t="shared" si="8"/>
        <v>0</v>
      </c>
      <c r="R24" s="2570">
        <f t="shared" si="8"/>
        <v>0</v>
      </c>
      <c r="S24" s="2570">
        <f t="shared" si="8"/>
        <v>0</v>
      </c>
      <c r="T24" s="2570">
        <f t="shared" si="8"/>
        <v>0</v>
      </c>
      <c r="U24" s="2570">
        <f t="shared" si="8"/>
        <v>0</v>
      </c>
      <c r="V24" s="2570">
        <f t="shared" si="8"/>
        <v>0</v>
      </c>
      <c r="W24" s="2570">
        <f t="shared" si="8"/>
        <v>0</v>
      </c>
    </row>
    <row r="25" spans="1:28" ht="19.5" customHeight="1">
      <c r="A25" s="2575">
        <v>4</v>
      </c>
      <c r="B25" s="2591" t="s">
        <v>506</v>
      </c>
      <c r="C25" s="2575">
        <f>C22+C23+C24</f>
        <v>541013.5</v>
      </c>
      <c r="D25" s="2575">
        <f t="shared" ref="D25:P25" si="9">D22+D23+D24</f>
        <v>541013.5</v>
      </c>
      <c r="E25" s="2575">
        <f t="shared" si="9"/>
        <v>564390</v>
      </c>
      <c r="F25" s="2575">
        <f t="shared" si="9"/>
        <v>563461</v>
      </c>
      <c r="G25" s="2575">
        <f t="shared" si="9"/>
        <v>562665</v>
      </c>
      <c r="H25" s="2575">
        <f t="shared" si="9"/>
        <v>561660</v>
      </c>
      <c r="I25" s="2575">
        <f t="shared" si="9"/>
        <v>560530</v>
      </c>
      <c r="J25" s="2575">
        <f t="shared" si="9"/>
        <v>90.416676828799993</v>
      </c>
      <c r="K25" s="2575">
        <f t="shared" si="9"/>
        <v>90.416676828799993</v>
      </c>
      <c r="L25" s="2575">
        <f t="shared" si="9"/>
        <v>77.431696567088196</v>
      </c>
      <c r="M25" s="2575">
        <f t="shared" si="9"/>
        <v>77.311696567088205</v>
      </c>
      <c r="N25" s="2575">
        <f t="shared" si="9"/>
        <v>77.211696567088197</v>
      </c>
      <c r="O25" s="2575">
        <f t="shared" si="9"/>
        <v>77.111696567088202</v>
      </c>
      <c r="P25" s="2575">
        <f t="shared" si="9"/>
        <v>76.9116965670882</v>
      </c>
      <c r="Q25" s="2572">
        <f t="shared" si="8"/>
        <v>167.12462226691198</v>
      </c>
      <c r="R25" s="2572">
        <f t="shared" si="8"/>
        <v>167.12462226691198</v>
      </c>
      <c r="S25" s="2572">
        <f t="shared" si="8"/>
        <v>137.1953729993235</v>
      </c>
      <c r="T25" s="2572">
        <f t="shared" si="8"/>
        <v>137.20860284400908</v>
      </c>
      <c r="U25" s="2572">
        <f t="shared" si="8"/>
        <v>137.22498567902429</v>
      </c>
      <c r="V25" s="2572">
        <f t="shared" si="8"/>
        <v>137.29248400649541</v>
      </c>
      <c r="W25" s="2572">
        <f t="shared" si="8"/>
        <v>137.21245351201222</v>
      </c>
    </row>
    <row r="26" spans="1:28" ht="19.5" customHeight="1">
      <c r="A26" s="2586">
        <v>5</v>
      </c>
      <c r="B26" s="766" t="s">
        <v>511</v>
      </c>
      <c r="C26" s="2573"/>
      <c r="D26" s="2576">
        <f t="shared" ref="D26:I26" si="10">D25-C25</f>
        <v>0</v>
      </c>
      <c r="E26" s="2576">
        <f t="shared" si="10"/>
        <v>23376.5</v>
      </c>
      <c r="F26" s="2576">
        <f t="shared" si="10"/>
        <v>-929</v>
      </c>
      <c r="G26" s="2576">
        <f t="shared" si="10"/>
        <v>-796</v>
      </c>
      <c r="H26" s="2576">
        <f t="shared" si="10"/>
        <v>-1005</v>
      </c>
      <c r="I26" s="2576">
        <f t="shared" si="10"/>
        <v>-1130</v>
      </c>
      <c r="J26" s="2573"/>
      <c r="K26" s="2576">
        <f t="shared" ref="K26:P26" si="11">K25-J25</f>
        <v>0</v>
      </c>
      <c r="L26" s="2576">
        <f t="shared" si="11"/>
        <v>-12.984980261711797</v>
      </c>
      <c r="M26" s="2576">
        <f t="shared" si="11"/>
        <v>-0.11999999999999034</v>
      </c>
      <c r="N26" s="2576">
        <f t="shared" si="11"/>
        <v>-0.10000000000000853</v>
      </c>
      <c r="O26" s="2576">
        <f t="shared" si="11"/>
        <v>-9.9999999999994316E-2</v>
      </c>
      <c r="P26" s="2576">
        <f t="shared" si="11"/>
        <v>-0.20000000000000284</v>
      </c>
      <c r="Q26" s="2573"/>
      <c r="R26" s="2574">
        <f t="shared" ref="R26:W26" si="12">R25-Q25</f>
        <v>0</v>
      </c>
      <c r="S26" s="2574">
        <f t="shared" si="12"/>
        <v>-29.929249267588489</v>
      </c>
      <c r="T26" s="2574">
        <f t="shared" si="12"/>
        <v>1.3229844685582748E-2</v>
      </c>
      <c r="U26" s="2574">
        <f t="shared" si="12"/>
        <v>1.638283501520732E-2</v>
      </c>
      <c r="V26" s="2574">
        <f t="shared" si="12"/>
        <v>6.749832747112805E-2</v>
      </c>
      <c r="W26" s="2574">
        <f t="shared" si="12"/>
        <v>-8.0030494483196435E-2</v>
      </c>
    </row>
    <row r="27" spans="1:28" ht="24">
      <c r="A27" s="2586">
        <v>6</v>
      </c>
      <c r="B27" s="2587" t="s">
        <v>1189</v>
      </c>
      <c r="C27" s="2577">
        <f>C25/'4. Отчет и прогн. потребление'!D53</f>
        <v>0.13269628442505801</v>
      </c>
      <c r="D27" s="2577">
        <f>D25/'4. Отчет и прогн. потребление'!E53</f>
        <v>0.13288153918667228</v>
      </c>
      <c r="E27" s="2577">
        <f>E25/'4. Отчет и прогн. потребление'!F53</f>
        <v>0.11218389579990681</v>
      </c>
      <c r="F27" s="2577">
        <f>F25/'4. Отчет и прогн. потребление'!G53</f>
        <v>0.1045062659876906</v>
      </c>
      <c r="G27" s="2577">
        <f>G25/'4. Отчет и прогн. потребление'!H53</f>
        <v>0.10357103938999913</v>
      </c>
      <c r="H27" s="2577">
        <f>H25/'4. Отчет и прогн. потребление'!I53</f>
        <v>0.10340508074160917</v>
      </c>
      <c r="I27" s="2577">
        <f>I25/'4. Отчет и прогн. потребление'!J53</f>
        <v>0.10384708302579197</v>
      </c>
      <c r="J27" s="2573"/>
      <c r="K27" s="2573"/>
      <c r="L27" s="2573"/>
      <c r="M27" s="2573"/>
      <c r="N27" s="2573"/>
      <c r="O27" s="2573"/>
      <c r="P27" s="2573"/>
      <c r="Q27" s="2573"/>
      <c r="R27" s="2573"/>
      <c r="S27" s="2573"/>
      <c r="T27" s="2573"/>
      <c r="U27" s="2573"/>
      <c r="V27" s="2573"/>
      <c r="W27" s="2573"/>
    </row>
    <row r="28" spans="1:28" s="1540" customFormat="1" ht="15">
      <c r="A28" s="2588"/>
      <c r="B28" s="598"/>
      <c r="C28" s="2583"/>
      <c r="D28" s="2584"/>
      <c r="E28" s="2585"/>
      <c r="F28" s="2585"/>
      <c r="G28" s="2585"/>
      <c r="H28" s="2585"/>
      <c r="I28" s="2585"/>
      <c r="J28" s="2583"/>
      <c r="K28" s="2584"/>
      <c r="L28" s="2585"/>
      <c r="M28" s="2585"/>
      <c r="N28" s="2585"/>
      <c r="O28" s="2585"/>
      <c r="P28" s="2585"/>
      <c r="Q28" s="2583"/>
      <c r="R28" s="2584"/>
      <c r="S28" s="2585"/>
      <c r="T28" s="2585"/>
      <c r="U28" s="2585"/>
      <c r="V28" s="2585"/>
      <c r="W28" s="2585"/>
      <c r="X28" s="1541"/>
      <c r="Y28" s="1541"/>
      <c r="Z28" s="1541"/>
      <c r="AA28" s="1541"/>
      <c r="AB28" s="1541"/>
    </row>
    <row r="29" spans="1:28" s="1540" customFormat="1" ht="22.5" customHeight="1">
      <c r="A29" s="3459" t="s">
        <v>913</v>
      </c>
      <c r="B29" s="3460"/>
      <c r="C29" s="3461"/>
      <c r="D29" s="2579"/>
      <c r="E29" s="2580"/>
      <c r="F29" s="2580"/>
      <c r="G29" s="2580"/>
      <c r="H29" s="2580"/>
      <c r="I29" s="2581"/>
      <c r="J29" s="2582">
        <f>J25-'12. Разходи'!J17</f>
        <v>0.4166768287999929</v>
      </c>
      <c r="K29" s="2582">
        <f>K25-'12. Разходи'!K17</f>
        <v>0.4166768287999929</v>
      </c>
      <c r="L29" s="2582">
        <f>L25-'12. Разходи'!L17</f>
        <v>0.43169656708819559</v>
      </c>
      <c r="M29" s="2582">
        <f>M25-'12. Разходи'!M17</f>
        <v>0.31169656708820526</v>
      </c>
      <c r="N29" s="2582">
        <f>N25-'12. Разходи'!N17</f>
        <v>0.21169656708819673</v>
      </c>
      <c r="O29" s="2582">
        <f>O25-'12. Разходи'!O17</f>
        <v>0.11169656708820241</v>
      </c>
      <c r="P29" s="2582">
        <f>P25-'12. Разходи'!P17</f>
        <v>-8.8303432911800428E-2</v>
      </c>
      <c r="Q29" s="2583"/>
      <c r="R29" s="2584"/>
      <c r="S29" s="2585"/>
      <c r="T29" s="2585"/>
      <c r="U29" s="2585"/>
      <c r="V29" s="2585"/>
      <c r="W29" s="2585"/>
      <c r="X29" s="1541"/>
      <c r="Y29" s="1541"/>
      <c r="Z29" s="1541"/>
      <c r="AA29" s="1541"/>
      <c r="AB29" s="1541"/>
    </row>
    <row r="31" spans="1:28" ht="21.75" customHeight="1">
      <c r="A31" s="3462" t="s">
        <v>1</v>
      </c>
      <c r="B31" s="3462" t="s">
        <v>502</v>
      </c>
      <c r="C31" s="3462" t="s">
        <v>272</v>
      </c>
      <c r="D31" s="3462"/>
      <c r="E31" s="3462"/>
      <c r="F31" s="3462"/>
      <c r="G31" s="3462"/>
      <c r="H31" s="3462"/>
      <c r="I31" s="3462"/>
      <c r="J31" s="3462"/>
      <c r="K31" s="3462"/>
      <c r="L31" s="3462"/>
      <c r="M31" s="3462"/>
      <c r="N31" s="3462"/>
      <c r="O31" s="3462"/>
      <c r="P31" s="3462"/>
      <c r="Q31" s="3462"/>
      <c r="R31" s="3462"/>
      <c r="S31" s="3462"/>
      <c r="T31" s="3462"/>
      <c r="U31" s="3462"/>
      <c r="V31" s="3462"/>
      <c r="W31" s="3462"/>
    </row>
    <row r="32" spans="1:28" ht="21.75" customHeight="1">
      <c r="A32" s="3463"/>
      <c r="B32" s="3463"/>
      <c r="C32" s="3464" t="s">
        <v>503</v>
      </c>
      <c r="D32" s="3464"/>
      <c r="E32" s="3464"/>
      <c r="F32" s="3464"/>
      <c r="G32" s="3464"/>
      <c r="H32" s="3464"/>
      <c r="I32" s="3464"/>
      <c r="J32" s="3464" t="s">
        <v>504</v>
      </c>
      <c r="K32" s="3464"/>
      <c r="L32" s="3464"/>
      <c r="M32" s="3464"/>
      <c r="N32" s="3464"/>
      <c r="O32" s="3464"/>
      <c r="P32" s="3464"/>
      <c r="Q32" s="3464" t="s">
        <v>512</v>
      </c>
      <c r="R32" s="3464"/>
      <c r="S32" s="3464"/>
      <c r="T32" s="3464"/>
      <c r="U32" s="3464"/>
      <c r="V32" s="3464"/>
      <c r="W32" s="3464"/>
    </row>
    <row r="33" spans="1:28" ht="21.75" customHeight="1">
      <c r="A33" s="3463"/>
      <c r="B33" s="3463"/>
      <c r="C33" s="1544" t="str">
        <f t="shared" ref="C33:I33" si="13">C21</f>
        <v>2015 г.</v>
      </c>
      <c r="D33" s="1544" t="str">
        <f t="shared" si="13"/>
        <v>2016 г.</v>
      </c>
      <c r="E33" s="1544" t="str">
        <f t="shared" si="13"/>
        <v>2017 г.</v>
      </c>
      <c r="F33" s="1544" t="str">
        <f t="shared" si="13"/>
        <v>2018 г.</v>
      </c>
      <c r="G33" s="1544" t="str">
        <f t="shared" si="13"/>
        <v>2019 г.</v>
      </c>
      <c r="H33" s="1544" t="str">
        <f t="shared" si="13"/>
        <v>2020 г.</v>
      </c>
      <c r="I33" s="1544" t="str">
        <f t="shared" si="13"/>
        <v>2021 г.</v>
      </c>
      <c r="J33" s="1544" t="str">
        <f t="shared" ref="J33:W33" si="14">C33</f>
        <v>2015 г.</v>
      </c>
      <c r="K33" s="1544" t="str">
        <f t="shared" si="14"/>
        <v>2016 г.</v>
      </c>
      <c r="L33" s="1544" t="str">
        <f t="shared" si="14"/>
        <v>2017 г.</v>
      </c>
      <c r="M33" s="1544" t="str">
        <f t="shared" si="14"/>
        <v>2018 г.</v>
      </c>
      <c r="N33" s="1544" t="str">
        <f t="shared" si="14"/>
        <v>2019 г.</v>
      </c>
      <c r="O33" s="1544" t="str">
        <f t="shared" si="14"/>
        <v>2020 г.</v>
      </c>
      <c r="P33" s="1544" t="str">
        <f t="shared" si="14"/>
        <v>2021 г.</v>
      </c>
      <c r="Q33" s="1544" t="str">
        <f t="shared" si="14"/>
        <v>2015 г.</v>
      </c>
      <c r="R33" s="1544" t="str">
        <f t="shared" si="14"/>
        <v>2016 г.</v>
      </c>
      <c r="S33" s="1544" t="str">
        <f t="shared" si="14"/>
        <v>2017 г.</v>
      </c>
      <c r="T33" s="1544" t="str">
        <f t="shared" si="14"/>
        <v>2018 г.</v>
      </c>
      <c r="U33" s="1544" t="str">
        <f t="shared" si="14"/>
        <v>2019 г.</v>
      </c>
      <c r="V33" s="1544" t="str">
        <f t="shared" si="14"/>
        <v>2020 г.</v>
      </c>
      <c r="W33" s="1544" t="str">
        <f t="shared" si="14"/>
        <v>2021 г.</v>
      </c>
    </row>
    <row r="34" spans="1:28" ht="21" customHeight="1">
      <c r="A34" s="765">
        <v>1</v>
      </c>
      <c r="B34" s="766" t="s">
        <v>507</v>
      </c>
      <c r="C34" s="1609">
        <v>1045935.1799999999</v>
      </c>
      <c r="D34" s="2636">
        <v>1045935.1799999999</v>
      </c>
      <c r="E34" s="2636">
        <v>983081</v>
      </c>
      <c r="F34" s="1609">
        <v>981831</v>
      </c>
      <c r="G34" s="2636">
        <v>981045</v>
      </c>
      <c r="H34" s="2636">
        <v>979970</v>
      </c>
      <c r="I34" s="1609">
        <v>978840</v>
      </c>
      <c r="J34" s="1609">
        <v>167.97181870119999</v>
      </c>
      <c r="K34" s="2636">
        <v>167.97181870119999</v>
      </c>
      <c r="L34" s="2636">
        <v>135.01792896000001</v>
      </c>
      <c r="M34" s="1609">
        <v>134.82272896000001</v>
      </c>
      <c r="N34" s="2636">
        <v>134.69998720000001</v>
      </c>
      <c r="O34" s="2636">
        <v>134.53211519999999</v>
      </c>
      <c r="P34" s="1609">
        <v>134.35565439999999</v>
      </c>
      <c r="Q34" s="2570">
        <f t="shared" ref="Q34:W37" si="15">IFERROR((J34*1000)/(C34/1000),0)</f>
        <v>160.59486468482683</v>
      </c>
      <c r="R34" s="2571">
        <f t="shared" si="15"/>
        <v>160.59486468482683</v>
      </c>
      <c r="S34" s="2570">
        <f t="shared" si="15"/>
        <v>137.34161168815186</v>
      </c>
      <c r="T34" s="2570">
        <f t="shared" si="15"/>
        <v>137.31765340471017</v>
      </c>
      <c r="U34" s="2570">
        <f t="shared" si="15"/>
        <v>137.30255717117973</v>
      </c>
      <c r="V34" s="2570">
        <f t="shared" si="15"/>
        <v>137.28187107768605</v>
      </c>
      <c r="W34" s="2570">
        <f t="shared" si="15"/>
        <v>137.26007764292427</v>
      </c>
    </row>
    <row r="35" spans="1:28" ht="24">
      <c r="A35" s="765">
        <v>2</v>
      </c>
      <c r="B35" s="766" t="s">
        <v>508</v>
      </c>
      <c r="C35" s="1609">
        <f>2710054.8</f>
        <v>2710054.8</v>
      </c>
      <c r="D35" s="2636">
        <f>2710054.8</f>
        <v>2710054.8</v>
      </c>
      <c r="E35" s="2636">
        <v>2540545.1886027493</v>
      </c>
      <c r="F35" s="1609">
        <v>2551313.1851229244</v>
      </c>
      <c r="G35" s="2636">
        <v>2506217.5334718358</v>
      </c>
      <c r="H35" s="2636">
        <v>2461212.1886075349</v>
      </c>
      <c r="I35" s="1609">
        <v>2417064.5295174019</v>
      </c>
      <c r="J35" s="1609">
        <v>380.12985931200001</v>
      </c>
      <c r="K35" s="2636">
        <v>380.12985931200001</v>
      </c>
      <c r="L35" s="2636">
        <f>288.97443295+20</f>
        <v>308.97443294999999</v>
      </c>
      <c r="M35" s="1609">
        <f>283.56318305+27</f>
        <v>310.56318305000002</v>
      </c>
      <c r="N35" s="2636">
        <f>277.27770869+27</f>
        <v>304.27770869</v>
      </c>
      <c r="O35" s="2636">
        <f>272.11539528+27</f>
        <v>299.11539527999997</v>
      </c>
      <c r="P35" s="1609">
        <f>267.07390345+27</f>
        <v>294.07390344999999</v>
      </c>
      <c r="Q35" s="2570">
        <f t="shared" si="15"/>
        <v>140.26648439433771</v>
      </c>
      <c r="R35" s="2570">
        <f t="shared" si="15"/>
        <v>140.26648439433771</v>
      </c>
      <c r="S35" s="2570">
        <f t="shared" si="15"/>
        <v>121.61737344256015</v>
      </c>
      <c r="T35" s="2570">
        <f t="shared" si="15"/>
        <v>121.72679734535875</v>
      </c>
      <c r="U35" s="2570">
        <f t="shared" si="15"/>
        <v>121.40913732595567</v>
      </c>
      <c r="V35" s="2570">
        <f t="shared" si="15"/>
        <v>121.53173816729257</v>
      </c>
      <c r="W35" s="2570">
        <f t="shared" si="15"/>
        <v>121.66572297046436</v>
      </c>
    </row>
    <row r="36" spans="1:28" ht="24">
      <c r="A36" s="765">
        <v>3</v>
      </c>
      <c r="B36" s="766" t="s">
        <v>509</v>
      </c>
      <c r="C36" s="1609"/>
      <c r="D36" s="2636"/>
      <c r="E36" s="2636"/>
      <c r="F36" s="1609"/>
      <c r="G36" s="2636"/>
      <c r="H36" s="2636"/>
      <c r="I36" s="1609"/>
      <c r="J36" s="1609"/>
      <c r="K36" s="2636"/>
      <c r="L36" s="2636"/>
      <c r="M36" s="1609"/>
      <c r="N36" s="2636"/>
      <c r="O36" s="2636"/>
      <c r="P36" s="1609"/>
      <c r="Q36" s="2570">
        <f t="shared" si="15"/>
        <v>0</v>
      </c>
      <c r="R36" s="2570">
        <f t="shared" si="15"/>
        <v>0</v>
      </c>
      <c r="S36" s="2570">
        <f t="shared" si="15"/>
        <v>0</v>
      </c>
      <c r="T36" s="2570">
        <f t="shared" si="15"/>
        <v>0</v>
      </c>
      <c r="U36" s="2570">
        <f t="shared" si="15"/>
        <v>0</v>
      </c>
      <c r="V36" s="2570">
        <f t="shared" si="15"/>
        <v>0</v>
      </c>
      <c r="W36" s="2570">
        <f t="shared" si="15"/>
        <v>0</v>
      </c>
    </row>
    <row r="37" spans="1:28" ht="24.75" customHeight="1">
      <c r="A37" s="2575">
        <v>4</v>
      </c>
      <c r="B37" s="2591" t="s">
        <v>506</v>
      </c>
      <c r="C37" s="2575">
        <f>C34+C35+C36</f>
        <v>3755989.9799999995</v>
      </c>
      <c r="D37" s="2575">
        <f t="shared" ref="D37:P37" si="16">D34+D35+D36</f>
        <v>3755989.9799999995</v>
      </c>
      <c r="E37" s="2575">
        <f t="shared" si="16"/>
        <v>3523626.1886027493</v>
      </c>
      <c r="F37" s="2575">
        <f t="shared" si="16"/>
        <v>3533144.1851229244</v>
      </c>
      <c r="G37" s="2575">
        <f t="shared" si="16"/>
        <v>3487262.5334718358</v>
      </c>
      <c r="H37" s="2575">
        <f t="shared" si="16"/>
        <v>3441182.1886075349</v>
      </c>
      <c r="I37" s="2575">
        <f t="shared" si="16"/>
        <v>3395904.5295174019</v>
      </c>
      <c r="J37" s="2575">
        <f t="shared" si="16"/>
        <v>548.10167801319994</v>
      </c>
      <c r="K37" s="2575">
        <f t="shared" si="16"/>
        <v>548.10167801319994</v>
      </c>
      <c r="L37" s="2575">
        <f t="shared" si="16"/>
        <v>443.99236191</v>
      </c>
      <c r="M37" s="2575">
        <f t="shared" si="16"/>
        <v>445.38591201000003</v>
      </c>
      <c r="N37" s="2575">
        <f t="shared" si="16"/>
        <v>438.97769589000001</v>
      </c>
      <c r="O37" s="2575">
        <f t="shared" si="16"/>
        <v>433.64751047999994</v>
      </c>
      <c r="P37" s="2575">
        <f t="shared" si="16"/>
        <v>428.42955784999998</v>
      </c>
      <c r="Q37" s="2572">
        <f t="shared" si="15"/>
        <v>145.9273536222799</v>
      </c>
      <c r="R37" s="2572">
        <f t="shared" si="15"/>
        <v>145.9273536222799</v>
      </c>
      <c r="S37" s="2572">
        <f t="shared" si="15"/>
        <v>126.00438813461643</v>
      </c>
      <c r="T37" s="2572">
        <f t="shared" si="15"/>
        <v>126.05936488111489</v>
      </c>
      <c r="U37" s="2572">
        <f t="shared" si="15"/>
        <v>125.88031204320147</v>
      </c>
      <c r="V37" s="2572">
        <f t="shared" si="15"/>
        <v>126.01701587194202</v>
      </c>
      <c r="W37" s="2572">
        <f t="shared" si="15"/>
        <v>126.16066032659784</v>
      </c>
    </row>
    <row r="38" spans="1:28" ht="21.75" customHeight="1">
      <c r="A38" s="2592">
        <v>5</v>
      </c>
      <c r="B38" s="771" t="s">
        <v>511</v>
      </c>
      <c r="C38" s="2589"/>
      <c r="D38" s="2593">
        <f t="shared" ref="D38:I38" si="17">D37-C37</f>
        <v>0</v>
      </c>
      <c r="E38" s="2593">
        <f t="shared" si="17"/>
        <v>-232363.79139725026</v>
      </c>
      <c r="F38" s="2593">
        <f t="shared" si="17"/>
        <v>9517.9965201751329</v>
      </c>
      <c r="G38" s="2593">
        <f t="shared" si="17"/>
        <v>-45881.651651088614</v>
      </c>
      <c r="H38" s="2593">
        <f t="shared" si="17"/>
        <v>-46080.344864300918</v>
      </c>
      <c r="I38" s="2593">
        <f t="shared" si="17"/>
        <v>-45277.659090132918</v>
      </c>
      <c r="J38" s="2589"/>
      <c r="K38" s="2593">
        <f t="shared" ref="K38:P38" si="18">K37-J37</f>
        <v>0</v>
      </c>
      <c r="L38" s="2593">
        <f t="shared" si="18"/>
        <v>-104.10931610319994</v>
      </c>
      <c r="M38" s="2593">
        <f t="shared" si="18"/>
        <v>1.3935501000000272</v>
      </c>
      <c r="N38" s="2593">
        <f t="shared" si="18"/>
        <v>-6.4082161200000201</v>
      </c>
      <c r="O38" s="2593">
        <f t="shared" si="18"/>
        <v>-5.3301854100000696</v>
      </c>
      <c r="P38" s="2593">
        <f t="shared" si="18"/>
        <v>-5.2179526299999566</v>
      </c>
      <c r="Q38" s="2589"/>
      <c r="R38" s="2590">
        <f t="shared" ref="R38:W38" si="19">R37-Q37</f>
        <v>0</v>
      </c>
      <c r="S38" s="2590">
        <f t="shared" si="19"/>
        <v>-19.922965487663461</v>
      </c>
      <c r="T38" s="2590">
        <f t="shared" si="19"/>
        <v>5.4976746498454077E-2</v>
      </c>
      <c r="U38" s="2590">
        <f t="shared" si="19"/>
        <v>-0.17905283791341731</v>
      </c>
      <c r="V38" s="2590">
        <f t="shared" si="19"/>
        <v>0.13670382874055065</v>
      </c>
      <c r="W38" s="2590">
        <f t="shared" si="19"/>
        <v>0.14364445465581355</v>
      </c>
    </row>
    <row r="39" spans="1:28" ht="24">
      <c r="A39" s="2594">
        <v>6</v>
      </c>
      <c r="B39" s="2587" t="s">
        <v>1190</v>
      </c>
      <c r="C39" s="2577">
        <f>C37/'2. Променливи'!E64</f>
        <v>0.72035788994413363</v>
      </c>
      <c r="D39" s="2577">
        <f>D37/'2. Променливи'!F64</f>
        <v>0.66418920954907157</v>
      </c>
      <c r="E39" s="2577">
        <f>E37/'2. Променливи'!G64</f>
        <v>0.60027703383351771</v>
      </c>
      <c r="F39" s="2577">
        <f>F37/'2. Променливи'!H64</f>
        <v>0.57920396477424985</v>
      </c>
      <c r="G39" s="2577">
        <f>G37/'2. Променливи'!I64</f>
        <v>0.56246169894707032</v>
      </c>
      <c r="H39" s="2577">
        <f>H37/'2. Променливи'!J64</f>
        <v>0.54621939501706906</v>
      </c>
      <c r="I39" s="2577">
        <f>I37/'2. Променливи'!K64</f>
        <v>0.53061008273709409</v>
      </c>
      <c r="J39" s="2573"/>
      <c r="K39" s="2573"/>
      <c r="L39" s="2573"/>
      <c r="M39" s="2573"/>
      <c r="N39" s="2573"/>
      <c r="O39" s="2573"/>
      <c r="P39" s="2573"/>
      <c r="Q39" s="1545"/>
      <c r="R39" s="1545"/>
      <c r="S39" s="1545"/>
      <c r="T39" s="1545"/>
      <c r="U39" s="1545"/>
      <c r="V39" s="1545"/>
      <c r="W39" s="1545"/>
    </row>
    <row r="40" spans="1:28" ht="24">
      <c r="A40" s="2594">
        <v>7</v>
      </c>
      <c r="B40" s="2587" t="s">
        <v>1189</v>
      </c>
      <c r="C40" s="2577">
        <f>C37/'4. Отчет и прогн. потребление'!D63</f>
        <v>0.90392867800800147</v>
      </c>
      <c r="D40" s="2577">
        <f>D37/'4. Отчет и прогн. потребление'!E63</f>
        <v>0.77590610519505221</v>
      </c>
      <c r="E40" s="2577">
        <f>E37/'4. Отчет и прогн. потребление'!F63</f>
        <v>0.72045115916874625</v>
      </c>
      <c r="F40" s="2577">
        <f>F37/'4. Отчет и прогн. потребление'!G63</f>
        <v>0.70402484624528061</v>
      </c>
      <c r="G40" s="2577">
        <f>G37/'4. Отчет и прогн. потребление'!H63</f>
        <v>0.66096040674640533</v>
      </c>
      <c r="H40" s="2577">
        <f>H37/'4. Отчет и прогн. потребление'!I63</f>
        <v>0.63844682971391586</v>
      </c>
      <c r="I40" s="2577">
        <f>I37/'4. Отчет и прогн. потребление'!J63</f>
        <v>0.63158132463389338</v>
      </c>
      <c r="J40" s="2573"/>
      <c r="K40" s="2573"/>
      <c r="L40" s="2573"/>
      <c r="M40" s="2573"/>
      <c r="N40" s="2573"/>
      <c r="O40" s="2573"/>
      <c r="P40" s="2573"/>
      <c r="Q40" s="1545"/>
      <c r="R40" s="1545"/>
      <c r="S40" s="1545"/>
      <c r="T40" s="1545"/>
      <c r="U40" s="1545"/>
      <c r="V40" s="1545"/>
      <c r="W40" s="1545"/>
    </row>
    <row r="41" spans="1:28" s="1540" customFormat="1" ht="11.25" customHeight="1">
      <c r="A41" s="2588"/>
      <c r="B41" s="598"/>
      <c r="C41" s="2583"/>
      <c r="D41" s="2584"/>
      <c r="E41" s="2585"/>
      <c r="F41" s="2585"/>
      <c r="G41" s="2585"/>
      <c r="H41" s="2585"/>
      <c r="I41" s="2585"/>
      <c r="J41" s="2583"/>
      <c r="K41" s="2584"/>
      <c r="L41" s="2585"/>
      <c r="M41" s="2585"/>
      <c r="N41" s="2585"/>
      <c r="O41" s="2585"/>
      <c r="P41" s="2585"/>
      <c r="Q41" s="1547"/>
      <c r="R41" s="1548"/>
      <c r="S41" s="1549"/>
      <c r="T41" s="1549"/>
      <c r="U41" s="1549"/>
      <c r="V41" s="1549"/>
      <c r="W41" s="1549"/>
      <c r="X41" s="1541"/>
      <c r="Y41" s="1541"/>
      <c r="Z41" s="1541"/>
      <c r="AA41" s="1541"/>
      <c r="AB41" s="1541"/>
    </row>
    <row r="42" spans="1:28" s="1540" customFormat="1" ht="23.25" customHeight="1">
      <c r="A42" s="3459" t="s">
        <v>913</v>
      </c>
      <c r="B42" s="3460"/>
      <c r="C42" s="3461"/>
      <c r="D42" s="2579"/>
      <c r="E42" s="2580"/>
      <c r="F42" s="2580"/>
      <c r="G42" s="2580"/>
      <c r="H42" s="2580"/>
      <c r="I42" s="2581"/>
      <c r="J42" s="2582">
        <f>J37-'12. Разходи'!Q17</f>
        <v>0.10167801319994396</v>
      </c>
      <c r="K42" s="2582">
        <f>K37-'12. Разходи'!R17</f>
        <v>0.10167801319994396</v>
      </c>
      <c r="L42" s="2582">
        <f>L37-'12. Разходи'!S17</f>
        <v>-7.6380900000003749E-3</v>
      </c>
      <c r="M42" s="2582">
        <f>M37-'12. Разходи'!T17</f>
        <v>0.38591201000002684</v>
      </c>
      <c r="N42" s="2582">
        <f>N37-'12. Разходи'!U17</f>
        <v>-2.2304109999993216E-2</v>
      </c>
      <c r="O42" s="2582">
        <f>O37-'12. Разходи'!V17</f>
        <v>-0.35248952000006284</v>
      </c>
      <c r="P42" s="2582">
        <f>P37-'12. Разходи'!W17</f>
        <v>0.42955784999998059</v>
      </c>
      <c r="Q42" s="1547"/>
      <c r="R42" s="1548"/>
      <c r="S42" s="1549"/>
      <c r="T42" s="1549"/>
      <c r="U42" s="1549"/>
      <c r="V42" s="1549"/>
      <c r="W42" s="1549"/>
      <c r="X42" s="1541"/>
      <c r="Y42" s="1541"/>
      <c r="Z42" s="1541"/>
      <c r="AA42" s="1541"/>
      <c r="AB42" s="1541"/>
    </row>
    <row r="43" spans="1:28" s="1540" customFormat="1" ht="15">
      <c r="A43" s="1546"/>
      <c r="B43" s="598"/>
      <c r="C43" s="1547"/>
      <c r="D43" s="1548"/>
      <c r="E43" s="1549"/>
      <c r="F43" s="1549"/>
      <c r="G43" s="1549"/>
      <c r="H43" s="1549"/>
      <c r="I43" s="1549"/>
      <c r="J43" s="1547"/>
      <c r="K43" s="1548"/>
      <c r="L43" s="1549"/>
      <c r="M43" s="1549"/>
      <c r="N43" s="1549"/>
      <c r="O43" s="1549"/>
      <c r="P43" s="1549"/>
      <c r="Q43" s="1547"/>
      <c r="R43" s="1548"/>
      <c r="S43" s="1549"/>
      <c r="T43" s="1549"/>
      <c r="U43" s="1549"/>
      <c r="V43" s="1549"/>
      <c r="W43" s="1549"/>
      <c r="X43" s="1541"/>
      <c r="Y43" s="1541"/>
      <c r="Z43" s="1541"/>
      <c r="AA43" s="1541"/>
      <c r="AB43" s="1541"/>
    </row>
    <row r="44" spans="1:28" ht="23.25" customHeight="1">
      <c r="A44" s="3462" t="s">
        <v>1</v>
      </c>
      <c r="B44" s="3462" t="s">
        <v>502</v>
      </c>
      <c r="C44" s="3462" t="s">
        <v>510</v>
      </c>
      <c r="D44" s="3462"/>
      <c r="E44" s="3462"/>
      <c r="F44" s="3462"/>
      <c r="G44" s="3462"/>
      <c r="H44" s="3462"/>
      <c r="I44" s="3462"/>
      <c r="J44" s="3462"/>
      <c r="K44" s="3462"/>
      <c r="L44" s="3462"/>
      <c r="M44" s="3462"/>
      <c r="N44" s="3462"/>
      <c r="O44" s="3462"/>
      <c r="P44" s="3462"/>
      <c r="Q44" s="3462"/>
      <c r="R44" s="3462"/>
      <c r="S44" s="3462"/>
      <c r="T44" s="3462"/>
      <c r="U44" s="3462"/>
      <c r="V44" s="3462"/>
      <c r="W44" s="3462"/>
    </row>
    <row r="45" spans="1:28" ht="24.75" customHeight="1">
      <c r="A45" s="3463"/>
      <c r="B45" s="3463"/>
      <c r="C45" s="3464" t="s">
        <v>503</v>
      </c>
      <c r="D45" s="3464"/>
      <c r="E45" s="3464"/>
      <c r="F45" s="3464"/>
      <c r="G45" s="3464"/>
      <c r="H45" s="3464"/>
      <c r="I45" s="3464"/>
      <c r="J45" s="3464" t="s">
        <v>504</v>
      </c>
      <c r="K45" s="3464"/>
      <c r="L45" s="3464"/>
      <c r="M45" s="3464"/>
      <c r="N45" s="3464"/>
      <c r="O45" s="3464"/>
      <c r="P45" s="3464"/>
      <c r="Q45" s="3464" t="s">
        <v>512</v>
      </c>
      <c r="R45" s="3464"/>
      <c r="S45" s="3464"/>
      <c r="T45" s="3464"/>
      <c r="U45" s="3464"/>
      <c r="V45" s="3464"/>
      <c r="W45" s="3464"/>
    </row>
    <row r="46" spans="1:28" ht="26.25" customHeight="1">
      <c r="A46" s="3463"/>
      <c r="B46" s="3463"/>
      <c r="C46" s="1544" t="str">
        <f t="shared" ref="C46:I46" si="20">C33</f>
        <v>2015 г.</v>
      </c>
      <c r="D46" s="1544" t="str">
        <f t="shared" si="20"/>
        <v>2016 г.</v>
      </c>
      <c r="E46" s="1544" t="str">
        <f t="shared" si="20"/>
        <v>2017 г.</v>
      </c>
      <c r="F46" s="1544" t="str">
        <f t="shared" si="20"/>
        <v>2018 г.</v>
      </c>
      <c r="G46" s="1544" t="str">
        <f t="shared" si="20"/>
        <v>2019 г.</v>
      </c>
      <c r="H46" s="1544" t="str">
        <f t="shared" si="20"/>
        <v>2020 г.</v>
      </c>
      <c r="I46" s="1544" t="str">
        <f t="shared" si="20"/>
        <v>2021 г.</v>
      </c>
      <c r="J46" s="1544" t="str">
        <f t="shared" ref="J46:W46" si="21">C46</f>
        <v>2015 г.</v>
      </c>
      <c r="K46" s="1544" t="str">
        <f t="shared" si="21"/>
        <v>2016 г.</v>
      </c>
      <c r="L46" s="1544" t="str">
        <f t="shared" si="21"/>
        <v>2017 г.</v>
      </c>
      <c r="M46" s="1544" t="str">
        <f t="shared" si="21"/>
        <v>2018 г.</v>
      </c>
      <c r="N46" s="1544" t="str">
        <f t="shared" si="21"/>
        <v>2019 г.</v>
      </c>
      <c r="O46" s="1544" t="str">
        <f t="shared" si="21"/>
        <v>2020 г.</v>
      </c>
      <c r="P46" s="1544" t="str">
        <f t="shared" si="21"/>
        <v>2021 г.</v>
      </c>
      <c r="Q46" s="1544" t="str">
        <f t="shared" si="21"/>
        <v>2015 г.</v>
      </c>
      <c r="R46" s="1544" t="str">
        <f t="shared" si="21"/>
        <v>2016 г.</v>
      </c>
      <c r="S46" s="1544" t="str">
        <f t="shared" si="21"/>
        <v>2017 г.</v>
      </c>
      <c r="T46" s="1544" t="str">
        <f t="shared" si="21"/>
        <v>2018 г.</v>
      </c>
      <c r="U46" s="1544" t="str">
        <f t="shared" si="21"/>
        <v>2019 г.</v>
      </c>
      <c r="V46" s="1544" t="str">
        <f t="shared" si="21"/>
        <v>2020 г.</v>
      </c>
      <c r="W46" s="1544" t="str">
        <f t="shared" si="21"/>
        <v>2021 г.</v>
      </c>
    </row>
    <row r="47" spans="1:28" ht="24" customHeight="1">
      <c r="A47" s="765">
        <v>1</v>
      </c>
      <c r="B47" s="766" t="s">
        <v>507</v>
      </c>
      <c r="C47" s="2595">
        <f t="shared" ref="C47:P47" si="22">C9+C22+C34</f>
        <v>27764094.579999998</v>
      </c>
      <c r="D47" s="2596">
        <f t="shared" si="22"/>
        <v>27129326.579999998</v>
      </c>
      <c r="E47" s="2595">
        <f t="shared" si="22"/>
        <v>24676063.50237849</v>
      </c>
      <c r="F47" s="2595">
        <f t="shared" si="22"/>
        <v>23876184.27640469</v>
      </c>
      <c r="G47" s="2595">
        <f t="shared" si="22"/>
        <v>22841626.359060947</v>
      </c>
      <c r="H47" s="2595">
        <f t="shared" si="22"/>
        <v>22258914.698132522</v>
      </c>
      <c r="I47" s="2595">
        <f t="shared" si="22"/>
        <v>21343912.985163461</v>
      </c>
      <c r="J47" s="2595">
        <f t="shared" si="22"/>
        <v>4323.2392784789999</v>
      </c>
      <c r="K47" s="2596">
        <f t="shared" si="22"/>
        <v>4323.2392784789999</v>
      </c>
      <c r="L47" s="2595">
        <f t="shared" si="22"/>
        <v>3384.1190589855159</v>
      </c>
      <c r="M47" s="2595">
        <f t="shared" si="22"/>
        <v>3274.7598453506534</v>
      </c>
      <c r="N47" s="2595">
        <f t="shared" si="22"/>
        <v>3132.9432132843785</v>
      </c>
      <c r="O47" s="2595">
        <f t="shared" si="22"/>
        <v>3053.1805055829977</v>
      </c>
      <c r="P47" s="2595">
        <f t="shared" si="22"/>
        <v>2928.2442564687617</v>
      </c>
      <c r="Q47" s="2570">
        <f t="shared" ref="Q47:Q55" si="23">IFERROR((J47*1000)/(C47/1000),0)</f>
        <v>155.71331764563524</v>
      </c>
      <c r="R47" s="2571">
        <f t="shared" ref="R47:R55" si="24">IFERROR((K47*1000)/(D47/1000),0)</f>
        <v>159.35667498898161</v>
      </c>
      <c r="S47" s="2570">
        <f t="shared" ref="S47:S55" si="25">IFERROR((L47*1000)/(E47/1000),0)</f>
        <v>137.14177136314007</v>
      </c>
      <c r="T47" s="2570">
        <f t="shared" ref="T47:T55" si="26">IFERROR((M47*1000)/(F47/1000),0)</f>
        <v>137.15591266343549</v>
      </c>
      <c r="U47" s="2570">
        <f t="shared" ref="U47:U55" si="27">IFERROR((N47*1000)/(G47/1000),0)</f>
        <v>137.15937578330909</v>
      </c>
      <c r="V47" s="2570">
        <f t="shared" ref="V47:V55" si="28">IFERROR((O47*1000)/(H47/1000),0)</f>
        <v>137.16663849020247</v>
      </c>
      <c r="W47" s="2570">
        <f t="shared" ref="W47:W55" si="29">IFERROR((P47*1000)/(I47/1000),0)</f>
        <v>137.19341240306954</v>
      </c>
    </row>
    <row r="48" spans="1:28" ht="24">
      <c r="A48" s="765">
        <v>2</v>
      </c>
      <c r="B48" s="766" t="s">
        <v>508</v>
      </c>
      <c r="C48" s="2595">
        <f t="shared" ref="C48:P48" si="30">C10+C23+C35</f>
        <v>35857767.799999997</v>
      </c>
      <c r="D48" s="2595">
        <f t="shared" si="30"/>
        <v>35841341.799999997</v>
      </c>
      <c r="E48" s="2595">
        <f t="shared" si="30"/>
        <v>33157379.062485941</v>
      </c>
      <c r="F48" s="2595">
        <f t="shared" si="30"/>
        <v>32758747.772702813</v>
      </c>
      <c r="G48" s="2595">
        <f t="shared" si="30"/>
        <v>31183670.745980896</v>
      </c>
      <c r="H48" s="2595">
        <f t="shared" si="30"/>
        <v>29760393.73960878</v>
      </c>
      <c r="I48" s="2595">
        <f t="shared" si="30"/>
        <v>28863604.112314053</v>
      </c>
      <c r="J48" s="2595">
        <f t="shared" si="30"/>
        <v>5046.7632485781896</v>
      </c>
      <c r="K48" s="2595">
        <f t="shared" si="30"/>
        <v>5044.4507475603332</v>
      </c>
      <c r="L48" s="2595">
        <f t="shared" si="30"/>
        <v>4029.3678730703673</v>
      </c>
      <c r="M48" s="2595">
        <f t="shared" si="30"/>
        <v>3981.2876404227759</v>
      </c>
      <c r="N48" s="2595">
        <f t="shared" si="30"/>
        <v>3790.8373376113127</v>
      </c>
      <c r="O48" s="2595">
        <f t="shared" si="30"/>
        <v>3619.6261711242737</v>
      </c>
      <c r="P48" s="2595">
        <f t="shared" si="30"/>
        <v>3511.7731009567833</v>
      </c>
      <c r="Q48" s="2570">
        <f t="shared" si="23"/>
        <v>140.74393243681473</v>
      </c>
      <c r="R48" s="2570">
        <f t="shared" si="24"/>
        <v>140.74391454731571</v>
      </c>
      <c r="S48" s="2570">
        <f t="shared" si="25"/>
        <v>121.52250832241351</v>
      </c>
      <c r="T48" s="2570">
        <f t="shared" si="26"/>
        <v>121.53357228569953</v>
      </c>
      <c r="U48" s="2570">
        <f t="shared" si="27"/>
        <v>121.56482052709892</v>
      </c>
      <c r="V48" s="2570">
        <f t="shared" si="28"/>
        <v>121.62561432467984</v>
      </c>
      <c r="W48" s="2570">
        <f t="shared" si="29"/>
        <v>121.66786542982547</v>
      </c>
    </row>
    <row r="49" spans="1:23" ht="24.75" thickBot="1">
      <c r="A49" s="773">
        <v>3</v>
      </c>
      <c r="B49" s="771" t="s">
        <v>509</v>
      </c>
      <c r="C49" s="2597">
        <f t="shared" ref="C49:P49" si="31">C11+C24+C36</f>
        <v>0</v>
      </c>
      <c r="D49" s="2597">
        <f t="shared" si="31"/>
        <v>0</v>
      </c>
      <c r="E49" s="2597">
        <f t="shared" si="31"/>
        <v>0</v>
      </c>
      <c r="F49" s="2597">
        <f t="shared" si="31"/>
        <v>0</v>
      </c>
      <c r="G49" s="2597">
        <f t="shared" si="31"/>
        <v>0</v>
      </c>
      <c r="H49" s="2597">
        <f t="shared" si="31"/>
        <v>0</v>
      </c>
      <c r="I49" s="2597">
        <f t="shared" si="31"/>
        <v>0</v>
      </c>
      <c r="J49" s="2597">
        <f t="shared" si="31"/>
        <v>0</v>
      </c>
      <c r="K49" s="2597">
        <f t="shared" si="31"/>
        <v>0</v>
      </c>
      <c r="L49" s="2597">
        <f t="shared" si="31"/>
        <v>0</v>
      </c>
      <c r="M49" s="2597">
        <f t="shared" si="31"/>
        <v>0</v>
      </c>
      <c r="N49" s="2597">
        <f t="shared" si="31"/>
        <v>0</v>
      </c>
      <c r="O49" s="2597">
        <f t="shared" si="31"/>
        <v>0</v>
      </c>
      <c r="P49" s="2597">
        <f t="shared" si="31"/>
        <v>0</v>
      </c>
      <c r="Q49" s="2598">
        <f t="shared" si="23"/>
        <v>0</v>
      </c>
      <c r="R49" s="2598">
        <f t="shared" si="24"/>
        <v>0</v>
      </c>
      <c r="S49" s="2598">
        <f t="shared" si="25"/>
        <v>0</v>
      </c>
      <c r="T49" s="2598">
        <f t="shared" si="26"/>
        <v>0</v>
      </c>
      <c r="U49" s="2598">
        <f t="shared" si="27"/>
        <v>0</v>
      </c>
      <c r="V49" s="2598">
        <f t="shared" si="28"/>
        <v>0</v>
      </c>
      <c r="W49" s="2598">
        <f t="shared" si="29"/>
        <v>0</v>
      </c>
    </row>
    <row r="50" spans="1:23" ht="24.75" thickBot="1">
      <c r="A50" s="2663">
        <v>4</v>
      </c>
      <c r="B50" s="2664" t="s">
        <v>1191</v>
      </c>
      <c r="C50" s="2599">
        <f>C47+C48+C49</f>
        <v>63621862.379999995</v>
      </c>
      <c r="D50" s="2599">
        <f t="shared" ref="D50:P50" si="32">D47+D48+D49</f>
        <v>62970668.379999995</v>
      </c>
      <c r="E50" s="2599">
        <f t="shared" si="32"/>
        <v>57833442.564864427</v>
      </c>
      <c r="F50" s="2599">
        <f t="shared" si="32"/>
        <v>56634932.049107507</v>
      </c>
      <c r="G50" s="2599">
        <f t="shared" si="32"/>
        <v>54025297.105041847</v>
      </c>
      <c r="H50" s="2599">
        <f t="shared" si="32"/>
        <v>52019308.437741302</v>
      </c>
      <c r="I50" s="2599">
        <f t="shared" si="32"/>
        <v>50207517.097477511</v>
      </c>
      <c r="J50" s="2599">
        <f t="shared" si="32"/>
        <v>9370.0025270571896</v>
      </c>
      <c r="K50" s="2599">
        <f t="shared" si="32"/>
        <v>9367.690026039334</v>
      </c>
      <c r="L50" s="2599">
        <f t="shared" si="32"/>
        <v>7413.4869320558828</v>
      </c>
      <c r="M50" s="2599">
        <f t="shared" si="32"/>
        <v>7256.0474857734298</v>
      </c>
      <c r="N50" s="2599">
        <f t="shared" si="32"/>
        <v>6923.7805508956917</v>
      </c>
      <c r="O50" s="2599">
        <f t="shared" si="32"/>
        <v>6672.8066767072714</v>
      </c>
      <c r="P50" s="2599">
        <f t="shared" si="32"/>
        <v>6440.017357425545</v>
      </c>
      <c r="Q50" s="2600">
        <f t="shared" si="23"/>
        <v>147.27645775428792</v>
      </c>
      <c r="R50" s="2600">
        <f t="shared" si="24"/>
        <v>148.76275362855429</v>
      </c>
      <c r="S50" s="2600">
        <f t="shared" si="25"/>
        <v>128.1868518157313</v>
      </c>
      <c r="T50" s="2600">
        <f t="shared" si="26"/>
        <v>128.11964671347701</v>
      </c>
      <c r="U50" s="2600">
        <f t="shared" si="27"/>
        <v>128.15812076764198</v>
      </c>
      <c r="V50" s="2600">
        <f t="shared" si="28"/>
        <v>128.27557453389718</v>
      </c>
      <c r="W50" s="2601">
        <f t="shared" si="29"/>
        <v>128.26799112416376</v>
      </c>
    </row>
    <row r="51" spans="1:23" ht="24">
      <c r="A51" s="774">
        <v>5</v>
      </c>
      <c r="B51" s="775" t="s">
        <v>505</v>
      </c>
      <c r="C51" s="1609">
        <v>233740</v>
      </c>
      <c r="D51" s="2636">
        <v>250166</v>
      </c>
      <c r="E51" s="2636">
        <v>250166</v>
      </c>
      <c r="F51" s="2636">
        <v>250166</v>
      </c>
      <c r="G51" s="2636">
        <v>250166</v>
      </c>
      <c r="H51" s="2636">
        <v>250166</v>
      </c>
      <c r="I51" s="2636">
        <v>250166</v>
      </c>
      <c r="J51" s="1609">
        <v>32.906610733810339</v>
      </c>
      <c r="K51" s="2636">
        <v>35.219111751666787</v>
      </c>
      <c r="L51" s="2636">
        <v>26.0546392594506</v>
      </c>
      <c r="M51" s="1609">
        <v>26.054639259450141</v>
      </c>
      <c r="N51" s="2636">
        <v>26.054639259450596</v>
      </c>
      <c r="O51" s="2636">
        <v>26.054639259450141</v>
      </c>
      <c r="P51" s="1609">
        <v>26.054639259450141</v>
      </c>
      <c r="Q51" s="2602">
        <f t="shared" si="23"/>
        <v>140.78296711649841</v>
      </c>
      <c r="R51" s="2602">
        <f t="shared" si="24"/>
        <v>140.78296711650179</v>
      </c>
      <c r="S51" s="2602">
        <f t="shared" si="25"/>
        <v>104.14940183498398</v>
      </c>
      <c r="T51" s="2602">
        <f t="shared" si="26"/>
        <v>104.14940183498214</v>
      </c>
      <c r="U51" s="2602">
        <f t="shared" si="27"/>
        <v>104.14940183498396</v>
      </c>
      <c r="V51" s="2602">
        <f t="shared" si="28"/>
        <v>104.14940183498214</v>
      </c>
      <c r="W51" s="2602">
        <f t="shared" si="29"/>
        <v>104.14940183498214</v>
      </c>
    </row>
    <row r="52" spans="1:23" ht="24">
      <c r="A52" s="765">
        <v>6</v>
      </c>
      <c r="B52" s="766" t="s">
        <v>817</v>
      </c>
      <c r="C52" s="1609">
        <v>21309.39602599432</v>
      </c>
      <c r="D52" s="2636">
        <v>21309.396025993807</v>
      </c>
      <c r="E52" s="2636">
        <v>28804.774171946272</v>
      </c>
      <c r="F52" s="1609">
        <v>28804.774171946778</v>
      </c>
      <c r="G52" s="2636">
        <v>28804.774171946276</v>
      </c>
      <c r="H52" s="2636">
        <v>28804.774171946778</v>
      </c>
      <c r="I52" s="1609">
        <v>28804.774171946778</v>
      </c>
      <c r="J52" s="1609">
        <v>3</v>
      </c>
      <c r="K52" s="2636">
        <v>3</v>
      </c>
      <c r="L52" s="2636">
        <v>3</v>
      </c>
      <c r="M52" s="1609">
        <v>3</v>
      </c>
      <c r="N52" s="2636">
        <v>3</v>
      </c>
      <c r="O52" s="2636">
        <v>3</v>
      </c>
      <c r="P52" s="1609">
        <v>3</v>
      </c>
      <c r="Q52" s="2570">
        <f t="shared" si="23"/>
        <v>140.78296711649838</v>
      </c>
      <c r="R52" s="2570">
        <f t="shared" si="24"/>
        <v>140.78296711650179</v>
      </c>
      <c r="S52" s="2570">
        <f t="shared" si="25"/>
        <v>104.14940183498398</v>
      </c>
      <c r="T52" s="2570">
        <f t="shared" si="26"/>
        <v>104.14940183498214</v>
      </c>
      <c r="U52" s="2570">
        <f t="shared" si="27"/>
        <v>104.14940183498396</v>
      </c>
      <c r="V52" s="2570">
        <f t="shared" si="28"/>
        <v>104.14940183498214</v>
      </c>
      <c r="W52" s="2570">
        <f t="shared" si="29"/>
        <v>104.14940183498214</v>
      </c>
    </row>
    <row r="53" spans="1:23" ht="24">
      <c r="A53" s="774">
        <v>7</v>
      </c>
      <c r="B53" s="766" t="s">
        <v>1473</v>
      </c>
      <c r="C53" s="1609"/>
      <c r="D53" s="2636"/>
      <c r="E53" s="2636"/>
      <c r="F53" s="1609"/>
      <c r="G53" s="2636"/>
      <c r="H53" s="2636"/>
      <c r="I53" s="1609"/>
      <c r="J53" s="1609"/>
      <c r="K53" s="2636"/>
      <c r="L53" s="2636"/>
      <c r="M53" s="1609"/>
      <c r="N53" s="2636"/>
      <c r="O53" s="2636"/>
      <c r="P53" s="1609"/>
      <c r="Q53" s="2570">
        <f t="shared" ref="Q53:W54" si="33">IFERROR((J53*1000)/(C53/1000),0)</f>
        <v>0</v>
      </c>
      <c r="R53" s="2570">
        <f t="shared" si="33"/>
        <v>0</v>
      </c>
      <c r="S53" s="2570">
        <f t="shared" si="33"/>
        <v>0</v>
      </c>
      <c r="T53" s="2570">
        <f t="shared" si="33"/>
        <v>0</v>
      </c>
      <c r="U53" s="2570">
        <f t="shared" si="33"/>
        <v>0</v>
      </c>
      <c r="V53" s="2570">
        <f t="shared" si="33"/>
        <v>0</v>
      </c>
      <c r="W53" s="2570">
        <f t="shared" si="33"/>
        <v>0</v>
      </c>
    </row>
    <row r="54" spans="1:23" ht="24.75" customHeight="1">
      <c r="A54" s="765">
        <v>8</v>
      </c>
      <c r="B54" s="766" t="s">
        <v>1474</v>
      </c>
      <c r="C54" s="1609"/>
      <c r="D54" s="2636"/>
      <c r="E54" s="2636"/>
      <c r="F54" s="1609"/>
      <c r="G54" s="2636"/>
      <c r="H54" s="2636"/>
      <c r="I54" s="1609"/>
      <c r="J54" s="1609"/>
      <c r="K54" s="2636"/>
      <c r="L54" s="2636"/>
      <c r="M54" s="1609"/>
      <c r="N54" s="2636"/>
      <c r="O54" s="2636"/>
      <c r="P54" s="1609"/>
      <c r="Q54" s="2570">
        <f t="shared" si="33"/>
        <v>0</v>
      </c>
      <c r="R54" s="2570">
        <f t="shared" si="33"/>
        <v>0</v>
      </c>
      <c r="S54" s="2570">
        <f t="shared" si="33"/>
        <v>0</v>
      </c>
      <c r="T54" s="2570">
        <f t="shared" si="33"/>
        <v>0</v>
      </c>
      <c r="U54" s="2570">
        <f t="shared" si="33"/>
        <v>0</v>
      </c>
      <c r="V54" s="2570">
        <f t="shared" si="33"/>
        <v>0</v>
      </c>
      <c r="W54" s="2570">
        <f t="shared" si="33"/>
        <v>0</v>
      </c>
    </row>
    <row r="55" spans="1:23" ht="24" customHeight="1">
      <c r="A55" s="2575">
        <v>9</v>
      </c>
      <c r="B55" s="2591" t="s">
        <v>506</v>
      </c>
      <c r="C55" s="2575">
        <f>C47+C48+C49+C51+C52+C53+C54</f>
        <v>63876911.776025988</v>
      </c>
      <c r="D55" s="2575">
        <f t="shared" ref="D55:P55" si="34">D47+D48+D49+D51+D52+D53+D54</f>
        <v>63242143.776025988</v>
      </c>
      <c r="E55" s="2575">
        <f t="shared" si="34"/>
        <v>58112413.339036375</v>
      </c>
      <c r="F55" s="2575">
        <f t="shared" si="34"/>
        <v>56913902.823279455</v>
      </c>
      <c r="G55" s="2575">
        <f t="shared" si="34"/>
        <v>54304267.879213795</v>
      </c>
      <c r="H55" s="2575">
        <f t="shared" si="34"/>
        <v>52298279.21191325</v>
      </c>
      <c r="I55" s="2575">
        <f t="shared" si="34"/>
        <v>50486487.871649459</v>
      </c>
      <c r="J55" s="2575">
        <f t="shared" si="34"/>
        <v>9405.9091377910008</v>
      </c>
      <c r="K55" s="2575">
        <f t="shared" si="34"/>
        <v>9405.9091377910008</v>
      </c>
      <c r="L55" s="2575">
        <f t="shared" si="34"/>
        <v>7442.5415713153334</v>
      </c>
      <c r="M55" s="2575">
        <f t="shared" si="34"/>
        <v>7285.1021250328795</v>
      </c>
      <c r="N55" s="2575">
        <f t="shared" si="34"/>
        <v>6952.8351901551423</v>
      </c>
      <c r="O55" s="2575">
        <f t="shared" si="34"/>
        <v>6701.861315966722</v>
      </c>
      <c r="P55" s="2575">
        <f t="shared" si="34"/>
        <v>6469.0719966849956</v>
      </c>
      <c r="Q55" s="2572">
        <f t="shared" si="23"/>
        <v>147.25053037584678</v>
      </c>
      <c r="R55" s="2572">
        <f t="shared" si="24"/>
        <v>148.72849932320952</v>
      </c>
      <c r="S55" s="2572">
        <f t="shared" si="25"/>
        <v>128.07145915442283</v>
      </c>
      <c r="T55" s="2572">
        <f t="shared" si="26"/>
        <v>128.0021534923284</v>
      </c>
      <c r="U55" s="2572">
        <f t="shared" si="27"/>
        <v>128.0347836678321</v>
      </c>
      <c r="V55" s="2572">
        <f t="shared" si="28"/>
        <v>128.14688010690944</v>
      </c>
      <c r="W55" s="2572">
        <f t="shared" si="29"/>
        <v>128.13472018753129</v>
      </c>
    </row>
    <row r="57" spans="1:23" ht="21" customHeight="1">
      <c r="A57" s="3462" t="s">
        <v>1</v>
      </c>
      <c r="B57" s="3462" t="s">
        <v>502</v>
      </c>
      <c r="C57" s="3462" t="s">
        <v>513</v>
      </c>
      <c r="D57" s="3462"/>
      <c r="E57" s="3462"/>
      <c r="F57" s="3462"/>
      <c r="G57" s="3462"/>
      <c r="H57" s="3462"/>
      <c r="I57" s="3462"/>
      <c r="J57" s="3462"/>
      <c r="K57" s="3462"/>
      <c r="L57" s="3462"/>
      <c r="M57" s="3462"/>
      <c r="N57" s="3462"/>
      <c r="O57" s="3462"/>
      <c r="P57" s="3462"/>
    </row>
    <row r="58" spans="1:23" ht="21" customHeight="1">
      <c r="A58" s="3463"/>
      <c r="B58" s="3463"/>
      <c r="C58" s="3464" t="s">
        <v>503</v>
      </c>
      <c r="D58" s="3464"/>
      <c r="E58" s="3464"/>
      <c r="F58" s="3464"/>
      <c r="G58" s="3464"/>
      <c r="H58" s="3464"/>
      <c r="I58" s="3464"/>
      <c r="J58" s="3464" t="s">
        <v>1192</v>
      </c>
      <c r="K58" s="3464"/>
      <c r="L58" s="3464"/>
      <c r="M58" s="3464"/>
      <c r="N58" s="3464"/>
      <c r="O58" s="3464"/>
      <c r="P58" s="3464"/>
    </row>
    <row r="59" spans="1:23" ht="21.75" customHeight="1">
      <c r="A59" s="3463"/>
      <c r="B59" s="3463"/>
      <c r="C59" s="1544" t="str">
        <f>C46</f>
        <v>2015 г.</v>
      </c>
      <c r="D59" s="1544" t="str">
        <f t="shared" ref="D59:I59" si="35">D46</f>
        <v>2016 г.</v>
      </c>
      <c r="E59" s="1544" t="str">
        <f t="shared" si="35"/>
        <v>2017 г.</v>
      </c>
      <c r="F59" s="1544" t="str">
        <f t="shared" si="35"/>
        <v>2018 г.</v>
      </c>
      <c r="G59" s="1544" t="str">
        <f t="shared" si="35"/>
        <v>2019 г.</v>
      </c>
      <c r="H59" s="1544" t="str">
        <f t="shared" si="35"/>
        <v>2020 г.</v>
      </c>
      <c r="I59" s="1544" t="str">
        <f t="shared" si="35"/>
        <v>2021 г.</v>
      </c>
      <c r="J59" s="1544" t="str">
        <f t="shared" ref="J59:P59" si="36">C59</f>
        <v>2015 г.</v>
      </c>
      <c r="K59" s="1544" t="str">
        <f t="shared" si="36"/>
        <v>2016 г.</v>
      </c>
      <c r="L59" s="1544" t="str">
        <f t="shared" si="36"/>
        <v>2017 г.</v>
      </c>
      <c r="M59" s="1544" t="str">
        <f t="shared" si="36"/>
        <v>2018 г.</v>
      </c>
      <c r="N59" s="1544" t="str">
        <f t="shared" si="36"/>
        <v>2019 г.</v>
      </c>
      <c r="O59" s="1544" t="str">
        <f t="shared" si="36"/>
        <v>2020 г.</v>
      </c>
      <c r="P59" s="1544" t="str">
        <f t="shared" si="36"/>
        <v>2021 г.</v>
      </c>
    </row>
    <row r="60" spans="1:23" ht="24">
      <c r="A60" s="765">
        <v>1</v>
      </c>
      <c r="B60" s="776" t="s">
        <v>931</v>
      </c>
      <c r="C60" s="1609"/>
      <c r="D60" s="1609"/>
      <c r="E60" s="1609"/>
      <c r="F60" s="1609"/>
      <c r="G60" s="1609"/>
      <c r="H60" s="1609"/>
      <c r="I60" s="1609"/>
      <c r="J60" s="1545"/>
      <c r="K60" s="1545"/>
      <c r="L60" s="1545"/>
      <c r="M60" s="1545"/>
      <c r="N60" s="1545"/>
      <c r="O60" s="1545"/>
      <c r="P60" s="1545"/>
    </row>
    <row r="61" spans="1:23" ht="24">
      <c r="A61" s="765">
        <v>2</v>
      </c>
      <c r="B61" s="776" t="s">
        <v>932</v>
      </c>
      <c r="C61" s="1609"/>
      <c r="D61" s="1609"/>
      <c r="E61" s="1609"/>
      <c r="F61" s="1609"/>
      <c r="G61" s="1609"/>
      <c r="H61" s="1609"/>
      <c r="I61" s="1609"/>
      <c r="J61" s="1545"/>
      <c r="K61" s="1545"/>
      <c r="L61" s="1545"/>
      <c r="M61" s="1545"/>
      <c r="N61" s="1545"/>
      <c r="O61" s="1545"/>
      <c r="P61" s="1545"/>
    </row>
    <row r="62" spans="1:23" ht="24">
      <c r="A62" s="773">
        <v>3</v>
      </c>
      <c r="B62" s="777" t="s">
        <v>933</v>
      </c>
      <c r="C62" s="1609"/>
      <c r="D62" s="1609"/>
      <c r="E62" s="1609"/>
      <c r="F62" s="1609"/>
      <c r="G62" s="1609"/>
      <c r="H62" s="1609"/>
      <c r="I62" s="1609"/>
      <c r="J62" s="1609"/>
      <c r="K62" s="1609"/>
      <c r="L62" s="1609"/>
      <c r="M62" s="1609"/>
      <c r="N62" s="1609"/>
      <c r="O62" s="1609"/>
      <c r="P62" s="1609"/>
    </row>
    <row r="63" spans="1:23" ht="24">
      <c r="A63" s="2586">
        <v>4</v>
      </c>
      <c r="B63" s="776" t="s">
        <v>1193</v>
      </c>
      <c r="C63" s="3468"/>
      <c r="D63" s="3468"/>
      <c r="E63" s="3468"/>
      <c r="F63" s="3468"/>
      <c r="G63" s="3468"/>
      <c r="H63" s="3468"/>
      <c r="I63" s="3468"/>
      <c r="J63" s="3468"/>
      <c r="K63" s="3468"/>
      <c r="L63" s="3468"/>
      <c r="M63" s="3468"/>
      <c r="N63" s="3468"/>
      <c r="O63" s="3468"/>
      <c r="P63" s="3468"/>
    </row>
    <row r="65" spans="1:28" ht="19.5" customHeight="1">
      <c r="A65" s="2665" t="s">
        <v>1</v>
      </c>
      <c r="B65" s="2666" t="s">
        <v>1475</v>
      </c>
      <c r="C65" s="1544" t="str">
        <f>C59</f>
        <v>2015 г.</v>
      </c>
      <c r="D65" s="1544" t="str">
        <f t="shared" ref="D65:I65" si="37">D59</f>
        <v>2016 г.</v>
      </c>
      <c r="E65" s="1544" t="str">
        <f t="shared" si="37"/>
        <v>2017 г.</v>
      </c>
      <c r="F65" s="1544" t="str">
        <f t="shared" si="37"/>
        <v>2018 г.</v>
      </c>
      <c r="G65" s="1544" t="str">
        <f t="shared" si="37"/>
        <v>2019 г.</v>
      </c>
      <c r="H65" s="1544" t="str">
        <f t="shared" si="37"/>
        <v>2020 г.</v>
      </c>
      <c r="I65" s="1544" t="str">
        <f t="shared" si="37"/>
        <v>2021 г.</v>
      </c>
    </row>
    <row r="66" spans="1:28" ht="36">
      <c r="A66" s="2667">
        <v>1</v>
      </c>
      <c r="B66" s="2668" t="s">
        <v>1510</v>
      </c>
      <c r="C66" s="2637">
        <v>83.95</v>
      </c>
      <c r="D66" s="2637">
        <v>86.95</v>
      </c>
      <c r="E66" s="2637">
        <v>67.5</v>
      </c>
      <c r="F66" s="2637">
        <f>E66</f>
        <v>67.5</v>
      </c>
      <c r="G66" s="2637">
        <f>F66</f>
        <v>67.5</v>
      </c>
      <c r="H66" s="2637">
        <f>G66</f>
        <v>67.5</v>
      </c>
      <c r="I66" s="2637">
        <f>H66</f>
        <v>67.5</v>
      </c>
    </row>
    <row r="67" spans="1:28" ht="36">
      <c r="A67" s="2667">
        <v>2</v>
      </c>
      <c r="B67" s="776" t="s">
        <v>1511</v>
      </c>
      <c r="C67" s="2637">
        <v>83.95</v>
      </c>
      <c r="D67" s="2637">
        <f t="shared" ref="D67:I67" si="38">D66</f>
        <v>86.95</v>
      </c>
      <c r="E67" s="2637">
        <f t="shared" si="38"/>
        <v>67.5</v>
      </c>
      <c r="F67" s="2637">
        <f t="shared" si="38"/>
        <v>67.5</v>
      </c>
      <c r="G67" s="2637">
        <f t="shared" si="38"/>
        <v>67.5</v>
      </c>
      <c r="H67" s="2637">
        <f t="shared" si="38"/>
        <v>67.5</v>
      </c>
      <c r="I67" s="2637">
        <f t="shared" si="38"/>
        <v>67.5</v>
      </c>
    </row>
    <row r="68" spans="1:28" ht="36">
      <c r="A68" s="2667">
        <v>3</v>
      </c>
      <c r="B68" s="776" t="s">
        <v>1512</v>
      </c>
      <c r="C68" s="2637"/>
      <c r="D68" s="2637"/>
      <c r="E68" s="2637"/>
      <c r="F68" s="2637"/>
      <c r="G68" s="2637"/>
      <c r="H68" s="2637"/>
      <c r="I68" s="2637"/>
    </row>
    <row r="71" spans="1:28">
      <c r="A71" s="1552"/>
      <c r="B71" s="1553" t="str">
        <f>'5. Персонал'!B43</f>
        <v>Дата: 10.11.2017 г.</v>
      </c>
      <c r="C71" s="1554"/>
      <c r="D71" s="1554"/>
      <c r="E71" s="1554"/>
      <c r="F71" s="1554"/>
      <c r="G71" s="1554"/>
    </row>
    <row r="72" spans="1:28">
      <c r="A72" s="1555"/>
      <c r="B72" s="1556"/>
      <c r="C72" s="1557"/>
      <c r="D72" s="1557"/>
      <c r="E72" s="1558" t="str">
        <f>'5. Персонал'!AR42</f>
        <v>Главен счетоводител:</v>
      </c>
      <c r="F72" s="1557" t="s">
        <v>4</v>
      </c>
      <c r="G72" s="1554"/>
    </row>
    <row r="73" spans="1:28">
      <c r="A73" s="1555"/>
      <c r="B73" s="1555"/>
      <c r="C73" s="1554"/>
      <c r="D73" s="1554"/>
      <c r="E73" s="1559"/>
      <c r="F73" s="1557"/>
      <c r="G73" s="1560" t="s">
        <v>246</v>
      </c>
    </row>
    <row r="74" spans="1:28">
      <c r="A74" s="1555"/>
      <c r="B74" s="1555"/>
      <c r="C74" s="1554"/>
      <c r="D74" s="1554"/>
      <c r="E74" s="1559"/>
      <c r="F74" s="1557"/>
      <c r="G74" s="1560"/>
    </row>
    <row r="75" spans="1:28" s="684" customFormat="1" ht="12">
      <c r="C75" s="1561"/>
      <c r="D75" s="1561"/>
      <c r="E75" s="1562"/>
      <c r="F75" s="1562"/>
      <c r="G75" s="1562"/>
      <c r="H75" s="1561"/>
      <c r="I75" s="1561"/>
      <c r="J75" s="1561"/>
      <c r="K75" s="1561"/>
      <c r="L75" s="1561"/>
      <c r="M75" s="1561"/>
      <c r="N75" s="1561"/>
      <c r="O75" s="1561"/>
      <c r="P75" s="1561"/>
      <c r="Q75" s="1561"/>
      <c r="R75" s="1561"/>
      <c r="S75" s="1561"/>
      <c r="T75" s="1561"/>
      <c r="U75" s="1561"/>
      <c r="V75" s="1561"/>
      <c r="W75" s="1561"/>
      <c r="X75" s="1561"/>
      <c r="Y75" s="1561"/>
      <c r="Z75" s="1561"/>
      <c r="AA75" s="1561"/>
      <c r="AB75" s="1561"/>
    </row>
    <row r="76" spans="1:28" s="683" customFormat="1">
      <c r="C76" s="1563"/>
      <c r="D76" s="1563"/>
      <c r="E76" s="1558" t="str">
        <f>'5. Персонал'!AR46</f>
        <v>Управител:</v>
      </c>
      <c r="F76" s="1557" t="s">
        <v>4</v>
      </c>
      <c r="G76" s="1554"/>
      <c r="H76" s="1538"/>
      <c r="I76" s="1564"/>
      <c r="J76" s="1563"/>
      <c r="K76" s="1565"/>
      <c r="L76" s="1563"/>
      <c r="M76" s="1563"/>
      <c r="N76" s="1563"/>
      <c r="O76" s="1563"/>
      <c r="P76" s="1563"/>
      <c r="Q76" s="1563"/>
      <c r="R76" s="1563"/>
      <c r="S76" s="1563"/>
      <c r="T76" s="1563"/>
      <c r="U76" s="1563"/>
      <c r="V76" s="1563"/>
      <c r="W76" s="1563"/>
      <c r="X76" s="1563"/>
      <c r="Y76" s="1563"/>
      <c r="Z76" s="1563"/>
      <c r="AA76" s="1563"/>
      <c r="AB76" s="1563"/>
    </row>
    <row r="77" spans="1:28">
      <c r="G77" s="1560" t="s">
        <v>6</v>
      </c>
    </row>
    <row r="80" spans="1:28">
      <c r="A80" s="3469" t="s">
        <v>247</v>
      </c>
      <c r="B80" s="3469"/>
      <c r="C80" s="3469"/>
      <c r="D80" s="3469"/>
    </row>
    <row r="81" spans="1:21">
      <c r="A81" s="3470" t="s">
        <v>248</v>
      </c>
      <c r="B81" s="3470"/>
      <c r="C81" s="3470"/>
      <c r="D81" s="3470"/>
    </row>
    <row r="82" spans="1:21" ht="36" customHeight="1">
      <c r="A82" s="3434" t="s">
        <v>1551</v>
      </c>
      <c r="B82" s="3434"/>
      <c r="C82" s="3434"/>
      <c r="D82" s="3434"/>
      <c r="E82" s="3434"/>
      <c r="F82" s="3434"/>
      <c r="G82" s="3434"/>
      <c r="H82" s="3434"/>
      <c r="I82" s="3434"/>
      <c r="J82" s="3434"/>
      <c r="K82" s="3434"/>
      <c r="L82" s="3434"/>
      <c r="M82" s="3434"/>
      <c r="N82" s="3434"/>
      <c r="O82" s="3434"/>
      <c r="P82" s="3434"/>
      <c r="Q82" s="3434"/>
      <c r="R82" s="3434"/>
      <c r="S82" s="3434"/>
      <c r="T82" s="3434"/>
      <c r="U82" s="3434"/>
    </row>
  </sheetData>
  <sheetProtection password="C6DB" sheet="1" objects="1" scenarios="1" formatCells="0" formatColumns="0" formatRows="0"/>
  <mergeCells count="40">
    <mergeCell ref="A82:U82"/>
    <mergeCell ref="J58:P58"/>
    <mergeCell ref="C57:P57"/>
    <mergeCell ref="C63:P63"/>
    <mergeCell ref="A80:D80"/>
    <mergeCell ref="A81:D81"/>
    <mergeCell ref="A57:A59"/>
    <mergeCell ref="B57:B59"/>
    <mergeCell ref="C58:I58"/>
    <mergeCell ref="V5:W5"/>
    <mergeCell ref="A2:W2"/>
    <mergeCell ref="A3:W3"/>
    <mergeCell ref="A4:W4"/>
    <mergeCell ref="A6:A8"/>
    <mergeCell ref="B6:B8"/>
    <mergeCell ref="C6:W6"/>
    <mergeCell ref="C7:I7"/>
    <mergeCell ref="J7:P7"/>
    <mergeCell ref="Q7:W7"/>
    <mergeCell ref="J32:P32"/>
    <mergeCell ref="Q32:W32"/>
    <mergeCell ref="C20:I20"/>
    <mergeCell ref="J20:P20"/>
    <mergeCell ref="Q20:W20"/>
    <mergeCell ref="A17:C17"/>
    <mergeCell ref="A29:C29"/>
    <mergeCell ref="A44:A46"/>
    <mergeCell ref="B44:B46"/>
    <mergeCell ref="C44:W44"/>
    <mergeCell ref="C45:I45"/>
    <mergeCell ref="J45:P45"/>
    <mergeCell ref="Q45:W45"/>
    <mergeCell ref="A42:C42"/>
    <mergeCell ref="B19:B21"/>
    <mergeCell ref="C19:W19"/>
    <mergeCell ref="A19:A21"/>
    <mergeCell ref="A31:A33"/>
    <mergeCell ref="B31:B33"/>
    <mergeCell ref="C31:W31"/>
    <mergeCell ref="C32:I32"/>
  </mergeCells>
  <printOptions horizontalCentered="1"/>
  <pageMargins left="0.70866141732283472" right="0.70866141732283472" top="0.74803149606299213" bottom="0.74803149606299213" header="0.31496062992125984" footer="0.31496062992125984"/>
  <pageSetup paperSize="9" scale="51" orientation="landscape" r:id="rId1"/>
  <headerFooter>
    <oddFooter>&amp;A&amp;RPage &amp;P</oddFooter>
  </headerFooter>
  <rowBreaks count="1" manualBreakCount="1">
    <brk id="42" max="2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26"/>
  </sheetPr>
  <dimension ref="A1:N48"/>
  <sheetViews>
    <sheetView showGridLines="0" view="pageBreakPreview" zoomScaleNormal="100" zoomScaleSheetLayoutView="100" workbookViewId="0">
      <pane xSplit="2" ySplit="9" topLeftCell="E10" activePane="bottomRight" state="frozen"/>
      <selection pane="topRight" activeCell="C1" sqref="C1"/>
      <selection pane="bottomLeft" activeCell="A10" sqref="A10"/>
      <selection pane="bottomRight" activeCell="H32" sqref="H32"/>
    </sheetView>
  </sheetViews>
  <sheetFormatPr defaultRowHeight="12.75"/>
  <cols>
    <col min="1" max="1" width="5.28515625" style="450" customWidth="1"/>
    <col min="2" max="2" width="67.5703125" style="26" bestFit="1" customWidth="1"/>
    <col min="3" max="3" width="10.28515625" style="26" customWidth="1"/>
    <col min="4" max="10" width="10.7109375" style="564" customWidth="1"/>
    <col min="11" max="11" width="9.140625" style="26"/>
    <col min="12" max="12" width="11.28515625" style="26" bestFit="1" customWidth="1"/>
    <col min="13" max="13" width="9.7109375" style="26" bestFit="1" customWidth="1"/>
    <col min="14" max="256" width="9.140625" style="26"/>
    <col min="257" max="257" width="5.28515625" style="26" customWidth="1"/>
    <col min="258" max="258" width="56.42578125" style="26" customWidth="1"/>
    <col min="259" max="259" width="10.28515625" style="26" customWidth="1"/>
    <col min="260" max="266" width="10.7109375" style="26" customWidth="1"/>
    <col min="267" max="267" width="9.140625" style="26"/>
    <col min="268" max="268" width="11.28515625" style="26" bestFit="1" customWidth="1"/>
    <col min="269" max="269" width="9.7109375" style="26" bestFit="1" customWidth="1"/>
    <col min="270" max="512" width="9.140625" style="26"/>
    <col min="513" max="513" width="5.28515625" style="26" customWidth="1"/>
    <col min="514" max="514" width="56.42578125" style="26" customWidth="1"/>
    <col min="515" max="515" width="10.28515625" style="26" customWidth="1"/>
    <col min="516" max="522" width="10.7109375" style="26" customWidth="1"/>
    <col min="523" max="523" width="9.140625" style="26"/>
    <col min="524" max="524" width="11.28515625" style="26" bestFit="1" customWidth="1"/>
    <col min="525" max="525" width="9.7109375" style="26" bestFit="1" customWidth="1"/>
    <col min="526" max="768" width="9.140625" style="26"/>
    <col min="769" max="769" width="5.28515625" style="26" customWidth="1"/>
    <col min="770" max="770" width="56.42578125" style="26" customWidth="1"/>
    <col min="771" max="771" width="10.28515625" style="26" customWidth="1"/>
    <col min="772" max="778" width="10.7109375" style="26" customWidth="1"/>
    <col min="779" max="779" width="9.140625" style="26"/>
    <col min="780" max="780" width="11.28515625" style="26" bestFit="1" customWidth="1"/>
    <col min="781" max="781" width="9.7109375" style="26" bestFit="1" customWidth="1"/>
    <col min="782" max="1024" width="9.140625" style="26"/>
    <col min="1025" max="1025" width="5.28515625" style="26" customWidth="1"/>
    <col min="1026" max="1026" width="56.42578125" style="26" customWidth="1"/>
    <col min="1027" max="1027" width="10.28515625" style="26" customWidth="1"/>
    <col min="1028" max="1034" width="10.7109375" style="26" customWidth="1"/>
    <col min="1035" max="1035" width="9.140625" style="26"/>
    <col min="1036" max="1036" width="11.28515625" style="26" bestFit="1" customWidth="1"/>
    <col min="1037" max="1037" width="9.7109375" style="26" bestFit="1" customWidth="1"/>
    <col min="1038" max="1280" width="9.140625" style="26"/>
    <col min="1281" max="1281" width="5.28515625" style="26" customWidth="1"/>
    <col min="1282" max="1282" width="56.42578125" style="26" customWidth="1"/>
    <col min="1283" max="1283" width="10.28515625" style="26" customWidth="1"/>
    <col min="1284" max="1290" width="10.7109375" style="26" customWidth="1"/>
    <col min="1291" max="1291" width="9.140625" style="26"/>
    <col min="1292" max="1292" width="11.28515625" style="26" bestFit="1" customWidth="1"/>
    <col min="1293" max="1293" width="9.7109375" style="26" bestFit="1" customWidth="1"/>
    <col min="1294" max="1536" width="9.140625" style="26"/>
    <col min="1537" max="1537" width="5.28515625" style="26" customWidth="1"/>
    <col min="1538" max="1538" width="56.42578125" style="26" customWidth="1"/>
    <col min="1539" max="1539" width="10.28515625" style="26" customWidth="1"/>
    <col min="1540" max="1546" width="10.7109375" style="26" customWidth="1"/>
    <col min="1547" max="1547" width="9.140625" style="26"/>
    <col min="1548" max="1548" width="11.28515625" style="26" bestFit="1" customWidth="1"/>
    <col min="1549" max="1549" width="9.7109375" style="26" bestFit="1" customWidth="1"/>
    <col min="1550" max="1792" width="9.140625" style="26"/>
    <col min="1793" max="1793" width="5.28515625" style="26" customWidth="1"/>
    <col min="1794" max="1794" width="56.42578125" style="26" customWidth="1"/>
    <col min="1795" max="1795" width="10.28515625" style="26" customWidth="1"/>
    <col min="1796" max="1802" width="10.7109375" style="26" customWidth="1"/>
    <col min="1803" max="1803" width="9.140625" style="26"/>
    <col min="1804" max="1804" width="11.28515625" style="26" bestFit="1" customWidth="1"/>
    <col min="1805" max="1805" width="9.7109375" style="26" bestFit="1" customWidth="1"/>
    <col min="1806" max="2048" width="9.140625" style="26"/>
    <col min="2049" max="2049" width="5.28515625" style="26" customWidth="1"/>
    <col min="2050" max="2050" width="56.42578125" style="26" customWidth="1"/>
    <col min="2051" max="2051" width="10.28515625" style="26" customWidth="1"/>
    <col min="2052" max="2058" width="10.7109375" style="26" customWidth="1"/>
    <col min="2059" max="2059" width="9.140625" style="26"/>
    <col min="2060" max="2060" width="11.28515625" style="26" bestFit="1" customWidth="1"/>
    <col min="2061" max="2061" width="9.7109375" style="26" bestFit="1" customWidth="1"/>
    <col min="2062" max="2304" width="9.140625" style="26"/>
    <col min="2305" max="2305" width="5.28515625" style="26" customWidth="1"/>
    <col min="2306" max="2306" width="56.42578125" style="26" customWidth="1"/>
    <col min="2307" max="2307" width="10.28515625" style="26" customWidth="1"/>
    <col min="2308" max="2314" width="10.7109375" style="26" customWidth="1"/>
    <col min="2315" max="2315" width="9.140625" style="26"/>
    <col min="2316" max="2316" width="11.28515625" style="26" bestFit="1" customWidth="1"/>
    <col min="2317" max="2317" width="9.7109375" style="26" bestFit="1" customWidth="1"/>
    <col min="2318" max="2560" width="9.140625" style="26"/>
    <col min="2561" max="2561" width="5.28515625" style="26" customWidth="1"/>
    <col min="2562" max="2562" width="56.42578125" style="26" customWidth="1"/>
    <col min="2563" max="2563" width="10.28515625" style="26" customWidth="1"/>
    <col min="2564" max="2570" width="10.7109375" style="26" customWidth="1"/>
    <col min="2571" max="2571" width="9.140625" style="26"/>
    <col min="2572" max="2572" width="11.28515625" style="26" bestFit="1" customWidth="1"/>
    <col min="2573" max="2573" width="9.7109375" style="26" bestFit="1" customWidth="1"/>
    <col min="2574" max="2816" width="9.140625" style="26"/>
    <col min="2817" max="2817" width="5.28515625" style="26" customWidth="1"/>
    <col min="2818" max="2818" width="56.42578125" style="26" customWidth="1"/>
    <col min="2819" max="2819" width="10.28515625" style="26" customWidth="1"/>
    <col min="2820" max="2826" width="10.7109375" style="26" customWidth="1"/>
    <col min="2827" max="2827" width="9.140625" style="26"/>
    <col min="2828" max="2828" width="11.28515625" style="26" bestFit="1" customWidth="1"/>
    <col min="2829" max="2829" width="9.7109375" style="26" bestFit="1" customWidth="1"/>
    <col min="2830" max="3072" width="9.140625" style="26"/>
    <col min="3073" max="3073" width="5.28515625" style="26" customWidth="1"/>
    <col min="3074" max="3074" width="56.42578125" style="26" customWidth="1"/>
    <col min="3075" max="3075" width="10.28515625" style="26" customWidth="1"/>
    <col min="3076" max="3082" width="10.7109375" style="26" customWidth="1"/>
    <col min="3083" max="3083" width="9.140625" style="26"/>
    <col min="3084" max="3084" width="11.28515625" style="26" bestFit="1" customWidth="1"/>
    <col min="3085" max="3085" width="9.7109375" style="26" bestFit="1" customWidth="1"/>
    <col min="3086" max="3328" width="9.140625" style="26"/>
    <col min="3329" max="3329" width="5.28515625" style="26" customWidth="1"/>
    <col min="3330" max="3330" width="56.42578125" style="26" customWidth="1"/>
    <col min="3331" max="3331" width="10.28515625" style="26" customWidth="1"/>
    <col min="3332" max="3338" width="10.7109375" style="26" customWidth="1"/>
    <col min="3339" max="3339" width="9.140625" style="26"/>
    <col min="3340" max="3340" width="11.28515625" style="26" bestFit="1" customWidth="1"/>
    <col min="3341" max="3341" width="9.7109375" style="26" bestFit="1" customWidth="1"/>
    <col min="3342" max="3584" width="9.140625" style="26"/>
    <col min="3585" max="3585" width="5.28515625" style="26" customWidth="1"/>
    <col min="3586" max="3586" width="56.42578125" style="26" customWidth="1"/>
    <col min="3587" max="3587" width="10.28515625" style="26" customWidth="1"/>
    <col min="3588" max="3594" width="10.7109375" style="26" customWidth="1"/>
    <col min="3595" max="3595" width="9.140625" style="26"/>
    <col min="3596" max="3596" width="11.28515625" style="26" bestFit="1" customWidth="1"/>
    <col min="3597" max="3597" width="9.7109375" style="26" bestFit="1" customWidth="1"/>
    <col min="3598" max="3840" width="9.140625" style="26"/>
    <col min="3841" max="3841" width="5.28515625" style="26" customWidth="1"/>
    <col min="3842" max="3842" width="56.42578125" style="26" customWidth="1"/>
    <col min="3843" max="3843" width="10.28515625" style="26" customWidth="1"/>
    <col min="3844" max="3850" width="10.7109375" style="26" customWidth="1"/>
    <col min="3851" max="3851" width="9.140625" style="26"/>
    <col min="3852" max="3852" width="11.28515625" style="26" bestFit="1" customWidth="1"/>
    <col min="3853" max="3853" width="9.7109375" style="26" bestFit="1" customWidth="1"/>
    <col min="3854" max="4096" width="9.140625" style="26"/>
    <col min="4097" max="4097" width="5.28515625" style="26" customWidth="1"/>
    <col min="4098" max="4098" width="56.42578125" style="26" customWidth="1"/>
    <col min="4099" max="4099" width="10.28515625" style="26" customWidth="1"/>
    <col min="4100" max="4106" width="10.7109375" style="26" customWidth="1"/>
    <col min="4107" max="4107" width="9.140625" style="26"/>
    <col min="4108" max="4108" width="11.28515625" style="26" bestFit="1" customWidth="1"/>
    <col min="4109" max="4109" width="9.7109375" style="26" bestFit="1" customWidth="1"/>
    <col min="4110" max="4352" width="9.140625" style="26"/>
    <col min="4353" max="4353" width="5.28515625" style="26" customWidth="1"/>
    <col min="4354" max="4354" width="56.42578125" style="26" customWidth="1"/>
    <col min="4355" max="4355" width="10.28515625" style="26" customWidth="1"/>
    <col min="4356" max="4362" width="10.7109375" style="26" customWidth="1"/>
    <col min="4363" max="4363" width="9.140625" style="26"/>
    <col min="4364" max="4364" width="11.28515625" style="26" bestFit="1" customWidth="1"/>
    <col min="4365" max="4365" width="9.7109375" style="26" bestFit="1" customWidth="1"/>
    <col min="4366" max="4608" width="9.140625" style="26"/>
    <col min="4609" max="4609" width="5.28515625" style="26" customWidth="1"/>
    <col min="4610" max="4610" width="56.42578125" style="26" customWidth="1"/>
    <col min="4611" max="4611" width="10.28515625" style="26" customWidth="1"/>
    <col min="4612" max="4618" width="10.7109375" style="26" customWidth="1"/>
    <col min="4619" max="4619" width="9.140625" style="26"/>
    <col min="4620" max="4620" width="11.28515625" style="26" bestFit="1" customWidth="1"/>
    <col min="4621" max="4621" width="9.7109375" style="26" bestFit="1" customWidth="1"/>
    <col min="4622" max="4864" width="9.140625" style="26"/>
    <col min="4865" max="4865" width="5.28515625" style="26" customWidth="1"/>
    <col min="4866" max="4866" width="56.42578125" style="26" customWidth="1"/>
    <col min="4867" max="4867" width="10.28515625" style="26" customWidth="1"/>
    <col min="4868" max="4874" width="10.7109375" style="26" customWidth="1"/>
    <col min="4875" max="4875" width="9.140625" style="26"/>
    <col min="4876" max="4876" width="11.28515625" style="26" bestFit="1" customWidth="1"/>
    <col min="4877" max="4877" width="9.7109375" style="26" bestFit="1" customWidth="1"/>
    <col min="4878" max="5120" width="9.140625" style="26"/>
    <col min="5121" max="5121" width="5.28515625" style="26" customWidth="1"/>
    <col min="5122" max="5122" width="56.42578125" style="26" customWidth="1"/>
    <col min="5123" max="5123" width="10.28515625" style="26" customWidth="1"/>
    <col min="5124" max="5130" width="10.7109375" style="26" customWidth="1"/>
    <col min="5131" max="5131" width="9.140625" style="26"/>
    <col min="5132" max="5132" width="11.28515625" style="26" bestFit="1" customWidth="1"/>
    <col min="5133" max="5133" width="9.7109375" style="26" bestFit="1" customWidth="1"/>
    <col min="5134" max="5376" width="9.140625" style="26"/>
    <col min="5377" max="5377" width="5.28515625" style="26" customWidth="1"/>
    <col min="5378" max="5378" width="56.42578125" style="26" customWidth="1"/>
    <col min="5379" max="5379" width="10.28515625" style="26" customWidth="1"/>
    <col min="5380" max="5386" width="10.7109375" style="26" customWidth="1"/>
    <col min="5387" max="5387" width="9.140625" style="26"/>
    <col min="5388" max="5388" width="11.28515625" style="26" bestFit="1" customWidth="1"/>
    <col min="5389" max="5389" width="9.7109375" style="26" bestFit="1" customWidth="1"/>
    <col min="5390" max="5632" width="9.140625" style="26"/>
    <col min="5633" max="5633" width="5.28515625" style="26" customWidth="1"/>
    <col min="5634" max="5634" width="56.42578125" style="26" customWidth="1"/>
    <col min="5635" max="5635" width="10.28515625" style="26" customWidth="1"/>
    <col min="5636" max="5642" width="10.7109375" style="26" customWidth="1"/>
    <col min="5643" max="5643" width="9.140625" style="26"/>
    <col min="5644" max="5644" width="11.28515625" style="26" bestFit="1" customWidth="1"/>
    <col min="5645" max="5645" width="9.7109375" style="26" bestFit="1" customWidth="1"/>
    <col min="5646" max="5888" width="9.140625" style="26"/>
    <col min="5889" max="5889" width="5.28515625" style="26" customWidth="1"/>
    <col min="5890" max="5890" width="56.42578125" style="26" customWidth="1"/>
    <col min="5891" max="5891" width="10.28515625" style="26" customWidth="1"/>
    <col min="5892" max="5898" width="10.7109375" style="26" customWidth="1"/>
    <col min="5899" max="5899" width="9.140625" style="26"/>
    <col min="5900" max="5900" width="11.28515625" style="26" bestFit="1" customWidth="1"/>
    <col min="5901" max="5901" width="9.7109375" style="26" bestFit="1" customWidth="1"/>
    <col min="5902" max="6144" width="9.140625" style="26"/>
    <col min="6145" max="6145" width="5.28515625" style="26" customWidth="1"/>
    <col min="6146" max="6146" width="56.42578125" style="26" customWidth="1"/>
    <col min="6147" max="6147" width="10.28515625" style="26" customWidth="1"/>
    <col min="6148" max="6154" width="10.7109375" style="26" customWidth="1"/>
    <col min="6155" max="6155" width="9.140625" style="26"/>
    <col min="6156" max="6156" width="11.28515625" style="26" bestFit="1" customWidth="1"/>
    <col min="6157" max="6157" width="9.7109375" style="26" bestFit="1" customWidth="1"/>
    <col min="6158" max="6400" width="9.140625" style="26"/>
    <col min="6401" max="6401" width="5.28515625" style="26" customWidth="1"/>
    <col min="6402" max="6402" width="56.42578125" style="26" customWidth="1"/>
    <col min="6403" max="6403" width="10.28515625" style="26" customWidth="1"/>
    <col min="6404" max="6410" width="10.7109375" style="26" customWidth="1"/>
    <col min="6411" max="6411" width="9.140625" style="26"/>
    <col min="6412" max="6412" width="11.28515625" style="26" bestFit="1" customWidth="1"/>
    <col min="6413" max="6413" width="9.7109375" style="26" bestFit="1" customWidth="1"/>
    <col min="6414" max="6656" width="9.140625" style="26"/>
    <col min="6657" max="6657" width="5.28515625" style="26" customWidth="1"/>
    <col min="6658" max="6658" width="56.42578125" style="26" customWidth="1"/>
    <col min="6659" max="6659" width="10.28515625" style="26" customWidth="1"/>
    <col min="6660" max="6666" width="10.7109375" style="26" customWidth="1"/>
    <col min="6667" max="6667" width="9.140625" style="26"/>
    <col min="6668" max="6668" width="11.28515625" style="26" bestFit="1" customWidth="1"/>
    <col min="6669" max="6669" width="9.7109375" style="26" bestFit="1" customWidth="1"/>
    <col min="6670" max="6912" width="9.140625" style="26"/>
    <col min="6913" max="6913" width="5.28515625" style="26" customWidth="1"/>
    <col min="6914" max="6914" width="56.42578125" style="26" customWidth="1"/>
    <col min="6915" max="6915" width="10.28515625" style="26" customWidth="1"/>
    <col min="6916" max="6922" width="10.7109375" style="26" customWidth="1"/>
    <col min="6923" max="6923" width="9.140625" style="26"/>
    <col min="6924" max="6924" width="11.28515625" style="26" bestFit="1" customWidth="1"/>
    <col min="6925" max="6925" width="9.7109375" style="26" bestFit="1" customWidth="1"/>
    <col min="6926" max="7168" width="9.140625" style="26"/>
    <col min="7169" max="7169" width="5.28515625" style="26" customWidth="1"/>
    <col min="7170" max="7170" width="56.42578125" style="26" customWidth="1"/>
    <col min="7171" max="7171" width="10.28515625" style="26" customWidth="1"/>
    <col min="7172" max="7178" width="10.7109375" style="26" customWidth="1"/>
    <col min="7179" max="7179" width="9.140625" style="26"/>
    <col min="7180" max="7180" width="11.28515625" style="26" bestFit="1" customWidth="1"/>
    <col min="7181" max="7181" width="9.7109375" style="26" bestFit="1" customWidth="1"/>
    <col min="7182" max="7424" width="9.140625" style="26"/>
    <col min="7425" max="7425" width="5.28515625" style="26" customWidth="1"/>
    <col min="7426" max="7426" width="56.42578125" style="26" customWidth="1"/>
    <col min="7427" max="7427" width="10.28515625" style="26" customWidth="1"/>
    <col min="7428" max="7434" width="10.7109375" style="26" customWidth="1"/>
    <col min="7435" max="7435" width="9.140625" style="26"/>
    <col min="7436" max="7436" width="11.28515625" style="26" bestFit="1" customWidth="1"/>
    <col min="7437" max="7437" width="9.7109375" style="26" bestFit="1" customWidth="1"/>
    <col min="7438" max="7680" width="9.140625" style="26"/>
    <col min="7681" max="7681" width="5.28515625" style="26" customWidth="1"/>
    <col min="7682" max="7682" width="56.42578125" style="26" customWidth="1"/>
    <col min="7683" max="7683" width="10.28515625" style="26" customWidth="1"/>
    <col min="7684" max="7690" width="10.7109375" style="26" customWidth="1"/>
    <col min="7691" max="7691" width="9.140625" style="26"/>
    <col min="7692" max="7692" width="11.28515625" style="26" bestFit="1" customWidth="1"/>
    <col min="7693" max="7693" width="9.7109375" style="26" bestFit="1" customWidth="1"/>
    <col min="7694" max="7936" width="9.140625" style="26"/>
    <col min="7937" max="7937" width="5.28515625" style="26" customWidth="1"/>
    <col min="7938" max="7938" width="56.42578125" style="26" customWidth="1"/>
    <col min="7939" max="7939" width="10.28515625" style="26" customWidth="1"/>
    <col min="7940" max="7946" width="10.7109375" style="26" customWidth="1"/>
    <col min="7947" max="7947" width="9.140625" style="26"/>
    <col min="7948" max="7948" width="11.28515625" style="26" bestFit="1" customWidth="1"/>
    <col min="7949" max="7949" width="9.7109375" style="26" bestFit="1" customWidth="1"/>
    <col min="7950" max="8192" width="9.140625" style="26"/>
    <col min="8193" max="8193" width="5.28515625" style="26" customWidth="1"/>
    <col min="8194" max="8194" width="56.42578125" style="26" customWidth="1"/>
    <col min="8195" max="8195" width="10.28515625" style="26" customWidth="1"/>
    <col min="8196" max="8202" width="10.7109375" style="26" customWidth="1"/>
    <col min="8203" max="8203" width="9.140625" style="26"/>
    <col min="8204" max="8204" width="11.28515625" style="26" bestFit="1" customWidth="1"/>
    <col min="8205" max="8205" width="9.7109375" style="26" bestFit="1" customWidth="1"/>
    <col min="8206" max="8448" width="9.140625" style="26"/>
    <col min="8449" max="8449" width="5.28515625" style="26" customWidth="1"/>
    <col min="8450" max="8450" width="56.42578125" style="26" customWidth="1"/>
    <col min="8451" max="8451" width="10.28515625" style="26" customWidth="1"/>
    <col min="8452" max="8458" width="10.7109375" style="26" customWidth="1"/>
    <col min="8459" max="8459" width="9.140625" style="26"/>
    <col min="8460" max="8460" width="11.28515625" style="26" bestFit="1" customWidth="1"/>
    <col min="8461" max="8461" width="9.7109375" style="26" bestFit="1" customWidth="1"/>
    <col min="8462" max="8704" width="9.140625" style="26"/>
    <col min="8705" max="8705" width="5.28515625" style="26" customWidth="1"/>
    <col min="8706" max="8706" width="56.42578125" style="26" customWidth="1"/>
    <col min="8707" max="8707" width="10.28515625" style="26" customWidth="1"/>
    <col min="8708" max="8714" width="10.7109375" style="26" customWidth="1"/>
    <col min="8715" max="8715" width="9.140625" style="26"/>
    <col min="8716" max="8716" width="11.28515625" style="26" bestFit="1" customWidth="1"/>
    <col min="8717" max="8717" width="9.7109375" style="26" bestFit="1" customWidth="1"/>
    <col min="8718" max="8960" width="9.140625" style="26"/>
    <col min="8961" max="8961" width="5.28515625" style="26" customWidth="1"/>
    <col min="8962" max="8962" width="56.42578125" style="26" customWidth="1"/>
    <col min="8963" max="8963" width="10.28515625" style="26" customWidth="1"/>
    <col min="8964" max="8970" width="10.7109375" style="26" customWidth="1"/>
    <col min="8971" max="8971" width="9.140625" style="26"/>
    <col min="8972" max="8972" width="11.28515625" style="26" bestFit="1" customWidth="1"/>
    <col min="8973" max="8973" width="9.7109375" style="26" bestFit="1" customWidth="1"/>
    <col min="8974" max="9216" width="9.140625" style="26"/>
    <col min="9217" max="9217" width="5.28515625" style="26" customWidth="1"/>
    <col min="9218" max="9218" width="56.42578125" style="26" customWidth="1"/>
    <col min="9219" max="9219" width="10.28515625" style="26" customWidth="1"/>
    <col min="9220" max="9226" width="10.7109375" style="26" customWidth="1"/>
    <col min="9227" max="9227" width="9.140625" style="26"/>
    <col min="9228" max="9228" width="11.28515625" style="26" bestFit="1" customWidth="1"/>
    <col min="9229" max="9229" width="9.7109375" style="26" bestFit="1" customWidth="1"/>
    <col min="9230" max="9472" width="9.140625" style="26"/>
    <col min="9473" max="9473" width="5.28515625" style="26" customWidth="1"/>
    <col min="9474" max="9474" width="56.42578125" style="26" customWidth="1"/>
    <col min="9475" max="9475" width="10.28515625" style="26" customWidth="1"/>
    <col min="9476" max="9482" width="10.7109375" style="26" customWidth="1"/>
    <col min="9483" max="9483" width="9.140625" style="26"/>
    <col min="9484" max="9484" width="11.28515625" style="26" bestFit="1" customWidth="1"/>
    <col min="9485" max="9485" width="9.7109375" style="26" bestFit="1" customWidth="1"/>
    <col min="9486" max="9728" width="9.140625" style="26"/>
    <col min="9729" max="9729" width="5.28515625" style="26" customWidth="1"/>
    <col min="9730" max="9730" width="56.42578125" style="26" customWidth="1"/>
    <col min="9731" max="9731" width="10.28515625" style="26" customWidth="1"/>
    <col min="9732" max="9738" width="10.7109375" style="26" customWidth="1"/>
    <col min="9739" max="9739" width="9.140625" style="26"/>
    <col min="9740" max="9740" width="11.28515625" style="26" bestFit="1" customWidth="1"/>
    <col min="9741" max="9741" width="9.7109375" style="26" bestFit="1" customWidth="1"/>
    <col min="9742" max="9984" width="9.140625" style="26"/>
    <col min="9985" max="9985" width="5.28515625" style="26" customWidth="1"/>
    <col min="9986" max="9986" width="56.42578125" style="26" customWidth="1"/>
    <col min="9987" max="9987" width="10.28515625" style="26" customWidth="1"/>
    <col min="9988" max="9994" width="10.7109375" style="26" customWidth="1"/>
    <col min="9995" max="9995" width="9.140625" style="26"/>
    <col min="9996" max="9996" width="11.28515625" style="26" bestFit="1" customWidth="1"/>
    <col min="9997" max="9997" width="9.7109375" style="26" bestFit="1" customWidth="1"/>
    <col min="9998" max="10240" width="9.140625" style="26"/>
    <col min="10241" max="10241" width="5.28515625" style="26" customWidth="1"/>
    <col min="10242" max="10242" width="56.42578125" style="26" customWidth="1"/>
    <col min="10243" max="10243" width="10.28515625" style="26" customWidth="1"/>
    <col min="10244" max="10250" width="10.7109375" style="26" customWidth="1"/>
    <col min="10251" max="10251" width="9.140625" style="26"/>
    <col min="10252" max="10252" width="11.28515625" style="26" bestFit="1" customWidth="1"/>
    <col min="10253" max="10253" width="9.7109375" style="26" bestFit="1" customWidth="1"/>
    <col min="10254" max="10496" width="9.140625" style="26"/>
    <col min="10497" max="10497" width="5.28515625" style="26" customWidth="1"/>
    <col min="10498" max="10498" width="56.42578125" style="26" customWidth="1"/>
    <col min="10499" max="10499" width="10.28515625" style="26" customWidth="1"/>
    <col min="10500" max="10506" width="10.7109375" style="26" customWidth="1"/>
    <col min="10507" max="10507" width="9.140625" style="26"/>
    <col min="10508" max="10508" width="11.28515625" style="26" bestFit="1" customWidth="1"/>
    <col min="10509" max="10509" width="9.7109375" style="26" bestFit="1" customWidth="1"/>
    <col min="10510" max="10752" width="9.140625" style="26"/>
    <col min="10753" max="10753" width="5.28515625" style="26" customWidth="1"/>
    <col min="10754" max="10754" width="56.42578125" style="26" customWidth="1"/>
    <col min="10755" max="10755" width="10.28515625" style="26" customWidth="1"/>
    <col min="10756" max="10762" width="10.7109375" style="26" customWidth="1"/>
    <col min="10763" max="10763" width="9.140625" style="26"/>
    <col min="10764" max="10764" width="11.28515625" style="26" bestFit="1" customWidth="1"/>
    <col min="10765" max="10765" width="9.7109375" style="26" bestFit="1" customWidth="1"/>
    <col min="10766" max="11008" width="9.140625" style="26"/>
    <col min="11009" max="11009" width="5.28515625" style="26" customWidth="1"/>
    <col min="11010" max="11010" width="56.42578125" style="26" customWidth="1"/>
    <col min="11011" max="11011" width="10.28515625" style="26" customWidth="1"/>
    <col min="11012" max="11018" width="10.7109375" style="26" customWidth="1"/>
    <col min="11019" max="11019" width="9.140625" style="26"/>
    <col min="11020" max="11020" width="11.28515625" style="26" bestFit="1" customWidth="1"/>
    <col min="11021" max="11021" width="9.7109375" style="26" bestFit="1" customWidth="1"/>
    <col min="11022" max="11264" width="9.140625" style="26"/>
    <col min="11265" max="11265" width="5.28515625" style="26" customWidth="1"/>
    <col min="11266" max="11266" width="56.42578125" style="26" customWidth="1"/>
    <col min="11267" max="11267" width="10.28515625" style="26" customWidth="1"/>
    <col min="11268" max="11274" width="10.7109375" style="26" customWidth="1"/>
    <col min="11275" max="11275" width="9.140625" style="26"/>
    <col min="11276" max="11276" width="11.28515625" style="26" bestFit="1" customWidth="1"/>
    <col min="11277" max="11277" width="9.7109375" style="26" bestFit="1" customWidth="1"/>
    <col min="11278" max="11520" width="9.140625" style="26"/>
    <col min="11521" max="11521" width="5.28515625" style="26" customWidth="1"/>
    <col min="11522" max="11522" width="56.42578125" style="26" customWidth="1"/>
    <col min="11523" max="11523" width="10.28515625" style="26" customWidth="1"/>
    <col min="11524" max="11530" width="10.7109375" style="26" customWidth="1"/>
    <col min="11531" max="11531" width="9.140625" style="26"/>
    <col min="11532" max="11532" width="11.28515625" style="26" bestFit="1" customWidth="1"/>
    <col min="11533" max="11533" width="9.7109375" style="26" bestFit="1" customWidth="1"/>
    <col min="11534" max="11776" width="9.140625" style="26"/>
    <col min="11777" max="11777" width="5.28515625" style="26" customWidth="1"/>
    <col min="11778" max="11778" width="56.42578125" style="26" customWidth="1"/>
    <col min="11779" max="11779" width="10.28515625" style="26" customWidth="1"/>
    <col min="11780" max="11786" width="10.7109375" style="26" customWidth="1"/>
    <col min="11787" max="11787" width="9.140625" style="26"/>
    <col min="11788" max="11788" width="11.28515625" style="26" bestFit="1" customWidth="1"/>
    <col min="11789" max="11789" width="9.7109375" style="26" bestFit="1" customWidth="1"/>
    <col min="11790" max="12032" width="9.140625" style="26"/>
    <col min="12033" max="12033" width="5.28515625" style="26" customWidth="1"/>
    <col min="12034" max="12034" width="56.42578125" style="26" customWidth="1"/>
    <col min="12035" max="12035" width="10.28515625" style="26" customWidth="1"/>
    <col min="12036" max="12042" width="10.7109375" style="26" customWidth="1"/>
    <col min="12043" max="12043" width="9.140625" style="26"/>
    <col min="12044" max="12044" width="11.28515625" style="26" bestFit="1" customWidth="1"/>
    <col min="12045" max="12045" width="9.7109375" style="26" bestFit="1" customWidth="1"/>
    <col min="12046" max="12288" width="9.140625" style="26"/>
    <col min="12289" max="12289" width="5.28515625" style="26" customWidth="1"/>
    <col min="12290" max="12290" width="56.42578125" style="26" customWidth="1"/>
    <col min="12291" max="12291" width="10.28515625" style="26" customWidth="1"/>
    <col min="12292" max="12298" width="10.7109375" style="26" customWidth="1"/>
    <col min="12299" max="12299" width="9.140625" style="26"/>
    <col min="12300" max="12300" width="11.28515625" style="26" bestFit="1" customWidth="1"/>
    <col min="12301" max="12301" width="9.7109375" style="26" bestFit="1" customWidth="1"/>
    <col min="12302" max="12544" width="9.140625" style="26"/>
    <col min="12545" max="12545" width="5.28515625" style="26" customWidth="1"/>
    <col min="12546" max="12546" width="56.42578125" style="26" customWidth="1"/>
    <col min="12547" max="12547" width="10.28515625" style="26" customWidth="1"/>
    <col min="12548" max="12554" width="10.7109375" style="26" customWidth="1"/>
    <col min="12555" max="12555" width="9.140625" style="26"/>
    <col min="12556" max="12556" width="11.28515625" style="26" bestFit="1" customWidth="1"/>
    <col min="12557" max="12557" width="9.7109375" style="26" bestFit="1" customWidth="1"/>
    <col min="12558" max="12800" width="9.140625" style="26"/>
    <col min="12801" max="12801" width="5.28515625" style="26" customWidth="1"/>
    <col min="12802" max="12802" width="56.42578125" style="26" customWidth="1"/>
    <col min="12803" max="12803" width="10.28515625" style="26" customWidth="1"/>
    <col min="12804" max="12810" width="10.7109375" style="26" customWidth="1"/>
    <col min="12811" max="12811" width="9.140625" style="26"/>
    <col min="12812" max="12812" width="11.28515625" style="26" bestFit="1" customWidth="1"/>
    <col min="12813" max="12813" width="9.7109375" style="26" bestFit="1" customWidth="1"/>
    <col min="12814" max="13056" width="9.140625" style="26"/>
    <col min="13057" max="13057" width="5.28515625" style="26" customWidth="1"/>
    <col min="13058" max="13058" width="56.42578125" style="26" customWidth="1"/>
    <col min="13059" max="13059" width="10.28515625" style="26" customWidth="1"/>
    <col min="13060" max="13066" width="10.7109375" style="26" customWidth="1"/>
    <col min="13067" max="13067" width="9.140625" style="26"/>
    <col min="13068" max="13068" width="11.28515625" style="26" bestFit="1" customWidth="1"/>
    <col min="13069" max="13069" width="9.7109375" style="26" bestFit="1" customWidth="1"/>
    <col min="13070" max="13312" width="9.140625" style="26"/>
    <col min="13313" max="13313" width="5.28515625" style="26" customWidth="1"/>
    <col min="13314" max="13314" width="56.42578125" style="26" customWidth="1"/>
    <col min="13315" max="13315" width="10.28515625" style="26" customWidth="1"/>
    <col min="13316" max="13322" width="10.7109375" style="26" customWidth="1"/>
    <col min="13323" max="13323" width="9.140625" style="26"/>
    <col min="13324" max="13324" width="11.28515625" style="26" bestFit="1" customWidth="1"/>
    <col min="13325" max="13325" width="9.7109375" style="26" bestFit="1" customWidth="1"/>
    <col min="13326" max="13568" width="9.140625" style="26"/>
    <col min="13569" max="13569" width="5.28515625" style="26" customWidth="1"/>
    <col min="13570" max="13570" width="56.42578125" style="26" customWidth="1"/>
    <col min="13571" max="13571" width="10.28515625" style="26" customWidth="1"/>
    <col min="13572" max="13578" width="10.7109375" style="26" customWidth="1"/>
    <col min="13579" max="13579" width="9.140625" style="26"/>
    <col min="13580" max="13580" width="11.28515625" style="26" bestFit="1" customWidth="1"/>
    <col min="13581" max="13581" width="9.7109375" style="26" bestFit="1" customWidth="1"/>
    <col min="13582" max="13824" width="9.140625" style="26"/>
    <col min="13825" max="13825" width="5.28515625" style="26" customWidth="1"/>
    <col min="13826" max="13826" width="56.42578125" style="26" customWidth="1"/>
    <col min="13827" max="13827" width="10.28515625" style="26" customWidth="1"/>
    <col min="13828" max="13834" width="10.7109375" style="26" customWidth="1"/>
    <col min="13835" max="13835" width="9.140625" style="26"/>
    <col min="13836" max="13836" width="11.28515625" style="26" bestFit="1" customWidth="1"/>
    <col min="13837" max="13837" width="9.7109375" style="26" bestFit="1" customWidth="1"/>
    <col min="13838" max="14080" width="9.140625" style="26"/>
    <col min="14081" max="14081" width="5.28515625" style="26" customWidth="1"/>
    <col min="14082" max="14082" width="56.42578125" style="26" customWidth="1"/>
    <col min="14083" max="14083" width="10.28515625" style="26" customWidth="1"/>
    <col min="14084" max="14090" width="10.7109375" style="26" customWidth="1"/>
    <col min="14091" max="14091" width="9.140625" style="26"/>
    <col min="14092" max="14092" width="11.28515625" style="26" bestFit="1" customWidth="1"/>
    <col min="14093" max="14093" width="9.7109375" style="26" bestFit="1" customWidth="1"/>
    <col min="14094" max="14336" width="9.140625" style="26"/>
    <col min="14337" max="14337" width="5.28515625" style="26" customWidth="1"/>
    <col min="14338" max="14338" width="56.42578125" style="26" customWidth="1"/>
    <col min="14339" max="14339" width="10.28515625" style="26" customWidth="1"/>
    <col min="14340" max="14346" width="10.7109375" style="26" customWidth="1"/>
    <col min="14347" max="14347" width="9.140625" style="26"/>
    <col min="14348" max="14348" width="11.28515625" style="26" bestFit="1" customWidth="1"/>
    <col min="14349" max="14349" width="9.7109375" style="26" bestFit="1" customWidth="1"/>
    <col min="14350" max="14592" width="9.140625" style="26"/>
    <col min="14593" max="14593" width="5.28515625" style="26" customWidth="1"/>
    <col min="14594" max="14594" width="56.42578125" style="26" customWidth="1"/>
    <col min="14595" max="14595" width="10.28515625" style="26" customWidth="1"/>
    <col min="14596" max="14602" width="10.7109375" style="26" customWidth="1"/>
    <col min="14603" max="14603" width="9.140625" style="26"/>
    <col min="14604" max="14604" width="11.28515625" style="26" bestFit="1" customWidth="1"/>
    <col min="14605" max="14605" width="9.7109375" style="26" bestFit="1" customWidth="1"/>
    <col min="14606" max="14848" width="9.140625" style="26"/>
    <col min="14849" max="14849" width="5.28515625" style="26" customWidth="1"/>
    <col min="14850" max="14850" width="56.42578125" style="26" customWidth="1"/>
    <col min="14851" max="14851" width="10.28515625" style="26" customWidth="1"/>
    <col min="14852" max="14858" width="10.7109375" style="26" customWidth="1"/>
    <col min="14859" max="14859" width="9.140625" style="26"/>
    <col min="14860" max="14860" width="11.28515625" style="26" bestFit="1" customWidth="1"/>
    <col min="14861" max="14861" width="9.7109375" style="26" bestFit="1" customWidth="1"/>
    <col min="14862" max="15104" width="9.140625" style="26"/>
    <col min="15105" max="15105" width="5.28515625" style="26" customWidth="1"/>
    <col min="15106" max="15106" width="56.42578125" style="26" customWidth="1"/>
    <col min="15107" max="15107" width="10.28515625" style="26" customWidth="1"/>
    <col min="15108" max="15114" width="10.7109375" style="26" customWidth="1"/>
    <col min="15115" max="15115" width="9.140625" style="26"/>
    <col min="15116" max="15116" width="11.28515625" style="26" bestFit="1" customWidth="1"/>
    <col min="15117" max="15117" width="9.7109375" style="26" bestFit="1" customWidth="1"/>
    <col min="15118" max="15360" width="9.140625" style="26"/>
    <col min="15361" max="15361" width="5.28515625" style="26" customWidth="1"/>
    <col min="15362" max="15362" width="56.42578125" style="26" customWidth="1"/>
    <col min="15363" max="15363" width="10.28515625" style="26" customWidth="1"/>
    <col min="15364" max="15370" width="10.7109375" style="26" customWidth="1"/>
    <col min="15371" max="15371" width="9.140625" style="26"/>
    <col min="15372" max="15372" width="11.28515625" style="26" bestFit="1" customWidth="1"/>
    <col min="15373" max="15373" width="9.7109375" style="26" bestFit="1" customWidth="1"/>
    <col min="15374" max="15616" width="9.140625" style="26"/>
    <col min="15617" max="15617" width="5.28515625" style="26" customWidth="1"/>
    <col min="15618" max="15618" width="56.42578125" style="26" customWidth="1"/>
    <col min="15619" max="15619" width="10.28515625" style="26" customWidth="1"/>
    <col min="15620" max="15626" width="10.7109375" style="26" customWidth="1"/>
    <col min="15627" max="15627" width="9.140625" style="26"/>
    <col min="15628" max="15628" width="11.28515625" style="26" bestFit="1" customWidth="1"/>
    <col min="15629" max="15629" width="9.7109375" style="26" bestFit="1" customWidth="1"/>
    <col min="15630" max="15872" width="9.140625" style="26"/>
    <col min="15873" max="15873" width="5.28515625" style="26" customWidth="1"/>
    <col min="15874" max="15874" width="56.42578125" style="26" customWidth="1"/>
    <col min="15875" max="15875" width="10.28515625" style="26" customWidth="1"/>
    <col min="15876" max="15882" width="10.7109375" style="26" customWidth="1"/>
    <col min="15883" max="15883" width="9.140625" style="26"/>
    <col min="15884" max="15884" width="11.28515625" style="26" bestFit="1" customWidth="1"/>
    <col min="15885" max="15885" width="9.7109375" style="26" bestFit="1" customWidth="1"/>
    <col min="15886" max="16128" width="9.140625" style="26"/>
    <col min="16129" max="16129" width="5.28515625" style="26" customWidth="1"/>
    <col min="16130" max="16130" width="56.42578125" style="26" customWidth="1"/>
    <col min="16131" max="16131" width="10.28515625" style="26" customWidth="1"/>
    <col min="16132" max="16138" width="10.7109375" style="26" customWidth="1"/>
    <col min="16139" max="16139" width="9.140625" style="26"/>
    <col min="16140" max="16140" width="11.28515625" style="26" bestFit="1" customWidth="1"/>
    <col min="16141" max="16141" width="9.7109375" style="26" bestFit="1" customWidth="1"/>
    <col min="16142" max="16384" width="9.140625" style="26"/>
  </cols>
  <sheetData>
    <row r="1" spans="1:13" ht="13.5" customHeight="1">
      <c r="B1" s="451"/>
      <c r="C1" s="451"/>
      <c r="D1" s="547"/>
      <c r="E1" s="547"/>
      <c r="F1" s="547"/>
      <c r="G1" s="547"/>
      <c r="H1" s="547"/>
      <c r="I1" s="547" t="s">
        <v>1509</v>
      </c>
      <c r="J1" s="547"/>
    </row>
    <row r="2" spans="1:13" s="25" customFormat="1" ht="27.75" customHeight="1">
      <c r="A2" s="3471" t="s">
        <v>1411</v>
      </c>
      <c r="B2" s="3471"/>
      <c r="C2" s="3471"/>
      <c r="D2" s="3471"/>
      <c r="E2" s="3471"/>
      <c r="F2" s="3471"/>
      <c r="G2" s="3471"/>
      <c r="H2" s="3471"/>
      <c r="I2" s="3471"/>
      <c r="J2" s="3471"/>
    </row>
    <row r="3" spans="1:13" ht="12.75" customHeight="1">
      <c r="A3" s="3471"/>
      <c r="B3" s="3471"/>
      <c r="C3" s="3471"/>
      <c r="D3" s="3471"/>
      <c r="E3" s="3471"/>
      <c r="F3" s="3471"/>
      <c r="G3" s="3471"/>
      <c r="H3" s="3471"/>
      <c r="I3" s="3471"/>
      <c r="J3" s="3471"/>
    </row>
    <row r="4" spans="1:13" ht="12.75" customHeight="1">
      <c r="A4" s="3471"/>
      <c r="B4" s="3471"/>
      <c r="C4" s="3471"/>
      <c r="D4" s="3471"/>
      <c r="E4" s="3471"/>
      <c r="F4" s="3471"/>
      <c r="G4" s="3471"/>
      <c r="H4" s="3471"/>
      <c r="I4" s="3471"/>
      <c r="J4" s="3471"/>
    </row>
    <row r="5" spans="1:13" s="452" customFormat="1" ht="18.75">
      <c r="A5" s="3472" t="str">
        <f>'1. Анкетна карта'!A3:J3</f>
        <v>на "ВОДОСНАБДЯВАНЕ И КАНАЛИЗАЦИЯ ДОБРИЧ" АД, гр. Добрич</v>
      </c>
      <c r="B5" s="3472"/>
      <c r="C5" s="3472"/>
      <c r="D5" s="3472"/>
      <c r="E5" s="3472"/>
      <c r="F5" s="3472"/>
      <c r="G5" s="3472"/>
      <c r="H5" s="3472"/>
      <c r="I5" s="3472"/>
      <c r="J5" s="3472"/>
    </row>
    <row r="6" spans="1:13" s="452" customFormat="1" ht="18.75">
      <c r="A6" s="3472" t="str">
        <f>'1. Анкетна карта'!A4:J4</f>
        <v>ЕИК по БУЛСТАТ: 204219357</v>
      </c>
      <c r="B6" s="3472"/>
      <c r="C6" s="3472"/>
      <c r="D6" s="3472"/>
      <c r="E6" s="3472"/>
      <c r="F6" s="3472"/>
      <c r="G6" s="3472"/>
      <c r="H6" s="3472"/>
      <c r="I6" s="3472"/>
      <c r="J6" s="3472"/>
    </row>
    <row r="7" spans="1:13" s="452" customFormat="1" ht="19.5" thickBot="1">
      <c r="A7" s="453"/>
      <c r="B7" s="453"/>
      <c r="C7" s="453"/>
      <c r="D7" s="453"/>
      <c r="E7" s="453"/>
      <c r="F7" s="453"/>
      <c r="G7" s="453"/>
      <c r="H7" s="453"/>
      <c r="I7" s="453"/>
      <c r="J7" s="453"/>
    </row>
    <row r="8" spans="1:13" s="28" customFormat="1" ht="12">
      <c r="A8" s="3453" t="s">
        <v>1</v>
      </c>
      <c r="B8" s="3474" t="s">
        <v>95</v>
      </c>
      <c r="C8" s="3476" t="s">
        <v>222</v>
      </c>
      <c r="D8" s="3478" t="str">
        <f>'Приложение '!$G12</f>
        <v>2015 г.</v>
      </c>
      <c r="E8" s="3478" t="str">
        <f>'Приложение '!$G13</f>
        <v>2016 г.</v>
      </c>
      <c r="F8" s="3478" t="str">
        <f>'Приложение '!$G14</f>
        <v>2017 г.</v>
      </c>
      <c r="G8" s="3478" t="str">
        <f>'Приложение '!$G15</f>
        <v>2018 г.</v>
      </c>
      <c r="H8" s="3478" t="str">
        <f>'Приложение '!$G16</f>
        <v>2019 г.</v>
      </c>
      <c r="I8" s="3478" t="str">
        <f>'Приложение '!$G17</f>
        <v>2020 г.</v>
      </c>
      <c r="J8" s="3478" t="str">
        <f>'Приложение '!$G18</f>
        <v>2021 г.</v>
      </c>
      <c r="K8" s="27"/>
      <c r="L8" s="27"/>
      <c r="M8" s="27"/>
    </row>
    <row r="9" spans="1:13" s="28" customFormat="1" thickBot="1">
      <c r="A9" s="3473"/>
      <c r="B9" s="3475"/>
      <c r="C9" s="3477"/>
      <c r="D9" s="3479"/>
      <c r="E9" s="3479"/>
      <c r="F9" s="3479"/>
      <c r="G9" s="3479"/>
      <c r="H9" s="3479"/>
      <c r="I9" s="3479"/>
      <c r="J9" s="3479"/>
    </row>
    <row r="10" spans="1:13" s="28" customFormat="1" ht="15" customHeight="1">
      <c r="A10" s="454" t="s">
        <v>193</v>
      </c>
      <c r="B10" s="455" t="s">
        <v>1384</v>
      </c>
      <c r="C10" s="456" t="s">
        <v>831</v>
      </c>
      <c r="D10" s="2603">
        <f>SUM(D11:D13)</f>
        <v>4760</v>
      </c>
      <c r="E10" s="2603">
        <f t="shared" ref="E10:J10" si="0">SUM(E11:E13)</f>
        <v>4033</v>
      </c>
      <c r="F10" s="2603">
        <f t="shared" si="0"/>
        <v>3455</v>
      </c>
      <c r="G10" s="2603">
        <f t="shared" si="0"/>
        <v>2898</v>
      </c>
      <c r="H10" s="2603">
        <f t="shared" si="0"/>
        <v>2273</v>
      </c>
      <c r="I10" s="2603">
        <f t="shared" si="0"/>
        <v>1811</v>
      </c>
      <c r="J10" s="2603">
        <f t="shared" si="0"/>
        <v>1248</v>
      </c>
      <c r="L10" s="457"/>
    </row>
    <row r="11" spans="1:13" s="461" customFormat="1" ht="12">
      <c r="A11" s="458" t="s">
        <v>98</v>
      </c>
      <c r="B11" s="459" t="s">
        <v>1385</v>
      </c>
      <c r="C11" s="460" t="s">
        <v>805</v>
      </c>
      <c r="D11" s="2019">
        <v>4141</v>
      </c>
      <c r="E11" s="2604">
        <f>IF(D26&lt;0,"error",D26)</f>
        <v>3459</v>
      </c>
      <c r="F11" s="2605">
        <f t="shared" ref="F11:J12" si="1">IF(E26&lt;0,"error",E26)</f>
        <v>2912</v>
      </c>
      <c r="G11" s="2604">
        <f t="shared" si="1"/>
        <v>2372</v>
      </c>
      <c r="H11" s="2604">
        <f t="shared" si="1"/>
        <v>1772</v>
      </c>
      <c r="I11" s="2605">
        <f t="shared" si="1"/>
        <v>1182</v>
      </c>
      <c r="J11" s="2604">
        <f t="shared" si="1"/>
        <v>602</v>
      </c>
    </row>
    <row r="12" spans="1:13" s="461" customFormat="1" ht="12">
      <c r="A12" s="458" t="s">
        <v>99</v>
      </c>
      <c r="B12" s="459" t="s">
        <v>1389</v>
      </c>
      <c r="C12" s="460" t="s">
        <v>805</v>
      </c>
      <c r="D12" s="3073"/>
      <c r="E12" s="2604">
        <f>IF(D27&lt;0,"error",D27)</f>
        <v>0</v>
      </c>
      <c r="F12" s="2605">
        <f t="shared" si="1"/>
        <v>0</v>
      </c>
      <c r="G12" s="2604">
        <f t="shared" si="1"/>
        <v>0</v>
      </c>
      <c r="H12" s="2604">
        <f t="shared" si="1"/>
        <v>0</v>
      </c>
      <c r="I12" s="2605">
        <f t="shared" si="1"/>
        <v>151</v>
      </c>
      <c r="J12" s="2604">
        <f t="shared" si="1"/>
        <v>179</v>
      </c>
    </row>
    <row r="13" spans="1:13" s="461" customFormat="1" ht="12">
      <c r="A13" s="458" t="s">
        <v>101</v>
      </c>
      <c r="B13" s="462" t="s">
        <v>806</v>
      </c>
      <c r="C13" s="460" t="s">
        <v>805</v>
      </c>
      <c r="D13" s="548">
        <v>619</v>
      </c>
      <c r="E13" s="549">
        <v>574</v>
      </c>
      <c r="F13" s="549">
        <v>543</v>
      </c>
      <c r="G13" s="549">
        <v>526</v>
      </c>
      <c r="H13" s="549">
        <v>501</v>
      </c>
      <c r="I13" s="549">
        <v>478</v>
      </c>
      <c r="J13" s="549">
        <v>467</v>
      </c>
    </row>
    <row r="14" spans="1:13" s="461" customFormat="1" ht="12">
      <c r="A14" s="458" t="s">
        <v>197</v>
      </c>
      <c r="B14" s="462" t="s">
        <v>1476</v>
      </c>
      <c r="C14" s="460" t="s">
        <v>226</v>
      </c>
      <c r="D14" s="2017">
        <v>0.33</v>
      </c>
      <c r="E14" s="2018">
        <v>0.33</v>
      </c>
      <c r="F14" s="2018">
        <v>0.33</v>
      </c>
      <c r="G14" s="2018">
        <v>0.65</v>
      </c>
      <c r="H14" s="2018">
        <v>0.78</v>
      </c>
      <c r="I14" s="2018">
        <v>0.78</v>
      </c>
      <c r="J14" s="2018">
        <v>0.8</v>
      </c>
    </row>
    <row r="15" spans="1:13" s="28" customFormat="1" ht="36">
      <c r="A15" s="454" t="s">
        <v>103</v>
      </c>
      <c r="B15" s="463" t="s">
        <v>845</v>
      </c>
      <c r="C15" s="456" t="s">
        <v>805</v>
      </c>
      <c r="D15" s="2603">
        <f>SUM(D16:D18)</f>
        <v>0</v>
      </c>
      <c r="E15" s="2603">
        <f t="shared" ref="E15:J15" si="2">SUM(E16:E18)</f>
        <v>0</v>
      </c>
      <c r="F15" s="2603">
        <f t="shared" si="2"/>
        <v>0</v>
      </c>
      <c r="G15" s="2603">
        <f t="shared" si="2"/>
        <v>300</v>
      </c>
      <c r="H15" s="2603">
        <f t="shared" si="2"/>
        <v>450</v>
      </c>
      <c r="I15" s="2603">
        <f t="shared" si="2"/>
        <v>550</v>
      </c>
      <c r="J15" s="2603">
        <f t="shared" si="2"/>
        <v>550</v>
      </c>
      <c r="L15" s="457"/>
    </row>
    <row r="16" spans="1:13" s="461" customFormat="1" ht="15" customHeight="1">
      <c r="A16" s="458" t="s">
        <v>105</v>
      </c>
      <c r="B16" s="462" t="s">
        <v>1386</v>
      </c>
      <c r="C16" s="464" t="s">
        <v>805</v>
      </c>
      <c r="D16" s="548"/>
      <c r="E16" s="549"/>
      <c r="F16" s="550"/>
      <c r="G16" s="549">
        <v>100</v>
      </c>
      <c r="H16" s="549">
        <v>100</v>
      </c>
      <c r="I16" s="550">
        <v>100</v>
      </c>
      <c r="J16" s="549">
        <v>100</v>
      </c>
      <c r="L16" s="465"/>
    </row>
    <row r="17" spans="1:12" s="461" customFormat="1" ht="15" customHeight="1">
      <c r="A17" s="458" t="s">
        <v>107</v>
      </c>
      <c r="B17" s="462" t="s">
        <v>832</v>
      </c>
      <c r="C17" s="464" t="s">
        <v>805</v>
      </c>
      <c r="D17" s="3073"/>
      <c r="E17" s="549"/>
      <c r="F17" s="550"/>
      <c r="G17" s="549"/>
      <c r="H17" s="549">
        <v>50</v>
      </c>
      <c r="I17" s="550">
        <v>50</v>
      </c>
      <c r="J17" s="549">
        <v>50</v>
      </c>
      <c r="L17" s="465"/>
    </row>
    <row r="18" spans="1:12" s="461" customFormat="1" ht="15" customHeight="1">
      <c r="A18" s="458" t="s">
        <v>225</v>
      </c>
      <c r="B18" s="462" t="s">
        <v>833</v>
      </c>
      <c r="C18" s="464" t="s">
        <v>805</v>
      </c>
      <c r="D18" s="548"/>
      <c r="E18" s="549"/>
      <c r="F18" s="550"/>
      <c r="G18" s="549">
        <v>200</v>
      </c>
      <c r="H18" s="549">
        <v>300</v>
      </c>
      <c r="I18" s="550">
        <v>400</v>
      </c>
      <c r="J18" s="549">
        <v>400</v>
      </c>
      <c r="L18" s="465"/>
    </row>
    <row r="19" spans="1:12" s="461" customFormat="1" ht="15" customHeight="1">
      <c r="A19" s="458" t="s">
        <v>306</v>
      </c>
      <c r="B19" s="462" t="s">
        <v>1477</v>
      </c>
      <c r="C19" s="460" t="s">
        <v>226</v>
      </c>
      <c r="D19" s="2017"/>
      <c r="E19" s="2018"/>
      <c r="F19" s="2018"/>
      <c r="G19" s="2018">
        <v>0.65</v>
      </c>
      <c r="H19" s="2018">
        <v>0.78</v>
      </c>
      <c r="I19" s="2018">
        <v>0.78</v>
      </c>
      <c r="J19" s="2018">
        <v>0.8</v>
      </c>
      <c r="L19" s="465"/>
    </row>
    <row r="20" spans="1:12" s="28" customFormat="1" ht="15" customHeight="1">
      <c r="A20" s="454" t="s">
        <v>110</v>
      </c>
      <c r="B20" s="455" t="s">
        <v>807</v>
      </c>
      <c r="C20" s="456" t="s">
        <v>805</v>
      </c>
      <c r="D20" s="2603">
        <f>SUM(D21:D23)</f>
        <v>1301</v>
      </c>
      <c r="E20" s="2603">
        <f t="shared" ref="E20:J20" si="3">SUM(E21:E23)</f>
        <v>1121</v>
      </c>
      <c r="F20" s="2603">
        <f t="shared" si="3"/>
        <v>1083</v>
      </c>
      <c r="G20" s="2603">
        <f t="shared" si="3"/>
        <v>826</v>
      </c>
      <c r="H20" s="2603">
        <f t="shared" si="3"/>
        <v>490</v>
      </c>
      <c r="I20" s="2603">
        <f t="shared" si="3"/>
        <v>480</v>
      </c>
      <c r="J20" s="2603">
        <f t="shared" si="3"/>
        <v>470</v>
      </c>
      <c r="L20" s="457"/>
    </row>
    <row r="21" spans="1:12" s="28" customFormat="1" ht="12">
      <c r="A21" s="466" t="s">
        <v>227</v>
      </c>
      <c r="B21" s="467" t="s">
        <v>1387</v>
      </c>
      <c r="C21" s="464" t="s">
        <v>805</v>
      </c>
      <c r="D21" s="548">
        <v>682</v>
      </c>
      <c r="E21" s="549">
        <v>547</v>
      </c>
      <c r="F21" s="550">
        <v>540</v>
      </c>
      <c r="G21" s="549">
        <v>500</v>
      </c>
      <c r="H21" s="549">
        <v>490</v>
      </c>
      <c r="I21" s="550">
        <v>480</v>
      </c>
      <c r="J21" s="549">
        <v>470</v>
      </c>
      <c r="L21" s="457"/>
    </row>
    <row r="22" spans="1:12" s="28" customFormat="1" ht="12">
      <c r="A22" s="466" t="s">
        <v>228</v>
      </c>
      <c r="B22" s="467" t="s">
        <v>834</v>
      </c>
      <c r="C22" s="464" t="s">
        <v>805</v>
      </c>
      <c r="D22" s="3073"/>
      <c r="E22" s="549"/>
      <c r="F22" s="550"/>
      <c r="G22" s="549"/>
      <c r="H22" s="549"/>
      <c r="I22" s="550"/>
      <c r="J22" s="549"/>
      <c r="L22" s="457"/>
    </row>
    <row r="23" spans="1:12" s="28" customFormat="1" ht="12">
      <c r="A23" s="466" t="s">
        <v>835</v>
      </c>
      <c r="B23" s="467" t="s">
        <v>836</v>
      </c>
      <c r="C23" s="464" t="s">
        <v>805</v>
      </c>
      <c r="D23" s="548">
        <v>619</v>
      </c>
      <c r="E23" s="549">
        <v>574</v>
      </c>
      <c r="F23" s="550">
        <v>543</v>
      </c>
      <c r="G23" s="549">
        <v>326</v>
      </c>
      <c r="H23" s="549"/>
      <c r="I23" s="550"/>
      <c r="J23" s="549"/>
      <c r="L23" s="457"/>
    </row>
    <row r="24" spans="1:12" s="28" customFormat="1" ht="12">
      <c r="A24" s="458" t="s">
        <v>1395</v>
      </c>
      <c r="B24" s="462" t="s">
        <v>1478</v>
      </c>
      <c r="C24" s="460" t="s">
        <v>226</v>
      </c>
      <c r="D24" s="2017">
        <v>0.55000000000000004</v>
      </c>
      <c r="E24" s="2018">
        <v>0.55000000000000004</v>
      </c>
      <c r="F24" s="2018">
        <v>0.55000000000000004</v>
      </c>
      <c r="G24" s="2018">
        <v>0.55000000000000004</v>
      </c>
      <c r="H24" s="2018">
        <v>0.55000000000000004</v>
      </c>
      <c r="I24" s="2018">
        <v>0.51</v>
      </c>
      <c r="J24" s="2018">
        <v>0.51</v>
      </c>
      <c r="L24" s="457"/>
    </row>
    <row r="25" spans="1:12" s="28" customFormat="1" ht="15" customHeight="1">
      <c r="A25" s="454" t="s">
        <v>111</v>
      </c>
      <c r="B25" s="455" t="s">
        <v>808</v>
      </c>
      <c r="C25" s="456" t="s">
        <v>805</v>
      </c>
      <c r="D25" s="2603">
        <f t="shared" ref="D25:J25" si="4">IF(D10-D15-D20&gt;=0,D10-D15-D20,0)</f>
        <v>3459</v>
      </c>
      <c r="E25" s="2603">
        <f t="shared" si="4"/>
        <v>2912</v>
      </c>
      <c r="F25" s="2603">
        <f t="shared" si="4"/>
        <v>2372</v>
      </c>
      <c r="G25" s="2603">
        <f t="shared" si="4"/>
        <v>1772</v>
      </c>
      <c r="H25" s="2603">
        <f t="shared" si="4"/>
        <v>1333</v>
      </c>
      <c r="I25" s="2603">
        <f t="shared" si="4"/>
        <v>781</v>
      </c>
      <c r="J25" s="2603">
        <f t="shared" si="4"/>
        <v>228</v>
      </c>
      <c r="L25" s="457"/>
    </row>
    <row r="26" spans="1:12" s="28" customFormat="1" ht="15" customHeight="1">
      <c r="A26" s="466" t="s">
        <v>113</v>
      </c>
      <c r="B26" s="467" t="s">
        <v>1388</v>
      </c>
      <c r="C26" s="464" t="s">
        <v>805</v>
      </c>
      <c r="D26" s="2606">
        <f t="shared" ref="D26:J26" si="5">D11-D16-D21</f>
        <v>3459</v>
      </c>
      <c r="E26" s="2604">
        <f t="shared" si="5"/>
        <v>2912</v>
      </c>
      <c r="F26" s="2605">
        <f t="shared" si="5"/>
        <v>2372</v>
      </c>
      <c r="G26" s="2604">
        <f t="shared" si="5"/>
        <v>1772</v>
      </c>
      <c r="H26" s="2604">
        <f t="shared" si="5"/>
        <v>1182</v>
      </c>
      <c r="I26" s="2605">
        <f t="shared" si="5"/>
        <v>602</v>
      </c>
      <c r="J26" s="2604">
        <f t="shared" si="5"/>
        <v>32</v>
      </c>
      <c r="L26" s="457"/>
    </row>
    <row r="27" spans="1:12" s="28" customFormat="1" ht="15" customHeight="1">
      <c r="A27" s="466" t="s">
        <v>115</v>
      </c>
      <c r="B27" s="467" t="s">
        <v>1390</v>
      </c>
      <c r="C27" s="464" t="s">
        <v>805</v>
      </c>
      <c r="D27" s="2604">
        <f>D12+D13-D17-D22-D18-D23</f>
        <v>0</v>
      </c>
      <c r="E27" s="2604">
        <f t="shared" ref="E27:J27" si="6">E12+E13-E17-E22-E18-E23</f>
        <v>0</v>
      </c>
      <c r="F27" s="2604">
        <f t="shared" si="6"/>
        <v>0</v>
      </c>
      <c r="G27" s="2604">
        <f t="shared" si="6"/>
        <v>0</v>
      </c>
      <c r="H27" s="2604">
        <f t="shared" si="6"/>
        <v>151</v>
      </c>
      <c r="I27" s="2604">
        <f t="shared" si="6"/>
        <v>179</v>
      </c>
      <c r="J27" s="2604">
        <f t="shared" si="6"/>
        <v>196</v>
      </c>
      <c r="L27" s="457"/>
    </row>
    <row r="28" spans="1:12" s="28" customFormat="1" ht="15" customHeight="1">
      <c r="A28" s="454" t="s">
        <v>117</v>
      </c>
      <c r="B28" s="455" t="s">
        <v>837</v>
      </c>
      <c r="C28" s="456" t="s">
        <v>361</v>
      </c>
      <c r="D28" s="2607">
        <f>SUM(D29:D32)</f>
        <v>11</v>
      </c>
      <c r="E28" s="2607">
        <f t="shared" ref="E28:J28" si="7">SUM(E29:E32)</f>
        <v>11</v>
      </c>
      <c r="F28" s="2607">
        <f t="shared" si="7"/>
        <v>11.046599999999998</v>
      </c>
      <c r="G28" s="2607">
        <f t="shared" si="7"/>
        <v>15.1778</v>
      </c>
      <c r="H28" s="2607">
        <f t="shared" si="7"/>
        <v>16.4925</v>
      </c>
      <c r="I28" s="2607">
        <f t="shared" si="7"/>
        <v>18.462499999999999</v>
      </c>
      <c r="J28" s="2607">
        <f t="shared" si="7"/>
        <v>18.424499999999998</v>
      </c>
      <c r="L28" s="457"/>
    </row>
    <row r="29" spans="1:12" s="28" customFormat="1" ht="15" customHeight="1">
      <c r="A29" s="466" t="s">
        <v>119</v>
      </c>
      <c r="B29" s="467" t="s">
        <v>989</v>
      </c>
      <c r="C29" s="464" t="s">
        <v>361</v>
      </c>
      <c r="D29" s="548"/>
      <c r="E29" s="549"/>
      <c r="F29" s="550"/>
      <c r="G29" s="549"/>
      <c r="H29" s="549"/>
      <c r="I29" s="550"/>
      <c r="J29" s="549"/>
      <c r="L29" s="457"/>
    </row>
    <row r="30" spans="1:12" s="28" customFormat="1" ht="15" customHeight="1">
      <c r="A30" s="466" t="s">
        <v>124</v>
      </c>
      <c r="B30" s="467" t="s">
        <v>990</v>
      </c>
      <c r="C30" s="464" t="s">
        <v>361</v>
      </c>
      <c r="D30" s="548">
        <v>11</v>
      </c>
      <c r="E30" s="549">
        <v>11</v>
      </c>
      <c r="F30" s="549">
        <f>F20*10.2/1000</f>
        <v>11.046599999999998</v>
      </c>
      <c r="G30" s="549">
        <f>G20*9.8/1000</f>
        <v>8.0947999999999993</v>
      </c>
      <c r="H30" s="549">
        <f>H20*11.7/1000</f>
        <v>5.7329999999999997</v>
      </c>
      <c r="I30" s="549">
        <f>I20*10.7/1000</f>
        <v>5.1360000000000001</v>
      </c>
      <c r="J30" s="549">
        <f>J20*10.8/1000</f>
        <v>5.0759999999999996</v>
      </c>
      <c r="L30" s="457"/>
    </row>
    <row r="31" spans="1:12" s="28" customFormat="1" ht="15" customHeight="1">
      <c r="A31" s="466" t="s">
        <v>91</v>
      </c>
      <c r="B31" s="467" t="s">
        <v>839</v>
      </c>
      <c r="C31" s="464" t="s">
        <v>361</v>
      </c>
      <c r="D31" s="548"/>
      <c r="E31" s="549"/>
      <c r="F31" s="550"/>
      <c r="G31" s="549"/>
      <c r="H31" s="549"/>
      <c r="I31" s="550"/>
      <c r="J31" s="549"/>
      <c r="L31" s="457"/>
    </row>
    <row r="32" spans="1:12" s="28" customFormat="1" ht="15" customHeight="1">
      <c r="A32" s="466" t="s">
        <v>92</v>
      </c>
      <c r="B32" s="467" t="s">
        <v>840</v>
      </c>
      <c r="C32" s="464" t="s">
        <v>361</v>
      </c>
      <c r="D32" s="548"/>
      <c r="E32" s="549"/>
      <c r="F32" s="550"/>
      <c r="G32" s="549">
        <f>G15*23.61/1000</f>
        <v>7.0830000000000002</v>
      </c>
      <c r="H32" s="549">
        <f>H15*23.91/1000</f>
        <v>10.759499999999999</v>
      </c>
      <c r="I32" s="549">
        <f>I15*24.23/1000</f>
        <v>13.326499999999999</v>
      </c>
      <c r="J32" s="549">
        <f>J15*24.27/1000</f>
        <v>13.3485</v>
      </c>
      <c r="L32" s="457"/>
    </row>
    <row r="33" spans="1:14" s="28" customFormat="1" ht="15" customHeight="1">
      <c r="A33" s="454" t="s">
        <v>809</v>
      </c>
      <c r="B33" s="455" t="s">
        <v>838</v>
      </c>
      <c r="C33" s="456" t="s">
        <v>810</v>
      </c>
      <c r="D33" s="2608">
        <f t="shared" ref="D33:J33" si="8">IFERROR(D28*1000/(D15+D20),0)</f>
        <v>8.4550345887778633</v>
      </c>
      <c r="E33" s="2608">
        <f t="shared" si="8"/>
        <v>9.8126672613737735</v>
      </c>
      <c r="F33" s="2608">
        <f t="shared" si="8"/>
        <v>10.199999999999999</v>
      </c>
      <c r="G33" s="2608">
        <f t="shared" si="8"/>
        <v>13.479396092362345</v>
      </c>
      <c r="H33" s="2608">
        <f t="shared" si="8"/>
        <v>17.545212765957448</v>
      </c>
      <c r="I33" s="2608">
        <f t="shared" si="8"/>
        <v>17.924757281553397</v>
      </c>
      <c r="J33" s="2608">
        <f t="shared" si="8"/>
        <v>18.063235294117646</v>
      </c>
      <c r="L33" s="457"/>
    </row>
    <row r="34" spans="1:14" s="469" customFormat="1" ht="8.25" customHeight="1">
      <c r="A34" s="543"/>
      <c r="B34" s="544"/>
      <c r="C34" s="545"/>
      <c r="D34" s="2609"/>
      <c r="E34" s="2609"/>
      <c r="F34" s="2609"/>
      <c r="G34" s="2609"/>
      <c r="H34" s="2609"/>
      <c r="I34" s="2609"/>
      <c r="J34" s="2609"/>
      <c r="L34" s="546"/>
    </row>
    <row r="35" spans="1:14" s="469" customFormat="1" ht="15" customHeight="1">
      <c r="A35" s="3480" t="s">
        <v>913</v>
      </c>
      <c r="B35" s="3481"/>
      <c r="C35" s="3482"/>
      <c r="D35" s="2610">
        <f>(D30+D32)-('12. Разходи'!Q47+'12. Разходи'!Q48)</f>
        <v>0</v>
      </c>
      <c r="E35" s="2610">
        <f>(E30+E32)-('12. Разходи'!R47+'12. Разходи'!R48)</f>
        <v>0</v>
      </c>
      <c r="F35" s="2610">
        <f>(F30+F32)-('12. Разходи'!S47+'12. Разходи'!S48)</f>
        <v>4.6599999999997976E-2</v>
      </c>
      <c r="G35" s="2610">
        <f>(G30+G32)-('12. Разходи'!T47+'12. Разходи'!T48)</f>
        <v>0.17779999999999951</v>
      </c>
      <c r="H35" s="2610">
        <f>(H30+H32)-('12. Разходи'!U47+'12. Разходи'!U48)</f>
        <v>0.49249999999999972</v>
      </c>
      <c r="I35" s="2610">
        <f>(I30+I32)-('12. Разходи'!V47+'12. Разходи'!V48)</f>
        <v>0.46249999999999858</v>
      </c>
      <c r="J35" s="2610">
        <f>(J30+J32)-('12. Разходи'!W47+'12. Разходи'!W48)</f>
        <v>0.42449999999999832</v>
      </c>
      <c r="L35" s="546"/>
    </row>
    <row r="36" spans="1:14" s="469" customFormat="1" ht="15" customHeight="1">
      <c r="A36" s="543"/>
      <c r="B36" s="544"/>
      <c r="C36" s="545"/>
      <c r="D36" s="551"/>
      <c r="E36" s="551"/>
      <c r="F36" s="551"/>
      <c r="G36" s="551"/>
      <c r="H36" s="551"/>
      <c r="I36" s="551"/>
      <c r="J36" s="551"/>
      <c r="L36" s="546"/>
    </row>
    <row r="37" spans="1:14" s="28" customFormat="1" ht="29.25" customHeight="1">
      <c r="B37" s="468" t="str">
        <f>'6. Ел.Енергия'!B71</f>
        <v>Дата: 10.11.2017 г.</v>
      </c>
      <c r="C37" s="469"/>
      <c r="D37" s="552"/>
      <c r="E37" s="552"/>
      <c r="F37" s="552"/>
      <c r="G37" s="552"/>
      <c r="H37" s="553"/>
      <c r="I37" s="553"/>
      <c r="J37" s="553"/>
      <c r="L37" s="470"/>
      <c r="M37" s="470"/>
    </row>
    <row r="38" spans="1:14" s="28" customFormat="1" ht="14.25" customHeight="1">
      <c r="B38" s="471"/>
      <c r="C38" s="471"/>
      <c r="D38" s="555" t="str">
        <f>'6. Ел.Енергия'!E72</f>
        <v>Главен счетоводител:</v>
      </c>
      <c r="F38" s="554" t="s">
        <v>4</v>
      </c>
      <c r="G38" s="552"/>
      <c r="H38" s="553"/>
      <c r="I38" s="556"/>
      <c r="J38" s="557"/>
      <c r="K38" s="472"/>
      <c r="L38" s="473"/>
      <c r="M38" s="473"/>
      <c r="N38" s="472"/>
    </row>
    <row r="39" spans="1:14" s="28" customFormat="1" ht="12">
      <c r="B39" s="469"/>
      <c r="C39" s="469"/>
      <c r="D39" s="552"/>
      <c r="E39" s="558"/>
      <c r="F39" s="554"/>
      <c r="G39" s="474" t="s">
        <v>246</v>
      </c>
      <c r="H39" s="553"/>
      <c r="I39" s="553"/>
      <c r="J39" s="557"/>
      <c r="K39" s="472"/>
      <c r="L39" s="473"/>
      <c r="M39" s="473"/>
      <c r="N39" s="472"/>
    </row>
    <row r="40" spans="1:14" s="28" customFormat="1" ht="12">
      <c r="B40" s="469"/>
      <c r="C40" s="469"/>
      <c r="D40" s="552"/>
      <c r="E40" s="558"/>
      <c r="F40" s="554"/>
      <c r="G40" s="474"/>
      <c r="H40" s="553"/>
      <c r="I40" s="553"/>
      <c r="J40" s="557"/>
      <c r="K40" s="472"/>
      <c r="L40" s="473"/>
      <c r="M40" s="473"/>
      <c r="N40" s="472"/>
    </row>
    <row r="41" spans="1:14" s="28" customFormat="1" ht="12">
      <c r="B41" s="469"/>
      <c r="C41" s="469"/>
      <c r="D41" s="552"/>
      <c r="E41" s="558"/>
      <c r="F41" s="554"/>
      <c r="G41" s="474"/>
      <c r="H41" s="553"/>
      <c r="I41" s="553"/>
      <c r="J41" s="557"/>
      <c r="K41" s="472"/>
      <c r="L41" s="473"/>
      <c r="M41" s="473"/>
      <c r="N41" s="472"/>
    </row>
    <row r="42" spans="1:14" s="28" customFormat="1" ht="12">
      <c r="B42" s="469"/>
      <c r="C42" s="469"/>
      <c r="D42" s="552"/>
      <c r="E42" s="555" t="str">
        <f>'6. Ел.Енергия'!E76</f>
        <v>Управител:</v>
      </c>
      <c r="F42" s="554" t="s">
        <v>4</v>
      </c>
      <c r="G42" s="552"/>
      <c r="H42" s="553"/>
      <c r="I42" s="553"/>
      <c r="J42" s="559"/>
      <c r="K42" s="475"/>
      <c r="L42" s="473"/>
      <c r="M42" s="473"/>
      <c r="N42" s="475"/>
    </row>
    <row r="43" spans="1:14" s="28" customFormat="1" ht="12">
      <c r="B43" s="469"/>
      <c r="C43" s="469"/>
      <c r="D43" s="552"/>
      <c r="E43" s="560"/>
      <c r="F43" s="553"/>
      <c r="G43" s="474" t="s">
        <v>6</v>
      </c>
      <c r="H43" s="553"/>
      <c r="I43" s="553"/>
      <c r="J43" s="561"/>
      <c r="K43" s="476"/>
      <c r="L43" s="473"/>
      <c r="M43" s="473"/>
      <c r="N43" s="476"/>
    </row>
    <row r="44" spans="1:14" s="28" customFormat="1" ht="12">
      <c r="B44" s="469"/>
      <c r="C44" s="469"/>
      <c r="D44" s="552"/>
      <c r="E44" s="560"/>
      <c r="F44" s="553"/>
      <c r="G44" s="474"/>
      <c r="H44" s="553"/>
      <c r="I44" s="553"/>
      <c r="J44" s="561"/>
      <c r="K44" s="476"/>
      <c r="L44" s="473"/>
      <c r="M44" s="473"/>
      <c r="N44" s="476"/>
    </row>
    <row r="45" spans="1:14" s="28" customFormat="1" ht="12">
      <c r="A45" s="3484" t="s">
        <v>247</v>
      </c>
      <c r="B45" s="3484"/>
      <c r="C45" s="3484"/>
      <c r="D45" s="3484"/>
      <c r="E45" s="562"/>
      <c r="F45" s="562"/>
      <c r="G45" s="562"/>
      <c r="H45" s="553"/>
      <c r="I45" s="553"/>
      <c r="J45" s="553"/>
    </row>
    <row r="46" spans="1:14" s="477" customFormat="1" ht="12">
      <c r="A46" s="3485" t="s">
        <v>248</v>
      </c>
      <c r="B46" s="3485"/>
      <c r="C46" s="3485"/>
      <c r="D46" s="3485"/>
      <c r="E46" s="562"/>
      <c r="F46" s="562"/>
      <c r="G46" s="562"/>
      <c r="H46" s="563"/>
      <c r="I46" s="563"/>
      <c r="J46" s="27"/>
      <c r="K46" s="478"/>
    </row>
    <row r="47" spans="1:14" s="477" customFormat="1" ht="12">
      <c r="A47" s="3483" t="s">
        <v>1552</v>
      </c>
      <c r="B47" s="3483"/>
      <c r="C47" s="3483"/>
      <c r="D47" s="3483"/>
      <c r="E47" s="3483"/>
      <c r="F47" s="553"/>
      <c r="G47" s="553"/>
      <c r="H47" s="563"/>
      <c r="I47" s="563"/>
      <c r="J47" s="27"/>
    </row>
    <row r="48" spans="1:14" s="28" customFormat="1" ht="12">
      <c r="A48" s="479"/>
      <c r="D48" s="553"/>
      <c r="E48" s="553"/>
      <c r="F48" s="553"/>
      <c r="G48" s="553"/>
      <c r="H48" s="553"/>
      <c r="I48" s="553"/>
      <c r="J48" s="553"/>
    </row>
  </sheetData>
  <sheetProtection password="C6DB" sheet="1" objects="1" scenarios="1" formatCells="0" formatColumns="0" formatRows="0"/>
  <mergeCells count="17">
    <mergeCell ref="A35:C35"/>
    <mergeCell ref="A47:E47"/>
    <mergeCell ref="A45:D45"/>
    <mergeCell ref="A46:D46"/>
    <mergeCell ref="A2:J4"/>
    <mergeCell ref="A5:J5"/>
    <mergeCell ref="A6:J6"/>
    <mergeCell ref="A8:A9"/>
    <mergeCell ref="B8:B9"/>
    <mergeCell ref="C8:C9"/>
    <mergeCell ref="D8:D9"/>
    <mergeCell ref="E8:E9"/>
    <mergeCell ref="F8:F9"/>
    <mergeCell ref="G8:G9"/>
    <mergeCell ref="H8:H9"/>
    <mergeCell ref="I8:I9"/>
    <mergeCell ref="J8:J9"/>
  </mergeCells>
  <printOptions horizontalCentered="1"/>
  <pageMargins left="0.3" right="0.35" top="0.55118110236220474" bottom="0.39370078740157483" header="0.31496062992125984" footer="0.39370078740157483"/>
  <pageSetup paperSize="9" scale="67" orientation="landscape" r:id="rId1"/>
  <ignoredErrors>
    <ignoredError sqref="E11:J12" unlockedFormula="1"/>
    <ignoredError sqref="D22 D25:J25" formulaRange="1"/>
    <ignoredError sqref="D26:J27" formulaRange="1" unlockedFormula="1"/>
    <ignoredError sqref="A25:A33 A12:A13 A15:A18 A20:A23" numberStoredAsText="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FFFFCC"/>
  </sheetPr>
  <dimension ref="A1:W63"/>
  <sheetViews>
    <sheetView view="pageBreakPreview" zoomScale="85" zoomScaleNormal="100" zoomScaleSheetLayoutView="85" workbookViewId="0">
      <pane xSplit="17" ySplit="7" topLeftCell="R23" activePane="bottomRight" state="frozen"/>
      <selection pane="topRight" activeCell="R1" sqref="R1"/>
      <selection pane="bottomLeft" activeCell="A8" sqref="A8"/>
      <selection pane="bottomRight" activeCell="L42" sqref="L42"/>
    </sheetView>
  </sheetViews>
  <sheetFormatPr defaultColWidth="9.140625" defaultRowHeight="12.75"/>
  <cols>
    <col min="1" max="1" width="9.7109375" style="172" customWidth="1"/>
    <col min="2" max="2" width="42" style="181" customWidth="1"/>
    <col min="3" max="3" width="10" style="172" customWidth="1"/>
    <col min="4" max="4" width="7.28515625" style="172" customWidth="1"/>
    <col min="5" max="10" width="7" style="172" customWidth="1"/>
    <col min="11" max="11" width="7.7109375" style="172" customWidth="1"/>
    <col min="12" max="12" width="6.42578125" style="172" customWidth="1"/>
    <col min="13" max="18" width="6" style="172" customWidth="1"/>
    <col min="19" max="16384" width="9.140625" style="172"/>
  </cols>
  <sheetData>
    <row r="1" spans="1:18" ht="15">
      <c r="L1" s="591"/>
      <c r="M1" s="591"/>
      <c r="N1" s="591"/>
      <c r="O1" s="591"/>
      <c r="Q1" s="811" t="s">
        <v>1509</v>
      </c>
      <c r="R1" s="591"/>
    </row>
    <row r="2" spans="1:18" ht="39.75" customHeight="1">
      <c r="A2" s="3486" t="s">
        <v>875</v>
      </c>
      <c r="B2" s="3486"/>
      <c r="C2" s="3486"/>
      <c r="D2" s="3486"/>
      <c r="E2" s="3486"/>
      <c r="F2" s="3486"/>
      <c r="G2" s="3486"/>
      <c r="H2" s="3486"/>
      <c r="I2" s="3486"/>
      <c r="J2" s="3486"/>
      <c r="K2" s="3486"/>
      <c r="L2" s="3486"/>
      <c r="M2" s="3486"/>
      <c r="N2" s="3486"/>
      <c r="O2" s="3486"/>
      <c r="P2" s="3486"/>
      <c r="Q2" s="3486"/>
      <c r="R2" s="591"/>
    </row>
    <row r="3" spans="1:18" ht="15.75">
      <c r="A3" s="3487" t="str">
        <f>'1. Анкетна карта'!A3:J3</f>
        <v>на "ВОДОСНАБДЯВАНЕ И КАНАЛИЗАЦИЯ ДОБРИЧ" АД, гр. Добрич</v>
      </c>
      <c r="B3" s="3487"/>
      <c r="C3" s="3487"/>
      <c r="D3" s="3487"/>
      <c r="E3" s="3487"/>
      <c r="F3" s="3487"/>
      <c r="G3" s="3487"/>
      <c r="H3" s="3487"/>
      <c r="I3" s="3487"/>
      <c r="J3" s="3487"/>
      <c r="K3" s="3487"/>
      <c r="L3" s="3487"/>
      <c r="M3" s="3487"/>
      <c r="N3" s="3487"/>
      <c r="O3" s="3487"/>
      <c r="P3" s="3487"/>
      <c r="Q3" s="3487"/>
      <c r="R3" s="591"/>
    </row>
    <row r="4" spans="1:18" ht="15.75">
      <c r="A4" s="3487" t="str">
        <f>'1. Анкетна карта'!A4:J4</f>
        <v>ЕИК по БУЛСТАТ: 204219357</v>
      </c>
      <c r="B4" s="3487"/>
      <c r="C4" s="3487"/>
      <c r="D4" s="3487"/>
      <c r="E4" s="3487"/>
      <c r="F4" s="3487"/>
      <c r="G4" s="3487"/>
      <c r="H4" s="3487"/>
      <c r="I4" s="3487"/>
      <c r="J4" s="3487"/>
      <c r="K4" s="3487"/>
      <c r="L4" s="3487"/>
      <c r="M4" s="3487"/>
      <c r="N4" s="3487"/>
      <c r="O4" s="3487"/>
      <c r="P4" s="3487"/>
      <c r="Q4" s="3487"/>
      <c r="R4" s="591"/>
    </row>
    <row r="5" spans="1:18" ht="16.5" thickBot="1">
      <c r="A5" s="3493"/>
      <c r="B5" s="3493"/>
      <c r="C5" s="3493"/>
      <c r="D5" s="3493"/>
      <c r="E5" s="3493"/>
      <c r="F5" s="3493"/>
      <c r="G5" s="3493"/>
      <c r="H5" s="3493"/>
      <c r="I5" s="3493"/>
      <c r="J5" s="3493"/>
      <c r="K5" s="3493"/>
      <c r="L5" s="663"/>
      <c r="M5" s="663"/>
      <c r="N5" s="663"/>
      <c r="O5" s="663"/>
      <c r="P5" s="663"/>
      <c r="Q5" s="663"/>
      <c r="R5" s="663"/>
    </row>
    <row r="6" spans="1:18" ht="23.25" customHeight="1">
      <c r="A6" s="3441" t="s">
        <v>264</v>
      </c>
      <c r="B6" s="3498" t="s">
        <v>639</v>
      </c>
      <c r="C6" s="3500" t="s">
        <v>640</v>
      </c>
      <c r="D6" s="3494" t="s">
        <v>1195</v>
      </c>
      <c r="E6" s="3495"/>
      <c r="F6" s="3495"/>
      <c r="G6" s="3495"/>
      <c r="H6" s="3495"/>
      <c r="I6" s="3495"/>
      <c r="J6" s="3496"/>
      <c r="K6" s="3488" t="s">
        <v>641</v>
      </c>
      <c r="L6" s="3489"/>
      <c r="M6" s="3489"/>
      <c r="N6" s="3489"/>
      <c r="O6" s="3489"/>
      <c r="P6" s="3489"/>
      <c r="Q6" s="3490"/>
    </row>
    <row r="7" spans="1:18" ht="27" customHeight="1" thickBot="1">
      <c r="A7" s="3497"/>
      <c r="B7" s="3499"/>
      <c r="C7" s="3501"/>
      <c r="D7" s="873" t="str">
        <f>'Приложение '!$G12</f>
        <v>2015 г.</v>
      </c>
      <c r="E7" s="874" t="str">
        <f>'Приложение '!$G13</f>
        <v>2016 г.</v>
      </c>
      <c r="F7" s="874" t="str">
        <f>'Приложение '!$G14</f>
        <v>2017 г.</v>
      </c>
      <c r="G7" s="874" t="str">
        <f>'Приложение '!$G15</f>
        <v>2018 г.</v>
      </c>
      <c r="H7" s="874" t="str">
        <f>'Приложение '!$G16</f>
        <v>2019 г.</v>
      </c>
      <c r="I7" s="874" t="str">
        <f>'Приложение '!$G17</f>
        <v>2020 г.</v>
      </c>
      <c r="J7" s="875" t="str">
        <f>'Приложение '!$G18</f>
        <v>2021 г.</v>
      </c>
      <c r="K7" s="876" t="str">
        <f>D7</f>
        <v>2015 г.</v>
      </c>
      <c r="L7" s="877" t="str">
        <f t="shared" ref="L7:Q7" si="0">E7</f>
        <v>2016 г.</v>
      </c>
      <c r="M7" s="877" t="str">
        <f t="shared" si="0"/>
        <v>2017 г.</v>
      </c>
      <c r="N7" s="877" t="str">
        <f t="shared" si="0"/>
        <v>2018 г.</v>
      </c>
      <c r="O7" s="877" t="str">
        <f t="shared" si="0"/>
        <v>2019 г.</v>
      </c>
      <c r="P7" s="877" t="str">
        <f t="shared" si="0"/>
        <v>2020 г.</v>
      </c>
      <c r="Q7" s="878" t="str">
        <f t="shared" si="0"/>
        <v>2021 г.</v>
      </c>
      <c r="R7" s="592"/>
    </row>
    <row r="8" spans="1:18" ht="15" thickBot="1">
      <c r="A8" s="2640">
        <v>1</v>
      </c>
      <c r="B8" s="2641" t="s">
        <v>1194</v>
      </c>
      <c r="C8" s="2642"/>
      <c r="D8" s="787"/>
      <c r="E8" s="787"/>
      <c r="F8" s="787"/>
      <c r="G8" s="787"/>
      <c r="H8" s="787"/>
      <c r="I8" s="787"/>
      <c r="J8" s="787"/>
      <c r="K8" s="787"/>
      <c r="L8" s="787"/>
      <c r="M8" s="787"/>
      <c r="N8" s="787"/>
      <c r="O8" s="787"/>
      <c r="P8" s="787"/>
      <c r="Q8" s="788"/>
      <c r="R8" s="593"/>
    </row>
    <row r="9" spans="1:18">
      <c r="A9" s="2643" t="s">
        <v>642</v>
      </c>
      <c r="B9" s="2644" t="s">
        <v>643</v>
      </c>
      <c r="C9" s="2931" t="s">
        <v>908</v>
      </c>
      <c r="D9" s="800">
        <v>7</v>
      </c>
      <c r="E9" s="801">
        <v>7</v>
      </c>
      <c r="F9" s="801">
        <v>5</v>
      </c>
      <c r="G9" s="801">
        <v>5</v>
      </c>
      <c r="H9" s="801">
        <v>5</v>
      </c>
      <c r="I9" s="801">
        <v>5</v>
      </c>
      <c r="J9" s="802">
        <v>5</v>
      </c>
      <c r="K9" s="809">
        <f>361*0.292</f>
        <v>105.41199999999999</v>
      </c>
      <c r="L9" s="806">
        <v>361</v>
      </c>
      <c r="M9" s="806">
        <v>257.85714285714283</v>
      </c>
      <c r="N9" s="806">
        <v>257.85714285714283</v>
      </c>
      <c r="O9" s="806">
        <v>257.85714285714283</v>
      </c>
      <c r="P9" s="806">
        <v>257.85714285714283</v>
      </c>
      <c r="Q9" s="807">
        <v>257.85714285714283</v>
      </c>
      <c r="R9" s="175"/>
    </row>
    <row r="10" spans="1:18">
      <c r="A10" s="2645" t="s">
        <v>644</v>
      </c>
      <c r="B10" s="2646" t="s">
        <v>988</v>
      </c>
      <c r="C10" s="2932" t="s">
        <v>908</v>
      </c>
      <c r="D10" s="785">
        <v>1230</v>
      </c>
      <c r="E10" s="786">
        <v>1230</v>
      </c>
      <c r="F10" s="786">
        <v>1210</v>
      </c>
      <c r="G10" s="786">
        <v>1200</v>
      </c>
      <c r="H10" s="786">
        <v>1150</v>
      </c>
      <c r="I10" s="786">
        <v>1120</v>
      </c>
      <c r="J10" s="795">
        <v>1100</v>
      </c>
      <c r="K10" s="785">
        <f>902*0.4</f>
        <v>360.8</v>
      </c>
      <c r="L10" s="786">
        <v>901.99999999999989</v>
      </c>
      <c r="M10" s="786">
        <v>887.33333333333326</v>
      </c>
      <c r="N10" s="786">
        <v>879.99999999999989</v>
      </c>
      <c r="O10" s="786">
        <v>843.33333333333326</v>
      </c>
      <c r="P10" s="786">
        <v>821.33333333333326</v>
      </c>
      <c r="Q10" s="795">
        <v>806.66666666666663</v>
      </c>
      <c r="R10" s="175"/>
    </row>
    <row r="11" spans="1:18" ht="24">
      <c r="A11" s="2645" t="s">
        <v>645</v>
      </c>
      <c r="B11" s="2646" t="s">
        <v>646</v>
      </c>
      <c r="C11" s="2932" t="s">
        <v>908</v>
      </c>
      <c r="D11" s="785">
        <v>1945</v>
      </c>
      <c r="E11" s="786">
        <v>1945</v>
      </c>
      <c r="F11" s="786">
        <v>1910</v>
      </c>
      <c r="G11" s="786">
        <v>1820</v>
      </c>
      <c r="H11" s="786">
        <v>1710</v>
      </c>
      <c r="I11" s="786">
        <v>1530</v>
      </c>
      <c r="J11" s="795">
        <v>1380</v>
      </c>
      <c r="K11" s="785">
        <f>809*0.3</f>
        <v>242.7</v>
      </c>
      <c r="L11" s="786">
        <v>809</v>
      </c>
      <c r="M11" s="786">
        <v>794.44215938303341</v>
      </c>
      <c r="N11" s="786">
        <v>757.00771208226217</v>
      </c>
      <c r="O11" s="786">
        <v>711.25449871465287</v>
      </c>
      <c r="P11" s="786">
        <v>636.3856041131105</v>
      </c>
      <c r="Q11" s="795">
        <v>573.99485861182518</v>
      </c>
      <c r="R11" s="175"/>
    </row>
    <row r="12" spans="1:18">
      <c r="A12" s="2645" t="s">
        <v>647</v>
      </c>
      <c r="B12" s="2646" t="s">
        <v>648</v>
      </c>
      <c r="C12" s="2932" t="s">
        <v>908</v>
      </c>
      <c r="D12" s="785">
        <v>538</v>
      </c>
      <c r="E12" s="786">
        <v>538</v>
      </c>
      <c r="F12" s="786">
        <v>500</v>
      </c>
      <c r="G12" s="786">
        <v>500</v>
      </c>
      <c r="H12" s="786">
        <v>450</v>
      </c>
      <c r="I12" s="786">
        <v>400</v>
      </c>
      <c r="J12" s="795">
        <v>350</v>
      </c>
      <c r="K12" s="785">
        <f>443.771567436209*0.3</f>
        <v>133.1314702308627</v>
      </c>
      <c r="L12" s="786">
        <v>443.77156743620895</v>
      </c>
      <c r="M12" s="786">
        <v>412.42710728272209</v>
      </c>
      <c r="N12" s="786">
        <v>412.42710728272209</v>
      </c>
      <c r="O12" s="786">
        <v>371.18439655444985</v>
      </c>
      <c r="P12" s="786">
        <v>329.94168582617766</v>
      </c>
      <c r="Q12" s="795">
        <v>288.69897509790547</v>
      </c>
      <c r="R12" s="175"/>
    </row>
    <row r="13" spans="1:18">
      <c r="A13" s="2645" t="s">
        <v>649</v>
      </c>
      <c r="B13" s="2646" t="s">
        <v>650</v>
      </c>
      <c r="C13" s="2932" t="s">
        <v>908</v>
      </c>
      <c r="D13" s="785">
        <v>95</v>
      </c>
      <c r="E13" s="786">
        <v>95</v>
      </c>
      <c r="F13" s="786">
        <v>80</v>
      </c>
      <c r="G13" s="786">
        <v>70</v>
      </c>
      <c r="H13" s="786">
        <v>68</v>
      </c>
      <c r="I13" s="786">
        <v>65</v>
      </c>
      <c r="J13" s="795">
        <v>50</v>
      </c>
      <c r="K13" s="785">
        <v>46.87727825030376</v>
      </c>
      <c r="L13" s="786">
        <v>46.87727825030376</v>
      </c>
      <c r="M13" s="786">
        <v>39.475602737097908</v>
      </c>
      <c r="N13" s="786">
        <v>34.541152394960669</v>
      </c>
      <c r="O13" s="786">
        <v>33.55426232653322</v>
      </c>
      <c r="P13" s="786">
        <v>32.073927223892049</v>
      </c>
      <c r="Q13" s="795">
        <v>24.67225171068619</v>
      </c>
      <c r="R13" s="175"/>
    </row>
    <row r="14" spans="1:18">
      <c r="A14" s="2645" t="s">
        <v>651</v>
      </c>
      <c r="B14" s="2646" t="s">
        <v>652</v>
      </c>
      <c r="C14" s="2932" t="s">
        <v>908</v>
      </c>
      <c r="D14" s="785">
        <v>45</v>
      </c>
      <c r="E14" s="786">
        <v>45</v>
      </c>
      <c r="F14" s="786">
        <v>42</v>
      </c>
      <c r="G14" s="786">
        <v>42</v>
      </c>
      <c r="H14" s="786">
        <v>42</v>
      </c>
      <c r="I14" s="786">
        <v>42</v>
      </c>
      <c r="J14" s="795">
        <v>42</v>
      </c>
      <c r="K14" s="785">
        <v>140</v>
      </c>
      <c r="L14" s="786">
        <v>140</v>
      </c>
      <c r="M14" s="786">
        <v>130.66666666666666</v>
      </c>
      <c r="N14" s="786">
        <v>130.66666666666666</v>
      </c>
      <c r="O14" s="786">
        <v>130.66666666666666</v>
      </c>
      <c r="P14" s="786">
        <v>130.66666666666666</v>
      </c>
      <c r="Q14" s="795">
        <v>130.66666666666666</v>
      </c>
      <c r="R14" s="175"/>
    </row>
    <row r="15" spans="1:18">
      <c r="A15" s="2645" t="s">
        <v>653</v>
      </c>
      <c r="B15" s="2646" t="s">
        <v>654</v>
      </c>
      <c r="C15" s="2932" t="s">
        <v>908</v>
      </c>
      <c r="D15" s="785"/>
      <c r="E15" s="786"/>
      <c r="F15" s="786"/>
      <c r="G15" s="786"/>
      <c r="H15" s="786"/>
      <c r="I15" s="786"/>
      <c r="J15" s="795"/>
      <c r="K15" s="785"/>
      <c r="L15" s="786"/>
      <c r="M15" s="786"/>
      <c r="N15" s="786"/>
      <c r="O15" s="786"/>
      <c r="P15" s="786"/>
      <c r="Q15" s="795"/>
      <c r="R15" s="175"/>
    </row>
    <row r="16" spans="1:18" ht="24">
      <c r="A16" s="2645" t="s">
        <v>655</v>
      </c>
      <c r="B16" s="2646" t="s">
        <v>656</v>
      </c>
      <c r="C16" s="2932" t="s">
        <v>908</v>
      </c>
      <c r="D16" s="785">
        <v>224</v>
      </c>
      <c r="E16" s="786">
        <v>224</v>
      </c>
      <c r="F16" s="786">
        <v>220</v>
      </c>
      <c r="G16" s="786">
        <v>200</v>
      </c>
      <c r="H16" s="786">
        <v>200</v>
      </c>
      <c r="I16" s="786">
        <v>200</v>
      </c>
      <c r="J16" s="795">
        <v>200</v>
      </c>
      <c r="K16" s="785">
        <v>251</v>
      </c>
      <c r="L16" s="786">
        <v>282</v>
      </c>
      <c r="M16" s="786">
        <v>266</v>
      </c>
      <c r="N16" s="786">
        <v>271</v>
      </c>
      <c r="O16" s="786">
        <v>284</v>
      </c>
      <c r="P16" s="786">
        <v>287</v>
      </c>
      <c r="Q16" s="795">
        <v>295</v>
      </c>
      <c r="R16" s="175"/>
    </row>
    <row r="17" spans="1:18">
      <c r="A17" s="2645" t="s">
        <v>657</v>
      </c>
      <c r="B17" s="2646" t="s">
        <v>658</v>
      </c>
      <c r="C17" s="2932" t="s">
        <v>908</v>
      </c>
      <c r="D17" s="785"/>
      <c r="E17" s="786"/>
      <c r="F17" s="786"/>
      <c r="G17" s="786"/>
      <c r="H17" s="786"/>
      <c r="I17" s="786"/>
      <c r="J17" s="795"/>
      <c r="K17" s="785"/>
      <c r="L17" s="786"/>
      <c r="M17" s="786"/>
      <c r="N17" s="786"/>
      <c r="O17" s="786"/>
      <c r="P17" s="786"/>
      <c r="Q17" s="795"/>
      <c r="R17" s="175"/>
    </row>
    <row r="18" spans="1:18" ht="24">
      <c r="A18" s="2645" t="s">
        <v>659</v>
      </c>
      <c r="B18" s="2646" t="s">
        <v>660</v>
      </c>
      <c r="C18" s="2932" t="s">
        <v>908</v>
      </c>
      <c r="D18" s="785">
        <v>12</v>
      </c>
      <c r="E18" s="786">
        <v>12</v>
      </c>
      <c r="F18" s="786">
        <v>12</v>
      </c>
      <c r="G18" s="786">
        <v>13</v>
      </c>
      <c r="H18" s="786">
        <v>13</v>
      </c>
      <c r="I18" s="786">
        <v>13</v>
      </c>
      <c r="J18" s="795">
        <v>13</v>
      </c>
      <c r="K18" s="785">
        <v>33</v>
      </c>
      <c r="L18" s="786">
        <v>33</v>
      </c>
      <c r="M18" s="786">
        <v>33</v>
      </c>
      <c r="N18" s="786">
        <v>33</v>
      </c>
      <c r="O18" s="786">
        <v>33</v>
      </c>
      <c r="P18" s="786">
        <v>33</v>
      </c>
      <c r="Q18" s="795">
        <v>33</v>
      </c>
      <c r="R18" s="175"/>
    </row>
    <row r="19" spans="1:18">
      <c r="A19" s="2645" t="s">
        <v>915</v>
      </c>
      <c r="B19" s="2647" t="s">
        <v>1198</v>
      </c>
      <c r="C19" s="2932" t="s">
        <v>908</v>
      </c>
      <c r="D19" s="803"/>
      <c r="E19" s="784"/>
      <c r="F19" s="784"/>
      <c r="G19" s="784"/>
      <c r="H19" s="784"/>
      <c r="I19" s="784"/>
      <c r="J19" s="804"/>
      <c r="K19" s="785"/>
      <c r="L19" s="786"/>
      <c r="M19" s="786"/>
      <c r="N19" s="786"/>
      <c r="O19" s="786"/>
      <c r="P19" s="786"/>
      <c r="Q19" s="795"/>
      <c r="R19" s="175"/>
    </row>
    <row r="20" spans="1:18">
      <c r="A20" s="2645" t="s">
        <v>995</v>
      </c>
      <c r="B20" s="2647" t="s">
        <v>1199</v>
      </c>
      <c r="C20" s="2932" t="s">
        <v>908</v>
      </c>
      <c r="D20" s="785"/>
      <c r="E20" s="786"/>
      <c r="F20" s="786">
        <v>15</v>
      </c>
      <c r="G20" s="786">
        <v>12</v>
      </c>
      <c r="H20" s="786">
        <v>18</v>
      </c>
      <c r="I20" s="786">
        <v>22</v>
      </c>
      <c r="J20" s="795">
        <v>33</v>
      </c>
      <c r="K20" s="785"/>
      <c r="L20" s="786"/>
      <c r="M20" s="786">
        <v>11</v>
      </c>
      <c r="N20" s="786">
        <v>9</v>
      </c>
      <c r="O20" s="786">
        <v>15</v>
      </c>
      <c r="P20" s="786">
        <v>19</v>
      </c>
      <c r="Q20" s="795">
        <v>28</v>
      </c>
      <c r="R20" s="175"/>
    </row>
    <row r="21" spans="1:18">
      <c r="A21" s="2645" t="s">
        <v>996</v>
      </c>
      <c r="B21" s="2648" t="s">
        <v>975</v>
      </c>
      <c r="C21" s="2932" t="s">
        <v>908</v>
      </c>
      <c r="D21" s="803">
        <v>4</v>
      </c>
      <c r="E21" s="784">
        <v>4</v>
      </c>
      <c r="F21" s="784">
        <v>4</v>
      </c>
      <c r="G21" s="784">
        <v>4</v>
      </c>
      <c r="H21" s="784">
        <v>4</v>
      </c>
      <c r="I21" s="784">
        <v>4</v>
      </c>
      <c r="J21" s="804">
        <v>4</v>
      </c>
      <c r="K21" s="785"/>
      <c r="L21" s="786"/>
      <c r="M21" s="786">
        <v>4</v>
      </c>
      <c r="N21" s="786">
        <v>5</v>
      </c>
      <c r="O21" s="786">
        <v>5</v>
      </c>
      <c r="P21" s="786">
        <v>5</v>
      </c>
      <c r="Q21" s="795">
        <v>6</v>
      </c>
      <c r="R21" s="175"/>
    </row>
    <row r="22" spans="1:18" ht="24.75" thickBot="1">
      <c r="A22" s="2645" t="s">
        <v>997</v>
      </c>
      <c r="B22" s="2646" t="s">
        <v>978</v>
      </c>
      <c r="C22" s="2932" t="s">
        <v>380</v>
      </c>
      <c r="D22" s="803"/>
      <c r="E22" s="784"/>
      <c r="F22" s="784"/>
      <c r="G22" s="784"/>
      <c r="H22" s="784"/>
      <c r="I22" s="784"/>
      <c r="J22" s="804"/>
      <c r="K22" s="785"/>
      <c r="L22" s="786"/>
      <c r="M22" s="786"/>
      <c r="N22" s="786"/>
      <c r="O22" s="786"/>
      <c r="P22" s="786"/>
      <c r="Q22" s="795"/>
      <c r="R22" s="175"/>
    </row>
    <row r="23" spans="1:18" ht="24" customHeight="1" thickBot="1">
      <c r="A23" s="2649"/>
      <c r="B23" s="2650" t="s">
        <v>1196</v>
      </c>
      <c r="C23" s="2651"/>
      <c r="D23" s="2611">
        <f t="shared" ref="D23:Q23" si="1">SUM(D9:D22)</f>
        <v>4100</v>
      </c>
      <c r="E23" s="2612">
        <f t="shared" si="1"/>
        <v>4100</v>
      </c>
      <c r="F23" s="2612">
        <f t="shared" si="1"/>
        <v>3998</v>
      </c>
      <c r="G23" s="2612">
        <f t="shared" si="1"/>
        <v>3866</v>
      </c>
      <c r="H23" s="2612">
        <f t="shared" si="1"/>
        <v>3660</v>
      </c>
      <c r="I23" s="2612">
        <f t="shared" si="1"/>
        <v>3401</v>
      </c>
      <c r="J23" s="2613">
        <f t="shared" si="1"/>
        <v>3177</v>
      </c>
      <c r="K23" s="2614">
        <f t="shared" si="1"/>
        <v>1312.9207484811666</v>
      </c>
      <c r="L23" s="2615">
        <f t="shared" si="1"/>
        <v>3017.6488456865127</v>
      </c>
      <c r="M23" s="2615">
        <f t="shared" si="1"/>
        <v>2836.2020122599956</v>
      </c>
      <c r="N23" s="2615">
        <f t="shared" si="1"/>
        <v>2790.4997812837541</v>
      </c>
      <c r="O23" s="2615">
        <f t="shared" si="1"/>
        <v>2684.8503004527788</v>
      </c>
      <c r="P23" s="2615">
        <f t="shared" si="1"/>
        <v>2552.2583600203229</v>
      </c>
      <c r="Q23" s="2616">
        <f t="shared" si="1"/>
        <v>2444.5565616108929</v>
      </c>
      <c r="R23" s="175"/>
    </row>
    <row r="24" spans="1:18" ht="24" customHeight="1" thickBot="1">
      <c r="A24" s="2652"/>
      <c r="B24" s="2653" t="s">
        <v>914</v>
      </c>
      <c r="C24" s="2654"/>
      <c r="D24" s="2617"/>
      <c r="E24" s="2618"/>
      <c r="F24" s="2618"/>
      <c r="G24" s="2618"/>
      <c r="H24" s="2618"/>
      <c r="I24" s="2618"/>
      <c r="J24" s="2619"/>
      <c r="K24" s="2620">
        <f>K23-'12. Разходи'!C86</f>
        <v>-7.9251518833416412E-2</v>
      </c>
      <c r="L24" s="2620">
        <f>L23-'12. Разходи'!D86</f>
        <v>-0.35115431348731363</v>
      </c>
      <c r="M24" s="2620">
        <f>M23-'12. Разходи'!E86</f>
        <v>2.2733340790637158E-2</v>
      </c>
      <c r="N24" s="2620">
        <f>N23-'12. Разходи'!F86</f>
        <v>-0.20673252096094075</v>
      </c>
      <c r="O24" s="2620">
        <f>O23-'12. Разходи'!G86</f>
        <v>-0.49188282129671279</v>
      </c>
      <c r="P24" s="2620">
        <f>P23-'12. Разходи'!H86</f>
        <v>-7.3415744838712271E-2</v>
      </c>
      <c r="Q24" s="2621">
        <f>Q23-'12. Разходи'!I86</f>
        <v>8.5857469715392654E-2</v>
      </c>
      <c r="R24" s="175"/>
    </row>
    <row r="25" spans="1:18" ht="25.5" customHeight="1" thickBot="1">
      <c r="A25" s="2655">
        <v>2</v>
      </c>
      <c r="B25" s="2656" t="s">
        <v>1197</v>
      </c>
      <c r="C25" s="2657"/>
      <c r="D25" s="790"/>
      <c r="E25" s="790"/>
      <c r="F25" s="790"/>
      <c r="G25" s="790"/>
      <c r="H25" s="790"/>
      <c r="I25" s="790"/>
      <c r="J25" s="790"/>
      <c r="K25" s="790"/>
      <c r="L25" s="790"/>
      <c r="M25" s="790"/>
      <c r="N25" s="790"/>
      <c r="O25" s="790"/>
      <c r="P25" s="790"/>
      <c r="Q25" s="791"/>
      <c r="R25" s="482"/>
    </row>
    <row r="26" spans="1:18">
      <c r="A26" s="2658" t="s">
        <v>661</v>
      </c>
      <c r="B26" s="2659" t="s">
        <v>662</v>
      </c>
      <c r="C26" s="2931" t="s">
        <v>908</v>
      </c>
      <c r="D26" s="809">
        <v>682</v>
      </c>
      <c r="E26" s="806">
        <v>682</v>
      </c>
      <c r="F26" s="806">
        <v>682</v>
      </c>
      <c r="G26" s="806">
        <v>682</v>
      </c>
      <c r="H26" s="806">
        <v>682</v>
      </c>
      <c r="I26" s="806">
        <v>682</v>
      </c>
      <c r="J26" s="806">
        <v>682</v>
      </c>
      <c r="K26" s="808">
        <f>123.75*0.1</f>
        <v>12.375</v>
      </c>
      <c r="L26" s="806">
        <v>123.75</v>
      </c>
      <c r="M26" s="806">
        <v>125.91562500000001</v>
      </c>
      <c r="N26" s="806">
        <v>128.08125000000001</v>
      </c>
      <c r="O26" s="806">
        <v>130.24687499999999</v>
      </c>
      <c r="P26" s="806">
        <v>132.41250000000002</v>
      </c>
      <c r="Q26" s="806">
        <v>134.578125</v>
      </c>
      <c r="R26" s="175"/>
    </row>
    <row r="27" spans="1:18">
      <c r="A27" s="2645" t="s">
        <v>663</v>
      </c>
      <c r="B27" s="2646" t="s">
        <v>664</v>
      </c>
      <c r="C27" s="2932" t="s">
        <v>908</v>
      </c>
      <c r="D27" s="785">
        <v>76</v>
      </c>
      <c r="E27" s="786">
        <v>76</v>
      </c>
      <c r="F27" s="786">
        <v>75</v>
      </c>
      <c r="G27" s="786">
        <v>73</v>
      </c>
      <c r="H27" s="786">
        <v>69</v>
      </c>
      <c r="I27" s="786">
        <v>65</v>
      </c>
      <c r="J27" s="795">
        <v>50</v>
      </c>
      <c r="K27" s="799">
        <f>41.25*0.1</f>
        <v>4.125</v>
      </c>
      <c r="L27" s="786">
        <v>41.25</v>
      </c>
      <c r="M27" s="786">
        <v>41.419613486842096</v>
      </c>
      <c r="N27" s="786">
        <v>41.00847039473684</v>
      </c>
      <c r="O27" s="786">
        <v>39.416817434210522</v>
      </c>
      <c r="P27" s="786">
        <v>37.749177631578945</v>
      </c>
      <c r="Q27" s="795">
        <v>29.512746710526315</v>
      </c>
      <c r="R27" s="175"/>
    </row>
    <row r="28" spans="1:18">
      <c r="A28" s="2645" t="s">
        <v>665</v>
      </c>
      <c r="B28" s="2646" t="s">
        <v>666</v>
      </c>
      <c r="C28" s="2932" t="s">
        <v>908</v>
      </c>
      <c r="D28" s="785">
        <v>2</v>
      </c>
      <c r="E28" s="786">
        <v>2</v>
      </c>
      <c r="F28" s="786">
        <v>2</v>
      </c>
      <c r="G28" s="786">
        <v>2</v>
      </c>
      <c r="H28" s="786">
        <v>2</v>
      </c>
      <c r="I28" s="786">
        <v>2</v>
      </c>
      <c r="J28" s="795">
        <v>2</v>
      </c>
      <c r="K28" s="799">
        <v>4</v>
      </c>
      <c r="L28" s="786">
        <v>4</v>
      </c>
      <c r="M28" s="786">
        <v>4</v>
      </c>
      <c r="N28" s="786">
        <v>4</v>
      </c>
      <c r="O28" s="786">
        <v>4</v>
      </c>
      <c r="P28" s="786">
        <v>4</v>
      </c>
      <c r="Q28" s="795">
        <v>4</v>
      </c>
      <c r="R28" s="175"/>
    </row>
    <row r="29" spans="1:18" ht="24">
      <c r="A29" s="2645" t="s">
        <v>667</v>
      </c>
      <c r="B29" s="2646" t="s">
        <v>668</v>
      </c>
      <c r="C29" s="2932" t="s">
        <v>908</v>
      </c>
      <c r="D29" s="785">
        <v>4</v>
      </c>
      <c r="E29" s="786">
        <v>4</v>
      </c>
      <c r="F29" s="786">
        <v>4</v>
      </c>
      <c r="G29" s="786">
        <v>4</v>
      </c>
      <c r="H29" s="786">
        <v>3</v>
      </c>
      <c r="I29" s="786">
        <v>3</v>
      </c>
      <c r="J29" s="795">
        <v>3</v>
      </c>
      <c r="K29" s="799">
        <f>22*0.8</f>
        <v>17.600000000000001</v>
      </c>
      <c r="L29" s="786">
        <v>27</v>
      </c>
      <c r="M29" s="786">
        <v>22</v>
      </c>
      <c r="N29" s="786">
        <v>23</v>
      </c>
      <c r="O29" s="786">
        <v>23</v>
      </c>
      <c r="P29" s="786">
        <v>23</v>
      </c>
      <c r="Q29" s="795">
        <v>23</v>
      </c>
      <c r="R29" s="175"/>
    </row>
    <row r="30" spans="1:18">
      <c r="A30" s="2645" t="s">
        <v>669</v>
      </c>
      <c r="B30" s="2646" t="s">
        <v>670</v>
      </c>
      <c r="C30" s="2932" t="s">
        <v>908</v>
      </c>
      <c r="D30" s="785"/>
      <c r="E30" s="786"/>
      <c r="F30" s="786"/>
      <c r="G30" s="786"/>
      <c r="H30" s="786"/>
      <c r="I30" s="786"/>
      <c r="J30" s="795"/>
      <c r="K30" s="799"/>
      <c r="L30" s="786"/>
      <c r="M30" s="786"/>
      <c r="N30" s="786"/>
      <c r="O30" s="786"/>
      <c r="P30" s="786"/>
      <c r="Q30" s="795"/>
      <c r="R30" s="175"/>
    </row>
    <row r="31" spans="1:18" ht="24">
      <c r="A31" s="2645" t="s">
        <v>671</v>
      </c>
      <c r="B31" s="2648" t="s">
        <v>672</v>
      </c>
      <c r="C31" s="2932" t="s">
        <v>908</v>
      </c>
      <c r="D31" s="785">
        <v>1</v>
      </c>
      <c r="E31" s="786">
        <v>1</v>
      </c>
      <c r="F31" s="786">
        <v>1</v>
      </c>
      <c r="G31" s="786">
        <v>1</v>
      </c>
      <c r="H31" s="786">
        <v>1</v>
      </c>
      <c r="I31" s="786">
        <v>1</v>
      </c>
      <c r="J31" s="795">
        <v>1</v>
      </c>
      <c r="K31" s="799">
        <v>4</v>
      </c>
      <c r="L31" s="786">
        <v>4</v>
      </c>
      <c r="M31" s="786">
        <v>4</v>
      </c>
      <c r="N31" s="786">
        <v>4</v>
      </c>
      <c r="O31" s="786">
        <v>4</v>
      </c>
      <c r="P31" s="786">
        <v>4</v>
      </c>
      <c r="Q31" s="795">
        <v>4</v>
      </c>
      <c r="R31" s="175"/>
    </row>
    <row r="32" spans="1:18">
      <c r="A32" s="2645" t="s">
        <v>916</v>
      </c>
      <c r="B32" s="2647" t="s">
        <v>1198</v>
      </c>
      <c r="C32" s="2932" t="s">
        <v>908</v>
      </c>
      <c r="D32" s="785">
        <v>658</v>
      </c>
      <c r="E32" s="786">
        <v>645</v>
      </c>
      <c r="F32" s="786">
        <v>610</v>
      </c>
      <c r="G32" s="786">
        <v>580</v>
      </c>
      <c r="H32" s="786">
        <v>550</v>
      </c>
      <c r="I32" s="786">
        <v>520</v>
      </c>
      <c r="J32" s="795">
        <v>500</v>
      </c>
      <c r="K32" s="799">
        <f>11*0.6</f>
        <v>6.6</v>
      </c>
      <c r="L32" s="786">
        <v>10.782674772036474</v>
      </c>
      <c r="M32" s="786">
        <v>10.376025835866258</v>
      </c>
      <c r="N32" s="786">
        <v>10.035410334346505</v>
      </c>
      <c r="O32" s="786">
        <v>9.6772416413373854</v>
      </c>
      <c r="P32" s="786">
        <v>9.3015197568389034</v>
      </c>
      <c r="Q32" s="795">
        <v>9.0900455927051667</v>
      </c>
      <c r="R32" s="175"/>
    </row>
    <row r="33" spans="1:18" ht="24">
      <c r="A33" s="2645" t="s">
        <v>993</v>
      </c>
      <c r="B33" s="2646" t="s">
        <v>1200</v>
      </c>
      <c r="C33" s="2932" t="s">
        <v>908</v>
      </c>
      <c r="D33" s="785"/>
      <c r="E33" s="786"/>
      <c r="F33" s="786"/>
      <c r="G33" s="786"/>
      <c r="H33" s="786"/>
      <c r="I33" s="786"/>
      <c r="J33" s="795"/>
      <c r="K33" s="799"/>
      <c r="L33" s="786"/>
      <c r="M33" s="786"/>
      <c r="N33" s="786"/>
      <c r="O33" s="786"/>
      <c r="P33" s="786"/>
      <c r="Q33" s="795"/>
      <c r="R33" s="175"/>
    </row>
    <row r="34" spans="1:18">
      <c r="A34" s="2645" t="s">
        <v>998</v>
      </c>
      <c r="B34" s="2648" t="s">
        <v>976</v>
      </c>
      <c r="C34" s="2932" t="s">
        <v>908</v>
      </c>
      <c r="D34" s="785" t="s">
        <v>263</v>
      </c>
      <c r="E34" s="786" t="s">
        <v>263</v>
      </c>
      <c r="F34" s="786" t="s">
        <v>263</v>
      </c>
      <c r="G34" s="786" t="s">
        <v>263</v>
      </c>
      <c r="H34" s="786" t="s">
        <v>263</v>
      </c>
      <c r="I34" s="786" t="s">
        <v>263</v>
      </c>
      <c r="J34" s="795"/>
      <c r="K34" s="799"/>
      <c r="L34" s="786"/>
      <c r="M34" s="786"/>
      <c r="N34" s="786"/>
      <c r="O34" s="786"/>
      <c r="P34" s="786"/>
      <c r="Q34" s="804"/>
      <c r="R34" s="175"/>
    </row>
    <row r="35" spans="1:18" ht="24.75" thickBot="1">
      <c r="A35" s="2660" t="s">
        <v>1201</v>
      </c>
      <c r="B35" s="2661" t="s">
        <v>979</v>
      </c>
      <c r="C35" s="2933" t="s">
        <v>380</v>
      </c>
      <c r="D35" s="789"/>
      <c r="E35" s="796"/>
      <c r="F35" s="796"/>
      <c r="G35" s="796"/>
      <c r="H35" s="796"/>
      <c r="I35" s="796"/>
      <c r="J35" s="1905"/>
      <c r="K35" s="1906"/>
      <c r="L35" s="796"/>
      <c r="M35" s="796"/>
      <c r="N35" s="796"/>
      <c r="O35" s="796"/>
      <c r="P35" s="796"/>
      <c r="Q35" s="805"/>
      <c r="R35" s="175"/>
    </row>
    <row r="36" spans="1:18" ht="25.5" customHeight="1" thickBot="1">
      <c r="A36" s="2649"/>
      <c r="B36" s="2650" t="s">
        <v>1202</v>
      </c>
      <c r="C36" s="2651"/>
      <c r="D36" s="2611">
        <f>SUM(D26:D35)</f>
        <v>1423</v>
      </c>
      <c r="E36" s="2612">
        <f t="shared" ref="E36:Q36" si="2">SUM(E26:E35)</f>
        <v>1410</v>
      </c>
      <c r="F36" s="2612">
        <f t="shared" si="2"/>
        <v>1374</v>
      </c>
      <c r="G36" s="2612">
        <f t="shared" si="2"/>
        <v>1342</v>
      </c>
      <c r="H36" s="2612">
        <f t="shared" si="2"/>
        <v>1307</v>
      </c>
      <c r="I36" s="2612">
        <f>SUM(I26:I35)</f>
        <v>1273</v>
      </c>
      <c r="J36" s="2613">
        <f>SUM(J26:J35)</f>
        <v>1238</v>
      </c>
      <c r="K36" s="2622">
        <f t="shared" si="2"/>
        <v>48.7</v>
      </c>
      <c r="L36" s="2612">
        <f t="shared" si="2"/>
        <v>210.78267477203647</v>
      </c>
      <c r="M36" s="2612">
        <f t="shared" si="2"/>
        <v>207.71126432270836</v>
      </c>
      <c r="N36" s="2612">
        <f t="shared" si="2"/>
        <v>210.12513072908334</v>
      </c>
      <c r="O36" s="2612">
        <f t="shared" si="2"/>
        <v>210.34093407554789</v>
      </c>
      <c r="P36" s="2612">
        <f t="shared" si="2"/>
        <v>210.46319738841788</v>
      </c>
      <c r="Q36" s="2613">
        <f t="shared" si="2"/>
        <v>204.18091730323147</v>
      </c>
      <c r="R36" s="175"/>
    </row>
    <row r="37" spans="1:18" s="798" customFormat="1" ht="22.5" customHeight="1" thickBot="1">
      <c r="A37" s="2652"/>
      <c r="B37" s="2653" t="s">
        <v>914</v>
      </c>
      <c r="C37" s="2654"/>
      <c r="D37" s="2617"/>
      <c r="E37" s="2618"/>
      <c r="F37" s="2618"/>
      <c r="G37" s="2618"/>
      <c r="H37" s="2618"/>
      <c r="I37" s="2618"/>
      <c r="J37" s="2619"/>
      <c r="K37" s="2623">
        <f>K36-'12. Разходи'!J86</f>
        <v>-0.29999999999999716</v>
      </c>
      <c r="L37" s="2624">
        <f>L36-'12. Разходи'!K86</f>
        <v>-0.21732522796352782</v>
      </c>
      <c r="M37" s="2624">
        <f>M36-'12. Разходи'!L86</f>
        <v>9.1403413751550033E-2</v>
      </c>
      <c r="N37" s="2624">
        <f>N36-'12. Разходи'!M86</f>
        <v>0.45878748750774889</v>
      </c>
      <c r="O37" s="2624">
        <f>O36-'12. Разходи'!N86</f>
        <v>-0.47330045430530276</v>
      </c>
      <c r="P37" s="2624">
        <f>P36-'12. Разходи'!O86</f>
        <v>0.29204326648562073</v>
      </c>
      <c r="Q37" s="2625">
        <f>Q36-'12. Разходи'!P86</f>
        <v>0.43670832308939111</v>
      </c>
      <c r="R37" s="797"/>
    </row>
    <row r="38" spans="1:18" ht="21" customHeight="1" thickBot="1">
      <c r="A38" s="2655">
        <v>3</v>
      </c>
      <c r="B38" s="2656" t="s">
        <v>1205</v>
      </c>
      <c r="C38" s="2657"/>
      <c r="D38" s="790"/>
      <c r="E38" s="790"/>
      <c r="F38" s="790"/>
      <c r="G38" s="790"/>
      <c r="H38" s="790"/>
      <c r="I38" s="790"/>
      <c r="J38" s="790"/>
      <c r="K38" s="790"/>
      <c r="L38" s="790"/>
      <c r="M38" s="790"/>
      <c r="N38" s="790"/>
      <c r="O38" s="790"/>
      <c r="P38" s="790"/>
      <c r="Q38" s="791"/>
      <c r="R38" s="482"/>
    </row>
    <row r="39" spans="1:18">
      <c r="A39" s="2658" t="s">
        <v>327</v>
      </c>
      <c r="B39" s="2659" t="s">
        <v>673</v>
      </c>
      <c r="C39" s="2931" t="s">
        <v>908</v>
      </c>
      <c r="D39" s="809">
        <v>1</v>
      </c>
      <c r="E39" s="806">
        <v>1</v>
      </c>
      <c r="F39" s="806">
        <v>1</v>
      </c>
      <c r="G39" s="806">
        <v>1</v>
      </c>
      <c r="H39" s="806">
        <v>1</v>
      </c>
      <c r="I39" s="806">
        <v>1</v>
      </c>
      <c r="J39" s="807">
        <v>1</v>
      </c>
      <c r="K39" s="808">
        <v>4.2</v>
      </c>
      <c r="L39" s="806">
        <v>4.2</v>
      </c>
      <c r="M39" s="806">
        <v>4</v>
      </c>
      <c r="N39" s="806">
        <v>4</v>
      </c>
      <c r="O39" s="806">
        <v>4</v>
      </c>
      <c r="P39" s="806">
        <v>4</v>
      </c>
      <c r="Q39" s="807">
        <v>4</v>
      </c>
      <c r="R39" s="594"/>
    </row>
    <row r="40" spans="1:18">
      <c r="A40" s="2645" t="s">
        <v>328</v>
      </c>
      <c r="B40" s="2646" t="s">
        <v>674</v>
      </c>
      <c r="C40" s="2932" t="s">
        <v>908</v>
      </c>
      <c r="D40" s="785">
        <v>3</v>
      </c>
      <c r="E40" s="786">
        <v>3</v>
      </c>
      <c r="F40" s="786">
        <v>2</v>
      </c>
      <c r="G40" s="786">
        <v>2</v>
      </c>
      <c r="H40" s="786">
        <v>2</v>
      </c>
      <c r="I40" s="786">
        <v>2</v>
      </c>
      <c r="J40" s="795">
        <v>2</v>
      </c>
      <c r="K40" s="799">
        <v>12.6</v>
      </c>
      <c r="L40" s="786">
        <v>12.6</v>
      </c>
      <c r="M40" s="786">
        <v>12.200000000000001</v>
      </c>
      <c r="N40" s="786">
        <v>12.200000000000001</v>
      </c>
      <c r="O40" s="786">
        <v>12.200000000000001</v>
      </c>
      <c r="P40" s="786">
        <v>12.200000000000001</v>
      </c>
      <c r="Q40" s="795">
        <v>12.200000000000001</v>
      </c>
      <c r="R40" s="594"/>
    </row>
    <row r="41" spans="1:18" ht="24">
      <c r="A41" s="2645" t="s">
        <v>675</v>
      </c>
      <c r="B41" s="2646" t="s">
        <v>676</v>
      </c>
      <c r="C41" s="2932" t="s">
        <v>908</v>
      </c>
      <c r="D41" s="785">
        <v>3</v>
      </c>
      <c r="E41" s="786">
        <v>3</v>
      </c>
      <c r="F41" s="786">
        <v>3</v>
      </c>
      <c r="G41" s="786">
        <v>3</v>
      </c>
      <c r="H41" s="786">
        <v>3</v>
      </c>
      <c r="I41" s="786">
        <v>3</v>
      </c>
      <c r="J41" s="795">
        <v>3</v>
      </c>
      <c r="K41" s="799">
        <f>46.2-18</f>
        <v>28.200000000000003</v>
      </c>
      <c r="L41" s="786">
        <f>46.2-18</f>
        <v>28.200000000000003</v>
      </c>
      <c r="M41" s="786">
        <f>35.343-9</f>
        <v>26.343000000000004</v>
      </c>
      <c r="N41" s="786">
        <f>35.86275-9</f>
        <v>26.862749999999998</v>
      </c>
      <c r="O41" s="786">
        <f>36.469125-10</f>
        <v>26.469124999999998</v>
      </c>
      <c r="P41" s="786">
        <f>37.0755-10</f>
        <v>27.075499999999998</v>
      </c>
      <c r="Q41" s="795">
        <f>37.681875-11</f>
        <v>26.681874999999998</v>
      </c>
      <c r="R41" s="594"/>
    </row>
    <row r="42" spans="1:18">
      <c r="A42" s="2645" t="s">
        <v>677</v>
      </c>
      <c r="B42" s="2646" t="s">
        <v>678</v>
      </c>
      <c r="C42" s="2932" t="s">
        <v>908</v>
      </c>
      <c r="D42" s="785"/>
      <c r="E42" s="786"/>
      <c r="F42" s="786"/>
      <c r="G42" s="786"/>
      <c r="H42" s="786"/>
      <c r="I42" s="786"/>
      <c r="J42" s="795"/>
      <c r="K42" s="799"/>
      <c r="L42" s="786"/>
      <c r="M42" s="786"/>
      <c r="N42" s="786"/>
      <c r="O42" s="786"/>
      <c r="P42" s="786"/>
      <c r="Q42" s="795"/>
      <c r="R42" s="594"/>
    </row>
    <row r="43" spans="1:18" ht="24">
      <c r="A43" s="2645" t="s">
        <v>679</v>
      </c>
      <c r="B43" s="2646" t="s">
        <v>680</v>
      </c>
      <c r="C43" s="2932" t="s">
        <v>908</v>
      </c>
      <c r="D43" s="785">
        <v>1</v>
      </c>
      <c r="E43" s="786">
        <v>1</v>
      </c>
      <c r="F43" s="786">
        <v>1</v>
      </c>
      <c r="G43" s="786">
        <v>1</v>
      </c>
      <c r="H43" s="786">
        <v>1</v>
      </c>
      <c r="I43" s="786">
        <v>1</v>
      </c>
      <c r="J43" s="795">
        <v>1</v>
      </c>
      <c r="K43" s="799">
        <v>3</v>
      </c>
      <c r="L43" s="786">
        <v>3</v>
      </c>
      <c r="M43" s="786">
        <v>4</v>
      </c>
      <c r="N43" s="786">
        <v>4</v>
      </c>
      <c r="O43" s="786">
        <v>4</v>
      </c>
      <c r="P43" s="786">
        <v>4</v>
      </c>
      <c r="Q43" s="795">
        <v>4</v>
      </c>
      <c r="R43" s="594"/>
    </row>
    <row r="44" spans="1:18">
      <c r="A44" s="2645" t="s">
        <v>917</v>
      </c>
      <c r="B44" s="2647" t="s">
        <v>1198</v>
      </c>
      <c r="C44" s="2932" t="s">
        <v>908</v>
      </c>
      <c r="D44" s="785"/>
      <c r="E44" s="786"/>
      <c r="F44" s="786"/>
      <c r="G44" s="786"/>
      <c r="H44" s="786"/>
      <c r="I44" s="786"/>
      <c r="J44" s="795"/>
      <c r="K44" s="799"/>
      <c r="L44" s="786"/>
      <c r="M44" s="786"/>
      <c r="N44" s="786"/>
      <c r="O44" s="786"/>
      <c r="P44" s="786"/>
      <c r="Q44" s="795"/>
      <c r="R44" s="594"/>
    </row>
    <row r="45" spans="1:18" ht="24">
      <c r="A45" s="2645" t="s">
        <v>994</v>
      </c>
      <c r="B45" s="2646" t="s">
        <v>1203</v>
      </c>
      <c r="C45" s="2932" t="s">
        <v>908</v>
      </c>
      <c r="D45" s="785"/>
      <c r="E45" s="786"/>
      <c r="F45" s="786"/>
      <c r="G45" s="786"/>
      <c r="H45" s="786"/>
      <c r="I45" s="786"/>
      <c r="J45" s="795"/>
      <c r="K45" s="799"/>
      <c r="L45" s="786"/>
      <c r="M45" s="786"/>
      <c r="N45" s="786"/>
      <c r="O45" s="786"/>
      <c r="P45" s="786"/>
      <c r="Q45" s="795"/>
      <c r="R45" s="594"/>
    </row>
    <row r="46" spans="1:18">
      <c r="A46" s="2645" t="s">
        <v>999</v>
      </c>
      <c r="B46" s="2648" t="s">
        <v>977</v>
      </c>
      <c r="C46" s="2932" t="s">
        <v>908</v>
      </c>
      <c r="D46" s="785">
        <v>1</v>
      </c>
      <c r="E46" s="786">
        <v>1</v>
      </c>
      <c r="F46" s="786">
        <v>1</v>
      </c>
      <c r="G46" s="786">
        <v>1</v>
      </c>
      <c r="H46" s="786">
        <v>1</v>
      </c>
      <c r="I46" s="786">
        <v>1</v>
      </c>
      <c r="J46" s="795">
        <v>1</v>
      </c>
      <c r="K46" s="799">
        <v>3</v>
      </c>
      <c r="L46" s="786">
        <v>3</v>
      </c>
      <c r="M46" s="786">
        <v>4</v>
      </c>
      <c r="N46" s="786">
        <v>4</v>
      </c>
      <c r="O46" s="786">
        <v>4</v>
      </c>
      <c r="P46" s="786">
        <v>4</v>
      </c>
      <c r="Q46" s="795">
        <v>4</v>
      </c>
      <c r="R46" s="594"/>
    </row>
    <row r="47" spans="1:18" ht="24.75" thickBot="1">
      <c r="A47" s="2645" t="s">
        <v>1204</v>
      </c>
      <c r="B47" s="2646" t="s">
        <v>980</v>
      </c>
      <c r="C47" s="2932" t="s">
        <v>380</v>
      </c>
      <c r="D47" s="785"/>
      <c r="E47" s="786"/>
      <c r="F47" s="786"/>
      <c r="G47" s="786"/>
      <c r="H47" s="786"/>
      <c r="I47" s="786"/>
      <c r="J47" s="795"/>
      <c r="K47" s="799"/>
      <c r="L47" s="786"/>
      <c r="M47" s="786"/>
      <c r="N47" s="786"/>
      <c r="O47" s="786"/>
      <c r="P47" s="786"/>
      <c r="Q47" s="795"/>
      <c r="R47" s="594"/>
    </row>
    <row r="48" spans="1:18" s="792" customFormat="1" ht="21.75" customHeight="1" thickBot="1">
      <c r="A48" s="2649"/>
      <c r="B48" s="2650" t="s">
        <v>1206</v>
      </c>
      <c r="C48" s="2651"/>
      <c r="D48" s="2611">
        <f>SUM(D39:D47)</f>
        <v>9</v>
      </c>
      <c r="E48" s="2612">
        <f t="shared" ref="E48:Q48" si="3">SUM(E39:E47)</f>
        <v>9</v>
      </c>
      <c r="F48" s="2612">
        <f t="shared" si="3"/>
        <v>8</v>
      </c>
      <c r="G48" s="2612">
        <f t="shared" si="3"/>
        <v>8</v>
      </c>
      <c r="H48" s="2612">
        <f t="shared" si="3"/>
        <v>8</v>
      </c>
      <c r="I48" s="2612">
        <f t="shared" si="3"/>
        <v>8</v>
      </c>
      <c r="J48" s="2613">
        <f t="shared" si="3"/>
        <v>8</v>
      </c>
      <c r="K48" s="2626">
        <f t="shared" si="3"/>
        <v>51</v>
      </c>
      <c r="L48" s="2627">
        <f t="shared" si="3"/>
        <v>51</v>
      </c>
      <c r="M48" s="2627">
        <f t="shared" si="3"/>
        <v>50.543000000000006</v>
      </c>
      <c r="N48" s="2627">
        <f t="shared" si="3"/>
        <v>51.062750000000001</v>
      </c>
      <c r="O48" s="2627">
        <f t="shared" si="3"/>
        <v>50.669125000000001</v>
      </c>
      <c r="P48" s="2627">
        <f t="shared" si="3"/>
        <v>51.275500000000001</v>
      </c>
      <c r="Q48" s="2628">
        <f t="shared" si="3"/>
        <v>50.881875000000001</v>
      </c>
      <c r="R48" s="616"/>
    </row>
    <row r="49" spans="1:23" ht="13.5" thickBot="1">
      <c r="A49" s="2662"/>
      <c r="B49" s="2653" t="s">
        <v>914</v>
      </c>
      <c r="C49" s="2654"/>
      <c r="D49" s="2617"/>
      <c r="E49" s="2618"/>
      <c r="F49" s="2618"/>
      <c r="G49" s="2618"/>
      <c r="H49" s="2618"/>
      <c r="I49" s="2618"/>
      <c r="J49" s="2619"/>
      <c r="K49" s="2629">
        <f>K48-'12. Разходи'!Q86</f>
        <v>0</v>
      </c>
      <c r="L49" s="2630">
        <f>L48-'12. Разходи'!R86</f>
        <v>0</v>
      </c>
      <c r="M49" s="2630">
        <f>M48-'12. Разходи'!S86</f>
        <v>-0.45699999999999363</v>
      </c>
      <c r="N49" s="2630">
        <f>N48-'12. Разходи'!T86</f>
        <v>6.2750000000001194E-2</v>
      </c>
      <c r="O49" s="2630">
        <f>O48-'12. Разходи'!U86</f>
        <v>-0.33087499999999892</v>
      </c>
      <c r="P49" s="2630">
        <f>P48-'12. Разходи'!V86</f>
        <v>0.27550000000000097</v>
      </c>
      <c r="Q49" s="2631">
        <f>Q48-'12. Разходи'!W86</f>
        <v>-0.11812499999999915</v>
      </c>
      <c r="R49" s="175"/>
    </row>
    <row r="50" spans="1:23">
      <c r="A50" s="173"/>
      <c r="B50" s="778"/>
      <c r="C50" s="174"/>
      <c r="D50" s="174"/>
      <c r="E50" s="174"/>
      <c r="F50" s="174"/>
      <c r="G50" s="174"/>
      <c r="H50" s="174"/>
      <c r="I50" s="174"/>
      <c r="J50" s="174"/>
      <c r="K50" s="175"/>
      <c r="L50" s="175"/>
      <c r="M50" s="175"/>
      <c r="N50" s="175"/>
      <c r="O50" s="175"/>
      <c r="P50" s="175"/>
      <c r="Q50" s="175"/>
      <c r="R50" s="175"/>
    </row>
    <row r="51" spans="1:23" s="793" customFormat="1">
      <c r="A51" s="163" t="str">
        <f>'7. Утайки от ПСОВ'!B37</f>
        <v>Дата: 10.11.2017 г.</v>
      </c>
      <c r="B51" s="779"/>
      <c r="C51" s="162"/>
      <c r="D51" s="162"/>
      <c r="E51" s="162"/>
      <c r="F51" s="162"/>
      <c r="G51" s="162"/>
      <c r="H51" s="162"/>
      <c r="I51" s="162"/>
      <c r="J51" s="162"/>
      <c r="K51" s="162"/>
      <c r="L51" s="595"/>
      <c r="M51" s="595"/>
      <c r="N51" s="595"/>
      <c r="O51" s="595"/>
      <c r="P51" s="595"/>
      <c r="Q51" s="595"/>
      <c r="R51" s="595"/>
      <c r="S51" s="162"/>
    </row>
    <row r="52" spans="1:23" s="793" customFormat="1">
      <c r="A52" s="164"/>
      <c r="B52" s="780" t="str">
        <f>'7. Утайки от ПСОВ'!D38</f>
        <v>Главен счетоводител:</v>
      </c>
      <c r="C52" s="164" t="s">
        <v>4</v>
      </c>
      <c r="D52" s="164"/>
      <c r="E52" s="164"/>
      <c r="F52" s="164"/>
      <c r="G52" s="164"/>
      <c r="H52" s="164"/>
      <c r="I52" s="164"/>
      <c r="J52" s="164"/>
      <c r="K52" s="162"/>
      <c r="L52" s="595"/>
      <c r="M52" s="595"/>
      <c r="N52" s="595"/>
      <c r="O52" s="595"/>
      <c r="P52" s="595"/>
      <c r="Q52" s="595"/>
      <c r="R52" s="595"/>
    </row>
    <row r="53" spans="1:23" s="793" customFormat="1">
      <c r="A53" s="162"/>
      <c r="B53" s="781"/>
      <c r="C53" s="168" t="s">
        <v>5</v>
      </c>
      <c r="D53" s="168"/>
      <c r="E53" s="168"/>
      <c r="F53" s="168"/>
      <c r="G53" s="168"/>
      <c r="H53" s="168"/>
      <c r="I53" s="168"/>
      <c r="J53" s="168"/>
      <c r="L53" s="199"/>
      <c r="M53" s="199"/>
      <c r="N53" s="199"/>
      <c r="O53" s="199"/>
      <c r="P53" s="199"/>
      <c r="Q53" s="199"/>
      <c r="R53" s="199"/>
    </row>
    <row r="54" spans="1:23" s="793" customFormat="1">
      <c r="A54" s="162"/>
      <c r="B54" s="781"/>
      <c r="C54" s="167"/>
      <c r="D54" s="167"/>
      <c r="E54" s="167"/>
      <c r="F54" s="167"/>
      <c r="G54" s="167"/>
      <c r="H54" s="167"/>
      <c r="I54" s="167"/>
      <c r="J54" s="167"/>
      <c r="K54" s="168"/>
      <c r="L54" s="596"/>
      <c r="M54" s="596"/>
      <c r="N54" s="596"/>
      <c r="O54" s="596"/>
      <c r="P54" s="596"/>
      <c r="Q54" s="596"/>
      <c r="R54" s="596"/>
    </row>
    <row r="55" spans="1:23" s="793" customFormat="1">
      <c r="A55" s="162"/>
      <c r="B55" s="781"/>
      <c r="C55" s="167"/>
      <c r="D55" s="167"/>
      <c r="E55" s="167"/>
      <c r="F55" s="167"/>
      <c r="G55" s="167"/>
      <c r="H55" s="167"/>
      <c r="I55" s="167"/>
      <c r="J55" s="167"/>
      <c r="K55" s="168"/>
      <c r="L55" s="596"/>
      <c r="M55" s="596"/>
      <c r="N55" s="596"/>
      <c r="O55" s="596"/>
      <c r="P55" s="596"/>
      <c r="Q55" s="596"/>
      <c r="R55" s="596"/>
    </row>
    <row r="56" spans="1:23" s="793" customFormat="1">
      <c r="A56" s="162"/>
      <c r="B56" s="780" t="str">
        <f>'7. Утайки от ПСОВ'!E42</f>
        <v>Управител:</v>
      </c>
      <c r="C56" s="164" t="s">
        <v>4</v>
      </c>
      <c r="D56" s="164"/>
      <c r="E56" s="164"/>
      <c r="F56" s="164"/>
      <c r="G56" s="164"/>
      <c r="H56" s="164"/>
      <c r="I56" s="164"/>
      <c r="J56" s="164"/>
      <c r="K56" s="162"/>
      <c r="L56" s="595"/>
      <c r="M56" s="595"/>
      <c r="N56" s="595"/>
      <c r="O56" s="595"/>
      <c r="P56" s="595"/>
      <c r="Q56" s="595"/>
      <c r="R56" s="595"/>
    </row>
    <row r="57" spans="1:23" s="793" customFormat="1">
      <c r="A57" s="162"/>
      <c r="B57" s="782"/>
      <c r="C57" s="168" t="s">
        <v>6</v>
      </c>
      <c r="D57" s="168"/>
      <c r="E57" s="168"/>
      <c r="F57" s="168"/>
      <c r="G57" s="168"/>
      <c r="H57" s="168"/>
      <c r="I57" s="168"/>
      <c r="J57" s="168"/>
      <c r="L57" s="199"/>
      <c r="M57" s="199"/>
      <c r="N57" s="199"/>
      <c r="O57" s="199"/>
      <c r="P57" s="199"/>
      <c r="Q57" s="199"/>
      <c r="R57" s="199"/>
    </row>
    <row r="58" spans="1:23" s="793" customFormat="1">
      <c r="A58" s="162"/>
      <c r="B58" s="779"/>
      <c r="C58" s="162"/>
      <c r="D58" s="162"/>
      <c r="E58" s="162"/>
      <c r="F58" s="162"/>
      <c r="G58" s="162"/>
      <c r="H58" s="162"/>
      <c r="I58" s="162"/>
      <c r="J58" s="162"/>
      <c r="K58" s="166"/>
      <c r="L58" s="597"/>
      <c r="M58" s="597"/>
      <c r="N58" s="597"/>
      <c r="O58" s="597"/>
      <c r="P58" s="597"/>
      <c r="Q58" s="597"/>
      <c r="R58" s="597"/>
    </row>
    <row r="59" spans="1:23" s="221" customFormat="1" ht="12">
      <c r="A59" s="3491"/>
      <c r="B59" s="3491"/>
      <c r="C59" s="3491"/>
      <c r="D59" s="661"/>
      <c r="E59" s="661"/>
      <c r="F59" s="661"/>
      <c r="G59" s="661"/>
      <c r="H59" s="661"/>
      <c r="I59" s="661"/>
      <c r="J59" s="661"/>
      <c r="K59" s="231"/>
      <c r="L59" s="231"/>
      <c r="M59" s="231"/>
      <c r="N59" s="231"/>
      <c r="O59" s="231"/>
      <c r="P59" s="231"/>
      <c r="Q59" s="231"/>
      <c r="R59" s="231"/>
      <c r="S59" s="231"/>
    </row>
    <row r="60" spans="1:23" s="236" customFormat="1" ht="12">
      <c r="A60" s="3491" t="s">
        <v>247</v>
      </c>
      <c r="B60" s="3491"/>
      <c r="C60" s="3491"/>
      <c r="D60" s="3491"/>
      <c r="E60" s="662"/>
      <c r="F60" s="662"/>
      <c r="G60" s="662"/>
      <c r="H60" s="662"/>
      <c r="I60" s="662"/>
      <c r="J60" s="662"/>
      <c r="K60" s="231"/>
      <c r="L60" s="231"/>
      <c r="M60" s="231"/>
      <c r="N60" s="231"/>
      <c r="O60" s="231"/>
      <c r="P60" s="231"/>
      <c r="Q60" s="231"/>
      <c r="R60" s="231"/>
      <c r="S60" s="231"/>
      <c r="T60" s="235"/>
      <c r="U60" s="235"/>
      <c r="W60" s="237"/>
    </row>
    <row r="61" spans="1:23">
      <c r="A61" s="3492" t="s">
        <v>248</v>
      </c>
      <c r="B61" s="3492"/>
      <c r="C61" s="3492"/>
      <c r="D61" s="3492"/>
    </row>
    <row r="62" spans="1:23">
      <c r="A62" s="810" t="s">
        <v>1207</v>
      </c>
    </row>
    <row r="63" spans="1:23" ht="30.75" customHeight="1">
      <c r="A63" s="3434" t="s">
        <v>1553</v>
      </c>
      <c r="B63" s="3434"/>
      <c r="C63" s="3434"/>
      <c r="D63" s="3434"/>
      <c r="E63" s="3434"/>
      <c r="F63" s="3434"/>
      <c r="G63" s="3434"/>
      <c r="H63" s="3434"/>
      <c r="I63" s="3434"/>
      <c r="J63" s="3434"/>
      <c r="K63" s="3434"/>
      <c r="L63" s="3434"/>
      <c r="M63" s="3434"/>
      <c r="N63" s="3434"/>
      <c r="O63" s="3434"/>
      <c r="P63" s="3434"/>
      <c r="Q63" s="3434"/>
      <c r="R63" s="3064"/>
      <c r="S63" s="3064"/>
      <c r="T63" s="3064"/>
      <c r="U63" s="3064"/>
    </row>
  </sheetData>
  <sheetProtection password="C6DB" sheet="1" objects="1" scenarios="1" formatCells="0" formatColumns="0" formatRows="0"/>
  <mergeCells count="13">
    <mergeCell ref="A63:Q63"/>
    <mergeCell ref="A2:Q2"/>
    <mergeCell ref="A3:Q3"/>
    <mergeCell ref="A4:Q4"/>
    <mergeCell ref="K6:Q6"/>
    <mergeCell ref="A60:D60"/>
    <mergeCell ref="A61:D61"/>
    <mergeCell ref="A59:C59"/>
    <mergeCell ref="A5:K5"/>
    <mergeCell ref="D6:J6"/>
    <mergeCell ref="A6:A7"/>
    <mergeCell ref="B6:B7"/>
    <mergeCell ref="C6:C7"/>
  </mergeCells>
  <printOptions horizontalCentered="1"/>
  <pageMargins left="0.70866141732283472" right="0.70866141732283472" top="0.94488188976377963" bottom="0.74803149606299213" header="0.31496062992125984" footer="0.31496062992125984"/>
  <pageSetup paperSize="9" scale="65" orientation="landscape" r:id="rId1"/>
  <headerFooter>
    <oddFooter>&amp;A&amp;RPage &amp;P</oddFooter>
  </headerFooter>
  <rowBreaks count="1" manualBreakCount="1">
    <brk id="37" max="16" man="1"/>
  </rowBreaks>
  <colBreaks count="1" manualBreakCount="1">
    <brk id="17"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31</vt:i4>
      </vt:variant>
    </vt:vector>
  </HeadingPairs>
  <TitlesOfParts>
    <vt:vector size="56" baseType="lpstr">
      <vt:lpstr>Приложение </vt:lpstr>
      <vt:lpstr>1. Анкетна карта</vt:lpstr>
      <vt:lpstr>2. Променливи</vt:lpstr>
      <vt:lpstr>3. Показатели за качество</vt:lpstr>
      <vt:lpstr>4. Отчет и прогн. потребление</vt:lpstr>
      <vt:lpstr>5. Персонал</vt:lpstr>
      <vt:lpstr>6. Ел.Енергия</vt:lpstr>
      <vt:lpstr>7. Утайки от ПСОВ</vt:lpstr>
      <vt:lpstr>8. Ремонтна програма</vt:lpstr>
      <vt:lpstr>9.Инвестиционна програма</vt:lpstr>
      <vt:lpstr>10. Финансиране на ИП</vt:lpstr>
      <vt:lpstr>11. Амортиз. план</vt:lpstr>
      <vt:lpstr>11.1.Амортиз.нови активи</vt:lpstr>
      <vt:lpstr>11.2. Нови активи отч.год.</vt:lpstr>
      <vt:lpstr>12. Разходи</vt:lpstr>
      <vt:lpstr>12.1.Разходи-увелич.и нам.</vt:lpstr>
      <vt:lpstr>13. Соц. поносимост</vt:lpstr>
      <vt:lpstr>14. ОПР</vt:lpstr>
      <vt:lpstr>15. ОПП</vt:lpstr>
      <vt:lpstr>16. Необходими приходи</vt:lpstr>
      <vt:lpstr>17. РБА</vt:lpstr>
      <vt:lpstr>18. OK</vt:lpstr>
      <vt:lpstr>19. HB</vt:lpstr>
      <vt:lpstr>20.Цени за дост.,отв. и преч.</vt:lpstr>
      <vt:lpstr>Пояснения</vt:lpstr>
      <vt:lpstr>'1. Анкетна карта'!Print_Area</vt:lpstr>
      <vt:lpstr>'10. Финансиране на ИП'!Print_Area</vt:lpstr>
      <vt:lpstr>'11. Амортиз. план'!Print_Area</vt:lpstr>
      <vt:lpstr>'11.1.Амортиз.нови активи'!Print_Area</vt:lpstr>
      <vt:lpstr>'11.2. Нови активи отч.год.'!Print_Area</vt:lpstr>
      <vt:lpstr>'12. Разходи'!Print_Area</vt:lpstr>
      <vt:lpstr>'12.1.Разходи-увелич.и нам.'!Print_Area</vt:lpstr>
      <vt:lpstr>'13. Соц. поносимост'!Print_Area</vt:lpstr>
      <vt:lpstr>'14. ОПР'!Print_Area</vt:lpstr>
      <vt:lpstr>'15. ОПП'!Print_Area</vt:lpstr>
      <vt:lpstr>'16. Необходими приходи'!Print_Area</vt:lpstr>
      <vt:lpstr>'17. РБА'!Print_Area</vt:lpstr>
      <vt:lpstr>'18. OK'!Print_Area</vt:lpstr>
      <vt:lpstr>'19. HB'!Print_Area</vt:lpstr>
      <vt:lpstr>'2. Променливи'!Print_Area</vt:lpstr>
      <vt:lpstr>'3. Показатели за качество'!Print_Area</vt:lpstr>
      <vt:lpstr>'4. Отчет и прогн. потребление'!Print_Area</vt:lpstr>
      <vt:lpstr>'5. Персонал'!Print_Area</vt:lpstr>
      <vt:lpstr>'6. Ел.Енергия'!Print_Area</vt:lpstr>
      <vt:lpstr>'7. Утайки от ПСОВ'!Print_Area</vt:lpstr>
      <vt:lpstr>'8. Ремонтна програма'!Print_Area</vt:lpstr>
      <vt:lpstr>'9.Инвестиционна програма'!Print_Area</vt:lpstr>
      <vt:lpstr>'11. Амортиз. план'!Print_Titles</vt:lpstr>
      <vt:lpstr>'11.1.Амортиз.нови активи'!Print_Titles</vt:lpstr>
      <vt:lpstr>'11.2. Нови активи отч.год.'!Print_Titles</vt:lpstr>
      <vt:lpstr>'12. Разходи'!Print_Titles</vt:lpstr>
      <vt:lpstr>'12.1.Разходи-увелич.и нам.'!Print_Titles</vt:lpstr>
      <vt:lpstr>'2. Променливи'!Print_Titles</vt:lpstr>
      <vt:lpstr>'5. Персонал'!Print_Titles</vt:lpstr>
      <vt:lpstr>'8. Ремонтна програма'!Print_Titles</vt:lpstr>
      <vt:lpstr>'9.Инвестиционна програма'!Print_Titles</vt:lpstr>
    </vt:vector>
  </TitlesOfParts>
  <Company>The World Bank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Toma Alexandrov Yanakiev</dc:creator>
  <cp:lastModifiedBy>user</cp:lastModifiedBy>
  <cp:lastPrinted>2017-10-23T06:37:49Z</cp:lastPrinted>
  <dcterms:created xsi:type="dcterms:W3CDTF">2015-02-06T07:26:45Z</dcterms:created>
  <dcterms:modified xsi:type="dcterms:W3CDTF">2017-11-10T10:13:52Z</dcterms:modified>
</cp:coreProperties>
</file>