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" i="1" l="1"/>
  <c r="L46" i="1"/>
  <c r="L47" i="1"/>
  <c r="L48" i="1"/>
  <c r="L49" i="1"/>
  <c r="L50" i="1"/>
  <c r="L51" i="1"/>
  <c r="C58" i="1"/>
  <c r="C57" i="1"/>
  <c r="B58" i="1"/>
  <c r="B57" i="1"/>
  <c r="B56" i="1"/>
  <c r="C56" i="1"/>
  <c r="H45" i="1"/>
  <c r="U45" i="1"/>
  <c r="V45" i="1" s="1"/>
  <c r="T50" i="1"/>
  <c r="C48" i="1" s="1"/>
  <c r="O49" i="1"/>
  <c r="C49" i="1" s="1"/>
  <c r="K52" i="1"/>
  <c r="C47" i="1" s="1"/>
  <c r="G49" i="1"/>
  <c r="C46" i="1" s="1"/>
  <c r="U49" i="1"/>
  <c r="V49" i="1" s="1"/>
  <c r="U48" i="1"/>
  <c r="V48" i="1" s="1"/>
  <c r="U46" i="1"/>
  <c r="V46" i="1" s="1"/>
  <c r="P46" i="1"/>
  <c r="P45" i="1"/>
  <c r="P47" i="1"/>
  <c r="P48" i="1"/>
  <c r="H46" i="1"/>
  <c r="H47" i="1"/>
  <c r="H48" i="1"/>
  <c r="G8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3" i="1"/>
  <c r="C50" i="1" l="1"/>
  <c r="H49" i="1"/>
  <c r="V42" i="1"/>
  <c r="V43" i="1"/>
  <c r="C55" i="1"/>
  <c r="D58" i="1"/>
  <c r="D56" i="1"/>
  <c r="D57" i="1"/>
  <c r="L52" i="1"/>
  <c r="D47" i="1" s="1"/>
  <c r="P49" i="1"/>
  <c r="D49" i="1" s="1"/>
  <c r="U50" i="1"/>
  <c r="D48" i="1" s="1"/>
  <c r="D46" i="1"/>
  <c r="D50" i="1" l="1"/>
  <c r="D55" i="1"/>
</calcChain>
</file>

<file path=xl/sharedStrings.xml><?xml version="1.0" encoding="utf-8"?>
<sst xmlns="http://schemas.openxmlformats.org/spreadsheetml/2006/main" count="110" uniqueCount="53">
  <si>
    <t>The Budget Data Entry</t>
  </si>
  <si>
    <t>Cash Flow Summary</t>
  </si>
  <si>
    <t>Name</t>
  </si>
  <si>
    <t>Budget</t>
  </si>
  <si>
    <t>Actual</t>
  </si>
  <si>
    <t>Start Balance</t>
  </si>
  <si>
    <t>Income</t>
  </si>
  <si>
    <t>Expense</t>
  </si>
  <si>
    <t>Bill</t>
  </si>
  <si>
    <t>Savings</t>
  </si>
  <si>
    <t>Column1</t>
  </si>
  <si>
    <t>Income Summary</t>
  </si>
  <si>
    <t>Salary</t>
  </si>
  <si>
    <t>Food Card</t>
  </si>
  <si>
    <t>Rent</t>
  </si>
  <si>
    <t>Side Income</t>
  </si>
  <si>
    <t>Expense Summary</t>
  </si>
  <si>
    <t>Housing</t>
  </si>
  <si>
    <t>Food and Gloceries</t>
  </si>
  <si>
    <t>Transportation</t>
  </si>
  <si>
    <t>Personal care</t>
  </si>
  <si>
    <t>Healthcare</t>
  </si>
  <si>
    <t>Insurance</t>
  </si>
  <si>
    <t>Entertainment</t>
  </si>
  <si>
    <t>Life</t>
  </si>
  <si>
    <t>Car</t>
  </si>
  <si>
    <t>Trip</t>
  </si>
  <si>
    <t>Family</t>
  </si>
  <si>
    <t>Date</t>
  </si>
  <si>
    <t>Status</t>
  </si>
  <si>
    <t>Electricity</t>
  </si>
  <si>
    <t>Water</t>
  </si>
  <si>
    <t>Internet</t>
  </si>
  <si>
    <t>Gas</t>
  </si>
  <si>
    <t>Total</t>
  </si>
  <si>
    <t>Bill Tracker</t>
  </si>
  <si>
    <t>Transaction Lists</t>
  </si>
  <si>
    <t>Savings Summary</t>
  </si>
  <si>
    <t>Category</t>
  </si>
  <si>
    <t>Sub-category</t>
  </si>
  <si>
    <t>Amount</t>
  </si>
  <si>
    <t>Comment</t>
  </si>
  <si>
    <t>Expenses</t>
  </si>
  <si>
    <t>Bills</t>
  </si>
  <si>
    <t>Food and Groceries</t>
  </si>
  <si>
    <t>Side-Income</t>
  </si>
  <si>
    <t>Personal Care</t>
  </si>
  <si>
    <t xml:space="preserve">
</t>
  </si>
  <si>
    <t>Savings rate</t>
  </si>
  <si>
    <t>Budget Data</t>
  </si>
  <si>
    <t>Rest</t>
  </si>
  <si>
    <t>Paid</t>
  </si>
  <si>
    <t>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</si>
</sst>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ulim Park"/>
    </font>
    <font>
      <sz val="14"/>
      <color theme="1"/>
      <name val="Kulim Park"/>
    </font>
    <font>
      <sz val="12"/>
      <color theme="1"/>
      <name val="Kulim Park"/>
    </font>
    <font>
      <sz val="11"/>
      <color theme="0"/>
      <name val="Kulim Park"/>
    </font>
    <font>
      <sz val="10"/>
      <color theme="1"/>
      <name val="Kulim Park"/>
    </font>
    <font>
      <b/>
      <sz val="12"/>
      <color theme="1"/>
      <name val="Kulim Park"/>
    </font>
    <font>
      <b/>
      <sz val="14"/>
      <color theme="1"/>
      <name val="Kulim Park"/>
    </font>
    <font>
      <sz val="10"/>
      <name val="Kulim Park"/>
    </font>
    <font>
      <sz val="12"/>
      <name val="Kulim Park"/>
    </font>
  </fonts>
  <fills count="5">
    <fill>
      <patternFill patternType="none"/>
    </fill>
    <fill>
      <patternFill patternType="gray125"/>
    </fill>
    <fill>
      <patternFill patternType="solid">
        <fgColor rgb="FFD2F5F6"/>
        <bgColor indexed="64"/>
      </patternFill>
    </fill>
    <fill>
      <patternFill patternType="solid">
        <fgColor rgb="FF014D4E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2" fillId="0" borderId="0" xfId="0" applyFont="1" applyBorder="1"/>
    <xf numFmtId="0" fontId="6" fillId="0" borderId="0" xfId="0" applyFont="1"/>
    <xf numFmtId="0" fontId="6" fillId="0" borderId="2" xfId="0" applyFont="1" applyBorder="1" applyAlignment="1">
      <alignment horizontal="left"/>
    </xf>
    <xf numFmtId="0" fontId="2" fillId="2" borderId="5" xfId="0" applyFont="1" applyFill="1" applyBorder="1"/>
    <xf numFmtId="0" fontId="5" fillId="3" borderId="7" xfId="0" applyFont="1" applyFill="1" applyBorder="1" applyAlignment="1">
      <alignment horizontal="center"/>
    </xf>
    <xf numFmtId="0" fontId="6" fillId="0" borderId="0" xfId="0" applyFont="1" applyFill="1"/>
    <xf numFmtId="0" fontId="5" fillId="3" borderId="0" xfId="0" applyFont="1" applyFill="1"/>
    <xf numFmtId="0" fontId="2" fillId="0" borderId="0" xfId="0" applyFont="1" applyAlignment="1">
      <alignment wrapText="1"/>
    </xf>
    <xf numFmtId="0" fontId="6" fillId="0" borderId="0" xfId="0" applyFont="1" applyFill="1" applyBorder="1"/>
    <xf numFmtId="0" fontId="6" fillId="0" borderId="3" xfId="0" applyFont="1" applyBorder="1"/>
    <xf numFmtId="0" fontId="2" fillId="0" borderId="5" xfId="0" applyFont="1" applyBorder="1"/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6" fillId="2" borderId="9" xfId="0" applyFont="1" applyFill="1" applyBorder="1" applyAlignment="1">
      <alignment horizontal="left"/>
    </xf>
    <xf numFmtId="0" fontId="6" fillId="2" borderId="13" xfId="0" applyFont="1" applyFill="1" applyBorder="1"/>
    <xf numFmtId="0" fontId="6" fillId="2" borderId="8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0" xfId="0" applyFont="1" applyFill="1" applyBorder="1"/>
    <xf numFmtId="0" fontId="6" fillId="2" borderId="9" xfId="0" applyFont="1" applyFill="1" applyBorder="1"/>
    <xf numFmtId="0" fontId="5" fillId="3" borderId="0" xfId="0" applyFont="1" applyFill="1" applyAlignment="1"/>
    <xf numFmtId="16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/>
    <xf numFmtId="0" fontId="2" fillId="2" borderId="5" xfId="0" applyFont="1" applyFill="1" applyBorder="1" applyAlignment="1">
      <alignment wrapText="1"/>
    </xf>
    <xf numFmtId="0" fontId="2" fillId="4" borderId="5" xfId="0" applyFont="1" applyFill="1" applyBorder="1"/>
    <xf numFmtId="0" fontId="9" fillId="4" borderId="4" xfId="0" applyFont="1" applyFill="1" applyBorder="1"/>
    <xf numFmtId="0" fontId="9" fillId="4" borderId="3" xfId="0" applyFont="1" applyFill="1" applyBorder="1"/>
    <xf numFmtId="0" fontId="6" fillId="0" borderId="3" xfId="0" applyFont="1" applyBorder="1" applyAlignment="1">
      <alignment horizontal="center"/>
    </xf>
    <xf numFmtId="9" fontId="6" fillId="0" borderId="1" xfId="2" applyFont="1" applyBorder="1"/>
    <xf numFmtId="0" fontId="6" fillId="0" borderId="0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left"/>
    </xf>
    <xf numFmtId="0" fontId="10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66" fontId="6" fillId="0" borderId="0" xfId="1" applyNumberFormat="1" applyFont="1" applyBorder="1"/>
    <xf numFmtId="166" fontId="6" fillId="0" borderId="2" xfId="1" applyNumberFormat="1" applyFont="1" applyBorder="1"/>
    <xf numFmtId="166" fontId="6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70">
    <dxf>
      <font>
        <color rgb="FF014D4E"/>
      </font>
    </dxf>
    <dxf>
      <font>
        <color rgb="FFC00000"/>
      </font>
    </dxf>
    <dxf>
      <font>
        <color rgb="FFFF0000"/>
      </font>
    </dxf>
    <dxf>
      <font>
        <color theme="7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ulim Park"/>
        <scheme val="none"/>
      </font>
      <fill>
        <patternFill patternType="solid">
          <fgColor indexed="64"/>
          <bgColor rgb="FFD2F5F6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</border>
    </dxf>
    <dxf>
      <fill>
        <patternFill patternType="solid">
          <fgColor indexed="64"/>
          <bgColor rgb="FFD2F5F6"/>
        </patternFill>
      </fill>
    </dxf>
    <dxf>
      <border outline="0"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ulim Par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ulim Park"/>
        <scheme val="none"/>
      </font>
      <fill>
        <patternFill patternType="solid">
          <fgColor indexed="64"/>
          <bgColor rgb="FF014D4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Kulim Park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Kulim Park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Kulim Park"/>
        <scheme val="none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Kulim Park"/>
        <scheme val="none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Kulim Park"/>
        <scheme val="none"/>
      </font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</border>
    </dxf>
    <dxf>
      <fill>
        <patternFill patternType="solid">
          <fgColor indexed="64"/>
          <bgColor rgb="FFD2F5F6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ulim Park"/>
        <scheme val="none"/>
      </font>
    </dxf>
    <dxf>
      <border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ulim Park"/>
        <scheme val="none"/>
      </font>
      <fill>
        <patternFill patternType="solid">
          <fgColor indexed="64"/>
          <bgColor rgb="FF014D4E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ulim Park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</border>
    </dxf>
    <dxf>
      <fill>
        <patternFill patternType="solid">
          <fgColor indexed="64"/>
          <bgColor rgb="FFD2F5F6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ulim Park"/>
        <scheme val="none"/>
      </font>
      <fill>
        <patternFill patternType="solid">
          <fgColor indexed="64"/>
          <bgColor rgb="FF014D4E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Kulim Park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</border>
    </dxf>
    <dxf>
      <fill>
        <patternFill patternType="solid">
          <fgColor indexed="64"/>
          <bgColor rgb="FFD2F5F6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ulim Park"/>
        <scheme val="none"/>
      </font>
      <fill>
        <patternFill patternType="solid">
          <fgColor indexed="64"/>
          <bgColor rgb="FF014D4E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  <fill>
        <patternFill patternType="solid">
          <fgColor indexed="64"/>
          <bgColor rgb="FFD2F5F6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/>
      </border>
    </dxf>
    <dxf>
      <border>
        <top style="thin">
          <color theme="0" tint="-0.14999847407452621"/>
        </top>
      </border>
    </dxf>
    <dxf>
      <fill>
        <patternFill patternType="solid">
          <fgColor indexed="64"/>
          <bgColor rgb="FFD2F5F6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ulim Park"/>
        <scheme val="none"/>
      </font>
      <fill>
        <patternFill patternType="solid">
          <fgColor indexed="64"/>
          <bgColor rgb="FF014D4E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Kulim Par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ulim Park"/>
        <scheme val="none"/>
      </font>
    </dxf>
    <dxf>
      <border outline="0"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ulim Park"/>
        <scheme val="none"/>
      </font>
      <fill>
        <patternFill patternType="solid">
          <fgColor indexed="64"/>
          <bgColor rgb="FF014D4E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14D4E"/>
      <color rgb="FFB48900"/>
      <color rgb="FFE2ECEB"/>
      <color rgb="FFD2F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24888124186752"/>
          <c:y val="0.14094502324999084"/>
          <c:w val="0.59150223751626496"/>
          <c:h val="0.778784929612232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14D4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1F-4D3B-B2E1-F13B9E306F62}"/>
              </c:ext>
            </c:extLst>
          </c:dPt>
          <c:dPt>
            <c:idx val="1"/>
            <c:bubble3D val="0"/>
            <c:spPr>
              <a:solidFill>
                <a:srgbClr val="B489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1F-4D3B-B2E1-F13B9E306F62}"/>
              </c:ext>
            </c:extLst>
          </c:dPt>
          <c:dPt>
            <c:idx val="2"/>
            <c:bubble3D val="0"/>
            <c:spPr>
              <a:solidFill>
                <a:srgbClr val="D2F5F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81F-4D3B-B2E1-F13B9E306F62}"/>
              </c:ext>
            </c:extLst>
          </c:dPt>
          <c:dLbls>
            <c:dLbl>
              <c:idx val="0"/>
              <c:layout>
                <c:manualLayout>
                  <c:x val="0.25348948925781373"/>
                  <c:y val="-3.74999852362262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51484000087915"/>
                      <c:h val="0.239887700831613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81F-4D3B-B2E1-F13B9E306F62}"/>
                </c:ext>
              </c:extLst>
            </c:dLbl>
            <c:dLbl>
              <c:idx val="1"/>
              <c:layout>
                <c:manualLayout>
                  <c:x val="-0.23355211369821047"/>
                  <c:y val="4.49999822834715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81F-4D3B-B2E1-F13B9E306F62}"/>
                </c:ext>
              </c:extLst>
            </c:dLbl>
            <c:dLbl>
              <c:idx val="2"/>
              <c:layout>
                <c:manualLayout>
                  <c:x val="-0.25064129274929903"/>
                  <c:y val="-7.4999970472452576E-2"/>
                </c:manualLayout>
              </c:layout>
              <c:spPr>
                <a:solidFill>
                  <a:schemeClr val="lt1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81F-4D3B-B2E1-F13B9E306F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Sheet1!$B$47:$B$49</c:f>
              <c:strCache>
                <c:ptCount val="3"/>
                <c:pt idx="0">
                  <c:v>Expense</c:v>
                </c:pt>
                <c:pt idx="1">
                  <c:v>Bill</c:v>
                </c:pt>
                <c:pt idx="2">
                  <c:v>Savings</c:v>
                </c:pt>
              </c:strCache>
            </c:strRef>
          </c:cat>
          <c:val>
            <c:numRef>
              <c:f>Sheet1!$D$47:$D$49</c:f>
              <c:numCache>
                <c:formatCode>_("$"* #,##0_);_("$"* \(#,##0\);_("$"* "-"??_);_(@_)</c:formatCode>
                <c:ptCount val="3"/>
                <c:pt idx="0">
                  <c:v>507.11</c:v>
                </c:pt>
                <c:pt idx="1">
                  <c:v>1087.56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F-4D3B-B2E1-F13B9E306F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 w="0">
          <a:noFill/>
        </a:ln>
        <a:effectLst>
          <a:softEdge rad="127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D2F5F6"/>
            </a:solidFill>
            <a:ln>
              <a:noFill/>
            </a:ln>
            <a:effectLst/>
          </c:spPr>
          <c:invertIfNegative val="0"/>
          <c:cat>
            <c:strRef>
              <c:f>Sheet1!$B$46:$B$49</c:f>
              <c:strCache>
                <c:ptCount val="4"/>
                <c:pt idx="0">
                  <c:v>Income</c:v>
                </c:pt>
                <c:pt idx="1">
                  <c:v>Expense</c:v>
                </c:pt>
                <c:pt idx="2">
                  <c:v>Bill</c:v>
                </c:pt>
                <c:pt idx="3">
                  <c:v>Savings</c:v>
                </c:pt>
              </c:strCache>
            </c:strRef>
          </c:cat>
          <c:val>
            <c:numRef>
              <c:f>Sheet1!$C$46:$C$49</c:f>
              <c:numCache>
                <c:formatCode>_("$"* #,##0_);_("$"* \(#,##0\);_("$"* "-"??_);_(@_)</c:formatCode>
                <c:ptCount val="4"/>
                <c:pt idx="0">
                  <c:v>3000</c:v>
                </c:pt>
                <c:pt idx="1">
                  <c:v>448</c:v>
                </c:pt>
                <c:pt idx="2">
                  <c:v>1300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501-BB4D-859372E9EF13}"/>
            </c:ext>
          </c:extLst>
        </c:ser>
        <c:ser>
          <c:idx val="1"/>
          <c:order val="1"/>
          <c:tx>
            <c:v>Budget</c:v>
          </c:tx>
          <c:spPr>
            <a:solidFill>
              <a:srgbClr val="B48900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Sheet1!$B$46:$B$49</c:f>
              <c:strCache>
                <c:ptCount val="4"/>
                <c:pt idx="0">
                  <c:v>Income</c:v>
                </c:pt>
                <c:pt idx="1">
                  <c:v>Expense</c:v>
                </c:pt>
                <c:pt idx="2">
                  <c:v>Bill</c:v>
                </c:pt>
                <c:pt idx="3">
                  <c:v>Savings</c:v>
                </c:pt>
              </c:strCache>
            </c:strRef>
          </c:cat>
          <c:val>
            <c:numRef>
              <c:f>Sheet1!$D$46:$D$49</c:f>
              <c:numCache>
                <c:formatCode>_("$"* #,##0_);_("$"* \(#,##0\);_("$"* "-"??_);_(@_)</c:formatCode>
                <c:ptCount val="4"/>
                <c:pt idx="0">
                  <c:v>2782</c:v>
                </c:pt>
                <c:pt idx="1">
                  <c:v>507.11</c:v>
                </c:pt>
                <c:pt idx="2">
                  <c:v>1087.56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C-4501-BB4D-859372E9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5047728"/>
        <c:axId val="205925488"/>
      </c:barChart>
      <c:catAx>
        <c:axId val="21504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Kulim park"/>
                <a:ea typeface="+mn-ea"/>
                <a:cs typeface="+mn-cs"/>
              </a:defRPr>
            </a:pPr>
            <a:endParaRPr lang="en-US"/>
          </a:p>
        </c:txPr>
        <c:crossAx val="205925488"/>
        <c:crosses val="autoZero"/>
        <c:auto val="1"/>
        <c:lblAlgn val="ctr"/>
        <c:lblOffset val="100"/>
        <c:noMultiLvlLbl val="0"/>
      </c:catAx>
      <c:valAx>
        <c:axId val="2059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Kulim park"/>
                <a:ea typeface="+mn-ea"/>
                <a:cs typeface="+mn-cs"/>
              </a:defRPr>
            </a:pPr>
            <a:endParaRPr lang="en-US"/>
          </a:p>
        </c:txPr>
        <c:crossAx val="2150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bg1"/>
              </a:solidFill>
              <a:latin typeface="Kulim park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069153038393201"/>
          <c:y val="1.3480564443578268E-2"/>
          <c:w val="0.60841027150232141"/>
          <c:h val="0.98293660538607153"/>
        </c:manualLayout>
      </c:layout>
      <c:doughnutChart>
        <c:varyColors val="1"/>
        <c:ser>
          <c:idx val="0"/>
          <c:order val="0"/>
          <c:spPr>
            <a:solidFill>
              <a:srgbClr val="B48900"/>
            </a:solidFill>
          </c:spPr>
          <c:dPt>
            <c:idx val="0"/>
            <c:bubble3D val="0"/>
            <c:spPr>
              <a:solidFill>
                <a:srgbClr val="D2F5F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BE-45B9-AB0D-4D78767B381A}"/>
              </c:ext>
            </c:extLst>
          </c:dPt>
          <c:dPt>
            <c:idx val="1"/>
            <c:bubble3D val="0"/>
            <c:spPr>
              <a:solidFill>
                <a:srgbClr val="B489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B489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B48900"/>
              </a:solidFill>
              <a:ln w="19050"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D2BE-45B9-AB0D-4D78767B381A}"/>
              </c:ext>
            </c:extLst>
          </c:dPt>
          <c:dPt>
            <c:idx val="4"/>
            <c:bubble3D val="0"/>
            <c:spPr>
              <a:solidFill>
                <a:srgbClr val="014D4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BE-45B9-AB0D-4D78767B381A}"/>
              </c:ext>
            </c:extLst>
          </c:dPt>
          <c:dPt>
            <c:idx val="5"/>
            <c:bubble3D val="0"/>
            <c:spPr>
              <a:solidFill>
                <a:srgbClr val="B489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B489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Sheet1!$J$45:$J$51</c:f>
              <c:strCache>
                <c:ptCount val="7"/>
                <c:pt idx="0">
                  <c:v>Housing</c:v>
                </c:pt>
                <c:pt idx="1">
                  <c:v>Food and Gloceries</c:v>
                </c:pt>
                <c:pt idx="2">
                  <c:v>Transportation</c:v>
                </c:pt>
                <c:pt idx="3">
                  <c:v>Personal care</c:v>
                </c:pt>
                <c:pt idx="4">
                  <c:v>Healthcare</c:v>
                </c:pt>
                <c:pt idx="5">
                  <c:v>Insurance</c:v>
                </c:pt>
                <c:pt idx="6">
                  <c:v>Entertainment</c:v>
                </c:pt>
              </c:strCache>
            </c:strRef>
          </c:cat>
          <c:val>
            <c:numRef>
              <c:f>Sheet1!$L$45:$L$51</c:f>
              <c:numCache>
                <c:formatCode>General</c:formatCode>
                <c:ptCount val="7"/>
                <c:pt idx="0">
                  <c:v>97.9</c:v>
                </c:pt>
                <c:pt idx="1">
                  <c:v>0</c:v>
                </c:pt>
                <c:pt idx="2">
                  <c:v>0</c:v>
                </c:pt>
                <c:pt idx="3">
                  <c:v>338.23</c:v>
                </c:pt>
                <c:pt idx="4">
                  <c:v>70.97999999999999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E-45B9-AB0D-4D78767B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1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865492513207229E-2"/>
          <c:y val="7.0309492563429568E-2"/>
          <c:w val="0.3410656128698944"/>
          <c:h val="0.90770863589986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ulim park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6678965245765"/>
          <c:y val="3.0634156244617548E-2"/>
          <c:w val="0.87503321034754233"/>
          <c:h val="0.82082444469281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14D4E"/>
            </a:solidFill>
            <a:ln>
              <a:noFill/>
            </a:ln>
            <a:effectLst/>
          </c:spPr>
          <c:invertIfNegative val="0"/>
          <c:cat>
            <c:strRef>
              <c:f>Sheet1!$R$45:$R$49</c:f>
              <c:strCache>
                <c:ptCount val="5"/>
                <c:pt idx="0">
                  <c:v>Rent</c:v>
                </c:pt>
                <c:pt idx="1">
                  <c:v>Electricity</c:v>
                </c:pt>
                <c:pt idx="2">
                  <c:v>Water</c:v>
                </c:pt>
                <c:pt idx="3">
                  <c:v>Internet</c:v>
                </c:pt>
                <c:pt idx="4">
                  <c:v>Gas</c:v>
                </c:pt>
              </c:strCache>
            </c:strRef>
          </c:cat>
          <c:val>
            <c:numRef>
              <c:f>Sheet1!$U$45:$U$49</c:f>
              <c:numCache>
                <c:formatCode>General</c:formatCode>
                <c:ptCount val="5"/>
                <c:pt idx="0">
                  <c:v>612</c:v>
                </c:pt>
                <c:pt idx="1">
                  <c:v>30</c:v>
                </c:pt>
                <c:pt idx="2">
                  <c:v>32.700000000000003</c:v>
                </c:pt>
                <c:pt idx="3">
                  <c:v>300</c:v>
                </c:pt>
                <c:pt idx="4">
                  <c:v>112.86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1-4827-8C71-75D3042E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68304"/>
        <c:axId val="346971216"/>
      </c:barChart>
      <c:catAx>
        <c:axId val="3469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ulim park"/>
                <a:ea typeface="+mn-ea"/>
                <a:cs typeface="+mn-cs"/>
              </a:defRPr>
            </a:pPr>
            <a:endParaRPr lang="en-US"/>
          </a:p>
        </c:txPr>
        <c:crossAx val="346971216"/>
        <c:crosses val="autoZero"/>
        <c:auto val="1"/>
        <c:lblAlgn val="ctr"/>
        <c:lblOffset val="100"/>
        <c:tickLblSkip val="1"/>
        <c:noMultiLvlLbl val="0"/>
      </c:catAx>
      <c:valAx>
        <c:axId val="3469712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</c:majorGridlines>
        <c:numFmt formatCode="&quot;$&quot;#,##0;[Red]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ulim park"/>
                <a:ea typeface="+mn-ea"/>
                <a:cs typeface="+mn-cs"/>
              </a:defRPr>
            </a:pPr>
            <a:endParaRPr lang="en-US"/>
          </a:p>
        </c:txPr>
        <c:crossAx val="346968304"/>
        <c:crosses val="autoZero"/>
        <c:crossBetween val="between"/>
      </c:valAx>
      <c:spPr>
        <a:noFill/>
        <a:ln w="0"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Sheet1!$K$44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B48900"/>
              </a:solidFill>
              <a:round/>
            </a:ln>
            <a:effectLst/>
          </c:spPr>
          <c:marker>
            <c:symbol val="none"/>
          </c:marker>
          <c:cat>
            <c:strRef>
              <c:f>Sheet1!$J$45:$J$51</c:f>
              <c:strCache>
                <c:ptCount val="7"/>
                <c:pt idx="0">
                  <c:v>Housing</c:v>
                </c:pt>
                <c:pt idx="1">
                  <c:v>Food and Gloceries</c:v>
                </c:pt>
                <c:pt idx="2">
                  <c:v>Transportation</c:v>
                </c:pt>
                <c:pt idx="3">
                  <c:v>Personal care</c:v>
                </c:pt>
                <c:pt idx="4">
                  <c:v>Healthcare</c:v>
                </c:pt>
                <c:pt idx="5">
                  <c:v>Insurance</c:v>
                </c:pt>
                <c:pt idx="6">
                  <c:v>Entertainment</c:v>
                </c:pt>
              </c:strCache>
            </c:strRef>
          </c:cat>
          <c:val>
            <c:numRef>
              <c:f>Sheet1!$K$45:$K$51</c:f>
              <c:numCache>
                <c:formatCode>General</c:formatCode>
                <c:ptCount val="7"/>
                <c:pt idx="0">
                  <c:v>150</c:v>
                </c:pt>
                <c:pt idx="1">
                  <c:v>80</c:v>
                </c:pt>
                <c:pt idx="2">
                  <c:v>30</c:v>
                </c:pt>
                <c:pt idx="3">
                  <c:v>100</c:v>
                </c:pt>
                <c:pt idx="4">
                  <c:v>18</c:v>
                </c:pt>
                <c:pt idx="5">
                  <c:v>50</c:v>
                </c:pt>
                <c:pt idx="6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D6-41A9-BD93-B461E9E1D1F2}"/>
            </c:ext>
          </c:extLst>
        </c:ser>
        <c:ser>
          <c:idx val="1"/>
          <c:order val="1"/>
          <c:tx>
            <c:strRef>
              <c:f>Sheet1!$L$44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14D4E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Sheet1!$J$45:$J$51</c:f>
              <c:strCache>
                <c:ptCount val="7"/>
                <c:pt idx="0">
                  <c:v>Housing</c:v>
                </c:pt>
                <c:pt idx="1">
                  <c:v>Food and Gloceries</c:v>
                </c:pt>
                <c:pt idx="2">
                  <c:v>Transportation</c:v>
                </c:pt>
                <c:pt idx="3">
                  <c:v>Personal care</c:v>
                </c:pt>
                <c:pt idx="4">
                  <c:v>Healthcare</c:v>
                </c:pt>
                <c:pt idx="5">
                  <c:v>Insurance</c:v>
                </c:pt>
                <c:pt idx="6">
                  <c:v>Entertainment</c:v>
                </c:pt>
              </c:strCache>
            </c:strRef>
          </c:cat>
          <c:val>
            <c:numRef>
              <c:f>Sheet1!$L$45:$L$51</c:f>
              <c:numCache>
                <c:formatCode>General</c:formatCode>
                <c:ptCount val="7"/>
                <c:pt idx="0">
                  <c:v>97.9</c:v>
                </c:pt>
                <c:pt idx="1">
                  <c:v>0</c:v>
                </c:pt>
                <c:pt idx="2">
                  <c:v>0</c:v>
                </c:pt>
                <c:pt idx="3">
                  <c:v>338.23</c:v>
                </c:pt>
                <c:pt idx="4">
                  <c:v>70.97999999999999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D6-41A9-BD93-B461E9E1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45856"/>
        <c:axId val="219554176"/>
      </c:lineChart>
      <c:catAx>
        <c:axId val="2195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ulim park"/>
                <a:ea typeface="+mn-ea"/>
                <a:cs typeface="+mn-cs"/>
              </a:defRPr>
            </a:pPr>
            <a:endParaRPr lang="en-US"/>
          </a:p>
        </c:txPr>
        <c:crossAx val="219554176"/>
        <c:crosses val="autoZero"/>
        <c:auto val="1"/>
        <c:lblAlgn val="ctr"/>
        <c:lblOffset val="150"/>
        <c:noMultiLvlLbl val="0"/>
      </c:catAx>
      <c:valAx>
        <c:axId val="219554176"/>
        <c:scaling>
          <c:orientation val="minMax"/>
          <c:max val="4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ulim park"/>
                <a:ea typeface="+mn-ea"/>
                <a:cs typeface="+mn-cs"/>
              </a:defRPr>
            </a:pPr>
            <a:endParaRPr lang="en-US"/>
          </a:p>
        </c:txPr>
        <c:crossAx val="21954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B48900"/>
            </a:solidFill>
            <a:ln>
              <a:noFill/>
            </a:ln>
            <a:effectLst/>
          </c:spPr>
          <c:invertIfNegative val="0"/>
          <c:cat>
            <c:strRef>
              <c:f>Sheet1!$F$45:$F$48</c:f>
              <c:strCache>
                <c:ptCount val="4"/>
                <c:pt idx="0">
                  <c:v>Salary</c:v>
                </c:pt>
                <c:pt idx="1">
                  <c:v>Food Card</c:v>
                </c:pt>
                <c:pt idx="2">
                  <c:v>Rent</c:v>
                </c:pt>
                <c:pt idx="3">
                  <c:v>Side Income</c:v>
                </c:pt>
              </c:strCache>
            </c:strRef>
          </c:cat>
          <c:val>
            <c:numRef>
              <c:f>Sheet1!$G$45:$G$48</c:f>
              <c:numCache>
                <c:formatCode>General</c:formatCode>
                <c:ptCount val="4"/>
                <c:pt idx="0">
                  <c:v>2000</c:v>
                </c:pt>
                <c:pt idx="1">
                  <c:v>200</c:v>
                </c:pt>
                <c:pt idx="2">
                  <c:v>600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8-4E94-ACE6-78965C29E3A3}"/>
            </c:ext>
          </c:extLst>
        </c:ser>
        <c:ser>
          <c:idx val="1"/>
          <c:order val="1"/>
          <c:tx>
            <c:strRef>
              <c:f>Sheet1!$H$44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14D4E"/>
            </a:solidFill>
            <a:ln>
              <a:noFill/>
            </a:ln>
            <a:effectLst/>
          </c:spPr>
          <c:invertIfNegative val="0"/>
          <c:cat>
            <c:strRef>
              <c:f>Sheet1!$F$45:$F$48</c:f>
              <c:strCache>
                <c:ptCount val="4"/>
                <c:pt idx="0">
                  <c:v>Salary</c:v>
                </c:pt>
                <c:pt idx="1">
                  <c:v>Food Card</c:v>
                </c:pt>
                <c:pt idx="2">
                  <c:v>Rent</c:v>
                </c:pt>
                <c:pt idx="3">
                  <c:v>Side Income</c:v>
                </c:pt>
              </c:strCache>
            </c:strRef>
          </c:cat>
          <c:val>
            <c:numRef>
              <c:f>Sheet1!$H$45:$H$48</c:f>
              <c:numCache>
                <c:formatCode>General</c:formatCode>
                <c:ptCount val="4"/>
                <c:pt idx="0">
                  <c:v>1960</c:v>
                </c:pt>
                <c:pt idx="1">
                  <c:v>210</c:v>
                </c:pt>
                <c:pt idx="2">
                  <c:v>612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8-4E94-ACE6-78965C29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039440"/>
        <c:axId val="369040272"/>
      </c:barChart>
      <c:catAx>
        <c:axId val="3690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0272"/>
        <c:crosses val="autoZero"/>
        <c:auto val="1"/>
        <c:lblAlgn val="ctr"/>
        <c:lblOffset val="100"/>
        <c:noMultiLvlLbl val="0"/>
      </c:catAx>
      <c:valAx>
        <c:axId val="3690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07/relationships/hdphoto" Target="../media/hdphoto1.wdp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4.jpeg"/><Relationship Id="rId10" Type="http://schemas.openxmlformats.org/officeDocument/2006/relationships/chart" Target="../charts/chart5.xml"/><Relationship Id="rId4" Type="http://schemas.openxmlformats.org/officeDocument/2006/relationships/image" Target="../media/image3.jpe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10583</xdr:colOff>
      <xdr:row>40</xdr:row>
      <xdr:rowOff>10869</xdr:rowOff>
    </xdr:from>
    <xdr:to>
      <xdr:col>23</xdr:col>
      <xdr:colOff>23454</xdr:colOff>
      <xdr:row>40</xdr:row>
      <xdr:rowOff>18591</xdr:rowOff>
    </xdr:to>
    <xdr:cxnSp macro="">
      <xdr:nvCxnSpPr>
        <xdr:cNvPr id="5" name="Straight Connector 4"/>
        <xdr:cNvCxnSpPr/>
      </xdr:nvCxnSpPr>
      <xdr:spPr>
        <a:xfrm>
          <a:off x="3979333" y="8477536"/>
          <a:ext cx="12099038" cy="77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84666</xdr:colOff>
      <xdr:row>0</xdr:row>
      <xdr:rowOff>0</xdr:rowOff>
    </xdr:from>
    <xdr:to>
      <xdr:col>15</xdr:col>
      <xdr:colOff>359834</xdr:colOff>
      <xdr:row>38</xdr:row>
      <xdr:rowOff>201084</xdr:rowOff>
    </xdr:to>
    <xdr:grpSp>
      <xdr:nvGrpSpPr>
        <xdr:cNvPr id="20" name="Group 19"/>
        <xdr:cNvGrpSpPr/>
      </xdr:nvGrpSpPr>
      <xdr:grpSpPr>
        <a:xfrm>
          <a:off x="84666" y="0"/>
          <a:ext cx="11631085" cy="8244417"/>
          <a:chOff x="84666" y="0"/>
          <a:chExt cx="11631085" cy="8244417"/>
        </a:xfrm>
      </xdr:grpSpPr>
      <xdr:sp macro="" textlink="">
        <xdr:nvSpPr>
          <xdr:cNvPr id="3" name="Rounded Rectangle 2"/>
          <xdr:cNvSpPr/>
        </xdr:nvSpPr>
        <xdr:spPr>
          <a:xfrm>
            <a:off x="84666" y="0"/>
            <a:ext cx="11631084" cy="8244417"/>
          </a:xfrm>
          <a:prstGeom prst="roundRect">
            <a:avLst>
              <a:gd name="adj" fmla="val 4234"/>
            </a:avLst>
          </a:prstGeom>
          <a:solidFill>
            <a:srgbClr val="E2ECEB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ound Same Side Corner Rectangle 16"/>
          <xdr:cNvSpPr/>
        </xdr:nvSpPr>
        <xdr:spPr>
          <a:xfrm>
            <a:off x="95251" y="0"/>
            <a:ext cx="11620500" cy="2000250"/>
          </a:xfrm>
          <a:prstGeom prst="round2SameRect">
            <a:avLst/>
          </a:prstGeom>
          <a:solidFill>
            <a:srgbClr val="014D4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12871</xdr:colOff>
      <xdr:row>59</xdr:row>
      <xdr:rowOff>167331</xdr:rowOff>
    </xdr:from>
    <xdr:to>
      <xdr:col>23</xdr:col>
      <xdr:colOff>0</xdr:colOff>
      <xdr:row>60</xdr:row>
      <xdr:rowOff>0</xdr:rowOff>
    </xdr:to>
    <xdr:cxnSp macro="">
      <xdr:nvCxnSpPr>
        <xdr:cNvPr id="10" name="Straight Connector 9"/>
        <xdr:cNvCxnSpPr/>
      </xdr:nvCxnSpPr>
      <xdr:spPr>
        <a:xfrm flipV="1">
          <a:off x="2265405" y="10387399"/>
          <a:ext cx="11043852" cy="128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717950</xdr:colOff>
      <xdr:row>0</xdr:row>
      <xdr:rowOff>0</xdr:rowOff>
    </xdr:from>
    <xdr:to>
      <xdr:col>11</xdr:col>
      <xdr:colOff>0</xdr:colOff>
      <xdr:row>2</xdr:row>
      <xdr:rowOff>89816</xdr:rowOff>
    </xdr:to>
    <xdr:sp macro="" textlink="">
      <xdr:nvSpPr>
        <xdr:cNvPr id="18" name="TextBox 17"/>
        <xdr:cNvSpPr txBox="1"/>
      </xdr:nvSpPr>
      <xdr:spPr>
        <a:xfrm>
          <a:off x="2517117" y="0"/>
          <a:ext cx="5864883" cy="5131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Georgia" panose="02040502050405020303" pitchFamily="18" charset="0"/>
            </a:rPr>
            <a:t>BUDGET</a:t>
          </a:r>
          <a:r>
            <a:rPr lang="en-US" sz="2800" baseline="0">
              <a:solidFill>
                <a:schemeClr val="bg1"/>
              </a:solidFill>
              <a:latin typeface="Georgia" panose="02040502050405020303" pitchFamily="18" charset="0"/>
            </a:rPr>
            <a:t> PLANNER DASHBOARD</a:t>
          </a:r>
          <a:endParaRPr lang="en-US" sz="2800">
            <a:solidFill>
              <a:schemeClr val="bg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3</xdr:col>
      <xdr:colOff>732766</xdr:colOff>
      <xdr:row>2</xdr:row>
      <xdr:rowOff>73170</xdr:rowOff>
    </xdr:from>
    <xdr:to>
      <xdr:col>9</xdr:col>
      <xdr:colOff>306917</xdr:colOff>
      <xdr:row>3</xdr:row>
      <xdr:rowOff>169334</xdr:rowOff>
    </xdr:to>
    <xdr:sp macro="" textlink="">
      <xdr:nvSpPr>
        <xdr:cNvPr id="19" name="TextBox 18"/>
        <xdr:cNvSpPr txBox="1"/>
      </xdr:nvSpPr>
      <xdr:spPr>
        <a:xfrm>
          <a:off x="2531933" y="496503"/>
          <a:ext cx="4230817" cy="30783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wrap="square" rtlCol="0" anchor="t"/>
        <a:lstStyle/>
        <a:p>
          <a:r>
            <a:rPr lang="en-US" sz="1400" i="0">
              <a:solidFill>
                <a:srgbClr val="B48900"/>
              </a:solidFill>
              <a:latin typeface="Georgia" panose="02040502050405020303" pitchFamily="18" charset="0"/>
            </a:rPr>
            <a:t>Personal</a:t>
          </a:r>
          <a:r>
            <a:rPr lang="en-US" sz="1400" i="0" baseline="0">
              <a:solidFill>
                <a:srgbClr val="B48900"/>
              </a:solidFill>
              <a:latin typeface="Georgia" panose="02040502050405020303" pitchFamily="18" charset="0"/>
            </a:rPr>
            <a:t> Budget Monthly Dashboard</a:t>
          </a:r>
          <a:endParaRPr lang="en-US" sz="1400" i="0">
            <a:solidFill>
              <a:srgbClr val="B4890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</xdr:col>
      <xdr:colOff>0</xdr:colOff>
      <xdr:row>1</xdr:row>
      <xdr:rowOff>74082</xdr:rowOff>
    </xdr:from>
    <xdr:to>
      <xdr:col>2</xdr:col>
      <xdr:colOff>21168</xdr:colOff>
      <xdr:row>3</xdr:row>
      <xdr:rowOff>201082</xdr:rowOff>
    </xdr:to>
    <xdr:grpSp>
      <xdr:nvGrpSpPr>
        <xdr:cNvPr id="16" name="Group 15"/>
        <xdr:cNvGrpSpPr/>
      </xdr:nvGrpSpPr>
      <xdr:grpSpPr>
        <a:xfrm>
          <a:off x="169333" y="285749"/>
          <a:ext cx="1640418" cy="550333"/>
          <a:chOff x="169332" y="331402"/>
          <a:chExt cx="2346983" cy="652849"/>
        </a:xfrm>
      </xdr:grpSpPr>
      <xdr:sp macro="" textlink="">
        <xdr:nvSpPr>
          <xdr:cNvPr id="21" name="TextBox 20"/>
          <xdr:cNvSpPr txBox="1"/>
        </xdr:nvSpPr>
        <xdr:spPr>
          <a:xfrm>
            <a:off x="176084" y="331402"/>
            <a:ext cx="1676000" cy="30783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6"/>
          </a:fontRef>
        </xdr:style>
        <xdr:txBody>
          <a:bodyPr vertOverflow="clip" horzOverflow="clip" wrap="square" rtlCol="0" anchor="t"/>
          <a:lstStyle/>
          <a:p>
            <a:r>
              <a:rPr lang="en-US" sz="1400" i="0" baseline="0">
                <a:solidFill>
                  <a:srgbClr val="B48900"/>
                </a:solidFill>
                <a:latin typeface="Georgia" panose="02040502050405020303" pitchFamily="18" charset="0"/>
              </a:rPr>
              <a:t>Name:</a:t>
            </a:r>
            <a:endParaRPr lang="en-US" sz="1400" i="0">
              <a:solidFill>
                <a:srgbClr val="B48900"/>
              </a:solidFill>
              <a:latin typeface="Georgia" panose="02040502050405020303" pitchFamily="18" charset="0"/>
            </a:endParaRP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169332" y="628651"/>
            <a:ext cx="2346983" cy="35560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6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chemeClr val="bg1"/>
                </a:solidFill>
                <a:latin typeface="Georgia" panose="02040502050405020303" pitchFamily="18" charset="0"/>
              </a:rPr>
              <a:t>John</a:t>
            </a:r>
            <a:r>
              <a:rPr lang="en-US" sz="2000" baseline="0">
                <a:solidFill>
                  <a:schemeClr val="bg1"/>
                </a:solidFill>
                <a:latin typeface="Georgia" panose="02040502050405020303" pitchFamily="18" charset="0"/>
              </a:rPr>
              <a:t> Doe</a:t>
            </a:r>
            <a:endParaRPr lang="en-US" sz="2000">
              <a:solidFill>
                <a:schemeClr val="bg1"/>
              </a:solidFill>
              <a:latin typeface="Georgia" panose="02040502050405020303" pitchFamily="18" charset="0"/>
            </a:endParaRPr>
          </a:p>
        </xdr:txBody>
      </xdr:sp>
    </xdr:grpSp>
    <xdr:clientData/>
  </xdr:twoCellAnchor>
  <xdr:twoCellAnchor editAs="oneCell">
    <xdr:from>
      <xdr:col>5</xdr:col>
      <xdr:colOff>74083</xdr:colOff>
      <xdr:row>7</xdr:row>
      <xdr:rowOff>201084</xdr:rowOff>
    </xdr:from>
    <xdr:to>
      <xdr:col>5</xdr:col>
      <xdr:colOff>712946</xdr:colOff>
      <xdr:row>10</xdr:row>
      <xdr:rowOff>127000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0" y="1682751"/>
          <a:ext cx="638863" cy="560916"/>
        </a:xfrm>
        <a:prstGeom prst="rect">
          <a:avLst/>
        </a:prstGeom>
      </xdr:spPr>
    </xdr:pic>
    <xdr:clientData/>
  </xdr:twoCellAnchor>
  <xdr:twoCellAnchor editAs="absolute">
    <xdr:from>
      <xdr:col>1</xdr:col>
      <xdr:colOff>116417</xdr:colOff>
      <xdr:row>7</xdr:row>
      <xdr:rowOff>21166</xdr:rowOff>
    </xdr:from>
    <xdr:to>
      <xdr:col>2</xdr:col>
      <xdr:colOff>477167</xdr:colOff>
      <xdr:row>13</xdr:row>
      <xdr:rowOff>191166</xdr:rowOff>
    </xdr:to>
    <xdr:grpSp>
      <xdr:nvGrpSpPr>
        <xdr:cNvPr id="40" name="Group 39"/>
        <xdr:cNvGrpSpPr/>
      </xdr:nvGrpSpPr>
      <xdr:grpSpPr>
        <a:xfrm>
          <a:off x="285750" y="1502833"/>
          <a:ext cx="1980000" cy="1440000"/>
          <a:chOff x="275167" y="1502833"/>
          <a:chExt cx="1980000" cy="1440000"/>
        </a:xfrm>
      </xdr:grpSpPr>
      <xdr:sp macro="" textlink="">
        <xdr:nvSpPr>
          <xdr:cNvPr id="23" name="Rounded Rectangle 22"/>
          <xdr:cNvSpPr/>
        </xdr:nvSpPr>
        <xdr:spPr>
          <a:xfrm>
            <a:off x="275167" y="1502833"/>
            <a:ext cx="1980000" cy="14400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srgbClr val="014D4E">
                <a:alpha val="3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783168" y="1587500"/>
            <a:ext cx="1270000" cy="2963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latin typeface="Kulim Park semibold"/>
              </a:rPr>
              <a:t>Current</a:t>
            </a:r>
            <a:r>
              <a:rPr lang="en-US" sz="1100" b="1" baseline="0">
                <a:latin typeface="Kulim Park semibold"/>
              </a:rPr>
              <a:t> balance</a:t>
            </a:r>
            <a:endParaRPr lang="en-US" sz="1100" b="1">
              <a:latin typeface="Kulim Park semibold"/>
            </a:endParaRPr>
          </a:p>
        </xdr:txBody>
      </xdr:sp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400000"/>
                    </a14:imgEffect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6919" y="1651002"/>
            <a:ext cx="529895" cy="465666"/>
          </a:xfrm>
          <a:prstGeom prst="rect">
            <a:avLst/>
          </a:prstGeom>
          <a:ln>
            <a:noFill/>
          </a:ln>
          <a:effectLst/>
        </xdr:spPr>
      </xdr:pic>
      <xdr:sp macro="" textlink="">
        <xdr:nvSpPr>
          <xdr:cNvPr id="26" name="TextBox 25"/>
          <xdr:cNvSpPr txBox="1"/>
        </xdr:nvSpPr>
        <xdr:spPr>
          <a:xfrm>
            <a:off x="808567" y="1809748"/>
            <a:ext cx="1350434" cy="3810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solidFill>
                  <a:schemeClr val="bg1">
                    <a:lumMod val="50000"/>
                  </a:schemeClr>
                </a:solidFill>
                <a:latin typeface="Kulim Park semibold"/>
              </a:rPr>
              <a:t>Money</a:t>
            </a:r>
            <a:r>
              <a:rPr lang="en-US" sz="900" b="1" baseline="0">
                <a:solidFill>
                  <a:schemeClr val="bg1">
                    <a:lumMod val="50000"/>
                  </a:schemeClr>
                </a:solidFill>
                <a:latin typeface="Kulim Park semibold"/>
              </a:rPr>
              <a:t> available to spend</a:t>
            </a:r>
            <a:endParaRPr lang="en-US" sz="900" b="1">
              <a:solidFill>
                <a:schemeClr val="bg1">
                  <a:lumMod val="50000"/>
                </a:schemeClr>
              </a:solidFill>
              <a:latin typeface="Kulim Park semibold"/>
            </a:endParaRPr>
          </a:p>
        </xdr:txBody>
      </xdr:sp>
      <xdr:sp macro="" textlink="C50">
        <xdr:nvSpPr>
          <xdr:cNvPr id="28" name="TextBox 27"/>
          <xdr:cNvSpPr txBox="1"/>
        </xdr:nvSpPr>
        <xdr:spPr>
          <a:xfrm>
            <a:off x="603250" y="2233083"/>
            <a:ext cx="1270002" cy="3915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B1078D0-1613-4B57-9514-4B7311A5A10C}" type="TxLink">
              <a:rPr lang="en-US" sz="2000" b="0" i="0" u="none" strike="noStrike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pPr/>
              <a:t> $352 </a:t>
            </a:fld>
            <a:endParaRPr lang="en-US" sz="2000">
              <a:solidFill>
                <a:sysClr val="windowText" lastClr="000000"/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 editAs="absolute">
    <xdr:from>
      <xdr:col>2</xdr:col>
      <xdr:colOff>779162</xdr:colOff>
      <xdr:row>7</xdr:row>
      <xdr:rowOff>21165</xdr:rowOff>
    </xdr:from>
    <xdr:to>
      <xdr:col>4</xdr:col>
      <xdr:colOff>578995</xdr:colOff>
      <xdr:row>13</xdr:row>
      <xdr:rowOff>201082</xdr:rowOff>
    </xdr:to>
    <xdr:grpSp>
      <xdr:nvGrpSpPr>
        <xdr:cNvPr id="39" name="Group 38"/>
        <xdr:cNvGrpSpPr/>
      </xdr:nvGrpSpPr>
      <xdr:grpSpPr>
        <a:xfrm>
          <a:off x="2567745" y="1502832"/>
          <a:ext cx="1980000" cy="1449917"/>
          <a:chOff x="2586565" y="1502832"/>
          <a:chExt cx="1980000" cy="1449917"/>
        </a:xfrm>
      </xdr:grpSpPr>
      <xdr:sp macro="" textlink="">
        <xdr:nvSpPr>
          <xdr:cNvPr id="33" name="Rounded Rectangle 32"/>
          <xdr:cNvSpPr/>
        </xdr:nvSpPr>
        <xdr:spPr>
          <a:xfrm>
            <a:off x="2586565" y="1502832"/>
            <a:ext cx="1980000" cy="1449917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srgbClr val="014D4E">
                <a:alpha val="3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210981" y="1587501"/>
            <a:ext cx="704852" cy="21166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latin typeface="Kulim Park semibold"/>
              </a:rPr>
              <a:t>Income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3194049" y="1813982"/>
            <a:ext cx="1187451" cy="2074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solidFill>
                  <a:schemeClr val="bg1">
                    <a:lumMod val="50000"/>
                  </a:schemeClr>
                </a:solidFill>
                <a:latin typeface="Kulim Park semibold"/>
              </a:rPr>
              <a:t>The</a:t>
            </a:r>
            <a:r>
              <a:rPr lang="en-US" sz="900" b="1" baseline="0">
                <a:solidFill>
                  <a:schemeClr val="bg1">
                    <a:lumMod val="50000"/>
                  </a:schemeClr>
                </a:solidFill>
                <a:latin typeface="Kulim Park semibold"/>
              </a:rPr>
              <a:t> actual income</a:t>
            </a:r>
            <a:endParaRPr lang="en-US" sz="900" b="1">
              <a:solidFill>
                <a:schemeClr val="bg1">
                  <a:lumMod val="50000"/>
                </a:schemeClr>
              </a:solidFill>
              <a:latin typeface="Kulim Park semibold"/>
            </a:endParaRPr>
          </a:p>
        </xdr:txBody>
      </xdr:sp>
      <xdr:sp macro="" textlink="C46">
        <xdr:nvSpPr>
          <xdr:cNvPr id="37" name="TextBox 36"/>
          <xdr:cNvSpPr txBox="1"/>
        </xdr:nvSpPr>
        <xdr:spPr>
          <a:xfrm>
            <a:off x="3079750" y="2159001"/>
            <a:ext cx="1396999" cy="3809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2293195-9145-40CA-B5C9-BB7100172081}" type="TxLink">
              <a:rPr lang="en-US" sz="2000" b="1" i="0" u="none" strike="noStrike">
                <a:solidFill>
                  <a:srgbClr val="000000"/>
                </a:solidFill>
                <a:latin typeface="Kulim Park"/>
              </a:rPr>
              <a:pPr/>
              <a:t> $3,000 </a:t>
            </a:fld>
            <a:endParaRPr lang="en-US" sz="2000" b="1">
              <a:solidFill>
                <a:sysClr val="windowText" lastClr="000000"/>
              </a:solidFill>
              <a:latin typeface="Arial Rounded MT Bold" panose="020F0704030504030204" pitchFamily="34" charset="0"/>
            </a:endParaRPr>
          </a:p>
        </xdr:txBody>
      </xdr:sp>
      <xdr:pic>
        <xdr:nvPicPr>
          <xdr:cNvPr id="38" name="Picture 37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3500" y="1682750"/>
            <a:ext cx="635000" cy="5750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34323</xdr:colOff>
      <xdr:row>7</xdr:row>
      <xdr:rowOff>10583</xdr:rowOff>
    </xdr:from>
    <xdr:to>
      <xdr:col>7</xdr:col>
      <xdr:colOff>310407</xdr:colOff>
      <xdr:row>13</xdr:row>
      <xdr:rowOff>190500</xdr:rowOff>
    </xdr:to>
    <xdr:grpSp>
      <xdr:nvGrpSpPr>
        <xdr:cNvPr id="41" name="Group 40"/>
        <xdr:cNvGrpSpPr/>
      </xdr:nvGrpSpPr>
      <xdr:grpSpPr>
        <a:xfrm>
          <a:off x="4849740" y="1492250"/>
          <a:ext cx="1980000" cy="1449917"/>
          <a:chOff x="2586565" y="1502832"/>
          <a:chExt cx="1980000" cy="1449917"/>
        </a:xfrm>
      </xdr:grpSpPr>
      <xdr:sp macro="" textlink="">
        <xdr:nvSpPr>
          <xdr:cNvPr id="42" name="Rounded Rectangle 41"/>
          <xdr:cNvSpPr/>
        </xdr:nvSpPr>
        <xdr:spPr>
          <a:xfrm>
            <a:off x="2586565" y="1502832"/>
            <a:ext cx="1980000" cy="1449917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srgbClr val="014D4E">
                <a:alpha val="3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TextBox 42"/>
          <xdr:cNvSpPr txBox="1"/>
        </xdr:nvSpPr>
        <xdr:spPr>
          <a:xfrm>
            <a:off x="3210981" y="1587501"/>
            <a:ext cx="874184" cy="20108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latin typeface="Kulim Park semibold"/>
              </a:rPr>
              <a:t>Expenses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3194049" y="1813981"/>
            <a:ext cx="1303866" cy="21801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solidFill>
                  <a:schemeClr val="bg1">
                    <a:lumMod val="50000"/>
                  </a:schemeClr>
                </a:solidFill>
                <a:latin typeface="Kulim Park semibold"/>
              </a:rPr>
              <a:t>The</a:t>
            </a:r>
            <a:r>
              <a:rPr lang="en-US" sz="900" b="1" baseline="0">
                <a:solidFill>
                  <a:schemeClr val="bg1">
                    <a:lumMod val="50000"/>
                  </a:schemeClr>
                </a:solidFill>
                <a:latin typeface="Kulim Park semibold"/>
              </a:rPr>
              <a:t> actual expenses</a:t>
            </a:r>
            <a:endParaRPr lang="en-US" sz="900" b="1">
              <a:solidFill>
                <a:schemeClr val="bg1">
                  <a:lumMod val="50000"/>
                </a:schemeClr>
              </a:solidFill>
              <a:latin typeface="Kulim Park semibold"/>
            </a:endParaRPr>
          </a:p>
        </xdr:txBody>
      </xdr:sp>
      <xdr:sp macro="" textlink="C47">
        <xdr:nvSpPr>
          <xdr:cNvPr id="45" name="TextBox 44"/>
          <xdr:cNvSpPr txBox="1"/>
        </xdr:nvSpPr>
        <xdr:spPr>
          <a:xfrm>
            <a:off x="3291415" y="2158999"/>
            <a:ext cx="1100667" cy="4021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A1B914CD-659B-406C-BB96-CA1FC224FBBE}" type="TxLink">
              <a:rPr lang="en-US" sz="1800" b="1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Kulim Park"/>
                <a:ea typeface="+mn-ea"/>
                <a:cs typeface="+mn-cs"/>
              </a:rPr>
              <a:pPr marL="0" indent="0"/>
              <a:t> $448 </a:t>
            </a:fld>
            <a:endParaRPr lang="en-US" sz="18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Kulim Park"/>
              <a:ea typeface="+mn-ea"/>
              <a:cs typeface="+mn-cs"/>
            </a:endParaRPr>
          </a:p>
        </xdr:txBody>
      </xdr:sp>
    </xdr:grpSp>
    <xdr:clientData/>
  </xdr:twoCellAnchor>
  <xdr:twoCellAnchor editAs="absolute">
    <xdr:from>
      <xdr:col>7</xdr:col>
      <xdr:colOff>612402</xdr:colOff>
      <xdr:row>7</xdr:row>
      <xdr:rowOff>10583</xdr:rowOff>
    </xdr:from>
    <xdr:to>
      <xdr:col>10</xdr:col>
      <xdr:colOff>581568</xdr:colOff>
      <xdr:row>13</xdr:row>
      <xdr:rowOff>190500</xdr:rowOff>
    </xdr:to>
    <xdr:grpSp>
      <xdr:nvGrpSpPr>
        <xdr:cNvPr id="49" name="Group 48"/>
        <xdr:cNvGrpSpPr/>
      </xdr:nvGrpSpPr>
      <xdr:grpSpPr>
        <a:xfrm>
          <a:off x="7131735" y="1492250"/>
          <a:ext cx="1980000" cy="1449917"/>
          <a:chOff x="2586565" y="1502832"/>
          <a:chExt cx="1980000" cy="1449917"/>
        </a:xfrm>
      </xdr:grpSpPr>
      <xdr:sp macro="" textlink="">
        <xdr:nvSpPr>
          <xdr:cNvPr id="50" name="Rounded Rectangle 49"/>
          <xdr:cNvSpPr/>
        </xdr:nvSpPr>
        <xdr:spPr>
          <a:xfrm>
            <a:off x="2586565" y="1502832"/>
            <a:ext cx="1980000" cy="1449917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srgbClr val="014D4E">
                <a:alpha val="3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TextBox 50"/>
          <xdr:cNvSpPr txBox="1"/>
        </xdr:nvSpPr>
        <xdr:spPr>
          <a:xfrm>
            <a:off x="3210981" y="1587501"/>
            <a:ext cx="874184" cy="20108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latin typeface="Kulim Park semibold"/>
              </a:rPr>
              <a:t>Bills</a:t>
            </a: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3194049" y="1813981"/>
            <a:ext cx="1303866" cy="21801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solidFill>
                  <a:schemeClr val="bg1">
                    <a:lumMod val="50000"/>
                  </a:schemeClr>
                </a:solidFill>
                <a:latin typeface="Kulim Park semibold"/>
              </a:rPr>
              <a:t>The</a:t>
            </a:r>
            <a:r>
              <a:rPr lang="en-US" sz="900" b="1" baseline="0">
                <a:solidFill>
                  <a:schemeClr val="bg1">
                    <a:lumMod val="50000"/>
                  </a:schemeClr>
                </a:solidFill>
                <a:latin typeface="Kulim Park semibold"/>
              </a:rPr>
              <a:t> actual bills</a:t>
            </a:r>
            <a:endParaRPr lang="en-US" sz="900" b="1">
              <a:solidFill>
                <a:schemeClr val="bg1">
                  <a:lumMod val="50000"/>
                </a:schemeClr>
              </a:solidFill>
              <a:latin typeface="Kulim Park semibold"/>
            </a:endParaRPr>
          </a:p>
        </xdr:txBody>
      </xdr:sp>
      <xdr:sp macro="" textlink="C48">
        <xdr:nvSpPr>
          <xdr:cNvPr id="53" name="TextBox 52"/>
          <xdr:cNvSpPr txBox="1"/>
        </xdr:nvSpPr>
        <xdr:spPr>
          <a:xfrm>
            <a:off x="3153835" y="2201331"/>
            <a:ext cx="1375832" cy="3386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A7A4D8B9-C2DF-4B72-99AA-09883CD9BBAF}" type="TxLink">
              <a:rPr lang="en-US" sz="1800" b="1" i="0" u="none" strike="noStrike" cap="none" spc="0">
                <a:ln w="0"/>
                <a:solidFill>
                  <a:srgbClr val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Kulim Park"/>
                <a:ea typeface="+mn-ea"/>
                <a:cs typeface="+mn-cs"/>
              </a:rPr>
              <a:pPr marL="0" indent="0"/>
              <a:t> $1,300 </a:t>
            </a:fld>
            <a:endParaRPr lang="en-US" sz="18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Kulim Park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8</xdr:col>
      <xdr:colOff>39811</xdr:colOff>
      <xdr:row>7</xdr:row>
      <xdr:rowOff>179917</xdr:rowOff>
    </xdr:from>
    <xdr:to>
      <xdr:col>9</xdr:col>
      <xdr:colOff>486834</xdr:colOff>
      <xdr:row>10</xdr:row>
      <xdr:rowOff>63501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3561" y="1661584"/>
          <a:ext cx="616356" cy="51858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7</xdr:row>
      <xdr:rowOff>190502</xdr:rowOff>
    </xdr:from>
    <xdr:to>
      <xdr:col>5</xdr:col>
      <xdr:colOff>751416</xdr:colOff>
      <xdr:row>10</xdr:row>
      <xdr:rowOff>142072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0667" y="1672169"/>
          <a:ext cx="656166" cy="586570"/>
        </a:xfrm>
        <a:prstGeom prst="rect">
          <a:avLst/>
        </a:prstGeom>
      </xdr:spPr>
    </xdr:pic>
    <xdr:clientData/>
  </xdr:twoCellAnchor>
  <xdr:twoCellAnchor>
    <xdr:from>
      <xdr:col>11</xdr:col>
      <xdr:colOff>174482</xdr:colOff>
      <xdr:row>1</xdr:row>
      <xdr:rowOff>0</xdr:rowOff>
    </xdr:from>
    <xdr:to>
      <xdr:col>15</xdr:col>
      <xdr:colOff>302398</xdr:colOff>
      <xdr:row>14</xdr:row>
      <xdr:rowOff>10584</xdr:rowOff>
    </xdr:to>
    <xdr:sp macro="" textlink="">
      <xdr:nvSpPr>
        <xdr:cNvPr id="58" name="Rounded Rectangle 57"/>
        <xdr:cNvSpPr/>
      </xdr:nvSpPr>
      <xdr:spPr>
        <a:xfrm>
          <a:off x="9413732" y="211667"/>
          <a:ext cx="2244583" cy="27622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srgbClr val="014D4E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512231</xdr:colOff>
      <xdr:row>1</xdr:row>
      <xdr:rowOff>83755</xdr:rowOff>
    </xdr:from>
    <xdr:to>
      <xdr:col>14</xdr:col>
      <xdr:colOff>709083</xdr:colOff>
      <xdr:row>2</xdr:row>
      <xdr:rowOff>73170</xdr:rowOff>
    </xdr:to>
    <xdr:sp macro="" textlink="">
      <xdr:nvSpPr>
        <xdr:cNvPr id="59" name="TextBox 58"/>
        <xdr:cNvSpPr txBox="1"/>
      </xdr:nvSpPr>
      <xdr:spPr>
        <a:xfrm>
          <a:off x="9751481" y="295422"/>
          <a:ext cx="1604435" cy="201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B48900"/>
              </a:solidFill>
              <a:latin typeface="Kulim Park semibold"/>
            </a:rPr>
            <a:t>Allocation</a:t>
          </a:r>
          <a:r>
            <a:rPr lang="en-US" sz="1100" b="1" baseline="0">
              <a:solidFill>
                <a:srgbClr val="B48900"/>
              </a:solidFill>
              <a:latin typeface="Kulim Park semibold"/>
            </a:rPr>
            <a:t> </a:t>
          </a:r>
          <a:r>
            <a:rPr lang="en-US" sz="1100" b="1" baseline="0">
              <a:latin typeface="Kulim Park semibold"/>
            </a:rPr>
            <a:t>Summary</a:t>
          </a:r>
          <a:endParaRPr lang="en-US" sz="1100" b="1">
            <a:latin typeface="Kulim Park semibold"/>
          </a:endParaRPr>
        </a:p>
      </xdr:txBody>
    </xdr:sp>
    <xdr:clientData/>
  </xdr:twoCellAnchor>
  <xdr:twoCellAnchor>
    <xdr:from>
      <xdr:col>11</xdr:col>
      <xdr:colOff>512231</xdr:colOff>
      <xdr:row>2</xdr:row>
      <xdr:rowOff>73170</xdr:rowOff>
    </xdr:from>
    <xdr:to>
      <xdr:col>15</xdr:col>
      <xdr:colOff>287296</xdr:colOff>
      <xdr:row>3</xdr:row>
      <xdr:rowOff>62584</xdr:rowOff>
    </xdr:to>
    <xdr:sp macro="" textlink="">
      <xdr:nvSpPr>
        <xdr:cNvPr id="60" name="TextBox 59"/>
        <xdr:cNvSpPr txBox="1"/>
      </xdr:nvSpPr>
      <xdr:spPr>
        <a:xfrm>
          <a:off x="9751481" y="496503"/>
          <a:ext cx="1891732" cy="201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>
                  <a:lumMod val="65000"/>
                </a:schemeClr>
              </a:solidFill>
              <a:latin typeface="Kulim Park semibold"/>
            </a:rPr>
            <a:t>Actual</a:t>
          </a:r>
          <a:r>
            <a:rPr lang="en-US" sz="900" b="1" baseline="0">
              <a:solidFill>
                <a:schemeClr val="bg1">
                  <a:lumMod val="65000"/>
                </a:schemeClr>
              </a:solidFill>
              <a:latin typeface="Kulim Park semibold"/>
            </a:rPr>
            <a:t> allocation of the income</a:t>
          </a:r>
          <a:endParaRPr lang="en-US" sz="900" b="1">
            <a:solidFill>
              <a:schemeClr val="bg1">
                <a:lumMod val="65000"/>
              </a:schemeClr>
            </a:solidFill>
            <a:latin typeface="Kulim Park semibold"/>
          </a:endParaRPr>
        </a:p>
      </xdr:txBody>
    </xdr:sp>
    <xdr:clientData/>
  </xdr:twoCellAnchor>
  <xdr:twoCellAnchor editAs="absolute">
    <xdr:from>
      <xdr:col>11</xdr:col>
      <xdr:colOff>174482</xdr:colOff>
      <xdr:row>3</xdr:row>
      <xdr:rowOff>52918</xdr:rowOff>
    </xdr:from>
    <xdr:to>
      <xdr:col>15</xdr:col>
      <xdr:colOff>296333</xdr:colOff>
      <xdr:row>12</xdr:row>
      <xdr:rowOff>84668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116418</xdr:colOff>
      <xdr:row>14</xdr:row>
      <xdr:rowOff>159083</xdr:rowOff>
    </xdr:from>
    <xdr:to>
      <xdr:col>2</xdr:col>
      <xdr:colOff>477168</xdr:colOff>
      <xdr:row>29</xdr:row>
      <xdr:rowOff>159084</xdr:rowOff>
    </xdr:to>
    <xdr:sp macro="" textlink="">
      <xdr:nvSpPr>
        <xdr:cNvPr id="56" name="Rounded Rectangle 55"/>
        <xdr:cNvSpPr/>
      </xdr:nvSpPr>
      <xdr:spPr>
        <a:xfrm>
          <a:off x="285751" y="3122416"/>
          <a:ext cx="1980000" cy="31750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srgbClr val="014D4E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285750</xdr:colOff>
      <xdr:row>15</xdr:row>
      <xdr:rowOff>158748</xdr:rowOff>
    </xdr:from>
    <xdr:to>
      <xdr:col>2</xdr:col>
      <xdr:colOff>306917</xdr:colOff>
      <xdr:row>22</xdr:row>
      <xdr:rowOff>179916</xdr:rowOff>
    </xdr:to>
    <xdr:grpSp>
      <xdr:nvGrpSpPr>
        <xdr:cNvPr id="6" name="Group 5"/>
        <xdr:cNvGrpSpPr/>
      </xdr:nvGrpSpPr>
      <xdr:grpSpPr>
        <a:xfrm>
          <a:off x="455083" y="3333748"/>
          <a:ext cx="1640417" cy="1502835"/>
          <a:chOff x="289985" y="3333748"/>
          <a:chExt cx="1814499" cy="1502835"/>
        </a:xfrm>
      </xdr:grpSpPr>
      <xdr:sp macro="" textlink="">
        <xdr:nvSpPr>
          <xdr:cNvPr id="62" name="TextBox 61"/>
          <xdr:cNvSpPr txBox="1"/>
        </xdr:nvSpPr>
        <xdr:spPr>
          <a:xfrm>
            <a:off x="395343" y="3333748"/>
            <a:ext cx="1709141" cy="2222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latin typeface="Georgia" panose="02040502050405020303" pitchFamily="18" charset="0"/>
              </a:rPr>
              <a:t>Budget</a:t>
            </a:r>
            <a:r>
              <a:rPr lang="en-US" sz="1200" b="1" baseline="0">
                <a:latin typeface="Georgia" panose="02040502050405020303" pitchFamily="18" charset="0"/>
              </a:rPr>
              <a:t> Vs Actual</a:t>
            </a:r>
            <a:endParaRPr lang="en-US" sz="1200" b="1">
              <a:latin typeface="Georgia" panose="02040502050405020303" pitchFamily="18" charset="0"/>
            </a:endParaRPr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306916" y="3534830"/>
            <a:ext cx="1703916" cy="4127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solidFill>
                  <a:schemeClr val="bg1">
                    <a:lumMod val="50000"/>
                  </a:schemeClr>
                </a:solidFill>
                <a:latin typeface="Kulim Park"/>
              </a:rPr>
              <a:t>Comparison</a:t>
            </a:r>
            <a:r>
              <a:rPr lang="en-US" sz="900" b="1" baseline="0">
                <a:solidFill>
                  <a:schemeClr val="bg1">
                    <a:lumMod val="50000"/>
                  </a:schemeClr>
                </a:solidFill>
                <a:latin typeface="Kulim Park"/>
              </a:rPr>
              <a:t> between Budget and Actual</a:t>
            </a:r>
            <a:endParaRPr lang="en-US" sz="900" b="1">
              <a:solidFill>
                <a:schemeClr val="bg1">
                  <a:lumMod val="50000"/>
                </a:schemeClr>
              </a:solidFill>
              <a:latin typeface="Kulim Park"/>
            </a:endParaRPr>
          </a:p>
        </xdr:txBody>
      </xdr:sp>
      <xdr:sp macro="" textlink="">
        <xdr:nvSpPr>
          <xdr:cNvPr id="69" name="TextBox 68"/>
          <xdr:cNvSpPr txBox="1"/>
        </xdr:nvSpPr>
        <xdr:spPr>
          <a:xfrm>
            <a:off x="289985" y="3905250"/>
            <a:ext cx="1439892" cy="26458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chemeClr val="accent1">
                    <a:lumMod val="50000"/>
                  </a:schemeClr>
                </a:solidFill>
                <a:latin typeface="Georgia" panose="02040502050405020303" pitchFamily="18" charset="0"/>
              </a:rPr>
              <a:t>Savings</a:t>
            </a:r>
            <a:r>
              <a:rPr lang="en-US" sz="1100" b="1" baseline="0">
                <a:solidFill>
                  <a:schemeClr val="accent1">
                    <a:lumMod val="50000"/>
                  </a:schemeClr>
                </a:solidFill>
                <a:latin typeface="Georgia" panose="02040502050405020303" pitchFamily="18" charset="0"/>
              </a:rPr>
              <a:t> Rate</a:t>
            </a:r>
            <a:endParaRPr lang="en-US" sz="1100" b="1">
              <a:solidFill>
                <a:schemeClr val="accent1">
                  <a:lumMod val="50000"/>
                </a:schemeClr>
              </a:solidFill>
              <a:latin typeface="Georgia" panose="02040502050405020303" pitchFamily="18" charset="0"/>
            </a:endParaRPr>
          </a:p>
        </xdr:txBody>
      </xdr:sp>
      <xdr:sp macro="" textlink="">
        <xdr:nvSpPr>
          <xdr:cNvPr id="70" name="TextBox 69"/>
          <xdr:cNvSpPr txBox="1"/>
        </xdr:nvSpPr>
        <xdr:spPr>
          <a:xfrm>
            <a:off x="325104" y="4212166"/>
            <a:ext cx="730981" cy="254000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ysClr val="windowText" lastClr="000000"/>
                </a:solidFill>
                <a:latin typeface="Kulim Park semibold"/>
              </a:rPr>
              <a:t>Budget</a:t>
            </a:r>
          </a:p>
        </xdr:txBody>
      </xdr:sp>
      <xdr:sp macro="" textlink="">
        <xdr:nvSpPr>
          <xdr:cNvPr id="71" name="TextBox 70"/>
          <xdr:cNvSpPr txBox="1"/>
        </xdr:nvSpPr>
        <xdr:spPr>
          <a:xfrm>
            <a:off x="376636" y="4622797"/>
            <a:ext cx="679449" cy="213786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ysClr val="windowText" lastClr="000000"/>
                </a:solidFill>
                <a:latin typeface="Kulim Park semibold"/>
              </a:rPr>
              <a:t>Actual</a:t>
            </a:r>
          </a:p>
        </xdr:txBody>
      </xdr:sp>
    </xdr:grpSp>
    <xdr:clientData/>
  </xdr:twoCellAnchor>
  <xdr:twoCellAnchor>
    <xdr:from>
      <xdr:col>1</xdr:col>
      <xdr:colOff>1079501</xdr:colOff>
      <xdr:row>19</xdr:row>
      <xdr:rowOff>158750</xdr:rowOff>
    </xdr:from>
    <xdr:to>
      <xdr:col>2</xdr:col>
      <xdr:colOff>254001</xdr:colOff>
      <xdr:row>21</xdr:row>
      <xdr:rowOff>31751</xdr:rowOff>
    </xdr:to>
    <xdr:sp macro="" textlink="$C$55">
      <xdr:nvSpPr>
        <xdr:cNvPr id="7" name="Rounded Rectangle 6"/>
        <xdr:cNvSpPr/>
      </xdr:nvSpPr>
      <xdr:spPr>
        <a:xfrm>
          <a:off x="1248834" y="4180417"/>
          <a:ext cx="793750" cy="296334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D32F94A-B9F6-48E5-93FB-61FE59072429}" type="TxLink">
            <a:rPr lang="en-US" sz="1200" b="1" i="0" u="none" strike="noStrike">
              <a:solidFill>
                <a:srgbClr val="000000"/>
              </a:solidFill>
              <a:latin typeface="Georgia" panose="02040502050405020303" pitchFamily="18" charset="0"/>
            </a:rPr>
            <a:pPr algn="ctr"/>
            <a:t>30%</a:t>
          </a:fld>
          <a:endParaRPr lang="en-US" sz="1200" b="1">
            <a:latin typeface="Georgia" panose="02040502050405020303" pitchFamily="18" charset="0"/>
          </a:endParaRPr>
        </a:p>
      </xdr:txBody>
    </xdr:sp>
    <xdr:clientData/>
  </xdr:twoCellAnchor>
  <xdr:twoCellAnchor>
    <xdr:from>
      <xdr:col>1</xdr:col>
      <xdr:colOff>1062567</xdr:colOff>
      <xdr:row>21</xdr:row>
      <xdr:rowOff>131234</xdr:rowOff>
    </xdr:from>
    <xdr:to>
      <xdr:col>2</xdr:col>
      <xdr:colOff>243416</xdr:colOff>
      <xdr:row>23</xdr:row>
      <xdr:rowOff>1</xdr:rowOff>
    </xdr:to>
    <xdr:sp macro="" textlink="$D$55">
      <xdr:nvSpPr>
        <xdr:cNvPr id="72" name="Rounded Rectangle 71"/>
        <xdr:cNvSpPr/>
      </xdr:nvSpPr>
      <xdr:spPr>
        <a:xfrm>
          <a:off x="1231900" y="4576234"/>
          <a:ext cx="800099" cy="2921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88F5D22-DEA1-4080-A2DB-1F52D8E9FB3D}" type="TxLink">
            <a:rPr lang="en-US" sz="1200" b="1" i="0" u="none" strike="noStrike">
              <a:solidFill>
                <a:srgbClr val="000000"/>
              </a:solidFill>
              <a:latin typeface="Georgia" panose="02040502050405020303" pitchFamily="18" charset="0"/>
            </a:rPr>
            <a:pPr algn="ctr"/>
            <a:t>7%</a:t>
          </a:fld>
          <a:endParaRPr lang="en-US" sz="1200" b="1">
            <a:latin typeface="Georgia" panose="02040502050405020303" pitchFamily="18" charset="0"/>
          </a:endParaRPr>
        </a:p>
      </xdr:txBody>
    </xdr:sp>
    <xdr:clientData/>
  </xdr:twoCellAnchor>
  <xdr:twoCellAnchor>
    <xdr:from>
      <xdr:col>17</xdr:col>
      <xdr:colOff>206981</xdr:colOff>
      <xdr:row>2</xdr:row>
      <xdr:rowOff>74084</xdr:rowOff>
    </xdr:from>
    <xdr:to>
      <xdr:col>18</xdr:col>
      <xdr:colOff>158749</xdr:colOff>
      <xdr:row>3</xdr:row>
      <xdr:rowOff>116417</xdr:rowOff>
    </xdr:to>
    <xdr:sp macro="" textlink="">
      <xdr:nvSpPr>
        <xdr:cNvPr id="78" name="TextBox 77"/>
        <xdr:cNvSpPr txBox="1"/>
      </xdr:nvSpPr>
      <xdr:spPr>
        <a:xfrm>
          <a:off x="12356648" y="497417"/>
          <a:ext cx="660851" cy="2540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00" b="1">
            <a:solidFill>
              <a:sysClr val="windowText" lastClr="000000"/>
            </a:solidFill>
            <a:latin typeface="Kulim Park semibold"/>
          </a:endParaRPr>
        </a:p>
      </xdr:txBody>
    </xdr:sp>
    <xdr:clientData/>
  </xdr:twoCellAnchor>
  <xdr:twoCellAnchor>
    <xdr:from>
      <xdr:col>1</xdr:col>
      <xdr:colOff>243417</xdr:colOff>
      <xdr:row>23</xdr:row>
      <xdr:rowOff>201085</xdr:rowOff>
    </xdr:from>
    <xdr:to>
      <xdr:col>2</xdr:col>
      <xdr:colOff>249766</xdr:colOff>
      <xdr:row>28</xdr:row>
      <xdr:rowOff>112182</xdr:rowOff>
    </xdr:to>
    <xdr:grpSp>
      <xdr:nvGrpSpPr>
        <xdr:cNvPr id="11" name="Group 10"/>
        <xdr:cNvGrpSpPr/>
      </xdr:nvGrpSpPr>
      <xdr:grpSpPr>
        <a:xfrm>
          <a:off x="412750" y="5069418"/>
          <a:ext cx="1625599" cy="969431"/>
          <a:chOff x="412750" y="5069418"/>
          <a:chExt cx="1625599" cy="969431"/>
        </a:xfrm>
      </xdr:grpSpPr>
      <xdr:sp macro="" textlink="$V$42">
        <xdr:nvSpPr>
          <xdr:cNvPr id="73" name="Rounded Rectangle 72"/>
          <xdr:cNvSpPr/>
        </xdr:nvSpPr>
        <xdr:spPr>
          <a:xfrm>
            <a:off x="1242482" y="5369984"/>
            <a:ext cx="793750" cy="296334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4DB7AE95-4C1D-492F-AC95-8852B2FAC30E}" type="TxLink">
              <a:rPr lang="en-US" sz="1200" b="1" i="0" u="none" strike="noStrike">
                <a:solidFill>
                  <a:srgbClr val="000000"/>
                </a:solidFill>
                <a:latin typeface="Georgia" panose="02040502050405020303" pitchFamily="18" charset="0"/>
              </a:rPr>
              <a:pPr algn="ctr"/>
              <a:t>5</a:t>
            </a:fld>
            <a:endParaRPr lang="en-US" sz="1200" b="1">
              <a:latin typeface="Georgia" panose="02040502050405020303" pitchFamily="18" charset="0"/>
            </a:endParaRPr>
          </a:p>
        </xdr:txBody>
      </xdr:sp>
      <xdr:sp macro="" textlink="$V$43">
        <xdr:nvSpPr>
          <xdr:cNvPr id="74" name="Rounded Rectangle 73"/>
          <xdr:cNvSpPr/>
        </xdr:nvSpPr>
        <xdr:spPr>
          <a:xfrm>
            <a:off x="1238250" y="5746749"/>
            <a:ext cx="800099" cy="29210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D38F0138-3F10-43CC-AC4A-A20DA04E5680}" type="TxLink">
              <a:rPr lang="en-US" sz="1200" b="1" i="0" u="none" strike="noStrike">
                <a:solidFill>
                  <a:srgbClr val="000000"/>
                </a:solidFill>
                <a:latin typeface="Georgia" panose="02040502050405020303" pitchFamily="18" charset="0"/>
              </a:rPr>
              <a:pPr algn="ctr"/>
              <a:t>0</a:t>
            </a:fld>
            <a:endParaRPr lang="en-US" sz="1200" b="1">
              <a:latin typeface="Georgia" panose="02040502050405020303" pitchFamily="18" charset="0"/>
            </a:endParaRPr>
          </a:p>
        </xdr:txBody>
      </xdr:sp>
      <xdr:sp macro="" textlink="">
        <xdr:nvSpPr>
          <xdr:cNvPr id="76" name="TextBox 75"/>
          <xdr:cNvSpPr txBox="1"/>
        </xdr:nvSpPr>
        <xdr:spPr>
          <a:xfrm>
            <a:off x="502101" y="5418667"/>
            <a:ext cx="677333" cy="232833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ysClr val="windowText" lastClr="000000"/>
                </a:solidFill>
                <a:latin typeface="Kulim Park semibold"/>
              </a:rPr>
              <a:t>Paid</a:t>
            </a:r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412750" y="5778500"/>
            <a:ext cx="766684" cy="24341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1">
                <a:solidFill>
                  <a:sysClr val="windowText" lastClr="000000"/>
                </a:solidFill>
                <a:latin typeface="Kulim Park semibold"/>
              </a:rPr>
              <a:t>Not</a:t>
            </a:r>
            <a:r>
              <a:rPr lang="en-US" sz="1000" b="1" baseline="0">
                <a:solidFill>
                  <a:sysClr val="windowText" lastClr="000000"/>
                </a:solidFill>
                <a:latin typeface="Kulim Park semibold"/>
              </a:rPr>
              <a:t> Paid</a:t>
            </a:r>
            <a:endParaRPr lang="en-US" sz="1000" b="1">
              <a:solidFill>
                <a:sysClr val="windowText" lastClr="000000"/>
              </a:solidFill>
              <a:latin typeface="Kulim Park semibold"/>
            </a:endParaRPr>
          </a:p>
        </xdr:txBody>
      </xdr:sp>
      <xdr:sp macro="" textlink="">
        <xdr:nvSpPr>
          <xdr:cNvPr id="79" name="TextBox 78"/>
          <xdr:cNvSpPr txBox="1"/>
        </xdr:nvSpPr>
        <xdr:spPr>
          <a:xfrm>
            <a:off x="465666" y="5069418"/>
            <a:ext cx="762000" cy="275166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chemeClr val="accent1">
                    <a:lumMod val="50000"/>
                  </a:schemeClr>
                </a:solidFill>
                <a:latin typeface="Georgia" panose="02040502050405020303" pitchFamily="18" charset="0"/>
              </a:rPr>
              <a:t>Bills</a:t>
            </a:r>
          </a:p>
        </xdr:txBody>
      </xdr:sp>
    </xdr:grpSp>
    <xdr:clientData/>
  </xdr:twoCellAnchor>
  <xdr:twoCellAnchor editAs="absolute">
    <xdr:from>
      <xdr:col>1</xdr:col>
      <xdr:colOff>67735</xdr:colOff>
      <xdr:row>30</xdr:row>
      <xdr:rowOff>127000</xdr:rowOff>
    </xdr:from>
    <xdr:to>
      <xdr:col>2</xdr:col>
      <xdr:colOff>428485</xdr:colOff>
      <xdr:row>38</xdr:row>
      <xdr:rowOff>88899</xdr:rowOff>
    </xdr:to>
    <xdr:sp macro="" textlink="">
      <xdr:nvSpPr>
        <xdr:cNvPr id="80" name="Rounded Rectangle 79"/>
        <xdr:cNvSpPr/>
      </xdr:nvSpPr>
      <xdr:spPr>
        <a:xfrm>
          <a:off x="237068" y="6477000"/>
          <a:ext cx="1980000" cy="165523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srgbClr val="014D4E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141819</xdr:colOff>
      <xdr:row>30</xdr:row>
      <xdr:rowOff>169333</xdr:rowOff>
    </xdr:from>
    <xdr:to>
      <xdr:col>2</xdr:col>
      <xdr:colOff>107374</xdr:colOff>
      <xdr:row>31</xdr:row>
      <xdr:rowOff>201084</xdr:rowOff>
    </xdr:to>
    <xdr:sp macro="" textlink="">
      <xdr:nvSpPr>
        <xdr:cNvPr id="82" name="TextBox 81"/>
        <xdr:cNvSpPr txBox="1"/>
      </xdr:nvSpPr>
      <xdr:spPr>
        <a:xfrm>
          <a:off x="311152" y="6519333"/>
          <a:ext cx="1584805" cy="2434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Georgia" panose="02040502050405020303" pitchFamily="18" charset="0"/>
            </a:rPr>
            <a:t>Highest</a:t>
          </a:r>
          <a:r>
            <a:rPr lang="en-US" sz="1200" b="1" baseline="0">
              <a:latin typeface="Georgia" panose="02040502050405020303" pitchFamily="18" charset="0"/>
            </a:rPr>
            <a:t> Expenses</a:t>
          </a:r>
          <a:endParaRPr lang="en-US" sz="1200" b="1">
            <a:latin typeface="Georgia" panose="02040502050405020303" pitchFamily="18" charset="0"/>
          </a:endParaRPr>
        </a:p>
      </xdr:txBody>
    </xdr:sp>
    <xdr:clientData/>
  </xdr:twoCellAnchor>
  <xdr:twoCellAnchor>
    <xdr:from>
      <xdr:col>1</xdr:col>
      <xdr:colOff>141820</xdr:colOff>
      <xdr:row>31</xdr:row>
      <xdr:rowOff>179916</xdr:rowOff>
    </xdr:from>
    <xdr:to>
      <xdr:col>1</xdr:col>
      <xdr:colOff>1291167</xdr:colOff>
      <xdr:row>32</xdr:row>
      <xdr:rowOff>84667</xdr:rowOff>
    </xdr:to>
    <xdr:sp macro="" textlink="">
      <xdr:nvSpPr>
        <xdr:cNvPr id="83" name="TextBox 82"/>
        <xdr:cNvSpPr txBox="1"/>
      </xdr:nvSpPr>
      <xdr:spPr>
        <a:xfrm>
          <a:off x="311153" y="6741583"/>
          <a:ext cx="1149347" cy="1164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900" b="1">
            <a:solidFill>
              <a:schemeClr val="bg1">
                <a:lumMod val="50000"/>
              </a:schemeClr>
            </a:solidFill>
            <a:latin typeface="Kulim Park"/>
          </a:endParaRPr>
        </a:p>
      </xdr:txBody>
    </xdr:sp>
    <xdr:clientData/>
  </xdr:twoCellAnchor>
  <xdr:twoCellAnchor>
    <xdr:from>
      <xdr:col>1</xdr:col>
      <xdr:colOff>74085</xdr:colOff>
      <xdr:row>32</xdr:row>
      <xdr:rowOff>158750</xdr:rowOff>
    </xdr:from>
    <xdr:to>
      <xdr:col>2</xdr:col>
      <xdr:colOff>179917</xdr:colOff>
      <xdr:row>36</xdr:row>
      <xdr:rowOff>65614</xdr:rowOff>
    </xdr:to>
    <xdr:grpSp>
      <xdr:nvGrpSpPr>
        <xdr:cNvPr id="91" name="Group 90"/>
        <xdr:cNvGrpSpPr/>
      </xdr:nvGrpSpPr>
      <xdr:grpSpPr>
        <a:xfrm>
          <a:off x="243418" y="6932083"/>
          <a:ext cx="1725082" cy="753531"/>
          <a:chOff x="334434" y="5359401"/>
          <a:chExt cx="1725082" cy="753531"/>
        </a:xfrm>
      </xdr:grpSpPr>
      <xdr:sp macro="" textlink="$D$56">
        <xdr:nvSpPr>
          <xdr:cNvPr id="92" name="Rounded Rectangle 91"/>
          <xdr:cNvSpPr/>
        </xdr:nvSpPr>
        <xdr:spPr>
          <a:xfrm>
            <a:off x="1242482" y="5369984"/>
            <a:ext cx="793750" cy="296334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53472E35-5FAA-4FAB-B419-1034AA771E5A}" type="TxLink">
              <a:rPr lang="en-US" sz="1200" b="1" i="0" u="none" strike="noStrike">
                <a:solidFill>
                  <a:srgbClr val="000000"/>
                </a:solidFill>
                <a:latin typeface="Georgia" panose="02040502050405020303" pitchFamily="18" charset="0"/>
              </a:rPr>
              <a:pPr algn="ctr"/>
              <a:t>338.23</a:t>
            </a:fld>
            <a:endParaRPr lang="en-US" sz="1200" b="1" i="0" u="none" strike="noStrike">
              <a:solidFill>
                <a:srgbClr val="000000"/>
              </a:solidFill>
              <a:latin typeface="Georgia" panose="02040502050405020303" pitchFamily="18" charset="0"/>
            </a:endParaRPr>
          </a:p>
        </xdr:txBody>
      </xdr:sp>
      <xdr:sp macro="" textlink="$D$57">
        <xdr:nvSpPr>
          <xdr:cNvPr id="93" name="Rounded Rectangle 92"/>
          <xdr:cNvSpPr/>
        </xdr:nvSpPr>
        <xdr:spPr>
          <a:xfrm>
            <a:off x="1259417" y="5820832"/>
            <a:ext cx="800099" cy="29210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169BA145-F37B-45E1-A991-C438E98299E0}" type="TxLink">
              <a:rPr lang="en-US" sz="1200" b="1" i="0" u="none" strike="noStrike">
                <a:solidFill>
                  <a:srgbClr val="000000"/>
                </a:solidFill>
                <a:latin typeface="Georgia" panose="02040502050405020303" pitchFamily="18" charset="0"/>
              </a:rPr>
              <a:pPr algn="ctr"/>
              <a:t>97.9</a:t>
            </a:fld>
            <a:endParaRPr lang="en-US" sz="1200" b="1">
              <a:latin typeface="Georgia" panose="02040502050405020303" pitchFamily="18" charset="0"/>
            </a:endParaRPr>
          </a:p>
        </xdr:txBody>
      </xdr:sp>
      <xdr:sp macro="" textlink="$B$57">
        <xdr:nvSpPr>
          <xdr:cNvPr id="94" name="TextBox 93"/>
          <xdr:cNvSpPr txBox="1"/>
        </xdr:nvSpPr>
        <xdr:spPr>
          <a:xfrm>
            <a:off x="334434" y="5359401"/>
            <a:ext cx="889000" cy="42333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F92B6C4-5B62-437B-A1FB-3317E4D9C456}" type="TxLink">
              <a:rPr lang="en-US" sz="1000" b="1" i="0" u="none" strike="noStrike">
                <a:solidFill>
                  <a:srgbClr val="000000"/>
                </a:solidFill>
                <a:latin typeface="Kulim Park"/>
              </a:rPr>
              <a:pPr/>
              <a:t>Personal care</a:t>
            </a:fld>
            <a:endParaRPr lang="en-US" sz="1000" b="1">
              <a:solidFill>
                <a:sysClr val="windowText" lastClr="000000"/>
              </a:solidFill>
              <a:latin typeface="Kulim Park semibold"/>
            </a:endParaRPr>
          </a:p>
        </xdr:txBody>
      </xdr:sp>
      <xdr:sp macro="" textlink="$B$56">
        <xdr:nvSpPr>
          <xdr:cNvPr id="95" name="TextBox 94"/>
          <xdr:cNvSpPr txBox="1"/>
        </xdr:nvSpPr>
        <xdr:spPr>
          <a:xfrm>
            <a:off x="472017" y="5842000"/>
            <a:ext cx="751417" cy="25823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339F206-BD7E-4019-A450-51C4CDB9DCD2}" type="TxLink">
              <a:rPr lang="en-US" sz="1000" b="1" i="0" u="none" strike="noStrike">
                <a:solidFill>
                  <a:srgbClr val="000000"/>
                </a:solidFill>
                <a:latin typeface="Kulim Park"/>
              </a:rPr>
              <a:pPr/>
              <a:t>Housing</a:t>
            </a:fld>
            <a:endParaRPr lang="en-US" sz="1000" b="1">
              <a:solidFill>
                <a:sysClr val="windowText" lastClr="000000"/>
              </a:solidFill>
              <a:latin typeface="Kulim Park semibold"/>
            </a:endParaRPr>
          </a:p>
        </xdr:txBody>
      </xdr:sp>
    </xdr:grpSp>
    <xdr:clientData/>
  </xdr:twoCellAnchor>
  <xdr:twoCellAnchor>
    <xdr:from>
      <xdr:col>10</xdr:col>
      <xdr:colOff>222250</xdr:colOff>
      <xdr:row>14</xdr:row>
      <xdr:rowOff>137916</xdr:rowOff>
    </xdr:from>
    <xdr:to>
      <xdr:col>15</xdr:col>
      <xdr:colOff>276500</xdr:colOff>
      <xdr:row>25</xdr:row>
      <xdr:rowOff>149582</xdr:rowOff>
    </xdr:to>
    <xdr:sp macro="" textlink="">
      <xdr:nvSpPr>
        <xdr:cNvPr id="96" name="Rounded Rectangle 95"/>
        <xdr:cNvSpPr/>
      </xdr:nvSpPr>
      <xdr:spPr>
        <a:xfrm>
          <a:off x="8752417" y="3101249"/>
          <a:ext cx="2880000" cy="234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srgbClr val="014D4E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42195</xdr:colOff>
      <xdr:row>14</xdr:row>
      <xdr:rowOff>190833</xdr:rowOff>
    </xdr:from>
    <xdr:to>
      <xdr:col>9</xdr:col>
      <xdr:colOff>1207695</xdr:colOff>
      <xdr:row>25</xdr:row>
      <xdr:rowOff>202499</xdr:rowOff>
    </xdr:to>
    <xdr:sp macro="" textlink="">
      <xdr:nvSpPr>
        <xdr:cNvPr id="97" name="Rounded Rectangle 96"/>
        <xdr:cNvSpPr/>
      </xdr:nvSpPr>
      <xdr:spPr>
        <a:xfrm>
          <a:off x="5640778" y="3154166"/>
          <a:ext cx="2880000" cy="234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srgbClr val="014D4E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719390</xdr:colOff>
      <xdr:row>14</xdr:row>
      <xdr:rowOff>137916</xdr:rowOff>
    </xdr:from>
    <xdr:to>
      <xdr:col>5</xdr:col>
      <xdr:colOff>572556</xdr:colOff>
      <xdr:row>25</xdr:row>
      <xdr:rowOff>149582</xdr:rowOff>
    </xdr:to>
    <xdr:sp macro="" textlink="">
      <xdr:nvSpPr>
        <xdr:cNvPr id="98" name="Rounded Rectangle 97"/>
        <xdr:cNvSpPr/>
      </xdr:nvSpPr>
      <xdr:spPr>
        <a:xfrm>
          <a:off x="2507973" y="3101249"/>
          <a:ext cx="2880000" cy="2340000"/>
        </a:xfrm>
        <a:prstGeom prst="roundRect">
          <a:avLst/>
        </a:prstGeom>
        <a:solidFill>
          <a:srgbClr val="014D4E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156443</xdr:colOff>
      <xdr:row>14</xdr:row>
      <xdr:rowOff>169666</xdr:rowOff>
    </xdr:from>
    <xdr:to>
      <xdr:col>5</xdr:col>
      <xdr:colOff>21166</xdr:colOff>
      <xdr:row>17</xdr:row>
      <xdr:rowOff>52917</xdr:rowOff>
    </xdr:to>
    <xdr:grpSp>
      <xdr:nvGrpSpPr>
        <xdr:cNvPr id="8" name="Group 7"/>
        <xdr:cNvGrpSpPr/>
      </xdr:nvGrpSpPr>
      <xdr:grpSpPr>
        <a:xfrm>
          <a:off x="2812860" y="3132999"/>
          <a:ext cx="2023723" cy="518251"/>
          <a:chOff x="2812860" y="3132999"/>
          <a:chExt cx="2023723" cy="518251"/>
        </a:xfrm>
      </xdr:grpSpPr>
      <xdr:sp macro="" textlink="">
        <xdr:nvSpPr>
          <xdr:cNvPr id="75" name="TextBox 74"/>
          <xdr:cNvSpPr txBox="1"/>
        </xdr:nvSpPr>
        <xdr:spPr>
          <a:xfrm>
            <a:off x="2812860" y="3132999"/>
            <a:ext cx="2023723" cy="2854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solidFill>
                  <a:schemeClr val="bg1"/>
                </a:solidFill>
                <a:latin typeface="Georgia" panose="02040502050405020303" pitchFamily="18" charset="0"/>
              </a:rPr>
              <a:t>Cash</a:t>
            </a:r>
            <a:r>
              <a:rPr lang="en-US" sz="1200" b="1" baseline="0">
                <a:solidFill>
                  <a:schemeClr val="bg1"/>
                </a:solidFill>
                <a:latin typeface="Georgia" panose="02040502050405020303" pitchFamily="18" charset="0"/>
              </a:rPr>
              <a:t> Flow summary</a:t>
            </a:r>
            <a:endParaRPr lang="en-US" sz="1200" b="1">
              <a:solidFill>
                <a:schemeClr val="bg1"/>
              </a:solidFill>
              <a:latin typeface="Georgia" panose="02040502050405020303" pitchFamily="18" charset="0"/>
            </a:endParaRPr>
          </a:p>
        </xdr:txBody>
      </xdr:sp>
      <xdr:sp macro="" textlink="">
        <xdr:nvSpPr>
          <xdr:cNvPr id="81" name="TextBox 80"/>
          <xdr:cNvSpPr txBox="1"/>
        </xdr:nvSpPr>
        <xdr:spPr>
          <a:xfrm>
            <a:off x="2825473" y="3418748"/>
            <a:ext cx="1540443" cy="2325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>
                <a:solidFill>
                  <a:schemeClr val="bg1"/>
                </a:solidFill>
                <a:latin typeface="Kulim Park"/>
              </a:rPr>
              <a:t>Budget</a:t>
            </a:r>
            <a:r>
              <a:rPr lang="en-US" sz="900" b="1" baseline="0">
                <a:solidFill>
                  <a:schemeClr val="bg1"/>
                </a:solidFill>
                <a:latin typeface="Kulim Park"/>
              </a:rPr>
              <a:t> Vs Actual</a:t>
            </a:r>
            <a:endParaRPr lang="en-US" sz="900" b="1">
              <a:solidFill>
                <a:schemeClr val="bg1"/>
              </a:solidFill>
              <a:latin typeface="Kulim Park"/>
            </a:endParaRPr>
          </a:p>
        </xdr:txBody>
      </xdr:sp>
    </xdr:grpSp>
    <xdr:clientData/>
  </xdr:twoCellAnchor>
  <xdr:twoCellAnchor editAs="absolute">
    <xdr:from>
      <xdr:col>2</xdr:col>
      <xdr:colOff>746125</xdr:colOff>
      <xdr:row>17</xdr:row>
      <xdr:rowOff>21168</xdr:rowOff>
    </xdr:from>
    <xdr:to>
      <xdr:col>5</xdr:col>
      <xdr:colOff>592667</xdr:colOff>
      <xdr:row>25</xdr:row>
      <xdr:rowOff>105834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190362</xdr:colOff>
      <xdr:row>14</xdr:row>
      <xdr:rowOff>201417</xdr:rowOff>
    </xdr:from>
    <xdr:to>
      <xdr:col>9</xdr:col>
      <xdr:colOff>285749</xdr:colOff>
      <xdr:row>16</xdr:row>
      <xdr:rowOff>63501</xdr:rowOff>
    </xdr:to>
    <xdr:sp macro="" textlink="">
      <xdr:nvSpPr>
        <xdr:cNvPr id="85" name="TextBox 84"/>
        <xdr:cNvSpPr txBox="1"/>
      </xdr:nvSpPr>
      <xdr:spPr>
        <a:xfrm>
          <a:off x="5788945" y="3164750"/>
          <a:ext cx="1809887" cy="285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B48900"/>
              </a:solidFill>
              <a:latin typeface="Georgia" panose="02040502050405020303" pitchFamily="18" charset="0"/>
            </a:rPr>
            <a:t>Expenses</a:t>
          </a:r>
          <a:r>
            <a:rPr lang="en-US" sz="1200" b="1" baseline="0">
              <a:solidFill>
                <a:srgbClr val="B48900"/>
              </a:solidFill>
              <a:latin typeface="Georgia" panose="02040502050405020303" pitchFamily="18" charset="0"/>
            </a:rPr>
            <a:t> </a:t>
          </a:r>
          <a:r>
            <a:rPr lang="en-US" sz="1200" b="1" baseline="0">
              <a:solidFill>
                <a:sysClr val="windowText" lastClr="000000"/>
              </a:solidFill>
              <a:latin typeface="Georgia" panose="02040502050405020303" pitchFamily="18" charset="0"/>
            </a:rPr>
            <a:t>Summary</a:t>
          </a:r>
          <a:endParaRPr lang="en-US" sz="1200" b="1">
            <a:solidFill>
              <a:sysClr val="windowText" lastClr="00000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6</xdr:col>
      <xdr:colOff>202975</xdr:colOff>
      <xdr:row>16</xdr:row>
      <xdr:rowOff>52915</xdr:rowOff>
    </xdr:from>
    <xdr:to>
      <xdr:col>7</xdr:col>
      <xdr:colOff>455084</xdr:colOff>
      <xdr:row>17</xdr:row>
      <xdr:rowOff>52916</xdr:rowOff>
    </xdr:to>
    <xdr:sp macro="" textlink="">
      <xdr:nvSpPr>
        <xdr:cNvPr id="86" name="TextBox 85"/>
        <xdr:cNvSpPr txBox="1"/>
      </xdr:nvSpPr>
      <xdr:spPr>
        <a:xfrm>
          <a:off x="5801558" y="3439582"/>
          <a:ext cx="1172859" cy="2116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ysClr val="windowText" lastClr="000000"/>
              </a:solidFill>
              <a:latin typeface="Kulim Park"/>
            </a:rPr>
            <a:t>Actual</a:t>
          </a:r>
          <a:r>
            <a:rPr lang="en-US" sz="900" b="1" baseline="0">
              <a:solidFill>
                <a:sysClr val="windowText" lastClr="000000"/>
              </a:solidFill>
              <a:latin typeface="Kulim Park"/>
            </a:rPr>
            <a:t> Expenses </a:t>
          </a:r>
          <a:endParaRPr lang="en-US" sz="900" b="1">
            <a:solidFill>
              <a:sysClr val="windowText" lastClr="000000"/>
            </a:solidFill>
            <a:latin typeface="Kulim Park"/>
          </a:endParaRPr>
        </a:p>
      </xdr:txBody>
    </xdr:sp>
    <xdr:clientData/>
  </xdr:twoCellAnchor>
  <xdr:twoCellAnchor>
    <xdr:from>
      <xdr:col>6</xdr:col>
      <xdr:colOff>127000</xdr:colOff>
      <xdr:row>17</xdr:row>
      <xdr:rowOff>46568</xdr:rowOff>
    </xdr:from>
    <xdr:to>
      <xdr:col>9</xdr:col>
      <xdr:colOff>1037168</xdr:colOff>
      <xdr:row>25</xdr:row>
      <xdr:rowOff>10583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359833</xdr:colOff>
      <xdr:row>14</xdr:row>
      <xdr:rowOff>180250</xdr:rowOff>
    </xdr:from>
    <xdr:to>
      <xdr:col>14</xdr:col>
      <xdr:colOff>84667</xdr:colOff>
      <xdr:row>16</xdr:row>
      <xdr:rowOff>42334</xdr:rowOff>
    </xdr:to>
    <xdr:sp macro="" textlink="">
      <xdr:nvSpPr>
        <xdr:cNvPr id="88" name="TextBox 87"/>
        <xdr:cNvSpPr txBox="1"/>
      </xdr:nvSpPr>
      <xdr:spPr>
        <a:xfrm>
          <a:off x="8890000" y="3143583"/>
          <a:ext cx="1841500" cy="285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baseline="0">
              <a:solidFill>
                <a:srgbClr val="B48900"/>
              </a:solidFill>
              <a:latin typeface="Georgia" panose="02040502050405020303" pitchFamily="18" charset="0"/>
            </a:rPr>
            <a:t>Bill </a:t>
          </a:r>
          <a:r>
            <a:rPr lang="en-US" sz="1200" b="1" baseline="0">
              <a:solidFill>
                <a:sysClr val="windowText" lastClr="000000"/>
              </a:solidFill>
              <a:latin typeface="Georgia" panose="02040502050405020303" pitchFamily="18" charset="0"/>
            </a:rPr>
            <a:t>summary</a:t>
          </a:r>
          <a:endParaRPr lang="en-US" sz="1200" b="1">
            <a:solidFill>
              <a:sysClr val="windowText" lastClr="00000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10</xdr:col>
      <xdr:colOff>351279</xdr:colOff>
      <xdr:row>15</xdr:row>
      <xdr:rowOff>179917</xdr:rowOff>
    </xdr:from>
    <xdr:to>
      <xdr:col>13</xdr:col>
      <xdr:colOff>158750</xdr:colOff>
      <xdr:row>16</xdr:row>
      <xdr:rowOff>179917</xdr:rowOff>
    </xdr:to>
    <xdr:sp macro="" textlink="">
      <xdr:nvSpPr>
        <xdr:cNvPr id="89" name="TextBox 88"/>
        <xdr:cNvSpPr txBox="1"/>
      </xdr:nvSpPr>
      <xdr:spPr>
        <a:xfrm>
          <a:off x="8881446" y="3354917"/>
          <a:ext cx="1310304" cy="2116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tx1"/>
              </a:solidFill>
              <a:latin typeface="Kulim Park"/>
            </a:rPr>
            <a:t>Actual</a:t>
          </a:r>
          <a:r>
            <a:rPr lang="en-US" sz="900" b="1" baseline="0">
              <a:solidFill>
                <a:schemeClr val="tx1"/>
              </a:solidFill>
              <a:latin typeface="Kulim Park"/>
            </a:rPr>
            <a:t> Bill payments</a:t>
          </a:r>
          <a:endParaRPr lang="en-US" sz="900" b="1">
            <a:solidFill>
              <a:sysClr val="windowText" lastClr="000000"/>
            </a:solidFill>
            <a:latin typeface="Kulim Park"/>
          </a:endParaRPr>
        </a:p>
      </xdr:txBody>
    </xdr:sp>
    <xdr:clientData/>
  </xdr:twoCellAnchor>
  <xdr:twoCellAnchor>
    <xdr:from>
      <xdr:col>10</xdr:col>
      <xdr:colOff>222251</xdr:colOff>
      <xdr:row>17</xdr:row>
      <xdr:rowOff>10584</xdr:rowOff>
    </xdr:from>
    <xdr:to>
      <xdr:col>15</xdr:col>
      <xdr:colOff>264583</xdr:colOff>
      <xdr:row>25</xdr:row>
      <xdr:rowOff>169333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254000</xdr:colOff>
      <xdr:row>26</xdr:row>
      <xdr:rowOff>131564</xdr:rowOff>
    </xdr:from>
    <xdr:to>
      <xdr:col>15</xdr:col>
      <xdr:colOff>301900</xdr:colOff>
      <xdr:row>38</xdr:row>
      <xdr:rowOff>63500</xdr:rowOff>
    </xdr:to>
    <xdr:sp macro="" textlink="">
      <xdr:nvSpPr>
        <xdr:cNvPr id="90" name="Rounded Rectangle 89"/>
        <xdr:cNvSpPr/>
      </xdr:nvSpPr>
      <xdr:spPr>
        <a:xfrm>
          <a:off x="5069417" y="5634897"/>
          <a:ext cx="6588400" cy="247193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srgbClr val="014D4E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444500</xdr:colOff>
      <xdr:row>26</xdr:row>
      <xdr:rowOff>137583</xdr:rowOff>
    </xdr:from>
    <xdr:to>
      <xdr:col>8</xdr:col>
      <xdr:colOff>139890</xdr:colOff>
      <xdr:row>27</xdr:row>
      <xdr:rowOff>131231</xdr:rowOff>
    </xdr:to>
    <xdr:sp macro="" textlink="">
      <xdr:nvSpPr>
        <xdr:cNvPr id="100" name="TextBox 99"/>
        <xdr:cNvSpPr txBox="1"/>
      </xdr:nvSpPr>
      <xdr:spPr>
        <a:xfrm>
          <a:off x="5259917" y="5640916"/>
          <a:ext cx="2023723" cy="20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Georgia" panose="02040502050405020303" pitchFamily="18" charset="0"/>
            </a:rPr>
            <a:t>Actual</a:t>
          </a:r>
          <a:r>
            <a:rPr lang="en-US" sz="1200" b="1" baseline="0">
              <a:solidFill>
                <a:schemeClr val="tx1"/>
              </a:solidFill>
              <a:latin typeface="Georgia" panose="02040502050405020303" pitchFamily="18" charset="0"/>
            </a:rPr>
            <a:t> vs Budget</a:t>
          </a:r>
          <a:endParaRPr lang="en-US" sz="1200" b="1">
            <a:solidFill>
              <a:schemeClr val="tx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5</xdr:col>
      <xdr:colOff>414781</xdr:colOff>
      <xdr:row>27</xdr:row>
      <xdr:rowOff>137583</xdr:rowOff>
    </xdr:from>
    <xdr:to>
      <xdr:col>7</xdr:col>
      <xdr:colOff>455085</xdr:colOff>
      <xdr:row>28</xdr:row>
      <xdr:rowOff>127000</xdr:rowOff>
    </xdr:to>
    <xdr:sp macro="" textlink="">
      <xdr:nvSpPr>
        <xdr:cNvPr id="101" name="TextBox 100"/>
        <xdr:cNvSpPr txBox="1"/>
      </xdr:nvSpPr>
      <xdr:spPr>
        <a:xfrm>
          <a:off x="5230198" y="5852583"/>
          <a:ext cx="1744220" cy="20108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tx1"/>
              </a:solidFill>
              <a:latin typeface="Kulim Park"/>
            </a:rPr>
            <a:t>Actual</a:t>
          </a:r>
          <a:r>
            <a:rPr lang="en-US" sz="900" b="1" baseline="0">
              <a:solidFill>
                <a:schemeClr val="tx1"/>
              </a:solidFill>
              <a:latin typeface="Kulim Park"/>
            </a:rPr>
            <a:t> and budget expenses</a:t>
          </a:r>
          <a:endParaRPr lang="en-US" sz="900" b="1">
            <a:solidFill>
              <a:schemeClr val="tx1"/>
            </a:solidFill>
            <a:latin typeface="Kulim Park"/>
          </a:endParaRPr>
        </a:p>
      </xdr:txBody>
    </xdr:sp>
    <xdr:clientData/>
  </xdr:twoCellAnchor>
  <xdr:twoCellAnchor>
    <xdr:from>
      <xdr:col>5</xdr:col>
      <xdr:colOff>275166</xdr:colOff>
      <xdr:row>28</xdr:row>
      <xdr:rowOff>31750</xdr:rowOff>
    </xdr:from>
    <xdr:to>
      <xdr:col>15</xdr:col>
      <xdr:colOff>285752</xdr:colOff>
      <xdr:row>38</xdr:row>
      <xdr:rowOff>52917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469761</xdr:colOff>
      <xdr:row>26</xdr:row>
      <xdr:rowOff>31750</xdr:rowOff>
    </xdr:from>
    <xdr:to>
      <xdr:col>5</xdr:col>
      <xdr:colOff>74083</xdr:colOff>
      <xdr:row>37</xdr:row>
      <xdr:rowOff>206732</xdr:rowOff>
    </xdr:to>
    <xdr:sp macro="" textlink="">
      <xdr:nvSpPr>
        <xdr:cNvPr id="102" name="Rounded Rectangle 101"/>
        <xdr:cNvSpPr/>
      </xdr:nvSpPr>
      <xdr:spPr>
        <a:xfrm>
          <a:off x="2258344" y="5535083"/>
          <a:ext cx="2631156" cy="250331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srgbClr val="014D4E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554428</xdr:colOff>
      <xdr:row>26</xdr:row>
      <xdr:rowOff>52917</xdr:rowOff>
    </xdr:from>
    <xdr:to>
      <xdr:col>4</xdr:col>
      <xdr:colOff>397984</xdr:colOff>
      <xdr:row>27</xdr:row>
      <xdr:rowOff>126668</xdr:rowOff>
    </xdr:to>
    <xdr:sp macro="" textlink="">
      <xdr:nvSpPr>
        <xdr:cNvPr id="104" name="TextBox 103"/>
        <xdr:cNvSpPr txBox="1"/>
      </xdr:nvSpPr>
      <xdr:spPr>
        <a:xfrm>
          <a:off x="2343011" y="5556250"/>
          <a:ext cx="2023723" cy="285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baseline="0">
              <a:solidFill>
                <a:schemeClr val="tx1"/>
              </a:solidFill>
              <a:latin typeface="Georgia" panose="02040502050405020303" pitchFamily="18" charset="0"/>
            </a:rPr>
            <a:t>Income Sources</a:t>
          </a:r>
          <a:endParaRPr lang="en-US" sz="1200" b="1">
            <a:solidFill>
              <a:schemeClr val="tx1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2</xdr:col>
      <xdr:colOff>567041</xdr:colOff>
      <xdr:row>27</xdr:row>
      <xdr:rowOff>126999</xdr:rowOff>
    </xdr:from>
    <xdr:to>
      <xdr:col>3</xdr:col>
      <xdr:colOff>1239650</xdr:colOff>
      <xdr:row>28</xdr:row>
      <xdr:rowOff>147834</xdr:rowOff>
    </xdr:to>
    <xdr:sp macro="" textlink="">
      <xdr:nvSpPr>
        <xdr:cNvPr id="105" name="TextBox 104"/>
        <xdr:cNvSpPr txBox="1"/>
      </xdr:nvSpPr>
      <xdr:spPr>
        <a:xfrm>
          <a:off x="2355624" y="5841999"/>
          <a:ext cx="1540443" cy="23250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tx1"/>
              </a:solidFill>
              <a:latin typeface="Kulim Park"/>
            </a:rPr>
            <a:t>Budget</a:t>
          </a:r>
          <a:r>
            <a:rPr lang="en-US" sz="900" b="1" baseline="0">
              <a:solidFill>
                <a:schemeClr val="tx1"/>
              </a:solidFill>
              <a:latin typeface="Kulim Park"/>
            </a:rPr>
            <a:t> Vs Actual </a:t>
          </a:r>
          <a:endParaRPr lang="en-US" sz="900" b="1">
            <a:solidFill>
              <a:schemeClr val="tx1"/>
            </a:solidFill>
            <a:latin typeface="Kulim Park"/>
          </a:endParaRPr>
        </a:p>
      </xdr:txBody>
    </xdr:sp>
    <xdr:clientData/>
  </xdr:twoCellAnchor>
  <xdr:twoCellAnchor>
    <xdr:from>
      <xdr:col>2</xdr:col>
      <xdr:colOff>476249</xdr:colOff>
      <xdr:row>28</xdr:row>
      <xdr:rowOff>137584</xdr:rowOff>
    </xdr:from>
    <xdr:to>
      <xdr:col>5</xdr:col>
      <xdr:colOff>74082</xdr:colOff>
      <xdr:row>38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</xdr:colOff>
      <xdr:row>4</xdr:row>
      <xdr:rowOff>116415</xdr:rowOff>
    </xdr:from>
    <xdr:to>
      <xdr:col>2</xdr:col>
      <xdr:colOff>137585</xdr:colOff>
      <xdr:row>7</xdr:row>
      <xdr:rowOff>31750</xdr:rowOff>
    </xdr:to>
    <xdr:grpSp>
      <xdr:nvGrpSpPr>
        <xdr:cNvPr id="106" name="Group 105"/>
        <xdr:cNvGrpSpPr/>
      </xdr:nvGrpSpPr>
      <xdr:grpSpPr>
        <a:xfrm>
          <a:off x="169334" y="963082"/>
          <a:ext cx="1756834" cy="550335"/>
          <a:chOff x="169332" y="331402"/>
          <a:chExt cx="2346983" cy="652849"/>
        </a:xfrm>
      </xdr:grpSpPr>
      <xdr:sp macro="" textlink="">
        <xdr:nvSpPr>
          <xdr:cNvPr id="107" name="TextBox 106"/>
          <xdr:cNvSpPr txBox="1"/>
        </xdr:nvSpPr>
        <xdr:spPr>
          <a:xfrm>
            <a:off x="176084" y="331402"/>
            <a:ext cx="1676000" cy="30783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6"/>
          </a:fontRef>
        </xdr:style>
        <xdr:txBody>
          <a:bodyPr vertOverflow="clip" horzOverflow="clip" wrap="square" rtlCol="0" anchor="t"/>
          <a:lstStyle/>
          <a:p>
            <a:r>
              <a:rPr lang="en-US" sz="1400" i="0" baseline="0">
                <a:solidFill>
                  <a:srgbClr val="B48900"/>
                </a:solidFill>
                <a:latin typeface="Georgia" panose="02040502050405020303" pitchFamily="18" charset="0"/>
              </a:rPr>
              <a:t>Month:</a:t>
            </a:r>
            <a:endParaRPr lang="en-US" sz="1400" i="0">
              <a:solidFill>
                <a:srgbClr val="B48900"/>
              </a:solidFill>
              <a:latin typeface="Georgia" panose="02040502050405020303" pitchFamily="18" charset="0"/>
            </a:endParaRPr>
          </a:p>
        </xdr:txBody>
      </xdr:sp>
      <xdr:sp macro="" textlink="">
        <xdr:nvSpPr>
          <xdr:cNvPr id="108" name="TextBox 107"/>
          <xdr:cNvSpPr txBox="1"/>
        </xdr:nvSpPr>
        <xdr:spPr>
          <a:xfrm>
            <a:off x="169332" y="628651"/>
            <a:ext cx="2346983" cy="35560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6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chemeClr val="bg1"/>
                </a:solidFill>
                <a:latin typeface="Georgia" panose="02040502050405020303" pitchFamily="18" charset="0"/>
              </a:rPr>
              <a:t>OCTOBER</a:t>
            </a:r>
          </a:p>
        </xdr:txBody>
      </xdr:sp>
    </xdr:grpSp>
    <xdr:clientData/>
  </xdr:twoCellAnchor>
  <xdr:twoCellAnchor>
    <xdr:from>
      <xdr:col>3</xdr:col>
      <xdr:colOff>656166</xdr:colOff>
      <xdr:row>0</xdr:row>
      <xdr:rowOff>74083</xdr:rowOff>
    </xdr:from>
    <xdr:to>
      <xdr:col>3</xdr:col>
      <xdr:colOff>666750</xdr:colOff>
      <xdr:row>3</xdr:row>
      <xdr:rowOff>21167</xdr:rowOff>
    </xdr:to>
    <xdr:cxnSp macro="">
      <xdr:nvCxnSpPr>
        <xdr:cNvPr id="27" name="Straight Connector 26"/>
        <xdr:cNvCxnSpPr/>
      </xdr:nvCxnSpPr>
      <xdr:spPr>
        <a:xfrm flipH="1">
          <a:off x="3312583" y="74083"/>
          <a:ext cx="10584" cy="582084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4" name="Table4" displayName="Table4" ref="B44:D50" totalsRowCount="1" headerRowDxfId="69" totalsRowDxfId="67" tableBorderDxfId="68">
  <autoFilter ref="B44:D49">
    <filterColumn colId="0" hiddenButton="1"/>
    <filterColumn colId="1" hiddenButton="1"/>
    <filterColumn colId="2" hiddenButton="1"/>
  </autoFilter>
  <tableColumns count="3">
    <tableColumn id="1" name="Name" totalsRowLabel="Rest" dataDxfId="66" totalsRowDxfId="65"/>
    <tableColumn id="2" name="Budget" totalsRowFunction="custom" totalsRowDxfId="8" dataCellStyle="Currency">
      <totalsRowFormula>C46-(C47+C48+C49)</totalsRowFormula>
    </tableColumn>
    <tableColumn id="3" name="Actual" totalsRowFunction="custom" totalsRowDxfId="7" dataCellStyle="Currency">
      <totalsRowFormula>D46-(D47+D48+D49)</totalsRow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F44:H49" totalsRowCount="1" headerRowDxfId="64" totalsRowDxfId="61" headerRowBorderDxfId="63" tableBorderDxfId="62" totalsRowBorderDxfId="60">
  <autoFilter ref="F44:H48">
    <filterColumn colId="0" hiddenButton="1"/>
    <filterColumn colId="1" hiddenButton="1"/>
    <filterColumn colId="2" hiddenButton="1"/>
  </autoFilter>
  <tableColumns count="3">
    <tableColumn id="1" name="Name" totalsRowLabel="Total" totalsRowDxfId="59"/>
    <tableColumn id="2" name="Budget" totalsRowFunction="sum" totalsRowDxfId="58"/>
    <tableColumn id="3" name="Actual" totalsRowFunction="sum" totalsRowDxfId="57">
      <calculatedColumnFormula>SUMIF(Table13[Sub-category],Table5[[#This Row],[Name]],Table13[Amount])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J44:L52" totalsRowCount="1" headerRowDxfId="56" totalsRowDxfId="53" headerRowBorderDxfId="55" tableBorderDxfId="54" totalsRowBorderDxfId="52">
  <autoFilter ref="J44:L51">
    <filterColumn colId="0" hiddenButton="1"/>
    <filterColumn colId="1" hiddenButton="1"/>
    <filterColumn colId="2" hiddenButton="1"/>
  </autoFilter>
  <tableColumns count="3">
    <tableColumn id="1" name="Name" totalsRowLabel="Total" dataDxfId="51" totalsRowDxfId="6"/>
    <tableColumn id="2" name="Budget" totalsRowFunction="sum" dataDxfId="50" totalsRowDxfId="5"/>
    <tableColumn id="3" name="Actual" totalsRowFunction="sum" dataDxfId="49" totalsRowDxfId="4">
      <calculatedColumnFormula>SUMIF($D$63:$D$82,Table6[[#This Row],[Name]],Table13[Amount])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N44:P49" totalsRowCount="1" headerRowDxfId="48" totalsRowDxfId="45" headerRowBorderDxfId="47" tableBorderDxfId="46" totalsRowBorderDxfId="44">
  <autoFilter ref="N44:P48">
    <filterColumn colId="0" hiddenButton="1"/>
    <filterColumn colId="1" hiddenButton="1"/>
    <filterColumn colId="2" hiddenButton="1"/>
  </autoFilter>
  <tableColumns count="3">
    <tableColumn id="1" name="Name" totalsRowLabel="Total" dataDxfId="43" totalsRowDxfId="42"/>
    <tableColumn id="2" name="Budget" totalsRowFunction="sum" dataDxfId="41" totalsRowDxfId="40"/>
    <tableColumn id="3" name="Actual" totalsRowFunction="sum" dataDxfId="39" totalsRowDxfId="38">
      <calculatedColumnFormula>SUMIF(Table13[Sub-category],Table8[[#This Row],[Name]],Table13[Amount])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R44:V50" totalsRowCount="1" headerRowDxfId="37" dataDxfId="35" totalsRowDxfId="33" headerRowBorderDxfId="36" tableBorderDxfId="34" totalsRowBorderDxfId="32">
  <autoFilter ref="R44:V4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ame" totalsRowLabel="Total" dataDxfId="31" totalsRowDxfId="30"/>
    <tableColumn id="2" name="Date" dataDxfId="29" totalsRowDxfId="28"/>
    <tableColumn id="3" name="Budget" totalsRowFunction="sum" dataDxfId="27" totalsRowDxfId="26"/>
    <tableColumn id="4" name="Actual" totalsRowFunction="sum" dataDxfId="25" totalsRowDxfId="24">
      <calculatedColumnFormula>SUMIF(Table13[Sub-category],Table10[[#This Row],[Name]],Table13[Amount])</calculatedColumnFormula>
    </tableColumn>
    <tableColumn id="5" name="Status" dataDxfId="23" totalsRowDxfId="22">
      <calculatedColumnFormula>IF(AND(U45=0,T45=0)," ",
   IF(AND(T45&gt;0,U45=0),"Not Paid",
      IF(U45&gt;0,"Paid","")
   )
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B62:G83" totalsRowCount="1" headerRowDxfId="21" dataDxfId="20" totalsRowDxfId="18" tableBorderDxfId="19" totalsRowBorderDxfId="17">
  <autoFilter ref="B62:G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ate" totalsRowLabel="Total" totalsRowDxfId="16"/>
    <tableColumn id="2" name="Category" dataDxfId="15" totalsRowDxfId="14"/>
    <tableColumn id="3" name="Sub-category" dataDxfId="13" totalsRowDxfId="12"/>
    <tableColumn id="4" name="Column1" totalsRowDxfId="11">
      <calculatedColumnFormula>IF(F63&lt;&gt;0,"$"," ")</calculatedColumnFormula>
    </tableColumn>
    <tableColumn id="5" name="Amount" totalsRowDxfId="10"/>
    <tableColumn id="6" name="Comment" totalsRowFunction="count" totalsRow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0:Z123"/>
  <sheetViews>
    <sheetView showGridLines="0" tabSelected="1" topLeftCell="A27" zoomScale="90" zoomScaleNormal="90" workbookViewId="0">
      <selection activeCell="R38" sqref="R38"/>
    </sheetView>
  </sheetViews>
  <sheetFormatPr defaultRowHeight="16.5" customHeight="1"/>
  <cols>
    <col min="1" max="1" width="2.5703125" style="1" customWidth="1"/>
    <col min="2" max="2" width="24.28515625" style="1" customWidth="1"/>
    <col min="3" max="3" width="13" style="1" customWidth="1"/>
    <col min="4" max="4" width="19.7109375" style="1" customWidth="1"/>
    <col min="5" max="5" width="12.7109375" style="1" customWidth="1"/>
    <col min="6" max="6" width="11.7109375" style="1" customWidth="1"/>
    <col min="7" max="7" width="13.85546875" style="1" customWidth="1"/>
    <col min="8" max="8" width="9.28515625" style="1" customWidth="1"/>
    <col min="9" max="9" width="2.5703125" style="1" customWidth="1"/>
    <col min="10" max="10" width="18.28515625" style="1" customWidth="1"/>
    <col min="11" max="11" width="10.5703125" style="1" customWidth="1"/>
    <col min="12" max="12" width="9.28515625" style="1" customWidth="1"/>
    <col min="13" max="13" width="2.5703125" style="1" customWidth="1"/>
    <col min="14" max="14" width="9.140625" style="1"/>
    <col min="15" max="15" width="10.5703125" style="1" customWidth="1"/>
    <col min="16" max="16" width="9.28515625" style="1" customWidth="1"/>
    <col min="17" max="17" width="2.5703125" style="1" customWidth="1"/>
    <col min="18" max="18" width="10.5703125" style="1" customWidth="1"/>
    <col min="19" max="19" width="9.140625" style="1"/>
    <col min="20" max="20" width="10.5703125" style="1" customWidth="1"/>
    <col min="21" max="21" width="9.28515625" style="1" customWidth="1"/>
    <col min="22" max="22" width="9.5703125" style="1" customWidth="1"/>
    <col min="23" max="16384" width="9.140625" style="1"/>
  </cols>
  <sheetData>
    <row r="40" spans="2:26" ht="16.5" customHeight="1">
      <c r="B40" s="47" t="s">
        <v>0</v>
      </c>
      <c r="C40" s="47"/>
      <c r="D40" s="47"/>
    </row>
    <row r="41" spans="2:26" ht="16.5" customHeight="1">
      <c r="B41" s="47"/>
      <c r="C41" s="47"/>
      <c r="D41" s="47"/>
    </row>
    <row r="42" spans="2:26" ht="16.5" customHeight="1">
      <c r="B42" s="2"/>
      <c r="C42" s="2"/>
      <c r="D42" s="2"/>
      <c r="U42" s="1" t="s">
        <v>51</v>
      </c>
      <c r="V42" s="1">
        <f>COUNTIF(Table10[Status],"Paid")</f>
        <v>5</v>
      </c>
    </row>
    <row r="43" spans="2:26" ht="16.5" customHeight="1">
      <c r="B43" s="45" t="s">
        <v>1</v>
      </c>
      <c r="C43" s="45"/>
      <c r="D43" s="45"/>
      <c r="F43" s="45" t="s">
        <v>11</v>
      </c>
      <c r="G43" s="45"/>
      <c r="H43" s="45"/>
      <c r="J43" s="44" t="s">
        <v>16</v>
      </c>
      <c r="K43" s="44"/>
      <c r="L43" s="44"/>
      <c r="N43" s="45" t="s">
        <v>37</v>
      </c>
      <c r="O43" s="45"/>
      <c r="P43" s="45"/>
      <c r="R43" s="46" t="s">
        <v>35</v>
      </c>
      <c r="S43" s="46"/>
      <c r="U43" s="1" t="s">
        <v>52</v>
      </c>
      <c r="V43" s="1">
        <f>COUNTIF(Table10[Status],"Not Paid")</f>
        <v>0</v>
      </c>
    </row>
    <row r="44" spans="2:26" ht="16.5" customHeight="1">
      <c r="B44" s="11" t="s">
        <v>2</v>
      </c>
      <c r="C44" s="11" t="s">
        <v>3</v>
      </c>
      <c r="D44" s="11" t="s">
        <v>4</v>
      </c>
      <c r="F44" s="18" t="s">
        <v>2</v>
      </c>
      <c r="G44" s="19" t="s">
        <v>3</v>
      </c>
      <c r="H44" s="20" t="s">
        <v>4</v>
      </c>
      <c r="J44" s="18" t="s">
        <v>2</v>
      </c>
      <c r="K44" s="19" t="s">
        <v>3</v>
      </c>
      <c r="L44" s="20" t="s">
        <v>4</v>
      </c>
      <c r="N44" s="18" t="s">
        <v>2</v>
      </c>
      <c r="O44" s="19" t="s">
        <v>3</v>
      </c>
      <c r="P44" s="20" t="s">
        <v>4</v>
      </c>
      <c r="R44" s="26" t="s">
        <v>2</v>
      </c>
      <c r="S44" s="27" t="s">
        <v>28</v>
      </c>
      <c r="T44" s="27" t="s">
        <v>3</v>
      </c>
      <c r="U44" s="27" t="s">
        <v>4</v>
      </c>
      <c r="V44" s="28" t="s">
        <v>29</v>
      </c>
    </row>
    <row r="45" spans="2:26" s="8" customFormat="1" ht="16.5" customHeight="1">
      <c r="B45" s="3" t="s">
        <v>5</v>
      </c>
      <c r="C45" s="4"/>
      <c r="D45" s="4"/>
      <c r="F45" s="21" t="s">
        <v>12</v>
      </c>
      <c r="G45" s="16">
        <v>2000</v>
      </c>
      <c r="H45" s="36">
        <f>SUMIF(Table13[Sub-category],Table5[[#This Row],[Name]],Table13[Amount])</f>
        <v>1960</v>
      </c>
      <c r="J45" s="21" t="s">
        <v>17</v>
      </c>
      <c r="K45" s="16">
        <v>150</v>
      </c>
      <c r="L45" s="36">
        <v>97.9</v>
      </c>
      <c r="N45" s="21" t="s">
        <v>24</v>
      </c>
      <c r="O45" s="16">
        <v>300</v>
      </c>
      <c r="P45" s="36">
        <f>SUMIF(Table13[Sub-category],Table8[[#This Row],[Name]],Table13[Amount])</f>
        <v>100</v>
      </c>
      <c r="R45" s="22" t="s">
        <v>14</v>
      </c>
      <c r="S45" s="38">
        <v>6</v>
      </c>
      <c r="T45" s="16">
        <v>500</v>
      </c>
      <c r="U45" s="37">
        <f>SUMIF(Table13[Sub-category],Table10[[#This Row],[Name]],Table13[Amount])</f>
        <v>612</v>
      </c>
      <c r="V45" s="36" t="str">
        <f t="shared" ref="V45:V49" si="0">IF(AND(U45=0,T45=0)," ",
   IF(AND(T45&gt;0,U45=0),"Not Paid",
      IF(U45&gt;0,"Paid","")
   )
)</f>
        <v>Paid</v>
      </c>
    </row>
    <row r="46" spans="2:26" s="8" customFormat="1" ht="16.5" customHeight="1">
      <c r="B46" s="5" t="s">
        <v>6</v>
      </c>
      <c r="C46" s="49">
        <f>Table5[[#Totals],[Budget]]</f>
        <v>3000</v>
      </c>
      <c r="D46" s="49">
        <f>Table5[[#Totals],[Actual]]</f>
        <v>2782</v>
      </c>
      <c r="F46" s="21" t="s">
        <v>13</v>
      </c>
      <c r="G46" s="16">
        <v>200</v>
      </c>
      <c r="H46" s="36">
        <f>SUMIF(Table13[Sub-category],Table5[[#This Row],[Name]],Table13[Amount])</f>
        <v>210</v>
      </c>
      <c r="J46" s="21" t="s">
        <v>18</v>
      </c>
      <c r="K46" s="16">
        <v>80</v>
      </c>
      <c r="L46" s="36">
        <f>SUMIF($D$63:$D$82,Table6[[#This Row],[Name]],Table13[Amount])</f>
        <v>0</v>
      </c>
      <c r="N46" s="21" t="s">
        <v>27</v>
      </c>
      <c r="O46" s="16">
        <v>200</v>
      </c>
      <c r="P46" s="36">
        <f>SUMIF(Table13[Sub-category],Table8[[#This Row],[Name]],Table13[Amount])</f>
        <v>0</v>
      </c>
      <c r="R46" s="22" t="s">
        <v>30</v>
      </c>
      <c r="S46" s="38">
        <v>5</v>
      </c>
      <c r="T46" s="16">
        <v>200</v>
      </c>
      <c r="U46" s="37">
        <f>SUMIF(Table13[Sub-category],Table10[[#This Row],[Name]],Table13[Amount])</f>
        <v>30</v>
      </c>
      <c r="V46" s="36" t="str">
        <f t="shared" si="0"/>
        <v>Paid</v>
      </c>
      <c r="Z46" s="41" t="s">
        <v>47</v>
      </c>
    </row>
    <row r="47" spans="2:26" s="8" customFormat="1" ht="16.5" customHeight="1">
      <c r="B47" s="5" t="s">
        <v>7</v>
      </c>
      <c r="C47" s="49">
        <f>Table6[[#Totals],[Budget]]</f>
        <v>448</v>
      </c>
      <c r="D47" s="49">
        <f>Table6[[#Totals],[Actual]]</f>
        <v>507.11</v>
      </c>
      <c r="F47" s="21" t="s">
        <v>14</v>
      </c>
      <c r="G47" s="16">
        <v>600</v>
      </c>
      <c r="H47" s="36">
        <f>SUMIF(Table13[Sub-category],Table5[[#This Row],[Name]],Table13[Amount])</f>
        <v>612</v>
      </c>
      <c r="J47" s="21" t="s">
        <v>19</v>
      </c>
      <c r="K47" s="16">
        <v>30</v>
      </c>
      <c r="L47" s="36">
        <f>SUMIF($D$63:$D$82,Table6[[#This Row],[Name]],Table13[Amount])</f>
        <v>0</v>
      </c>
      <c r="N47" s="21" t="s">
        <v>25</v>
      </c>
      <c r="O47" s="16">
        <v>200</v>
      </c>
      <c r="P47" s="36">
        <f>SUMIF(Table13[Sub-category],Table8[[#This Row],[Name]],Table13[Amount])</f>
        <v>100</v>
      </c>
      <c r="R47" s="22" t="s">
        <v>31</v>
      </c>
      <c r="S47" s="38">
        <v>5</v>
      </c>
      <c r="T47" s="16">
        <v>200</v>
      </c>
      <c r="U47" s="37">
        <v>32.700000000000003</v>
      </c>
      <c r="V47" s="36" t="str">
        <f t="shared" si="0"/>
        <v>Paid</v>
      </c>
    </row>
    <row r="48" spans="2:26" s="8" customFormat="1" ht="16.5" customHeight="1">
      <c r="B48" s="5" t="s">
        <v>8</v>
      </c>
      <c r="C48" s="49">
        <f>Table10[[#Totals],[Budget]]</f>
        <v>1300</v>
      </c>
      <c r="D48" s="49">
        <f>Table10[[#Totals],[Actual]]</f>
        <v>1087.56</v>
      </c>
      <c r="F48" s="21" t="s">
        <v>15</v>
      </c>
      <c r="G48" s="16">
        <v>200</v>
      </c>
      <c r="H48" s="36">
        <f>SUMIF(Table13[Sub-category],Table5[[#This Row],[Name]],Table13[Amount])</f>
        <v>0</v>
      </c>
      <c r="J48" s="21" t="s">
        <v>20</v>
      </c>
      <c r="K48" s="16">
        <v>100</v>
      </c>
      <c r="L48" s="36">
        <f>SUMIF($D$63:$D$82,Table6[[#This Row],[Name]],Table13[Amount])</f>
        <v>338.23</v>
      </c>
      <c r="N48" s="21" t="s">
        <v>26</v>
      </c>
      <c r="O48" s="16">
        <v>200</v>
      </c>
      <c r="P48" s="36">
        <f>SUMIF(Table13[Sub-category],Table8[[#This Row],[Name]],Table13[Amount])</f>
        <v>0</v>
      </c>
      <c r="R48" s="22" t="s">
        <v>32</v>
      </c>
      <c r="S48" s="38">
        <v>5</v>
      </c>
      <c r="T48" s="16">
        <v>200</v>
      </c>
      <c r="U48" s="37">
        <f>SUMIF(Table13[Sub-category],Table10[[#This Row],[Name]],Table13[Amount])</f>
        <v>300</v>
      </c>
      <c r="V48" s="36" t="str">
        <f t="shared" si="0"/>
        <v>Paid</v>
      </c>
    </row>
    <row r="49" spans="2:25" s="8" customFormat="1" ht="16.5" customHeight="1">
      <c r="B49" s="9" t="s">
        <v>9</v>
      </c>
      <c r="C49" s="50">
        <f>Table8[[#Totals],[Budget]]</f>
        <v>900</v>
      </c>
      <c r="D49" s="50">
        <f>Table8[[#Totals],[Actual]]</f>
        <v>200</v>
      </c>
      <c r="F49" s="23" t="s">
        <v>34</v>
      </c>
      <c r="G49" s="24">
        <f>SUBTOTAL(109,Table5[Budget])</f>
        <v>3000</v>
      </c>
      <c r="H49" s="24">
        <f>SUBTOTAL(109,Table5[Actual])</f>
        <v>2782</v>
      </c>
      <c r="J49" s="21" t="s">
        <v>21</v>
      </c>
      <c r="K49" s="16">
        <v>18</v>
      </c>
      <c r="L49" s="36">
        <f>SUMIF($D$63:$D$82,Table6[[#This Row],[Name]],Table13[Amount])</f>
        <v>70.97999999999999</v>
      </c>
      <c r="N49" s="23" t="s">
        <v>34</v>
      </c>
      <c r="O49" s="24">
        <f>SUBTOTAL(109,Table8[Budget])</f>
        <v>900</v>
      </c>
      <c r="P49" s="25">
        <f>SUBTOTAL(109,Table8[Actual])</f>
        <v>200</v>
      </c>
      <c r="R49" s="22" t="s">
        <v>33</v>
      </c>
      <c r="S49" s="38">
        <v>15</v>
      </c>
      <c r="T49" s="16">
        <v>200</v>
      </c>
      <c r="U49" s="37">
        <f>SUMIF(Table13[Sub-category],Table10[[#This Row],[Name]],Table13[Amount])</f>
        <v>112.86</v>
      </c>
      <c r="V49" s="36" t="str">
        <f t="shared" si="0"/>
        <v>Paid</v>
      </c>
    </row>
    <row r="50" spans="2:25" s="8" customFormat="1" ht="16.5" customHeight="1">
      <c r="B50" s="8" t="s">
        <v>50</v>
      </c>
      <c r="C50" s="51">
        <f>C46-(C47+C48+C49)</f>
        <v>352</v>
      </c>
      <c r="D50" s="51">
        <f>D46-(D47+D48+D49)</f>
        <v>987.32999999999993</v>
      </c>
      <c r="J50" s="22" t="s">
        <v>22</v>
      </c>
      <c r="K50" s="16">
        <v>50</v>
      </c>
      <c r="L50" s="36">
        <f>SUMIF($D$63:$D$82,Table6[[#This Row],[Name]],Table13[Amount])</f>
        <v>0</v>
      </c>
      <c r="N50" s="1"/>
      <c r="O50" s="1"/>
      <c r="P50" s="1"/>
      <c r="R50" s="29" t="s">
        <v>34</v>
      </c>
      <c r="S50" s="24"/>
      <c r="T50" s="24">
        <f>SUBTOTAL(109,Table10[Budget])</f>
        <v>1300</v>
      </c>
      <c r="U50" s="24">
        <f>SUBTOTAL(109,Table10[Actual])</f>
        <v>1087.56</v>
      </c>
      <c r="V50" s="25"/>
    </row>
    <row r="51" spans="2:25" s="8" customFormat="1" ht="16.5" customHeight="1">
      <c r="C51" s="42"/>
      <c r="D51" s="43"/>
      <c r="F51" s="15"/>
      <c r="G51" s="15"/>
      <c r="H51" s="15"/>
      <c r="J51" s="22" t="s">
        <v>23</v>
      </c>
      <c r="K51" s="16">
        <v>20</v>
      </c>
      <c r="L51" s="36">
        <f>SUMIF($D$63:$D$82,Table6[[#This Row],[Name]],Table13[Amount])</f>
        <v>0</v>
      </c>
      <c r="N51" s="1"/>
      <c r="O51" s="1"/>
      <c r="P51" s="1"/>
      <c r="R51" s="1"/>
      <c r="S51" s="1"/>
      <c r="T51" s="1"/>
      <c r="U51" s="1"/>
      <c r="V51" s="1"/>
      <c r="Y51" s="41" t="s">
        <v>47</v>
      </c>
    </row>
    <row r="52" spans="2:25" s="8" customFormat="1" ht="16.5" customHeight="1">
      <c r="B52" s="6"/>
      <c r="C52" s="6"/>
      <c r="G52" s="6"/>
      <c r="H52" s="6"/>
      <c r="J52" s="23" t="s">
        <v>34</v>
      </c>
      <c r="K52" s="24">
        <f>SUBTOTAL(109,Table6[Budget])</f>
        <v>448</v>
      </c>
      <c r="L52" s="25">
        <f>SUBTOTAL(109,Table6[Actual])</f>
        <v>507.11</v>
      </c>
      <c r="N52" s="1"/>
      <c r="O52" s="1"/>
      <c r="P52" s="1"/>
      <c r="R52" s="1"/>
      <c r="S52" s="1"/>
      <c r="T52" s="1"/>
      <c r="U52" s="1"/>
      <c r="V52" s="1"/>
    </row>
    <row r="53" spans="2:25" s="8" customFormat="1" ht="16.5" customHeight="1">
      <c r="B53" s="48" t="s">
        <v>49</v>
      </c>
      <c r="C53" s="45"/>
      <c r="D53" s="45"/>
      <c r="G53" s="6"/>
      <c r="J53" s="1"/>
      <c r="K53" s="1"/>
      <c r="L53" s="1"/>
      <c r="N53" s="1"/>
      <c r="O53" s="1"/>
      <c r="P53" s="1"/>
      <c r="R53" s="1"/>
      <c r="S53" s="1"/>
      <c r="T53" s="1"/>
      <c r="U53" s="1"/>
      <c r="V53" s="1"/>
    </row>
    <row r="54" spans="2:25" s="8" customFormat="1" ht="16.5" customHeight="1">
      <c r="B54" s="11" t="s">
        <v>2</v>
      </c>
      <c r="C54" s="11" t="s">
        <v>3</v>
      </c>
      <c r="D54" s="11" t="s">
        <v>4</v>
      </c>
      <c r="F54" s="5"/>
      <c r="G54" s="6"/>
      <c r="H54" s="6"/>
      <c r="J54" s="1"/>
      <c r="K54" s="1"/>
      <c r="L54" s="1"/>
      <c r="N54" s="1"/>
      <c r="O54" s="1"/>
      <c r="P54" s="1"/>
      <c r="R54" s="1"/>
      <c r="S54" s="1"/>
      <c r="T54" s="1"/>
      <c r="U54" s="1"/>
      <c r="V54" s="1"/>
      <c r="X54" s="6"/>
    </row>
    <row r="55" spans="2:25" s="8" customFormat="1" ht="16.5" customHeight="1">
      <c r="B55" s="3" t="s">
        <v>48</v>
      </c>
      <c r="C55" s="39">
        <f>C49/C46</f>
        <v>0.3</v>
      </c>
      <c r="D55" s="39">
        <f>D49/D46</f>
        <v>7.1890726096333568E-2</v>
      </c>
      <c r="H55" s="6"/>
      <c r="J55" s="1"/>
      <c r="K55" s="1"/>
      <c r="L55" s="1"/>
      <c r="N55" s="1"/>
      <c r="O55" s="1"/>
      <c r="P55" s="1"/>
      <c r="R55" s="1"/>
      <c r="S55" s="1"/>
      <c r="T55" s="1"/>
      <c r="U55" s="1"/>
      <c r="V55" s="1"/>
    </row>
    <row r="56" spans="2:25" s="8" customFormat="1" ht="16.5" customHeight="1">
      <c r="B56" s="40" t="str">
        <f>INDEX(Table6[Name], MATCH(LARGE(Table6[Budget],1), Table6[Budget], 0))</f>
        <v>Housing</v>
      </c>
      <c r="C56" s="6">
        <f>LARGE(Table6[Budget],1)</f>
        <v>150</v>
      </c>
      <c r="D56" s="6">
        <f>LARGE(Table6[Actual],1)</f>
        <v>338.23</v>
      </c>
      <c r="H56" s="6"/>
      <c r="J56" s="1"/>
      <c r="K56" s="1"/>
      <c r="L56" s="1"/>
      <c r="M56" s="12"/>
      <c r="N56" s="1"/>
      <c r="O56" s="1"/>
      <c r="P56" s="1"/>
      <c r="Q56" s="12"/>
      <c r="R56" s="1"/>
      <c r="S56" s="1"/>
      <c r="T56" s="1"/>
      <c r="U56" s="1"/>
      <c r="V56" s="1"/>
    </row>
    <row r="57" spans="2:25" s="8" customFormat="1" ht="16.5" customHeight="1">
      <c r="B57" s="40" t="str">
        <f>INDEX(Table6[Name], MATCH(LARGE(Table6[Budget],2), Table6[Budget], 0))</f>
        <v>Personal care</v>
      </c>
      <c r="C57" s="6">
        <f>LARGE(Table6[Budget],2)</f>
        <v>100</v>
      </c>
      <c r="D57" s="6">
        <f>LARGE(Table6[Actual],2)</f>
        <v>97.9</v>
      </c>
      <c r="H57" s="6"/>
      <c r="J57" s="1"/>
      <c r="K57" s="1"/>
      <c r="L57" s="1"/>
      <c r="M57" s="12"/>
      <c r="N57" s="1"/>
      <c r="O57" s="1"/>
      <c r="P57" s="1"/>
      <c r="Q57" s="12"/>
      <c r="R57" s="1"/>
      <c r="S57" s="1"/>
      <c r="T57" s="1"/>
      <c r="U57" s="1"/>
      <c r="V57" s="1"/>
    </row>
    <row r="58" spans="2:25" s="8" customFormat="1" ht="16.5" customHeight="1">
      <c r="B58" s="40" t="str">
        <f>INDEX(Table6[Name], MATCH(LARGE(Table6[Budget],3), Table6[Budget], 0))</f>
        <v>Food and Gloceries</v>
      </c>
      <c r="C58" s="6">
        <f>LARGE(Table6[Budget],3)</f>
        <v>80</v>
      </c>
      <c r="D58" s="6">
        <f>LARGE(Table6[Actual],3)</f>
        <v>70.97999999999999</v>
      </c>
      <c r="H58" s="6"/>
      <c r="J58" s="1"/>
      <c r="K58" s="1"/>
      <c r="L58" s="1"/>
      <c r="M58" s="12"/>
      <c r="N58" s="1"/>
      <c r="O58" s="1"/>
      <c r="P58" s="1"/>
      <c r="Q58" s="12"/>
      <c r="R58" s="1"/>
      <c r="S58" s="1"/>
      <c r="T58" s="1"/>
      <c r="U58" s="1"/>
      <c r="V58" s="1"/>
    </row>
    <row r="59" spans="2:25" ht="16.5" customHeight="1">
      <c r="C59" s="7"/>
      <c r="G59" s="7"/>
      <c r="H59" s="7"/>
    </row>
    <row r="60" spans="2:25" ht="16.5" customHeight="1">
      <c r="B60" s="47" t="s">
        <v>36</v>
      </c>
      <c r="C60" s="47"/>
      <c r="D60" s="47"/>
    </row>
    <row r="61" spans="2:25" ht="16.5" customHeight="1">
      <c r="B61" s="47"/>
      <c r="C61" s="47"/>
      <c r="D61" s="47"/>
    </row>
    <row r="62" spans="2:25" ht="16.5" customHeight="1">
      <c r="B62" s="30" t="s">
        <v>28</v>
      </c>
      <c r="C62" s="30" t="s">
        <v>38</v>
      </c>
      <c r="D62" s="30" t="s">
        <v>39</v>
      </c>
      <c r="E62" s="13" t="s">
        <v>10</v>
      </c>
      <c r="F62" s="13" t="s">
        <v>40</v>
      </c>
      <c r="G62" s="13" t="s">
        <v>41</v>
      </c>
    </row>
    <row r="63" spans="2:25" ht="16.5" customHeight="1">
      <c r="B63" s="31">
        <v>45993</v>
      </c>
      <c r="C63" s="35" t="s">
        <v>6</v>
      </c>
      <c r="D63" s="35" t="s">
        <v>13</v>
      </c>
      <c r="E63" s="32" t="str">
        <f t="shared" ref="E63:E82" si="1">IF(F63&lt;&gt;0,"$"," ")</f>
        <v>$</v>
      </c>
      <c r="F63" s="33">
        <v>210</v>
      </c>
      <c r="G63" s="17"/>
    </row>
    <row r="64" spans="2:25" ht="16.5" customHeight="1">
      <c r="B64" s="31">
        <v>45996</v>
      </c>
      <c r="C64" s="35" t="s">
        <v>42</v>
      </c>
      <c r="D64" s="35" t="s">
        <v>44</v>
      </c>
      <c r="E64" s="32" t="str">
        <f t="shared" si="1"/>
        <v>$</v>
      </c>
      <c r="F64" s="33">
        <v>50</v>
      </c>
      <c r="G64" s="17"/>
    </row>
    <row r="65" spans="2:7" ht="16.5" customHeight="1">
      <c r="B65" s="31">
        <v>46000</v>
      </c>
      <c r="C65" s="35" t="s">
        <v>8</v>
      </c>
      <c r="D65" s="35" t="s">
        <v>31</v>
      </c>
      <c r="E65" s="32" t="str">
        <f t="shared" si="1"/>
        <v>$</v>
      </c>
      <c r="F65" s="33">
        <v>32.700000000000003</v>
      </c>
      <c r="G65" s="17"/>
    </row>
    <row r="66" spans="2:7" ht="16.5" customHeight="1">
      <c r="B66" s="31">
        <v>45996</v>
      </c>
      <c r="C66" s="35" t="s">
        <v>8</v>
      </c>
      <c r="D66" s="35" t="s">
        <v>30</v>
      </c>
      <c r="E66" s="32" t="str">
        <f t="shared" si="1"/>
        <v>$</v>
      </c>
      <c r="F66" s="33">
        <v>30</v>
      </c>
      <c r="G66" s="17"/>
    </row>
    <row r="67" spans="2:7" ht="16.5" customHeight="1">
      <c r="B67" s="31">
        <v>45998</v>
      </c>
      <c r="C67" s="35" t="s">
        <v>6</v>
      </c>
      <c r="D67" s="35" t="s">
        <v>12</v>
      </c>
      <c r="E67" s="32" t="str">
        <f t="shared" si="1"/>
        <v>$</v>
      </c>
      <c r="F67" s="33">
        <v>1500</v>
      </c>
      <c r="G67" s="17"/>
    </row>
    <row r="68" spans="2:7" ht="16.5" customHeight="1">
      <c r="B68" s="31">
        <v>45999</v>
      </c>
      <c r="C68" s="35" t="s">
        <v>6</v>
      </c>
      <c r="D68" s="35" t="s">
        <v>14</v>
      </c>
      <c r="E68" s="32" t="str">
        <f t="shared" si="1"/>
        <v>$</v>
      </c>
      <c r="F68" s="33">
        <v>580</v>
      </c>
      <c r="G68" s="17"/>
    </row>
    <row r="69" spans="2:7" ht="16.5" customHeight="1">
      <c r="B69" s="31">
        <v>46002</v>
      </c>
      <c r="C69" s="35" t="s">
        <v>42</v>
      </c>
      <c r="D69" s="35" t="s">
        <v>21</v>
      </c>
      <c r="E69" s="32" t="str">
        <f t="shared" si="1"/>
        <v>$</v>
      </c>
      <c r="F69" s="33">
        <v>50.98</v>
      </c>
      <c r="G69" s="17"/>
    </row>
    <row r="70" spans="2:7" ht="16.5" customHeight="1">
      <c r="B70" s="31">
        <v>46004</v>
      </c>
      <c r="C70" s="35" t="s">
        <v>8</v>
      </c>
      <c r="D70" s="35" t="s">
        <v>33</v>
      </c>
      <c r="E70" s="32" t="str">
        <f t="shared" si="1"/>
        <v>$</v>
      </c>
      <c r="F70" s="33">
        <v>12.86</v>
      </c>
      <c r="G70" s="17"/>
    </row>
    <row r="71" spans="2:7" ht="16.5" customHeight="1">
      <c r="B71" s="31">
        <v>45998</v>
      </c>
      <c r="C71" s="35" t="s">
        <v>6</v>
      </c>
      <c r="D71" s="35" t="s">
        <v>12</v>
      </c>
      <c r="E71" s="32" t="str">
        <f t="shared" si="1"/>
        <v>$</v>
      </c>
      <c r="F71" s="33">
        <v>460</v>
      </c>
      <c r="G71" s="17"/>
    </row>
    <row r="72" spans="2:7" ht="16.5" customHeight="1">
      <c r="B72" s="31">
        <v>46000</v>
      </c>
      <c r="C72" s="35" t="s">
        <v>6</v>
      </c>
      <c r="D72" s="35" t="s">
        <v>45</v>
      </c>
      <c r="E72" s="32" t="str">
        <f t="shared" si="1"/>
        <v>$</v>
      </c>
      <c r="F72" s="33">
        <v>210</v>
      </c>
      <c r="G72" s="17"/>
    </row>
    <row r="73" spans="2:7" ht="16.5" customHeight="1">
      <c r="B73" s="31">
        <v>46004</v>
      </c>
      <c r="C73" s="35" t="s">
        <v>42</v>
      </c>
      <c r="D73" s="35" t="s">
        <v>21</v>
      </c>
      <c r="E73" s="32" t="str">
        <f t="shared" si="1"/>
        <v>$</v>
      </c>
      <c r="F73" s="33">
        <v>20</v>
      </c>
      <c r="G73" s="17"/>
    </row>
    <row r="74" spans="2:7" ht="16.5" customHeight="1">
      <c r="B74" s="31">
        <v>45996</v>
      </c>
      <c r="C74" s="35" t="s">
        <v>8</v>
      </c>
      <c r="D74" s="35" t="s">
        <v>32</v>
      </c>
      <c r="E74" s="32" t="str">
        <f t="shared" si="1"/>
        <v>$</v>
      </c>
      <c r="F74" s="33">
        <v>300</v>
      </c>
      <c r="G74" s="17"/>
    </row>
    <row r="75" spans="2:7" ht="16.5" customHeight="1">
      <c r="B75" s="31">
        <v>45998</v>
      </c>
      <c r="C75" s="35" t="s">
        <v>42</v>
      </c>
      <c r="D75" s="35" t="s">
        <v>46</v>
      </c>
      <c r="E75" s="32" t="str">
        <f t="shared" si="1"/>
        <v>$</v>
      </c>
      <c r="F75" s="33">
        <v>38.229999999999997</v>
      </c>
      <c r="G75" s="17"/>
    </row>
    <row r="76" spans="2:7" ht="16.5" customHeight="1">
      <c r="B76" s="31">
        <v>45998</v>
      </c>
      <c r="C76" s="35" t="s">
        <v>6</v>
      </c>
      <c r="D76" s="35" t="s">
        <v>45</v>
      </c>
      <c r="E76" s="32" t="str">
        <f t="shared" si="1"/>
        <v>$</v>
      </c>
      <c r="F76" s="33">
        <v>13.73</v>
      </c>
      <c r="G76" s="17"/>
    </row>
    <row r="77" spans="2:7" ht="16.5" customHeight="1">
      <c r="B77" s="31">
        <v>45998</v>
      </c>
      <c r="C77" s="35" t="s">
        <v>42</v>
      </c>
      <c r="D77" s="35" t="s">
        <v>44</v>
      </c>
      <c r="E77" s="32" t="str">
        <f t="shared" si="1"/>
        <v>$</v>
      </c>
      <c r="F77" s="33">
        <v>97.9</v>
      </c>
      <c r="G77" s="17"/>
    </row>
    <row r="78" spans="2:7" ht="16.5" customHeight="1">
      <c r="B78" s="31">
        <v>46005</v>
      </c>
      <c r="C78" s="35" t="s">
        <v>8</v>
      </c>
      <c r="D78" s="35" t="s">
        <v>14</v>
      </c>
      <c r="E78" s="32" t="str">
        <f t="shared" si="1"/>
        <v>$</v>
      </c>
      <c r="F78" s="33">
        <v>32</v>
      </c>
      <c r="G78" s="17"/>
    </row>
    <row r="79" spans="2:7" ht="16.5" customHeight="1">
      <c r="B79" s="31">
        <v>46005</v>
      </c>
      <c r="C79" s="35" t="s">
        <v>42</v>
      </c>
      <c r="D79" s="35" t="s">
        <v>46</v>
      </c>
      <c r="E79" s="32" t="str">
        <f t="shared" si="1"/>
        <v>$</v>
      </c>
      <c r="F79" s="33">
        <v>300</v>
      </c>
      <c r="G79" s="17"/>
    </row>
    <row r="80" spans="2:7" ht="16.5" customHeight="1">
      <c r="B80" s="31">
        <v>46006</v>
      </c>
      <c r="C80" s="35" t="s">
        <v>9</v>
      </c>
      <c r="D80" s="35" t="s">
        <v>24</v>
      </c>
      <c r="E80" s="32" t="str">
        <f t="shared" si="1"/>
        <v>$</v>
      </c>
      <c r="F80" s="33">
        <v>100</v>
      </c>
      <c r="G80" s="17"/>
    </row>
    <row r="81" spans="2:7" ht="16.5" customHeight="1">
      <c r="B81" s="31">
        <v>46007</v>
      </c>
      <c r="C81" s="35" t="s">
        <v>9</v>
      </c>
      <c r="D81" s="35" t="s">
        <v>25</v>
      </c>
      <c r="E81" s="32" t="str">
        <f t="shared" si="1"/>
        <v>$</v>
      </c>
      <c r="F81" s="33">
        <v>100</v>
      </c>
      <c r="G81" s="17"/>
    </row>
    <row r="82" spans="2:7" ht="16.5" customHeight="1">
      <c r="B82" s="31">
        <v>46008</v>
      </c>
      <c r="C82" s="35" t="s">
        <v>43</v>
      </c>
      <c r="D82" s="35" t="s">
        <v>33</v>
      </c>
      <c r="E82" s="32" t="str">
        <f t="shared" si="1"/>
        <v>$</v>
      </c>
      <c r="F82" s="33">
        <v>100</v>
      </c>
      <c r="G82" s="17"/>
    </row>
    <row r="83" spans="2:7" ht="16.5" customHeight="1">
      <c r="B83" s="10" t="s">
        <v>34</v>
      </c>
      <c r="C83" s="10"/>
      <c r="D83" s="10"/>
      <c r="E83" s="34"/>
      <c r="F83" s="10"/>
      <c r="G83" s="10">
        <f>SUBTOTAL(103,Table13[Comment])</f>
        <v>0</v>
      </c>
    </row>
    <row r="84" spans="2:7" ht="16.5" customHeight="1">
      <c r="E84" s="14"/>
    </row>
    <row r="85" spans="2:7" ht="16.5" customHeight="1">
      <c r="E85" s="14"/>
    </row>
    <row r="86" spans="2:7" ht="16.5" customHeight="1">
      <c r="E86" s="14"/>
    </row>
    <row r="87" spans="2:7" ht="16.5" customHeight="1">
      <c r="E87" s="14"/>
    </row>
    <row r="88" spans="2:7" ht="16.5" customHeight="1">
      <c r="E88" s="14"/>
    </row>
    <row r="89" spans="2:7" ht="16.5" customHeight="1">
      <c r="E89" s="14"/>
    </row>
    <row r="90" spans="2:7" ht="16.5" customHeight="1">
      <c r="E90" s="14"/>
    </row>
    <row r="91" spans="2:7" ht="16.5" customHeight="1">
      <c r="E91" s="14"/>
    </row>
    <row r="92" spans="2:7" ht="16.5" customHeight="1">
      <c r="E92" s="14"/>
    </row>
    <row r="93" spans="2:7" ht="16.5" customHeight="1">
      <c r="E93" s="14"/>
    </row>
    <row r="94" spans="2:7" ht="16.5" customHeight="1">
      <c r="E94" s="14"/>
    </row>
    <row r="95" spans="2:7" ht="16.5" customHeight="1">
      <c r="E95" s="14"/>
    </row>
    <row r="96" spans="2:7" ht="16.5" customHeight="1">
      <c r="E96" s="14"/>
    </row>
    <row r="97" spans="5:5" ht="16.5" customHeight="1">
      <c r="E97" s="14"/>
    </row>
    <row r="98" spans="5:5" ht="16.5" customHeight="1">
      <c r="E98" s="14"/>
    </row>
    <row r="99" spans="5:5" ht="16.5" customHeight="1">
      <c r="E99" s="14"/>
    </row>
    <row r="100" spans="5:5" ht="16.5" customHeight="1">
      <c r="E100" s="14"/>
    </row>
    <row r="101" spans="5:5" ht="16.5" customHeight="1">
      <c r="E101" s="14"/>
    </row>
    <row r="102" spans="5:5" ht="16.5" customHeight="1">
      <c r="E102" s="14"/>
    </row>
    <row r="103" spans="5:5" ht="16.5" customHeight="1">
      <c r="E103" s="14"/>
    </row>
    <row r="104" spans="5:5" ht="16.5" customHeight="1">
      <c r="E104" s="14"/>
    </row>
    <row r="105" spans="5:5" ht="16.5" customHeight="1">
      <c r="E105" s="14"/>
    </row>
    <row r="106" spans="5:5" ht="16.5" customHeight="1">
      <c r="E106" s="14"/>
    </row>
    <row r="107" spans="5:5" ht="16.5" customHeight="1">
      <c r="E107" s="14"/>
    </row>
    <row r="108" spans="5:5" ht="16.5" customHeight="1">
      <c r="E108" s="14"/>
    </row>
    <row r="109" spans="5:5" ht="16.5" customHeight="1">
      <c r="E109" s="14"/>
    </row>
    <row r="110" spans="5:5" ht="16.5" customHeight="1">
      <c r="E110" s="14"/>
    </row>
    <row r="111" spans="5:5" ht="16.5" customHeight="1">
      <c r="E111" s="14"/>
    </row>
    <row r="112" spans="5:5" ht="16.5" customHeight="1">
      <c r="E112" s="14"/>
    </row>
    <row r="113" spans="5:5" ht="16.5" customHeight="1">
      <c r="E113" s="14"/>
    </row>
    <row r="114" spans="5:5" ht="16.5" customHeight="1">
      <c r="E114" s="14"/>
    </row>
    <row r="115" spans="5:5" ht="16.5" customHeight="1">
      <c r="E115" s="14"/>
    </row>
    <row r="116" spans="5:5" ht="16.5" customHeight="1">
      <c r="E116" s="14"/>
    </row>
    <row r="117" spans="5:5" ht="16.5" customHeight="1">
      <c r="E117" s="14"/>
    </row>
    <row r="118" spans="5:5" ht="16.5" customHeight="1">
      <c r="E118" s="14"/>
    </row>
    <row r="119" spans="5:5" ht="16.5" customHeight="1">
      <c r="E119" s="14"/>
    </row>
    <row r="120" spans="5:5" ht="16.5" customHeight="1">
      <c r="E120" s="14"/>
    </row>
    <row r="121" spans="5:5" ht="16.5" customHeight="1">
      <c r="E121" s="14"/>
    </row>
    <row r="122" spans="5:5" ht="16.5" customHeight="1">
      <c r="E122" s="14"/>
    </row>
    <row r="123" spans="5:5" ht="16.5" customHeight="1">
      <c r="E123" s="14"/>
    </row>
  </sheetData>
  <mergeCells count="8">
    <mergeCell ref="J43:L43"/>
    <mergeCell ref="N43:P43"/>
    <mergeCell ref="R43:S43"/>
    <mergeCell ref="B40:D41"/>
    <mergeCell ref="B60:D61"/>
    <mergeCell ref="B53:D53"/>
    <mergeCell ref="B43:D43"/>
    <mergeCell ref="F43:H43"/>
  </mergeCells>
  <conditionalFormatting sqref="C63:C82">
    <cfRule type="expression" dxfId="3" priority="1">
      <formula>C63 = $B$49</formula>
    </cfRule>
    <cfRule type="expression" dxfId="2" priority="2">
      <formula>C63 = $B$48</formula>
    </cfRule>
    <cfRule type="expression" dxfId="1" priority="3">
      <formula>C63=$B$47</formula>
    </cfRule>
    <cfRule type="expression" dxfId="0" priority="4">
      <formula>C63=$B$46</formula>
    </cfRule>
    <cfRule type="expression" priority="5">
      <formula>C63=$B$46</formula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2025-09-11T09:15:05Z</dcterms:created>
  <dcterms:modified xsi:type="dcterms:W3CDTF">2025-09-13T10:12:52Z</dcterms:modified>
</cp:coreProperties>
</file>