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board" sheetId="1" r:id="rId1"/>
  </sheets>
  <definedNames>
    <definedName name="BoardQty">'mateboard'!$I$1</definedName>
    <definedName name="digikey_part_data">'mateboard'!$J$5:$O$73</definedName>
    <definedName name="farnell_part_data">'mateboard'!$P$5:$U$73</definedName>
    <definedName name="global_part_data">'mateboard'!$A$5:$I$73</definedName>
    <definedName name="mouser_part_data">'mateboard'!$V$5:$AA$73</definedName>
    <definedName name="newark_part_data">'mateboard'!$AB$5:$AG$73</definedName>
    <definedName name="rs_part_data">'mateboard'!$AH$5:$AM$73</definedName>
    <definedName name="TotalCost">'mateboard'!$I$2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<sst xmlns="http://schemas.openxmlformats.org/spreadsheetml/2006/main" count="705" uniqueCount="411">
  <si>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</si>
  <si>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</si>
  <si>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</si>
  <si>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</si>
  <si>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</si>
  <si>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</si>
  <si>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</si>
  <si>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</si>
  <si>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</si>
  <si>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</si>
  <si>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R70</t>
  </si>
  <si>
    <t>Resistors_SMD:R_0402</t>
  </si>
  <si>
    <t>DNP 10k</t>
  </si>
  <si>
    <t>R3,R4,R58</t>
  </si>
  <si>
    <t>RC0402FR-071K5L</t>
  </si>
  <si>
    <t>1.5k</t>
  </si>
  <si>
    <t>L4,L5</t>
  </si>
  <si>
    <t>BLM15AG102SN1D</t>
  </si>
  <si>
    <t>R56,R57</t>
  </si>
  <si>
    <t>RC0402FR-07150KL</t>
  </si>
  <si>
    <t>150k</t>
  </si>
  <si>
    <t>C38</t>
  </si>
  <si>
    <t>GRM155R60J105KE19D</t>
  </si>
  <si>
    <t>Capacitors_SMD:C_0402</t>
  </si>
  <si>
    <t>1uF/6.3V</t>
  </si>
  <si>
    <t>AE1</t>
  </si>
  <si>
    <t>2450AT42A100E</t>
  </si>
  <si>
    <t>footprints:2450AT43B100E</t>
  </si>
  <si>
    <t>2.4GHz Antenna</t>
  </si>
  <si>
    <t>L3</t>
  </si>
  <si>
    <t>73L3R10J</t>
  </si>
  <si>
    <t>Resistors_SMD:R_0805</t>
  </si>
  <si>
    <t>0.1ohm 0805</t>
  </si>
  <si>
    <t>X1</t>
  </si>
  <si>
    <t>ASDK2-32.768KHz-LRT</t>
  </si>
  <si>
    <t>Crystals:Crystal_SMD_2520-4pin_2.5x2.0mm</t>
  </si>
  <si>
    <t>NZ2520SB-32.768KHZ-NSA3534C</t>
  </si>
  <si>
    <t>IC4</t>
  </si>
  <si>
    <t>WL1835MODGBMOCR</t>
  </si>
  <si>
    <t>footprints:BeagleBone_Blue-GHI-IC_MOC-100(TI)</t>
  </si>
  <si>
    <t>WL1835MODGBMOCT</t>
  </si>
  <si>
    <t>Q3,Q4</t>
  </si>
  <si>
    <t>MMBT2907ALT1G</t>
  </si>
  <si>
    <t>TO_SOT_Packages_SMD:SOT-23</t>
  </si>
  <si>
    <t>MMBT2907</t>
  </si>
  <si>
    <t>R9,R10,R34,R43</t>
  </si>
  <si>
    <t>RC0402JR-070RL</t>
  </si>
  <si>
    <t>0R</t>
  </si>
  <si>
    <t>U3</t>
  </si>
  <si>
    <t>TL1963A-33DCQR</t>
  </si>
  <si>
    <t>footprints:SOT-223-6</t>
  </si>
  <si>
    <t>R88,R92</t>
  </si>
  <si>
    <t>RC0402FR-0740K2L</t>
  </si>
  <si>
    <t>40.2k</t>
  </si>
  <si>
    <t>R59,R66</t>
  </si>
  <si>
    <t>DNP 1k</t>
  </si>
  <si>
    <t>R85,R89</t>
  </si>
  <si>
    <t>RC0402FR-07499RL</t>
  </si>
  <si>
    <t>499</t>
  </si>
  <si>
    <t>C16-C19</t>
  </si>
  <si>
    <t>GCM1555C1H180JA16D</t>
  </si>
  <si>
    <t>18pF/50V</t>
  </si>
  <si>
    <t>MH1-MH4</t>
  </si>
  <si>
    <t>Mounting_Holes:MountingHole_3.2mm_M3</t>
  </si>
  <si>
    <t>Mounting hole</t>
  </si>
  <si>
    <t>C4,C5,C12,C20,C26-C33,C39</t>
  </si>
  <si>
    <t>GRM155R60J104KA01D</t>
  </si>
  <si>
    <t>100nF/6.3V</t>
  </si>
  <si>
    <t>C13</t>
  </si>
  <si>
    <t>TAJD227M010RNJ</t>
  </si>
  <si>
    <t>Capacitors_Tantalum_SMD:CP_Tantalum_Case-A_EIA-3216-18_Reflow</t>
  </si>
  <si>
    <t>220uF/6.3V</t>
  </si>
  <si>
    <t>J19</t>
  </si>
  <si>
    <t>Measurement_Points:Measurement_Point_Round-SMD-Pad_Small</t>
  </si>
  <si>
    <t>VDD_3V3AUX</t>
  </si>
  <si>
    <t>R2,R78,R83,R84</t>
  </si>
  <si>
    <t>RC0402FR-071KL</t>
  </si>
  <si>
    <t>1k</t>
  </si>
  <si>
    <t>R51</t>
  </si>
  <si>
    <t>DNP 0R</t>
  </si>
  <si>
    <t>J4,J12</t>
  </si>
  <si>
    <t>U.FL-R-SMT-1(10)</t>
  </si>
  <si>
    <t>footprints:BeagleBone_Blue-GHI-CONNECTORS_U.FL-R-SMT-1</t>
  </si>
  <si>
    <t>ANT2</t>
  </si>
  <si>
    <t>R7,R13-R28</t>
  </si>
  <si>
    <t>RC0402FR-07100KL</t>
  </si>
  <si>
    <t>100k</t>
  </si>
  <si>
    <t>U12,U13</t>
  </si>
  <si>
    <t>TLVH431IDBZR</t>
  </si>
  <si>
    <t>TLVH431</t>
  </si>
  <si>
    <t>J2</t>
  </si>
  <si>
    <t>DF40C-70DP-0.4V(51)</t>
  </si>
  <si>
    <t>footprints:DF40C-70DP-0.4V_51_</t>
  </si>
  <si>
    <t>IO2</t>
  </si>
  <si>
    <t>U10,U11</t>
  </si>
  <si>
    <t>TXS0108EPWR</t>
  </si>
  <si>
    <t>Housings_SSOP:TSSOP-20_4.4x6.5mm_Pitch0.65mm</t>
  </si>
  <si>
    <t>TXS0108</t>
  </si>
  <si>
    <t>D1-D3</t>
  </si>
  <si>
    <t>STPS140A</t>
  </si>
  <si>
    <t>Diodes_SMD:D_SMA_Standard</t>
  </si>
  <si>
    <t>U2</t>
  </si>
  <si>
    <t>AP2112K-1.8TRG1</t>
  </si>
  <si>
    <t>TO_SOT_Packages_SMD:TSOT-23-5</t>
  </si>
  <si>
    <t>D4</t>
  </si>
  <si>
    <t>BAT54C</t>
  </si>
  <si>
    <t>U4</t>
  </si>
  <si>
    <t>24LC32AT-I/OT</t>
  </si>
  <si>
    <t>TO_SOT_Packages_SMD:SOT-23-5</t>
  </si>
  <si>
    <t>24LC32AT-I</t>
  </si>
  <si>
    <t>Q1,Q2</t>
  </si>
  <si>
    <t>BSS138W H6327</t>
  </si>
  <si>
    <t>BSS138</t>
  </si>
  <si>
    <t>IC1</t>
  </si>
  <si>
    <t>OSD3358-512M-BAS</t>
  </si>
  <si>
    <t>footprints:OSD3358-BAS-BGA400</t>
  </si>
  <si>
    <t>OSD335x</t>
  </si>
  <si>
    <t>J18</t>
  </si>
  <si>
    <t>VDD_CORE</t>
  </si>
  <si>
    <t>R11,R12</t>
  </si>
  <si>
    <t>0</t>
  </si>
  <si>
    <t>R29</t>
  </si>
  <si>
    <t>RC0402FR-07100RL</t>
  </si>
  <si>
    <t>100</t>
  </si>
  <si>
    <t>R1,R31</t>
  </si>
  <si>
    <t>RC0402FR-071ML</t>
  </si>
  <si>
    <t>1M</t>
  </si>
  <si>
    <t>IC2</t>
  </si>
  <si>
    <t>SN74LVC2G241DCUR</t>
  </si>
  <si>
    <t>Housings_SSOP:VSSOP-8_2.3x2mm_Pitch0.5mm</t>
  </si>
  <si>
    <t>C34-C36</t>
  </si>
  <si>
    <t>GCM1555C1H100JA16D</t>
  </si>
  <si>
    <t>10pF</t>
  </si>
  <si>
    <t>R33</t>
  </si>
  <si>
    <t>0 1%</t>
  </si>
  <si>
    <t>L2</t>
  </si>
  <si>
    <t>LI0805H151R-10</t>
  </si>
  <si>
    <t>150ohm 1000mA</t>
  </si>
  <si>
    <t>J5-J11,J13,J14</t>
  </si>
  <si>
    <t>TEST_1P</t>
  </si>
  <si>
    <t>U9</t>
  </si>
  <si>
    <t>SN74LVC1G07DCKR</t>
  </si>
  <si>
    <t>TO_SOT_Packages_SMD:SOT-353_SC-70-5</t>
  </si>
  <si>
    <t>74LVC1G07DCK</t>
  </si>
  <si>
    <t>C3,C6,C9-C11,C37</t>
  </si>
  <si>
    <t>C1608X5R0J106M080AB</t>
  </si>
  <si>
    <t>Capacitors_SMD:C_0603</t>
  </si>
  <si>
    <t>10uF/6.3V</t>
  </si>
  <si>
    <t>R55,R60-R65,R67-R69,R71-R77,R79-R82</t>
  </si>
  <si>
    <t>RC0402JR-0733RL</t>
  </si>
  <si>
    <t>33</t>
  </si>
  <si>
    <t>R86,R90</t>
  </si>
  <si>
    <t>DNP</t>
  </si>
  <si>
    <t>Y1</t>
  </si>
  <si>
    <t>7A-24.000MAAJ-T</t>
  </si>
  <si>
    <t>Crystals:Crystal_SMD_5032-2pin_5.0x3.2mm</t>
  </si>
  <si>
    <t>24MHz</t>
  </si>
  <si>
    <t>J16</t>
  </si>
  <si>
    <t>VDDS_DDR</t>
  </si>
  <si>
    <t>C1,C2,C7,C8,C21-C24</t>
  </si>
  <si>
    <t>GCM188R70J225KE22D</t>
  </si>
  <si>
    <t>2.2uF/6.3V</t>
  </si>
  <si>
    <t>C40</t>
  </si>
  <si>
    <t>DNP 47uF</t>
  </si>
  <si>
    <t>C25</t>
  </si>
  <si>
    <t>08056D475KAT2A</t>
  </si>
  <si>
    <t>Capacitors_SMD:C_0805</t>
  </si>
  <si>
    <t>4.7uF/6.3V</t>
  </si>
  <si>
    <t>U1</t>
  </si>
  <si>
    <t>AP2112K-3.3TRG1</t>
  </si>
  <si>
    <t>U8</t>
  </si>
  <si>
    <t>SN74LVC1G06DCKR</t>
  </si>
  <si>
    <t>SN74LVC1G06DCK</t>
  </si>
  <si>
    <t>D5-D7</t>
  </si>
  <si>
    <t>LTST-C191TBKT-5A</t>
  </si>
  <si>
    <t>LEDs:LED_0603</t>
  </si>
  <si>
    <t>LTST-C191TBKT</t>
  </si>
  <si>
    <t>IC3</t>
  </si>
  <si>
    <t>SDIN8DE2-4G-I</t>
  </si>
  <si>
    <t>footprints:BeagleBone_Blue-GHI-IC_MICRON_EMMC_153_MODIFICADO</t>
  </si>
  <si>
    <t>NAND_4GB</t>
  </si>
  <si>
    <t>Y2</t>
  </si>
  <si>
    <t>ABS07-32.768KHZ-7-T</t>
  </si>
  <si>
    <t>Crystals:Crystal_SMD_3215-2pin_3.2x1.5mm</t>
  </si>
  <si>
    <t>32.768kHz</t>
  </si>
  <si>
    <t>L1</t>
  </si>
  <si>
    <t>BLM21AG221SN1D</t>
  </si>
  <si>
    <t>R93</t>
  </si>
  <si>
    <t>RC0402FR-074K75L</t>
  </si>
  <si>
    <t>4.75k</t>
  </si>
  <si>
    <t>U5</t>
  </si>
  <si>
    <t>TPS2065CDGNR</t>
  </si>
  <si>
    <t>Housings_SSOP:MSOP-8-1EP_3x3mm_Pitch0.65mm</t>
  </si>
  <si>
    <t>TPS2065CDGN</t>
  </si>
  <si>
    <t>R30</t>
  </si>
  <si>
    <t>RC0402FR-0710KL</t>
  </si>
  <si>
    <t>10k 1%</t>
  </si>
  <si>
    <t>J15</t>
  </si>
  <si>
    <t>VDDS_PLL</t>
  </si>
  <si>
    <t>J17</t>
  </si>
  <si>
    <t>VDD_MPU</t>
  </si>
  <si>
    <t>J3</t>
  </si>
  <si>
    <t>Connectors:GS2</t>
  </si>
  <si>
    <t>GS2</t>
  </si>
  <si>
    <t>R5,R6,R8,R35-R42,R44-R50,R52-R54,R87,R91</t>
  </si>
  <si>
    <t>10k</t>
  </si>
  <si>
    <t>J20</t>
  </si>
  <si>
    <t>VDD_RTC</t>
  </si>
  <si>
    <t>J1</t>
  </si>
  <si>
    <t>IO1</t>
  </si>
  <si>
    <t>R32</t>
  </si>
  <si>
    <t>DNP 1M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</si>
  <si>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</si>
  <si>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</si>
  <si>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</si>
  <si>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</si>
  <si>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</si>
  <si>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</si>
  <si>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</si>
  <si>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</si>
  <si>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</si>
  <si>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311-1.50KLRCT-ND</t>
  </si>
  <si>
    <t>490-1007-1-ND</t>
  </si>
  <si>
    <t>311-150KLRCT-ND</t>
  </si>
  <si>
    <t>490-1320-1-ND</t>
  </si>
  <si>
    <t>712-1007-1-ND</t>
  </si>
  <si>
    <t>73L3R10JCT-ND</t>
  </si>
  <si>
    <t>535-13597-1-ND</t>
  </si>
  <si>
    <t>296-38032-1-ND</t>
  </si>
  <si>
    <t>MMBT2907ALT1GOSCT-ND</t>
  </si>
  <si>
    <t>311-0.0JRCT-ND</t>
  </si>
  <si>
    <t>296-32342-1-ND</t>
  </si>
  <si>
    <t>311-40.2KLRCT-ND</t>
  </si>
  <si>
    <t>311-499LRCT-ND</t>
  </si>
  <si>
    <t>490-12650-1-ND</t>
  </si>
  <si>
    <t>490-6287-1-ND</t>
  </si>
  <si>
    <t>478-3929-1-ND</t>
  </si>
  <si>
    <t>311-1.00KLRCT-ND</t>
  </si>
  <si>
    <t>H11891CT-ND</t>
  </si>
  <si>
    <t>311-100KLRCT-ND</t>
  </si>
  <si>
    <t>296-17974-1-ND</t>
  </si>
  <si>
    <t>H11630CT-ND</t>
  </si>
  <si>
    <t>296-23011-1-ND</t>
  </si>
  <si>
    <t>497-2453-1-ND</t>
  </si>
  <si>
    <t>AP2112K-1.8TRG1DICT-ND</t>
  </si>
  <si>
    <t>24LC32AT-I/OTCT-ND</t>
  </si>
  <si>
    <t>BSS138WH6327XTSA1CT-ND</t>
  </si>
  <si>
    <t>1676-1000-ND</t>
  </si>
  <si>
    <t>311-100LRCT-ND</t>
  </si>
  <si>
    <t>311-1.00MLRCT-ND</t>
  </si>
  <si>
    <t>296-11936-1-ND</t>
  </si>
  <si>
    <t>490-10668-1-ND</t>
  </si>
  <si>
    <t>240-2384-1-ND</t>
  </si>
  <si>
    <t>296-8486-1-ND</t>
  </si>
  <si>
    <t>445-4112-1-ND</t>
  </si>
  <si>
    <t>311-33JRCT-ND</t>
  </si>
  <si>
    <t>887-1090-1-ND</t>
  </si>
  <si>
    <t>490-5316-1-ND</t>
  </si>
  <si>
    <t>478-1416-1-ND</t>
  </si>
  <si>
    <t>AP2112K-3.3TRG1DICT-ND</t>
  </si>
  <si>
    <t>296-8484-1-ND</t>
  </si>
  <si>
    <t>LTST-C191TBKT-5A-ND</t>
  </si>
  <si>
    <t>535-9543-1-ND</t>
  </si>
  <si>
    <t>490-9704-1-ND</t>
  </si>
  <si>
    <t>311-4.75KLCT-ND</t>
  </si>
  <si>
    <t>296-29508-5-ND</t>
  </si>
  <si>
    <t>311-10.0KLRCT-ND</t>
  </si>
  <si>
    <t>Farnell</t>
  </si>
  <si>
    <t>9239251</t>
  </si>
  <si>
    <t>1515759RL</t>
  </si>
  <si>
    <t>9239499</t>
  </si>
  <si>
    <t>1845729</t>
  </si>
  <si>
    <t>2148522</t>
  </si>
  <si>
    <t>2499535</t>
  </si>
  <si>
    <t>1459099</t>
  </si>
  <si>
    <t>9232516</t>
  </si>
  <si>
    <t>2413645</t>
  </si>
  <si>
    <t>2333073</t>
  </si>
  <si>
    <t>9239235</t>
  </si>
  <si>
    <t>1688077</t>
  </si>
  <si>
    <t>9239472</t>
  </si>
  <si>
    <t>2492382</t>
  </si>
  <si>
    <t>1702548</t>
  </si>
  <si>
    <t>9907378</t>
  </si>
  <si>
    <t>2677690</t>
  </si>
  <si>
    <t>1700993</t>
  </si>
  <si>
    <t>9239111</t>
  </si>
  <si>
    <t>9239588</t>
  </si>
  <si>
    <t>2437234</t>
  </si>
  <si>
    <t>2494183</t>
  </si>
  <si>
    <t>2292441</t>
  </si>
  <si>
    <t>1287544</t>
  </si>
  <si>
    <t>2525086</t>
  </si>
  <si>
    <t>9232583</t>
  </si>
  <si>
    <t>1841952</t>
  </si>
  <si>
    <t>2470422</t>
  </si>
  <si>
    <t>1833810</t>
  </si>
  <si>
    <t>2437123</t>
  </si>
  <si>
    <t>1838935</t>
  </si>
  <si>
    <t>1515619</t>
  </si>
  <si>
    <t>1799212</t>
  </si>
  <si>
    <t>2363463</t>
  </si>
  <si>
    <t>Mouser</t>
  </si>
  <si>
    <t>603-RC0402FR-071K5L</t>
  </si>
  <si>
    <t>81-BLM15AG102SN1D</t>
  </si>
  <si>
    <t>603-RC0402FR-07150KL</t>
  </si>
  <si>
    <t>81-GRM155R60J105KE19</t>
  </si>
  <si>
    <t>609-2450AT42A100E</t>
  </si>
  <si>
    <t>774-73L3R10J</t>
  </si>
  <si>
    <t>815-ASDK2-32.7K-LRT</t>
  </si>
  <si>
    <t>595-WL1835MODGBMOCR</t>
  </si>
  <si>
    <t>863-MMBT2907ALT1G</t>
  </si>
  <si>
    <t>603-RC0402JR-070RL</t>
  </si>
  <si>
    <t>595-TL1963A-33DCQR</t>
  </si>
  <si>
    <t>603-RC0402FR-0740K2L</t>
  </si>
  <si>
    <t>603-RC0402FR-07499RL</t>
  </si>
  <si>
    <t>81-GCM1555C1H180JA6D</t>
  </si>
  <si>
    <t>81-GRM155R60J104KA1D</t>
  </si>
  <si>
    <t>581-TAJD227M010R</t>
  </si>
  <si>
    <t>603-RC0402FR-071KL</t>
  </si>
  <si>
    <t>798-U.FL-R-SMT-110</t>
  </si>
  <si>
    <t>603-RC0402FR-07100KL</t>
  </si>
  <si>
    <t>595-TLVH431IDBZR</t>
  </si>
  <si>
    <t>798-DF40C70DP04V51</t>
  </si>
  <si>
    <t>595-TXS0108EPWR</t>
  </si>
  <si>
    <t>511-STPS140A</t>
  </si>
  <si>
    <t>621-AP2112K-1.8TRG1</t>
  </si>
  <si>
    <t>512-BAT54C</t>
  </si>
  <si>
    <t>579-24LC32AT-I/OT</t>
  </si>
  <si>
    <t>726-BSS138WH6327</t>
  </si>
  <si>
    <t>415-OSD3358-512M-BAS</t>
  </si>
  <si>
    <t>603-RC0402FR-07100RL</t>
  </si>
  <si>
    <t>603-RC0402FR-071ML</t>
  </si>
  <si>
    <t>595-SN74LVC2G241DCUR</t>
  </si>
  <si>
    <t>81-GCM1555C1H100JA6D</t>
  </si>
  <si>
    <t>875-LI0805H151R-10</t>
  </si>
  <si>
    <t>595-SN74LVC1G07DCKR</t>
  </si>
  <si>
    <t>810-C1608X5R0J106M</t>
  </si>
  <si>
    <t>603-RC0402JR-0733RL</t>
  </si>
  <si>
    <t>717-7A-24.000MAAJ-T</t>
  </si>
  <si>
    <t>81-GCM188R70J225KE2D</t>
  </si>
  <si>
    <t>581-08056D475K</t>
  </si>
  <si>
    <t>621-AP2112K-3.3TRG1</t>
  </si>
  <si>
    <t>595-SN74LVC1G06DCKR</t>
  </si>
  <si>
    <t>859-LTST-C191TBKT-5A</t>
  </si>
  <si>
    <t>467-SDIN8DE2-4G-I</t>
  </si>
  <si>
    <t>815-ABS07-32.768K7T</t>
  </si>
  <si>
    <t>81-BLM21AG221SN1D</t>
  </si>
  <si>
    <t>603-RC0402FR-074K75L</t>
  </si>
  <si>
    <t>595-TPS2065CDGNR</t>
  </si>
  <si>
    <t>603-RC0402FR-0710KL</t>
  </si>
  <si>
    <t>Newark</t>
  </si>
  <si>
    <t>67R9880</t>
  </si>
  <si>
    <t>73M9022</t>
  </si>
  <si>
    <t>12AC2049</t>
  </si>
  <si>
    <t>13T1188</t>
  </si>
  <si>
    <t>44W4471</t>
  </si>
  <si>
    <t>12AC2373</t>
  </si>
  <si>
    <t>14T0102</t>
  </si>
  <si>
    <t>06X8470</t>
  </si>
  <si>
    <t>88H4785</t>
  </si>
  <si>
    <t>66R1737</t>
  </si>
  <si>
    <t>25R0010</t>
  </si>
  <si>
    <t>66R1490</t>
  </si>
  <si>
    <t>67R9943</t>
  </si>
  <si>
    <t>70K5250</t>
  </si>
  <si>
    <t>67R9877</t>
  </si>
  <si>
    <t>50P8856</t>
  </si>
  <si>
    <t>67R9887</t>
  </si>
  <si>
    <t>54Y8573</t>
  </si>
  <si>
    <t>73M7866</t>
  </si>
  <si>
    <t>26M3621</t>
  </si>
  <si>
    <t>35C0398</t>
  </si>
  <si>
    <t>08P0113</t>
  </si>
  <si>
    <t>67R9888</t>
  </si>
  <si>
    <t>67R9882</t>
  </si>
  <si>
    <t>94T5055</t>
  </si>
  <si>
    <t>55Y9822</t>
  </si>
  <si>
    <t>66W8947</t>
  </si>
  <si>
    <t>76C4075</t>
  </si>
  <si>
    <t>90R7666</t>
  </si>
  <si>
    <t>68R0002</t>
  </si>
  <si>
    <t>84R5657</t>
  </si>
  <si>
    <t>45Y5161</t>
  </si>
  <si>
    <t>84K8400</t>
  </si>
  <si>
    <t>76C4074</t>
  </si>
  <si>
    <t>14N8750</t>
  </si>
  <si>
    <t>73M9130</t>
  </si>
  <si>
    <t>67R9934</t>
  </si>
  <si>
    <t>61T6040</t>
  </si>
  <si>
    <t>67R9884</t>
  </si>
  <si>
    <t>Rs Components</t>
  </si>
  <si>
    <t>724-1251</t>
  </si>
  <si>
    <t>723-5180</t>
  </si>
  <si>
    <t>781-5231</t>
  </si>
  <si>
    <t>618-5804</t>
  </si>
  <si>
    <t>557-981</t>
  </si>
  <si>
    <t>709-4639</t>
  </si>
  <si>
    <t>653-1803</t>
  </si>
  <si>
    <t>828-3506</t>
  </si>
  <si>
    <t>436-7789</t>
  </si>
  <si>
    <t>687-8648</t>
  </si>
  <si>
    <t>618-6194</t>
  </si>
  <si>
    <t>809-6068</t>
  </si>
  <si>
    <t>888-3204</t>
  </si>
  <si>
    <t>741-4434</t>
  </si>
  <si>
    <t>815-1272</t>
  </si>
  <si>
    <t>391-173</t>
  </si>
  <si>
    <t>828-3509</t>
  </si>
  <si>
    <t>662-8691</t>
  </si>
  <si>
    <t>724-1488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</si>
</sst>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402FR-071K5L/311-1.50KLRCT-ND/729466" TargetMode="External"/><Relationship Id="rId2" Type="http://schemas.openxmlformats.org/officeDocument/2006/relationships/hyperlink" Target="http://it.farnell.com/yageo-phycomp/rc0402fr-071k5l/res-film-spesso-1k5-1-0-063w-0402/dp/9239251" TargetMode="External"/><Relationship Id="rId3" Type="http://schemas.openxmlformats.org/officeDocument/2006/relationships/hyperlink" Target="http://www.mouser.com/Search/Refine.aspx?Keyword=RC0402FR-071K5L%20" TargetMode="External"/><Relationship Id="rId4" Type="http://schemas.openxmlformats.org/officeDocument/2006/relationships/hyperlink" Target="http://www.newark.com/yageo/rc0402fr-071k5l/res-thick-film-1k5-1-0-0625w-0402/dp/67R9880" TargetMode="External"/><Relationship Id="rId5" Type="http://schemas.openxmlformats.org/officeDocument/2006/relationships/hyperlink" Target="http://www.digikey.com/product-detail/en/murata-electronics-north-america/BLM15AG102SN1D/490-1007-1-ND/584455" TargetMode="External"/><Relationship Id="rId6" Type="http://schemas.openxmlformats.org/officeDocument/2006/relationships/hyperlink" Target="http://it.farnell.com/murata/blm15ag102sn1d/grano-chip-1ohm-200ma-0402/dp/1515759RL" TargetMode="External"/><Relationship Id="rId7" Type="http://schemas.openxmlformats.org/officeDocument/2006/relationships/hyperlink" Target="http://www.mouser.com/Search/Refine.aspx?Keyword=BLM15AG102SN1D%20" TargetMode="External"/><Relationship Id="rId8" Type="http://schemas.openxmlformats.org/officeDocument/2006/relationships/hyperlink" Target="http://www.newark.com/webapp/wcs/stores/servlet/Search?catalogId=15003&amp;langId=-1&amp;storeId=10194&amp;gs=true&amp;st=BLM15AG102SN1D%20" TargetMode="External"/><Relationship Id="rId9" Type="http://schemas.openxmlformats.org/officeDocument/2006/relationships/hyperlink" Target="http://it.rs-online.com/web/c/?searchTerm=BLM15AG102SN1D%20" TargetMode="External"/><Relationship Id="rId10" Type="http://schemas.openxmlformats.org/officeDocument/2006/relationships/hyperlink" Target="http://www.digikey.com/product-detail/en/yageo/RC0402FR-07150KL/311-150KLRCT-ND/729489" TargetMode="External"/><Relationship Id="rId11" Type="http://schemas.openxmlformats.org/officeDocument/2006/relationships/hyperlink" Target="http://it.farnell.com/yageo-phycomp/rc0402fr-07150kl/res-film-spesso-150k-1-0-063w/dp/9239499" TargetMode="External"/><Relationship Id="rId12" Type="http://schemas.openxmlformats.org/officeDocument/2006/relationships/hyperlink" Target="http://www.mouser.com/Search/Refine.aspx?Keyword=RC0402FR-07150KL%20" TargetMode="External"/><Relationship Id="rId13" Type="http://schemas.openxmlformats.org/officeDocument/2006/relationships/hyperlink" Target="http://www.newark.com/yageo-phycomp/rc0402fr-07150kl/res-thick-film-150k-1-0-063w-0402/dp/12AC2049" TargetMode="External"/><Relationship Id="rId14" Type="http://schemas.openxmlformats.org/officeDocument/2006/relationships/hyperlink" Target="http://www.digikey.com/product-detail/en/murata-electronics-north-america/GRM155R60J105KE19D/490-1320-1-ND/587919" TargetMode="External"/><Relationship Id="rId15" Type="http://schemas.openxmlformats.org/officeDocument/2006/relationships/hyperlink" Target="http://it.farnell.com/murata/grm155r60j105ke19d/condensatore-mlcc-x5r-1uf-6-3v/dp/1845729" TargetMode="External"/><Relationship Id="rId16" Type="http://schemas.openxmlformats.org/officeDocument/2006/relationships/hyperlink" Target="http://www.mouser.com/Search/Refine.aspx?Keyword=GRM155R60J105KE19D%20" TargetMode="External"/><Relationship Id="rId17" Type="http://schemas.openxmlformats.org/officeDocument/2006/relationships/hyperlink" Target="http://www.newark.com/murata/grm155r60j105ke19d/multilayer-ceramic-capacitor-grm/dp/13T1188" TargetMode="External"/><Relationship Id="rId18" Type="http://schemas.openxmlformats.org/officeDocument/2006/relationships/hyperlink" Target="http://it.rs-online.com/web/c/?searchTerm=GRM155R60J105KE19D%20" TargetMode="External"/><Relationship Id="rId19" Type="http://schemas.openxmlformats.org/officeDocument/2006/relationships/hyperlink" Target="http://www.digikey.com/product-detail/en/johanson-technology-inc/2450AT42A100E/712-1007-1-ND/1560836" TargetMode="External"/><Relationship Id="rId20" Type="http://schemas.openxmlformats.org/officeDocument/2006/relationships/hyperlink" Target="http://it.farnell.com/johanson-technology/2450at42a100e/antenna-2-4ghz/dp/2148522" TargetMode="External"/><Relationship Id="rId21" Type="http://schemas.openxmlformats.org/officeDocument/2006/relationships/hyperlink" Target="http://www.mouser.com/Search/Refine.aspx?Keyword=2450AT42A100E%20" TargetMode="External"/><Relationship Id="rId22" Type="http://schemas.openxmlformats.org/officeDocument/2006/relationships/hyperlink" Target="http://www.newark.com/webapp/wcs/stores/servlet/Search?catalogId=15003&amp;langId=-1&amp;storeId=10194&amp;gs=true&amp;st=2450AT42A100E%20" TargetMode="External"/><Relationship Id="rId23" Type="http://schemas.openxmlformats.org/officeDocument/2006/relationships/hyperlink" Target="http://www.digikey.com/product-detail/en/cts-resistor-products/73L3R10J/73L3R10JCT-ND/1543529" TargetMode="External"/><Relationship Id="rId24" Type="http://schemas.openxmlformats.org/officeDocument/2006/relationships/hyperlink" Target="http://www.mouser.com/Search/Refine.aspx?Keyword=73L3R10J%20" TargetMode="External"/><Relationship Id="rId25" Type="http://schemas.openxmlformats.org/officeDocument/2006/relationships/hyperlink" Target="http://www.newark.com/cgs-te-connectivity/rl73k2ar10jtd/res-thick-film-r1-5-0-125w-0805/dp/12AC2373?rpsku=rel3%3A73L3R10J" TargetMode="External"/><Relationship Id="rId26" Type="http://schemas.openxmlformats.org/officeDocument/2006/relationships/hyperlink" Target="http://www.digikey.com/product-detail/en/abracon-llc/ASDK2-32.768KHZ-LR-T3/535-13597-1-ND/6167595" TargetMode="External"/><Relationship Id="rId27" Type="http://schemas.openxmlformats.org/officeDocument/2006/relationships/hyperlink" Target="http://www.mouser.com/Search/../ProductDetail/ABRACON/ASDK2-32768KHz-LRT/?qs=sGAEpiMZZMt8zWNA7msRCmuZgM9ThnkuCI17Ij2u1VA%3d" TargetMode="External"/><Relationship Id="rId28" Type="http://schemas.openxmlformats.org/officeDocument/2006/relationships/hyperlink" Target="http://www.newark.com/webapp/wcs/stores/servlet/Search?catalogId=15003&amp;langId=-1&amp;storeId=10194&amp;gs=true&amp;st=ASDK2-32.768KHz-LRT%20" TargetMode="External"/><Relationship Id="rId29" Type="http://schemas.openxmlformats.org/officeDocument/2006/relationships/hyperlink" Target="http://www.digikey.com/product-detail/en/texas-instruments/WL1835MODGBMOCR/296-38032-1-ND/4965727" TargetMode="External"/><Relationship Id="rId30" Type="http://schemas.openxmlformats.org/officeDocument/2006/relationships/hyperlink" Target="http://it.farnell.com/webapp/wcs/stores/servlet/Search?catalogId=15001&amp;langId=-4&amp;storeId=10165&amp;gs=true&amp;st=WL1835MODGBMOCR%20" TargetMode="External"/><Relationship Id="rId31" Type="http://schemas.openxmlformats.org/officeDocument/2006/relationships/hyperlink" Target="http://www.mouser.com/Search/../ProductDetail/Texas-Instruments/WL1835MODGBMOCR/?qs=sGAEpiMZZMsRr7brxAGoXU1DVj2LE3AgsIYdMsTAUSXYJgGq%2fs5r3Q%3d%3d" TargetMode="External"/><Relationship Id="rId32" Type="http://schemas.openxmlformats.org/officeDocument/2006/relationships/hyperlink" Target="http://www.newark.com/texas-instruments/wl1835modgbmocr/wilink-wi-fi-2-4ghz-mimo-bt-ble/dp/06X8470" TargetMode="External"/><Relationship Id="rId33" Type="http://schemas.openxmlformats.org/officeDocument/2006/relationships/hyperlink" Target="http://www.digikey.com/product-detail/en/on-semiconductor/MMBT2907ALT1G/MMBT2907ALT1GOSCT-ND/1139812" TargetMode="External"/><Relationship Id="rId34" Type="http://schemas.openxmlformats.org/officeDocument/2006/relationships/hyperlink" Target="http://it.farnell.com/on-semiconductor/mmbt2907alt1g/transistor-bjt-pnp-60v-0-6a-sot/dp/1459099" TargetMode="External"/><Relationship Id="rId35" Type="http://schemas.openxmlformats.org/officeDocument/2006/relationships/hyperlink" Target="http://www.mouser.com/Search/../ProductDetail/ON-Semiconductor/MMBT2907ALT1G/?qs=sGAEpiMZZMshyDBzk1%2fWi%2fPUgtclNldl4S7KB919sxY%3d" TargetMode="External"/><Relationship Id="rId36" Type="http://schemas.openxmlformats.org/officeDocument/2006/relationships/hyperlink" Target="http://www.newark.com/on-semiconductor/mmbt2907alt1g/bipolar-transistor-pnp-60v-sot/dp/88H4785" TargetMode="External"/><Relationship Id="rId37" Type="http://schemas.openxmlformats.org/officeDocument/2006/relationships/hyperlink" Target="http://it.rs-online.com/web/p/transistor-bipolari/7815231/" TargetMode="External"/><Relationship Id="rId38" Type="http://schemas.openxmlformats.org/officeDocument/2006/relationships/hyperlink" Target="http://www.digikey.com/product-detail/en/yageo/RC0402JR-070RL/311-0.0JRCT-ND/729353" TargetMode="External"/><Relationship Id="rId39" Type="http://schemas.openxmlformats.org/officeDocument/2006/relationships/hyperlink" Target="http://it.farnell.com/yageo-phycomp/rc0402jr-070rl/res-film-spesso-0r-5-0-0625w-0402/dp/9232516" TargetMode="External"/><Relationship Id="rId40" Type="http://schemas.openxmlformats.org/officeDocument/2006/relationships/hyperlink" Target="http://www.mouser.com/Search/Refine.aspx?Keyword=RC0402JR-070RL%20" TargetMode="External"/><Relationship Id="rId41" Type="http://schemas.openxmlformats.org/officeDocument/2006/relationships/hyperlink" Target="http://www.newark.com/yageo/rc0402jr-070rl/res-thick-film-0r-0-0625w-0402/dp/66R1737" TargetMode="External"/><Relationship Id="rId42" Type="http://schemas.openxmlformats.org/officeDocument/2006/relationships/hyperlink" Target="http://it.rs-online.com/web/c/?searchTerm=RC0402JR-070RL%20" TargetMode="External"/><Relationship Id="rId43" Type="http://schemas.openxmlformats.org/officeDocument/2006/relationships/hyperlink" Target="http://www.digikey.com/product-detail/en/texas-instruments/TL1963A-33DCQT/296-32342-1-ND/3505532" TargetMode="External"/><Relationship Id="rId44" Type="http://schemas.openxmlformats.org/officeDocument/2006/relationships/hyperlink" Target="http://www.mouser.com/Search/../ProductDetail/Texas-Instruments/TL1963A-33DCQR/?qs=sGAEpiMZZMsGz1a6aV8DcKte8gmH4bJQpAH1%252bjmLg9w%3d" TargetMode="External"/><Relationship Id="rId45" Type="http://schemas.openxmlformats.org/officeDocument/2006/relationships/hyperlink" Target="http://www.newark.com/webapp/wcs/stores/servlet/Search?catalogId=15003&amp;langId=-1&amp;storeId=10194&amp;gs=true&amp;st=TL1963A-33DCQR%20" TargetMode="External"/><Relationship Id="rId46" Type="http://schemas.openxmlformats.org/officeDocument/2006/relationships/hyperlink" Target="http://www.digikey.com/product-detail/en/yageo/RC0402FR-0740K2L/311-40.2KLRCT-ND/729554" TargetMode="External"/><Relationship Id="rId47" Type="http://schemas.openxmlformats.org/officeDocument/2006/relationships/hyperlink" Target="http://www.mouser.com/Search/Refine.aspx?Keyword=RC0402FR-0740K2L%20" TargetMode="External"/><Relationship Id="rId48" Type="http://schemas.openxmlformats.org/officeDocument/2006/relationships/hyperlink" Target="http://www.newark.com/webapp/wcs/stores/servlet/Search?catalogId=15003&amp;langId=-1&amp;storeId=10194&amp;gs=true&amp;st=RC0402FR-0740K2L%20" TargetMode="External"/><Relationship Id="rId49" Type="http://schemas.openxmlformats.org/officeDocument/2006/relationships/hyperlink" Target="http://www.digikey.com/product-detail/en/yageo/RC0402FR-07499RL/311-499LRCT-ND/729570" TargetMode="External"/><Relationship Id="rId50" Type="http://schemas.openxmlformats.org/officeDocument/2006/relationships/hyperlink" Target="http://it.farnell.com/yageo/rc0402fr-07499rl/res-thick-film-499r-1-0-0625w/dp/2413645" TargetMode="External"/><Relationship Id="rId51" Type="http://schemas.openxmlformats.org/officeDocument/2006/relationships/hyperlink" Target="http://www.mouser.com/Search/Refine.aspx?Keyword=RC0402FR-07499RL%20" TargetMode="External"/><Relationship Id="rId52" Type="http://schemas.openxmlformats.org/officeDocument/2006/relationships/hyperlink" Target="http://www.newark.com/yageo/rc0402fr-07499rl/res-thick-film-499r-1-0-0625w/dp/67R9943" TargetMode="External"/><Relationship Id="rId53" Type="http://schemas.openxmlformats.org/officeDocument/2006/relationships/hyperlink" Target="http://www.digikey.com/product-detail/en/murata-electronics-north-america/GCM1555C1H180JA16D/490-12650-1-ND/5797619" TargetMode="External"/><Relationship Id="rId54" Type="http://schemas.openxmlformats.org/officeDocument/2006/relationships/hyperlink" Target="http://www.mouser.com/Search/Refine.aspx?Keyword=GCM1555C1H180JA16D%20" TargetMode="External"/><Relationship Id="rId55" Type="http://schemas.openxmlformats.org/officeDocument/2006/relationships/hyperlink" Target="http://www.digikey.com/product-detail/en/murata-electronics-north-america/GRM155R60J104KA01D/490-6287-1-ND/3845484" TargetMode="External"/><Relationship Id="rId56" Type="http://schemas.openxmlformats.org/officeDocument/2006/relationships/hyperlink" Target="http://www.mouser.com/Search/../ProductDetail/Murata-Electronics/GRM155R60J104KA01D/?qs=sGAEpiMZZMs0AnBnWHyRQJuLogdu9bcTFjHlb8sbdMs%3d" TargetMode="External"/><Relationship Id="rId57" Type="http://schemas.openxmlformats.org/officeDocument/2006/relationships/hyperlink" Target="http://www.digikey.com/product-detail/en/avx-corporation/TAJD227M010RNJ/478-3929-1-ND/1126975" TargetMode="External"/><Relationship Id="rId58" Type="http://schemas.openxmlformats.org/officeDocument/2006/relationships/hyperlink" Target="http://it.farnell.com/avx/tajd227m010rnj/condensatore-tant-220uf-10v-case/dp/2333073" TargetMode="External"/><Relationship Id="rId59" Type="http://schemas.openxmlformats.org/officeDocument/2006/relationships/hyperlink" Target="http://www.mouser.com/Search/../ProductDetail/AVX/TAJD227M010RNJ/?qs=sGAEpiMZZMuEN2agSAc2prc3ISwDBF1QnPxS0LYJSCQ%3d" TargetMode="External"/><Relationship Id="rId60" Type="http://schemas.openxmlformats.org/officeDocument/2006/relationships/hyperlink" Target="http://www.newark.com/avx/tajd227m010rnj/tantalum-capacitor-220uf-10v-0/dp/70K5250" TargetMode="External"/><Relationship Id="rId61" Type="http://schemas.openxmlformats.org/officeDocument/2006/relationships/hyperlink" Target="http://www.digikey.com/product-detail/en/yageo/RC0402FR-071KL/311-1.00KLRCT-ND/729460" TargetMode="External"/><Relationship Id="rId62" Type="http://schemas.openxmlformats.org/officeDocument/2006/relationships/hyperlink" Target="http://it.farnell.com/yageo-phycomp/rc0402fr-071kl/res-film-spesso-1k-1-0-0625w-0402/dp/9239235" TargetMode="External"/><Relationship Id="rId63" Type="http://schemas.openxmlformats.org/officeDocument/2006/relationships/hyperlink" Target="http://www.mouser.com/Search/Refine.aspx?Keyword=RC0402FR-071KL%20" TargetMode="External"/><Relationship Id="rId64" Type="http://schemas.openxmlformats.org/officeDocument/2006/relationships/hyperlink" Target="http://www.newark.com/yageo/rc0402fr-071kl/res-thick-film-1k-1-0-0625w-0402/dp/67R9877" TargetMode="External"/><Relationship Id="rId65" Type="http://schemas.openxmlformats.org/officeDocument/2006/relationships/hyperlink" Target="http://www.digikey.com/product-detail/en/hirose-electric-co-ltd/U.FL-R-SMT-1(10)/H11891CT-ND/2504612" TargetMode="External"/><Relationship Id="rId66" Type="http://schemas.openxmlformats.org/officeDocument/2006/relationships/hyperlink" Target="http://it.farnell.com/webapp/wcs/stores/servlet/Search?catalogId=15001&amp;langId=-4&amp;storeId=10165&amp;gs=true&amp;st=U.FL-R-SMT-1%2810%29%20" TargetMode="External"/><Relationship Id="rId67" Type="http://schemas.openxmlformats.org/officeDocument/2006/relationships/hyperlink" Target="http://www.mouser.com/Search/../ProductDetail/Hirose-Connector/UFL-R-SMT-110/?qs=sGAEpiMZZMuLQf%252bEuFsOrhdtmBBNNYW8WMSIYiXE0aE%3d" TargetMode="External"/><Relationship Id="rId68" Type="http://schemas.openxmlformats.org/officeDocument/2006/relationships/hyperlink" Target="http://www.newark.com/webapp/wcs/stores/servlet/Search?catalogId=15003&amp;langId=-1&amp;storeId=10194&amp;gs=true&amp;st=U.FL-R-SMT-1%2810%29%20" TargetMode="External"/><Relationship Id="rId69" Type="http://schemas.openxmlformats.org/officeDocument/2006/relationships/hyperlink" Target="http://it.rs-online.com/web/c/?searchTerm=U.FL-R-SMT-1%2810%29%20" TargetMode="External"/><Relationship Id="rId70" Type="http://schemas.openxmlformats.org/officeDocument/2006/relationships/hyperlink" Target="http://www.digikey.com/product-detail/en/yageo/RC0402FR-07100KL/311-100KLRCT-ND/729473" TargetMode="External"/><Relationship Id="rId71" Type="http://schemas.openxmlformats.org/officeDocument/2006/relationships/hyperlink" Target="http://it.farnell.com/yageo-phycomp/rc0402fr-07100kl/res-film-spesso-100k-1-0-063w/dp/9239472" TargetMode="External"/><Relationship Id="rId72" Type="http://schemas.openxmlformats.org/officeDocument/2006/relationships/hyperlink" Target="http://www.mouser.com/Search/Refine.aspx?Keyword=RC0402FR-07100KL%20" TargetMode="External"/><Relationship Id="rId73" Type="http://schemas.openxmlformats.org/officeDocument/2006/relationships/hyperlink" Target="http://www.newark.com/yageo/rc0402fr-07100kl/res-thick-film-100k-1-0-0625w/dp/67R9887" TargetMode="External"/><Relationship Id="rId74" Type="http://schemas.openxmlformats.org/officeDocument/2006/relationships/hyperlink" Target="http://www.digikey.com/product-detail/en/texas-instruments/TLVH431IDBZR/296-17974-1-ND/765375" TargetMode="External"/><Relationship Id="rId75" Type="http://schemas.openxmlformats.org/officeDocument/2006/relationships/hyperlink" Target="http://it.farnell.com/texas-instruments/tlvh431idbzr/voltage-ref-shunt-1-24v-18v-sot/dp/2492382" TargetMode="External"/><Relationship Id="rId76" Type="http://schemas.openxmlformats.org/officeDocument/2006/relationships/hyperlink" Target="http://www.mouser.com/Search/../ProductDetail/Texas-Instruments/TLVH431IDBZR/?qs=sGAEpiMZZMuBck1X%252b7j9fKwCDSFP%252b2%252baQ0qoRHbzUXM%3d" TargetMode="External"/><Relationship Id="rId77" Type="http://schemas.openxmlformats.org/officeDocument/2006/relationships/hyperlink" Target="http://www.newark.com/webapp/wcs/stores/servlet/Search?catalogId=15003&amp;langId=-1&amp;storeId=10194&amp;gs=true&amp;st=TLVH431IDBZR%20" TargetMode="External"/><Relationship Id="rId78" Type="http://schemas.openxmlformats.org/officeDocument/2006/relationships/hyperlink" Target="http://www.digikey.com/product-detail/en/hirose-electric-co-ltd/DF40C-70DP-0.4V(51)/H11630CT-ND/1969509" TargetMode="External"/><Relationship Id="rId79" Type="http://schemas.openxmlformats.org/officeDocument/2006/relationships/hyperlink" Target="http://www.mouser.com/Search/Refine.aspx?Keyword=DF40C-70DP-0.4V%2851%29%20" TargetMode="External"/><Relationship Id="rId80" Type="http://schemas.openxmlformats.org/officeDocument/2006/relationships/hyperlink" Target="http://www.digikey.com/product-detail/en/texas-instruments/TXS0108EPWR/296-23011-1-ND/1775304" TargetMode="External"/><Relationship Id="rId81" Type="http://schemas.openxmlformats.org/officeDocument/2006/relationships/hyperlink" Target="http://it.farnell.com/texas-instruments/txs0108epwr/translator-voltage-8bit-20tssop/dp/1702548" TargetMode="External"/><Relationship Id="rId82" Type="http://schemas.openxmlformats.org/officeDocument/2006/relationships/hyperlink" Target="http://www.mouser.com/Search/../ProductDetail/Texas-Instruments/TXS0108EPWR/?qs=sGAEpiMZZMsty6Jaj0%252bBBlq%252bJaztVNCkxh1D9p50Gjs%3d" TargetMode="External"/><Relationship Id="rId83" Type="http://schemas.openxmlformats.org/officeDocument/2006/relationships/hyperlink" Target="http://www.newark.com/texas-instruments/txs0108epwr/no-of-inputs-8/dp/73M7866" TargetMode="External"/><Relationship Id="rId84" Type="http://schemas.openxmlformats.org/officeDocument/2006/relationships/hyperlink" Target="http://it.rs-online.com/web/p/traslatori-di-tensione/7094639/" TargetMode="External"/><Relationship Id="rId85" Type="http://schemas.openxmlformats.org/officeDocument/2006/relationships/hyperlink" Target="http://www.digikey.com/product-detail/en/stmicroelectronics/STPS140A/497-2453-1-ND/603835" TargetMode="External"/><Relationship Id="rId86" Type="http://schemas.openxmlformats.org/officeDocument/2006/relationships/hyperlink" Target="http://it.farnell.com/stmicroelectronics/stps140a/diodo-schottky-1a-40v/dp/9907378" TargetMode="External"/><Relationship Id="rId87" Type="http://schemas.openxmlformats.org/officeDocument/2006/relationships/hyperlink" Target="http://www.mouser.com/Search/../ProductDetail/STMicroelectronics/STPS140A/?qs=sGAEpiMZZMtQ8nqTKtFS%2fD9SVzsgHTKGTZb2bPkYVPU%3d" TargetMode="External"/><Relationship Id="rId88" Type="http://schemas.openxmlformats.org/officeDocument/2006/relationships/hyperlink" Target="http://www.newark.com/stmicroelectronics/stps140a/rectifier-diode-single-40-v-1/dp/26M3621" TargetMode="External"/><Relationship Id="rId89" Type="http://schemas.openxmlformats.org/officeDocument/2006/relationships/hyperlink" Target="http://it.rs-online.com/web/p/diodi-rettificatori-e-schottky/6531803/" TargetMode="External"/><Relationship Id="rId90" Type="http://schemas.openxmlformats.org/officeDocument/2006/relationships/hyperlink" Target="http://www.digikey.com/product-detail/en/diodes-incorporated/AP2112K-1.8TRG1/AP2112K-1.8TRG1DICT-ND/4505256" TargetMode="External"/><Relationship Id="rId91" Type="http://schemas.openxmlformats.org/officeDocument/2006/relationships/hyperlink" Target="http://www.mouser.com/Search/Refine.aspx?Keyword=AP2112K-1.8TRG1%20" TargetMode="External"/><Relationship Id="rId92" Type="http://schemas.openxmlformats.org/officeDocument/2006/relationships/hyperlink" Target="http://it.rs-online.com/web/p/regolatori-di-tensione-low-dropout/8283506/" TargetMode="External"/><Relationship Id="rId93" Type="http://schemas.openxmlformats.org/officeDocument/2006/relationships/hyperlink" Target="http://it.farnell.com/taiwan-semiconductor/bat54c/diodo-schottky-30v-0-2a-sot-23/dp/2677690" TargetMode="External"/><Relationship Id="rId94" Type="http://schemas.openxmlformats.org/officeDocument/2006/relationships/hyperlink" Target="http://www.mouser.com/Search/../ProductDetail/ON-Semiconductor-Fairchild/BAT54C/?qs=sGAEpiMZZMutXGli8Ay4kPAeoBQ4Lh5PuAIKduF42o0%3d" TargetMode="External"/><Relationship Id="rId95" Type="http://schemas.openxmlformats.org/officeDocument/2006/relationships/hyperlink" Target="http://www.newark.com/fairchild-semiconductor/bat54c/schottky-rectifier-common-cathode/dp/35C0398" TargetMode="External"/><Relationship Id="rId96" Type="http://schemas.openxmlformats.org/officeDocument/2006/relationships/hyperlink" Target="http://it.rs-online.com/web/p/diodi-rettificatori-e-schottky/4367789/" TargetMode="External"/><Relationship Id="rId97" Type="http://schemas.openxmlformats.org/officeDocument/2006/relationships/hyperlink" Target="http://www.digikey.com/product-detail/en/microchip-technology/24LC32AT-I-OT/24LC32AT-I-OTCT-ND/2059983" TargetMode="External"/><Relationship Id="rId98" Type="http://schemas.openxmlformats.org/officeDocument/2006/relationships/hyperlink" Target="http://it.farnell.com/microchip/24lc32at-i-ot/eeprom-seriale-32kbit-400khz-sot/dp/1700993" TargetMode="External"/><Relationship Id="rId99" Type="http://schemas.openxmlformats.org/officeDocument/2006/relationships/hyperlink" Target="http://www.mouser.com/Search/Refine.aspx?Keyword=24LC32AT-I%2FOT%20" TargetMode="External"/><Relationship Id="rId100" Type="http://schemas.openxmlformats.org/officeDocument/2006/relationships/hyperlink" Target="http://www.newark.com/microchip/24lc32at-i-ot/serial-eeprom-32kbit-400khz-sot/dp/08P0113" TargetMode="External"/><Relationship Id="rId101" Type="http://schemas.openxmlformats.org/officeDocument/2006/relationships/hyperlink" Target="http://it.rs-online.com/web/p/memorie-eeprom/6878648/" TargetMode="External"/><Relationship Id="rId102" Type="http://schemas.openxmlformats.org/officeDocument/2006/relationships/hyperlink" Target="http://www.digikey.com/product-detail/en/infineon-technologies/BSS138WH6327XTSA1/BSS138WH6327XTSA1CT-ND/5410000" TargetMode="External"/><Relationship Id="rId103" Type="http://schemas.openxmlformats.org/officeDocument/2006/relationships/hyperlink" Target="http://www.mouser.com/Search/../ProductDetail/Infineon-Technologies/BSS138W-H6327/?qs=sGAEpiMZZMshyDBzk1%2fWi04LOYhVn1cd8P9tZHd1354%3d" TargetMode="External"/><Relationship Id="rId104" Type="http://schemas.openxmlformats.org/officeDocument/2006/relationships/hyperlink" Target="http://www.digikey.com/scripts/DkSearch/dksus.dll?WT.z_header=search_go&amp;lang=en&amp;keywords=OSD3358-512M-BAS%20" TargetMode="External"/><Relationship Id="rId105" Type="http://schemas.openxmlformats.org/officeDocument/2006/relationships/hyperlink" Target="http://www.mouser.com/Search/Refine.aspx?Keyword=OSD3358-512M-BAS%20" TargetMode="External"/><Relationship Id="rId106" Type="http://schemas.openxmlformats.org/officeDocument/2006/relationships/hyperlink" Target="http://www.digikey.com/product-detail/en/yageo/RC0402JR-070RL/311-0.0JRCT-ND/729353" TargetMode="External"/><Relationship Id="rId107" Type="http://schemas.openxmlformats.org/officeDocument/2006/relationships/hyperlink" Target="http://it.farnell.com/yageo-phycomp/rc0402jr-070rl/res-film-spesso-0r-5-0-0625w-0402/dp/9232516" TargetMode="External"/><Relationship Id="rId108" Type="http://schemas.openxmlformats.org/officeDocument/2006/relationships/hyperlink" Target="http://www.mouser.com/Search/Refine.aspx?Keyword=RC0402JR-070RL%20" TargetMode="External"/><Relationship Id="rId109" Type="http://schemas.openxmlformats.org/officeDocument/2006/relationships/hyperlink" Target="http://www.newark.com/yageo/rc0402jr-070rl/res-thick-film-0r-0-0625w-0402/dp/66R1737" TargetMode="External"/><Relationship Id="rId110" Type="http://schemas.openxmlformats.org/officeDocument/2006/relationships/hyperlink" Target="http://it.rs-online.com/web/c/?searchTerm=RC0402JR-070RL%20" TargetMode="External"/><Relationship Id="rId111" Type="http://schemas.openxmlformats.org/officeDocument/2006/relationships/hyperlink" Target="http://www.digikey.com/product-detail/en/yageo/RC0402FR-07100RL/311-100LRCT-ND/729474" TargetMode="External"/><Relationship Id="rId112" Type="http://schemas.openxmlformats.org/officeDocument/2006/relationships/hyperlink" Target="http://it.farnell.com/yageo-phycomp/rc0402fr-07100rl/res-film-spesso-100r-1-0-0625w/dp/9239111" TargetMode="External"/><Relationship Id="rId113" Type="http://schemas.openxmlformats.org/officeDocument/2006/relationships/hyperlink" Target="http://www.mouser.com/Search/Refine.aspx?Keyword=RC0402FR-07100RL%20" TargetMode="External"/><Relationship Id="rId114" Type="http://schemas.openxmlformats.org/officeDocument/2006/relationships/hyperlink" Target="http://www.newark.com/yageo/rc0402fr-07100rl/res-thick-film-100r-1-0-0625w/dp/67R9888" TargetMode="External"/><Relationship Id="rId115" Type="http://schemas.openxmlformats.org/officeDocument/2006/relationships/hyperlink" Target="http://www.digikey.com/product-detail/en/yageo/RC0402FR-071ML/311-1.00MLRCT-ND/729462" TargetMode="External"/><Relationship Id="rId116" Type="http://schemas.openxmlformats.org/officeDocument/2006/relationships/hyperlink" Target="http://it.farnell.com/yageo-phycomp/rc0402fr-071ml/res-film-spesso-1m-1-0-063w-0402/dp/9239588" TargetMode="External"/><Relationship Id="rId117" Type="http://schemas.openxmlformats.org/officeDocument/2006/relationships/hyperlink" Target="http://www.mouser.com/Search/Refine.aspx?Keyword=RC0402FR-071ML%20" TargetMode="External"/><Relationship Id="rId118" Type="http://schemas.openxmlformats.org/officeDocument/2006/relationships/hyperlink" Target="http://www.newark.com/yageo/rc0402fr-071ml/res-thick-film-1m-1-0-0625w-0402/dp/67R9882" TargetMode="External"/><Relationship Id="rId119" Type="http://schemas.openxmlformats.org/officeDocument/2006/relationships/hyperlink" Target="http://it.rs-online.com/web/c/?searchTerm=RC0402FR-071ML%20" TargetMode="External"/><Relationship Id="rId120" Type="http://schemas.openxmlformats.org/officeDocument/2006/relationships/hyperlink" Target="http://www.digikey.com/product-detail/en/texas-instruments/SN74LVC2G241DCUR/296-11936-1-ND/389056" TargetMode="External"/><Relationship Id="rId121" Type="http://schemas.openxmlformats.org/officeDocument/2006/relationships/hyperlink" Target="http://it.farnell.com/texas-instruments/sn74lvc2g241dcur/doppio-buffer-driver-con-uscita/dp/2437234" TargetMode="External"/><Relationship Id="rId122" Type="http://schemas.openxmlformats.org/officeDocument/2006/relationships/hyperlink" Target="http://www.mouser.com/Search/../ProductDetail/Texas-Instruments/SN74LVC2G241DCUR/?qs=sGAEpiMZZMuiiWkaIwCK2bK%2fUlbxrrJCmRJP5Tq6cm0%3d" TargetMode="External"/><Relationship Id="rId123" Type="http://schemas.openxmlformats.org/officeDocument/2006/relationships/hyperlink" Target="http://www.newark.com/texas-instruments/sn74lvc2g241dcur/non-inverting-buffer-vssop-8/dp/94T5055" TargetMode="External"/><Relationship Id="rId124" Type="http://schemas.openxmlformats.org/officeDocument/2006/relationships/hyperlink" Target="http://it.rs-online.com/web/c/?searchTerm=SN74LVC2G241DCUR%20" TargetMode="External"/><Relationship Id="rId125" Type="http://schemas.openxmlformats.org/officeDocument/2006/relationships/hyperlink" Target="http://www.digikey.com/product-detail/en/murata-electronics-north-america/GCM1555C1H100JA16D/490-10668-1-ND/5251437" TargetMode="External"/><Relationship Id="rId126" Type="http://schemas.openxmlformats.org/officeDocument/2006/relationships/hyperlink" Target="http://it.farnell.com/murata/gcm1555c1h100ja16d/cond-mlcc-c0g-np0-10pf-50v-0402/dp/2494183" TargetMode="External"/><Relationship Id="rId127" Type="http://schemas.openxmlformats.org/officeDocument/2006/relationships/hyperlink" Target="http://www.mouser.com/Search/Refine.aspx?Keyword=GCM1555C1H100JA16D%20" TargetMode="External"/><Relationship Id="rId128" Type="http://schemas.openxmlformats.org/officeDocument/2006/relationships/hyperlink" Target="http://www.newark.com/webapp/wcs/stores/servlet/Search?catalogId=15003&amp;langId=-1&amp;storeId=10194&amp;gs=true&amp;st=GCM1555C1H100JA16D%20" TargetMode="External"/><Relationship Id="rId129" Type="http://schemas.openxmlformats.org/officeDocument/2006/relationships/hyperlink" Target="http://www.digikey.com/product-detail/en/yageo/RC0402JR-070RL/311-0.0JRCT-ND/729353" TargetMode="External"/><Relationship Id="rId130" Type="http://schemas.openxmlformats.org/officeDocument/2006/relationships/hyperlink" Target="http://it.farnell.com/yageo-phycomp/rc0402jr-070rl/res-film-spesso-0r-5-0-0625w-0402/dp/9232516" TargetMode="External"/><Relationship Id="rId131" Type="http://schemas.openxmlformats.org/officeDocument/2006/relationships/hyperlink" Target="http://www.mouser.com/Search/Refine.aspx?Keyword=RC0402JR-070RL%20" TargetMode="External"/><Relationship Id="rId132" Type="http://schemas.openxmlformats.org/officeDocument/2006/relationships/hyperlink" Target="http://www.newark.com/yageo/rc0402jr-070rl/res-thick-film-0r-0-0625w-0402/dp/66R1737" TargetMode="External"/><Relationship Id="rId133" Type="http://schemas.openxmlformats.org/officeDocument/2006/relationships/hyperlink" Target="http://it.rs-online.com/web/c/?searchTerm=RC0402JR-070RL%20" TargetMode="External"/><Relationship Id="rId134" Type="http://schemas.openxmlformats.org/officeDocument/2006/relationships/hyperlink" Target="http://www.digikey.com/product-detail/en/laird-signal-integrity-products/LI0805H151R-10/240-2384-1-ND/806744" TargetMode="External"/><Relationship Id="rId135" Type="http://schemas.openxmlformats.org/officeDocument/2006/relationships/hyperlink" Target="http://it.farnell.com/laird-technologies/li0805h151r-10/ferrite-bead-2012-100mhz-150r/dp/2292441" TargetMode="External"/><Relationship Id="rId136" Type="http://schemas.openxmlformats.org/officeDocument/2006/relationships/hyperlink" Target="http://www.mouser.com/Search/Refine.aspx?Keyword=LI0805H151R-10%20" TargetMode="External"/><Relationship Id="rId137" Type="http://schemas.openxmlformats.org/officeDocument/2006/relationships/hyperlink" Target="http://www.newark.com/webapp/wcs/stores/servlet/Search?catalogId=15003&amp;langId=-1&amp;storeId=10194&amp;gs=true&amp;st=LI0805H151R-10%20" TargetMode="External"/><Relationship Id="rId138" Type="http://schemas.openxmlformats.org/officeDocument/2006/relationships/hyperlink" Target="http://it.rs-online.com/web/c/?searchTerm=LI0805H151R-10%20" TargetMode="External"/><Relationship Id="rId139" Type="http://schemas.openxmlformats.org/officeDocument/2006/relationships/hyperlink" Target="http://www.digikey.com/product-detail/en/texas-instruments/SN74LVC1G07DCKR/296-8486-1-ND/377456" TargetMode="External"/><Relationship Id="rId140" Type="http://schemas.openxmlformats.org/officeDocument/2006/relationships/hyperlink" Target="http://it.farnell.com/texas-instruments/sn74lvc1g07dckr/buffer-driver-single-smd-sc-70/dp/1287544" TargetMode="External"/><Relationship Id="rId141" Type="http://schemas.openxmlformats.org/officeDocument/2006/relationships/hyperlink" Target="http://www.mouser.com/Search/../ProductDetail/Texas-Instruments/SN74LVC1G07DCKR/?qs=sGAEpiMZZMuiiWkaIwCK2SeqB8b8eM7HKmHJDkLObbQ%3d" TargetMode="External"/><Relationship Id="rId142" Type="http://schemas.openxmlformats.org/officeDocument/2006/relationships/hyperlink" Target="http://www.newark.com/texas-instruments/sn74lvc1g07dckr/non-inverting-buffer-open-drain/dp/76C4075" TargetMode="External"/><Relationship Id="rId143" Type="http://schemas.openxmlformats.org/officeDocument/2006/relationships/hyperlink" Target="http://www.digikey.com/product-detail/en/tdk-corporation/C1608X5R0J106M080AB/445-4112-1-ND/1975462" TargetMode="External"/><Relationship Id="rId144" Type="http://schemas.openxmlformats.org/officeDocument/2006/relationships/hyperlink" Target="http://it.farnell.com/tdk/c1608x5r0j106m080ab/condensatore-mlcc-x5r-10uf-6-3v/dp/2525086" TargetMode="External"/><Relationship Id="rId145" Type="http://schemas.openxmlformats.org/officeDocument/2006/relationships/hyperlink" Target="http://www.mouser.com/Search/Refine.aspx?Keyword=C1608X5R0J106M080AB%20" TargetMode="External"/><Relationship Id="rId146" Type="http://schemas.openxmlformats.org/officeDocument/2006/relationships/hyperlink" Target="http://www.newark.com/tdk/c1608x5r0j106m080ab/ceramic-capacitor-10uf-6-3v-x5r/dp/90R7666" TargetMode="External"/><Relationship Id="rId147" Type="http://schemas.openxmlformats.org/officeDocument/2006/relationships/hyperlink" Target="http://it.rs-online.com/web/p/condensatori-ceramici-multistrato/7414434/" TargetMode="External"/><Relationship Id="rId148" Type="http://schemas.openxmlformats.org/officeDocument/2006/relationships/hyperlink" Target="http://www.digikey.com/product-detail/en/yageo/RC0402JR-0733RL/311-33JRCT-ND/729414" TargetMode="External"/><Relationship Id="rId149" Type="http://schemas.openxmlformats.org/officeDocument/2006/relationships/hyperlink" Target="http://it.farnell.com/yageo-phycomp/rc0402jr-0733rl/res-film-spesso-33r-5-0-063w-0402/dp/9232583" TargetMode="External"/><Relationship Id="rId150" Type="http://schemas.openxmlformats.org/officeDocument/2006/relationships/hyperlink" Target="http://www.mouser.com/Search/../ProductDetail/Yageo/RC0402JR-0733RL/?qs=sGAEpiMZZMu61qfTUdNhG5eFuApKbqVdk0StiZ5I6Bw%3d" TargetMode="External"/><Relationship Id="rId151" Type="http://schemas.openxmlformats.org/officeDocument/2006/relationships/hyperlink" Target="http://www.newark.com/yageo/rc0402jr-0733rl/res-thick-film-33r-5-0-0625w-0402/dp/68R0002" TargetMode="External"/><Relationship Id="rId152" Type="http://schemas.openxmlformats.org/officeDocument/2006/relationships/hyperlink" Target="http://www.digikey.com/product-detail/en/txc-corporation/7A-24.000MAAJ-T/887-1090-1-ND/2118967" TargetMode="External"/><Relationship Id="rId153" Type="http://schemas.openxmlformats.org/officeDocument/2006/relationships/hyperlink" Target="http://it.farnell.com/txc/7a-24-000maaj-t/xtal-24-000mhz-18pf-smd-5-0x3/dp/1841952" TargetMode="External"/><Relationship Id="rId154" Type="http://schemas.openxmlformats.org/officeDocument/2006/relationships/hyperlink" Target="http://www.mouser.com/Search/Refine.aspx?Keyword=7A-24.000MAAJ-T%20" TargetMode="External"/><Relationship Id="rId155" Type="http://schemas.openxmlformats.org/officeDocument/2006/relationships/hyperlink" Target="http://www.newark.com/txc/7a-24-000maaj-t/crystal-24mhz-18pf-5-x-3-2mm/dp/84R5657" TargetMode="External"/><Relationship Id="rId156" Type="http://schemas.openxmlformats.org/officeDocument/2006/relationships/hyperlink" Target="http://www.digikey.com/product-detail/en/murata-electronics-north-america/GCM188R70J225KE22D/490-5316-1-ND/2039095" TargetMode="External"/><Relationship Id="rId157" Type="http://schemas.openxmlformats.org/officeDocument/2006/relationships/hyperlink" Target="http://it.farnell.com/murata/gcm188r70j225ke22d/condensat-mlcc-x7r-2-2uf-6-3v/dp/2470422" TargetMode="External"/><Relationship Id="rId158" Type="http://schemas.openxmlformats.org/officeDocument/2006/relationships/hyperlink" Target="http://www.mouser.com/Search/Refine.aspx?Keyword=GCM188R70J225KE22D%20" TargetMode="External"/><Relationship Id="rId159" Type="http://schemas.openxmlformats.org/officeDocument/2006/relationships/hyperlink" Target="http://www.newark.com/murata/gcm188r70j225ke22d/multilayer-ceramic-capacitor-aec/dp/45Y5161" TargetMode="External"/><Relationship Id="rId160" Type="http://schemas.openxmlformats.org/officeDocument/2006/relationships/hyperlink" Target="http://it.rs-online.com/web/c/?searchTerm=GCM188R70J225KE22D%20" TargetMode="External"/><Relationship Id="rId161" Type="http://schemas.openxmlformats.org/officeDocument/2006/relationships/hyperlink" Target="http://www.digikey.com/product-detail/en/avx-corporation/08056D475KAT2A/478-1416-1-ND/564448" TargetMode="External"/><Relationship Id="rId162" Type="http://schemas.openxmlformats.org/officeDocument/2006/relationships/hyperlink" Target="http://it.farnell.com/avx/08056d475kat2a/condens-mlcc-x5r-4-7uf-6-3v-0805/dp/1833810" TargetMode="External"/><Relationship Id="rId163" Type="http://schemas.openxmlformats.org/officeDocument/2006/relationships/hyperlink" Target="http://www.mouser.com/Search/Refine.aspx?Keyword=08056D475KAT2A%20" TargetMode="External"/><Relationship Id="rId164" Type="http://schemas.openxmlformats.org/officeDocument/2006/relationships/hyperlink" Target="http://www.newark.com/avx/08056d475kat2a/ceramic-capacitor-4-7uf-6-3v-x5r/dp/84K8400" TargetMode="External"/><Relationship Id="rId165" Type="http://schemas.openxmlformats.org/officeDocument/2006/relationships/hyperlink" Target="http://it.rs-online.com/web/p/condensatori-ceramici-multistrato/0391173/" TargetMode="External"/><Relationship Id="rId166" Type="http://schemas.openxmlformats.org/officeDocument/2006/relationships/hyperlink" Target="http://www.digikey.com/product-detail/en/diodes-incorporated/AP2112K-3.3TRG1/AP2112K-3.3TRG1DICT-ND/4505257" TargetMode="External"/><Relationship Id="rId167" Type="http://schemas.openxmlformats.org/officeDocument/2006/relationships/hyperlink" Target="http://www.mouser.com/Search/Refine.aspx?Keyword=AP2112K-3.3TRG1%20" TargetMode="External"/><Relationship Id="rId168" Type="http://schemas.openxmlformats.org/officeDocument/2006/relationships/hyperlink" Target="http://it.rs-online.com/web/p/regolatori-di-tensione-low-dropout/8283509/" TargetMode="External"/><Relationship Id="rId169" Type="http://schemas.openxmlformats.org/officeDocument/2006/relationships/hyperlink" Target="http://www.digikey.com/product-detail/en/texas-instruments/SN74LVC1G06DCKR/296-8484-1-ND/377453" TargetMode="External"/><Relationship Id="rId170" Type="http://schemas.openxmlformats.org/officeDocument/2006/relationships/hyperlink" Target="http://it.farnell.com/texas-instruments/sn74lvc1g06dckr/invertitore-c-open-drain-singolo/dp/2437123" TargetMode="External"/><Relationship Id="rId171" Type="http://schemas.openxmlformats.org/officeDocument/2006/relationships/hyperlink" Target="http://www.mouser.com/Search/../ProductDetail/Texas-Instruments/SN74LVC1G06DCKR/?qs=sGAEpiMZZMuiiWkaIwCK2bK%2fUlbxrrJCFg84cyJKNSc%3d" TargetMode="External"/><Relationship Id="rId172" Type="http://schemas.openxmlformats.org/officeDocument/2006/relationships/hyperlink" Target="http://www.newark.com/texas-instruments/sn74lvc1g06dckr/logic-single-inverter-buff-driver/dp/76C4074" TargetMode="External"/><Relationship Id="rId173" Type="http://schemas.openxmlformats.org/officeDocument/2006/relationships/hyperlink" Target="http://it.rs-online.com/web/p/driver-di-linea-e-buffer/6628691/" TargetMode="External"/><Relationship Id="rId174" Type="http://schemas.openxmlformats.org/officeDocument/2006/relationships/hyperlink" Target="http://www.digikey.com/scripts/DkSearch/dksus.dll?WT.z_header=search_go&amp;lang=en&amp;keywords=LTST-C191TBKT-5A%20" TargetMode="External"/><Relationship Id="rId175" Type="http://schemas.openxmlformats.org/officeDocument/2006/relationships/hyperlink" Target="http://www.mouser.com/Search/Refine.aspx?Keyword=LTST-C191TBKT-5A%20" TargetMode="External"/><Relationship Id="rId176" Type="http://schemas.openxmlformats.org/officeDocument/2006/relationships/hyperlink" Target="http://www.mouser.com/Search/Refine.aspx?Keyword=SDIN8DE2-4G-I%20" TargetMode="External"/><Relationship Id="rId177" Type="http://schemas.openxmlformats.org/officeDocument/2006/relationships/hyperlink" Target="http://www.digikey.com/product-detail/en/abracon-llc/ABS07-32.768KHZ-7-T/535-9543-1-ND/1237010" TargetMode="External"/><Relationship Id="rId178" Type="http://schemas.openxmlformats.org/officeDocument/2006/relationships/hyperlink" Target="http://it.farnell.com/abracon/abs07-32-768khz-7-t/cristallo-32-768khz-7pf-smd/dp/1838935" TargetMode="External"/><Relationship Id="rId179" Type="http://schemas.openxmlformats.org/officeDocument/2006/relationships/hyperlink" Target="http://www.mouser.com/Search/Refine.aspx?Keyword=ABS07-32.768KHZ-7-T%20" TargetMode="External"/><Relationship Id="rId180" Type="http://schemas.openxmlformats.org/officeDocument/2006/relationships/hyperlink" Target="http://www.newark.com/abracon/abs07-32-768khz-7-t/crystal-32-768khz-7pf-3-2-x-1/dp/14N8750" TargetMode="External"/><Relationship Id="rId181" Type="http://schemas.openxmlformats.org/officeDocument/2006/relationships/hyperlink" Target="http://www.digikey.com/product-detail/en/murata-electronics-north-america/BLM21AG221SN1D/490-9704-1-ND/4934847" TargetMode="External"/><Relationship Id="rId182" Type="http://schemas.openxmlformats.org/officeDocument/2006/relationships/hyperlink" Target="http://it.farnell.com/murata/blm21ag221sn1d/grano-chip-0-13ohm-800ma-0805/dp/1515619" TargetMode="External"/><Relationship Id="rId183" Type="http://schemas.openxmlformats.org/officeDocument/2006/relationships/hyperlink" Target="http://www.mouser.com/Search/Refine.aspx?Keyword=BLM21AG221SN1D%20" TargetMode="External"/><Relationship Id="rId184" Type="http://schemas.openxmlformats.org/officeDocument/2006/relationships/hyperlink" Target="http://www.newark.com/webapp/wcs/stores/servlet/Search?catalogId=15003&amp;langId=-1&amp;storeId=10194&amp;gs=true&amp;st=BLM21AG221SN1D%20" TargetMode="External"/><Relationship Id="rId185" Type="http://schemas.openxmlformats.org/officeDocument/2006/relationships/hyperlink" Target="http://it.rs-online.com/web/c/?searchTerm=BLM21AG221SN1D%20" TargetMode="External"/><Relationship Id="rId186" Type="http://schemas.openxmlformats.org/officeDocument/2006/relationships/hyperlink" Target="http://www.digikey.com/product-detail/en/yageo/RC0402FR-074K75L/311-4.75KLCT-ND/2827885" TargetMode="External"/><Relationship Id="rId187" Type="http://schemas.openxmlformats.org/officeDocument/2006/relationships/hyperlink" Target="http://it.farnell.com/webapp/wcs/stores/servlet/Search?catalogId=15001&amp;langId=-4&amp;storeId=10165&amp;gs=true&amp;st=RC0402FR-074K75L%20" TargetMode="External"/><Relationship Id="rId188" Type="http://schemas.openxmlformats.org/officeDocument/2006/relationships/hyperlink" Target="http://www.mouser.com/Search/../ProductDetail/Yageo/RC0402FR-074K75L/?qs=sGAEpiMZZMu61qfTUdNhG5eFuApKbqVd6FeIZ9zcZ%252bE%3d" TargetMode="External"/><Relationship Id="rId189" Type="http://schemas.openxmlformats.org/officeDocument/2006/relationships/hyperlink" Target="http://www.newark.com/webapp/wcs/stores/servlet/Search?catalogId=15003&amp;langId=-1&amp;storeId=10194&amp;gs=true&amp;st=RC0402FR-074K75L%20" TargetMode="External"/><Relationship Id="rId190" Type="http://schemas.openxmlformats.org/officeDocument/2006/relationships/hyperlink" Target="http://www.digikey.com/product-detail/en/texas-instruments/TPS2065CDGN/296-29508-5-ND/2751271" TargetMode="External"/><Relationship Id="rId191" Type="http://schemas.openxmlformats.org/officeDocument/2006/relationships/hyperlink" Target="http://www.mouser.com/Search/../ProductDetail/Texas-Instruments/TPS2065CDGNR/?qs=sGAEpiMZZMuCmTIBzycWfP2DYbU0ZbOTe2EoBJ9CcMI%3d" TargetMode="External"/><Relationship Id="rId192" Type="http://schemas.openxmlformats.org/officeDocument/2006/relationships/hyperlink" Target="http://www.newark.com/texas-instruments/tps2065cdgnr/current-limited-power-distribution/dp/61T6040" TargetMode="External"/><Relationship Id="rId193" Type="http://schemas.openxmlformats.org/officeDocument/2006/relationships/hyperlink" Target="http://www.digikey.com/product-detail/en/yageo/RC0402FR-0710KL/311-10.0KLRCT-ND/729470" TargetMode="External"/><Relationship Id="rId194" Type="http://schemas.openxmlformats.org/officeDocument/2006/relationships/hyperlink" Target="http://it.farnell.com/yageo/rc0402fr-0710kl/res-thick-film-10k-1-0-0625w-0402/dp/2363463" TargetMode="External"/><Relationship Id="rId195" Type="http://schemas.openxmlformats.org/officeDocument/2006/relationships/hyperlink" Target="http://www.mouser.com/Search/Refine.aspx?Keyword=RC0402FR-0710KL%20" TargetMode="External"/><Relationship Id="rId196" Type="http://schemas.openxmlformats.org/officeDocument/2006/relationships/hyperlink" Target="http://www.newark.com/yageo/rc0402fr-0710kl/res-thick-film-10k-1-0-0625w-0402/dp/67R9884" TargetMode="External"/><Relationship Id="rId197" Type="http://schemas.openxmlformats.org/officeDocument/2006/relationships/hyperlink" Target="http://www.digikey.com/product-detail/en/yageo/RC0402FR-0710KL/311-10.0KLRCT-ND/729470" TargetMode="External"/><Relationship Id="rId198" Type="http://schemas.openxmlformats.org/officeDocument/2006/relationships/hyperlink" Target="http://it.farnell.com/yageo/rc0402fr-0710kl/res-thick-film-10k-1-0-0625w-0402/dp/2363463" TargetMode="External"/><Relationship Id="rId199" Type="http://schemas.openxmlformats.org/officeDocument/2006/relationships/hyperlink" Target="http://www.mouser.com/Search/Refine.aspx?Keyword=RC0402FR-0710KL%20" TargetMode="External"/><Relationship Id="rId200" Type="http://schemas.openxmlformats.org/officeDocument/2006/relationships/hyperlink" Target="http://www.newark.com/yageo/rc0402fr-0710kl/res-thick-film-10k-1-0-0625w-0402/dp/67R9884" TargetMode="External"/><Relationship Id="rId201" Type="http://schemas.openxmlformats.org/officeDocument/2006/relationships/hyperlink" Target="http://www.digikey.com/product-detail/en/hirose-electric-co-ltd/DF40C-70DP-0.4V(51)/H11630CT-ND/1969509" TargetMode="External"/><Relationship Id="rId202" Type="http://schemas.openxmlformats.org/officeDocument/2006/relationships/hyperlink" Target="http://www.mouser.com/Search/Refine.aspx?Keyword=DF40C-70DP-0.4V%2851%29%20" TargetMode="External"/><Relationship Id="rId203" Type="http://schemas.openxmlformats.org/officeDocument/2006/relationships/vmlDrawing" Target="../drawings/vmlDrawing1.vml"/><Relationship Id="rId20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4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212</v>
      </c>
      <c r="I1" s="2">
        <v>100</v>
      </c>
    </row>
    <row r="2" spans="1:39">
      <c r="H2" s="3" t="s">
        <v>213</v>
      </c>
      <c r="I2" s="4">
        <f>sum(I7:I73)</f>
        <v>0</v>
      </c>
      <c r="M2" s="4">
        <f>sum(M7:M73)</f>
        <v>0</v>
      </c>
      <c r="S2" s="4">
        <f>sum(S7:S73)</f>
        <v>0</v>
      </c>
      <c r="Y2" s="4">
        <f>sum(Y7:Y73)</f>
        <v>0</v>
      </c>
      <c r="AE2" s="4">
        <f>sum(AE7:AE73)</f>
        <v>0</v>
      </c>
      <c r="AK2" s="4">
        <f>sum(AK7:AK73)</f>
        <v>0</v>
      </c>
    </row>
    <row r="3" spans="1:39">
      <c r="H3" s="3" t="s">
        <v>214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215</v>
      </c>
      <c r="K5" s="7"/>
      <c r="L5" s="7"/>
      <c r="M5" s="7"/>
      <c r="N5" s="7"/>
      <c r="O5" s="7"/>
      <c r="P5" s="8" t="s">
        <v>267</v>
      </c>
      <c r="Q5" s="8"/>
      <c r="R5" s="8"/>
      <c r="S5" s="8"/>
      <c r="T5" s="8"/>
      <c r="U5" s="8"/>
      <c r="V5" s="9" t="s">
        <v>302</v>
      </c>
      <c r="W5" s="9"/>
      <c r="X5" s="9"/>
      <c r="Y5" s="9"/>
      <c r="Z5" s="9"/>
      <c r="AA5" s="9"/>
      <c r="AB5" s="10" t="s">
        <v>351</v>
      </c>
      <c r="AC5" s="10"/>
      <c r="AD5" s="10"/>
      <c r="AE5" s="10"/>
      <c r="AF5" s="10"/>
      <c r="AG5" s="10"/>
      <c r="AH5" s="11" t="s">
        <v>391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217</v>
      </c>
      <c r="K6" s="12" t="s">
        <v>218</v>
      </c>
      <c r="L6" s="12" t="s">
        <v>3</v>
      </c>
      <c r="M6" s="12" t="s">
        <v>2</v>
      </c>
      <c r="N6" s="12" t="s">
        <v>219</v>
      </c>
      <c r="O6" s="12" t="s">
        <v>216</v>
      </c>
      <c r="P6" s="12" t="s">
        <v>217</v>
      </c>
      <c r="Q6" s="12" t="s">
        <v>218</v>
      </c>
      <c r="R6" s="12" t="s">
        <v>3</v>
      </c>
      <c r="S6" s="12" t="s">
        <v>2</v>
      </c>
      <c r="T6" s="12" t="s">
        <v>219</v>
      </c>
      <c r="U6" s="12" t="s">
        <v>216</v>
      </c>
      <c r="V6" s="12" t="s">
        <v>217</v>
      </c>
      <c r="W6" s="12" t="s">
        <v>218</v>
      </c>
      <c r="X6" s="12" t="s">
        <v>3</v>
      </c>
      <c r="Y6" s="12" t="s">
        <v>2</v>
      </c>
      <c r="Z6" s="12" t="s">
        <v>219</v>
      </c>
      <c r="AA6" s="12" t="s">
        <v>216</v>
      </c>
      <c r="AB6" s="12" t="s">
        <v>217</v>
      </c>
      <c r="AC6" s="12" t="s">
        <v>218</v>
      </c>
      <c r="AD6" s="12" t="s">
        <v>3</v>
      </c>
      <c r="AE6" s="12" t="s">
        <v>2</v>
      </c>
      <c r="AF6" s="12" t="s">
        <v>219</v>
      </c>
      <c r="AG6" s="12" t="s">
        <v>216</v>
      </c>
      <c r="AH6" s="12" t="s">
        <v>217</v>
      </c>
      <c r="AI6" s="12" t="s">
        <v>218</v>
      </c>
      <c r="AJ6" s="12" t="s">
        <v>3</v>
      </c>
      <c r="AK6" s="12" t="s">
        <v>2</v>
      </c>
      <c r="AL6" s="12" t="s">
        <v>219</v>
      </c>
      <c r="AM6" s="12" t="s">
        <v>216</v>
      </c>
    </row>
    <row r="7" spans="1:39">
      <c r="A7" t="s">
        <v>10</v>
      </c>
      <c r="B7" t="s">
        <v>12</v>
      </c>
      <c r="D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</row>
    <row r="8" spans="1:39">
      <c r="A8" t="s">
        <v>13</v>
      </c>
      <c r="B8" t="s">
        <v>15</v>
      </c>
      <c r="D8" t="s">
        <v>11</v>
      </c>
      <c r="F8" t="s">
        <v>14</v>
      </c>
      <c r="G8">
        <f>BoardQty*3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J8">
        <v>1400053</v>
      </c>
      <c r="L8" s="13">
        <f>iferror(lookup(if(K8="",G8,K8),{0,1,10,100,1000,2500,5000,10000,30000,50000,100000},{0.0,0.1,0.014,0.0056,0.00253,0.0022,0.00181,0.00158,0.00138,0.00127,0.00124}),"")</f>
        <v>0</v>
      </c>
      <c r="M8" s="13">
        <f>iferror(if(K8="",G8,K8)*L8,"")</f>
        <v>0</v>
      </c>
      <c r="N8" t="s">
        <v>221</v>
      </c>
      <c r="O8" s="14" t="s">
        <v>220</v>
      </c>
      <c r="R8" s="13">
        <f>iferror(lookup(if(Q8="",G8,Q8),{0,1,100,500,2500,5000},{0.0,0.0068032,0.0068032,0.0058465,0.0034016,0.0025512}),"")</f>
        <v>0</v>
      </c>
      <c r="S8" s="13">
        <f>iferror(if(Q8="",G8,Q8)*R8,"")</f>
        <v>0</v>
      </c>
      <c r="T8" t="s">
        <v>268</v>
      </c>
      <c r="U8" s="14" t="s">
        <v>220</v>
      </c>
      <c r="V8">
        <v>288627</v>
      </c>
      <c r="X8" s="13">
        <f>iferror(lookup(if(W8="",G8,W8),{0,1,10,100,1000,2500,10000},{0.0,0.101,0.013,0.006,0.003,0.002,0.002}),"")</f>
        <v>0</v>
      </c>
      <c r="Y8" s="13">
        <f>iferror(if(W8="",G8,W8)*X8,"")</f>
        <v>0</v>
      </c>
      <c r="Z8" t="s">
        <v>303</v>
      </c>
      <c r="AA8" s="14" t="s">
        <v>220</v>
      </c>
      <c r="AD8" s="13">
        <f>iferror(lookup(if(AC8="",G8,AC8),{0,1,10,25,100,250,1000},{0.0,0.08,0.014,0.009,0.006,0.004,0.002}),"")</f>
        <v>0</v>
      </c>
      <c r="AE8" s="13">
        <f>iferror(if(AC8="",G8,AC8)*AD8,"")</f>
        <v>0</v>
      </c>
      <c r="AF8" t="s">
        <v>352</v>
      </c>
      <c r="AG8" s="14" t="s">
        <v>220</v>
      </c>
    </row>
    <row r="9" spans="1:39">
      <c r="A9" t="s">
        <v>16</v>
      </c>
      <c r="B9" t="s">
        <v>17</v>
      </c>
      <c r="D9" t="s">
        <v>11</v>
      </c>
      <c r="F9" t="s">
        <v>17</v>
      </c>
      <c r="G9">
        <f>BoardQty*2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J9">
        <v>351484</v>
      </c>
      <c r="L9" s="13">
        <f>iferror(lookup(if(K9="",G9,K9),{0,1,10,25,50,100,250,500,1000,5000,10000,20000,30000,50000},{0.0,0.1,0.076,0.0688,0.0504,0.0436,0.0344,0.02906,0.02446,0.02179,0.02016,0.01946,0.01807,0.01786}),"")</f>
        <v>0</v>
      </c>
      <c r="M9" s="13">
        <f>iferror(if(K9="",G9,K9)*L9,"")</f>
        <v>0</v>
      </c>
      <c r="N9" t="s">
        <v>222</v>
      </c>
      <c r="O9" s="14" t="s">
        <v>220</v>
      </c>
      <c r="R9" s="13">
        <f>iferror(lookup(if(Q9="",G9,Q9),{0,1,10,100,500,2500,5000,10000,50000,100000},{0.0,0.0441145,0.0441145,0.03189,0.0197718,0.0146694,0.0130749,0.011693,0.0102048,0.0099922}),"")</f>
        <v>0</v>
      </c>
      <c r="S9" s="13">
        <f>iferror(if(Q9="",G9,Q9)*R9,"")</f>
        <v>0</v>
      </c>
      <c r="T9" t="s">
        <v>269</v>
      </c>
      <c r="U9" s="14" t="s">
        <v>220</v>
      </c>
      <c r="V9">
        <v>144423</v>
      </c>
      <c r="X9" s="13">
        <f>iferror(lookup(if(W9="",G9,W9),{0,1,10,100,500,1000,2500,10000,20000},{0.0,0.11,0.069,0.037,0.034,0.029,0.02,0.019,0.018}),"")</f>
        <v>0</v>
      </c>
      <c r="Y9" s="13">
        <f>iferror(if(W9="",G9,W9)*X9,"")</f>
        <v>0</v>
      </c>
      <c r="Z9" t="s">
        <v>304</v>
      </c>
      <c r="AA9" s="14" t="s">
        <v>220</v>
      </c>
      <c r="AD9" s="13">
        <f>iferror(lookup(if(AC9="",G9,AC9),{0,1,10,25,50,100,250,500,1000},{0.0,0.11,0.069,0.058,0.048,0.037,0.036,0.034,0.029}),"")</f>
        <v>0</v>
      </c>
      <c r="AE9" s="13">
        <f>iferror(if(AC9="",G9,AC9)*AD9,"")</f>
        <v>0</v>
      </c>
      <c r="AF9" t="s">
        <v>353</v>
      </c>
      <c r="AG9" s="14" t="s">
        <v>220</v>
      </c>
      <c r="AJ9" s="13">
        <f>iferror(lookup(if(AI9="",G9,AI9),{0,1,25,250},{0.0,0.070158,0.070158,0.060591}),"")</f>
        <v>0</v>
      </c>
      <c r="AK9" s="13">
        <f>iferror(if(AI9="",G9,AI9)*AJ9,"")</f>
        <v>0</v>
      </c>
      <c r="AL9" t="s">
        <v>392</v>
      </c>
      <c r="AM9" s="14" t="s">
        <v>220</v>
      </c>
    </row>
    <row r="10" spans="1:39">
      <c r="A10" t="s">
        <v>18</v>
      </c>
      <c r="B10" t="s">
        <v>20</v>
      </c>
      <c r="D10" t="s">
        <v>11</v>
      </c>
      <c r="F10" t="s">
        <v>19</v>
      </c>
      <c r="G10">
        <f>BoardQty*2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J10">
        <v>629538</v>
      </c>
      <c r="L10" s="13">
        <f>iferror(lookup(if(K10="",G10,K10),{0,1,10,100,1000,2500,5000,10000,30000,50000,100000},{0.0,0.1,0.014,0.0056,0.00253,0.0022,0.00181,0.00158,0.00138,0.00127,0.00124}),"")</f>
        <v>0</v>
      </c>
      <c r="M10" s="13">
        <f>iferror(if(K10="",G10,K10)*L10,"")</f>
        <v>0</v>
      </c>
      <c r="N10" t="s">
        <v>223</v>
      </c>
      <c r="O10" s="14" t="s">
        <v>220</v>
      </c>
      <c r="R10" s="13">
        <f>iferror(lookup(if(Q10="",G10,Q10),{0,1,100,500,2500,5000},{0.0,0.0070158,0.0070158,0.0059528,0.0035079,0.0026575}),"")</f>
        <v>0</v>
      </c>
      <c r="S10" s="13">
        <f>iferror(if(Q10="",G10,Q10)*R10,"")</f>
        <v>0</v>
      </c>
      <c r="T10" t="s">
        <v>270</v>
      </c>
      <c r="U10" s="14" t="s">
        <v>220</v>
      </c>
      <c r="V10">
        <v>97865</v>
      </c>
      <c r="X10" s="13">
        <f>iferror(lookup(if(W10="",G10,W10),{0,1,10,100,1000,2500,10000},{0.0,0.101,0.009,0.003,0.002,0.001,0.001}),"")</f>
        <v>0</v>
      </c>
      <c r="Y10" s="13">
        <f>iferror(if(W10="",G10,W10)*X10,"")</f>
        <v>0</v>
      </c>
      <c r="Z10" t="s">
        <v>305</v>
      </c>
      <c r="AA10" s="14" t="s">
        <v>220</v>
      </c>
      <c r="AD10" s="13">
        <f>iferror(lookup(if(AC10="",G10,AC10),{0,1,10000},{0.0,0.001,0.001}),"")</f>
        <v>0</v>
      </c>
      <c r="AE10" s="13">
        <f>iferror(if(AC10="",G10,AC10)*AD10,"")</f>
        <v>0</v>
      </c>
      <c r="AF10" t="s">
        <v>354</v>
      </c>
      <c r="AG10" s="14" t="s">
        <v>220</v>
      </c>
    </row>
    <row r="11" spans="1:39">
      <c r="A11" t="s">
        <v>21</v>
      </c>
      <c r="B11" t="s">
        <v>24</v>
      </c>
      <c r="D11" t="s">
        <v>23</v>
      </c>
      <c r="F11" t="s">
        <v>22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L11" s="13">
        <f>iferror(lookup(if(K11="",G11,K11),{0,1,10,100,500,1000,2500,5000,10000,20000,30000},{0.0,0.1,0.024,0.0108,0.0077,0.00605,0.0055,0.00506,0.00402,0.00383,0.00364}),"")</f>
        <v>0</v>
      </c>
      <c r="M11" s="13">
        <f>iferror(if(K11="",G11,K11)*L11,"")</f>
        <v>0</v>
      </c>
      <c r="N11" t="s">
        <v>224</v>
      </c>
      <c r="O11" s="14" t="s">
        <v>220</v>
      </c>
      <c r="R11" s="13">
        <f>iferror(lookup(if(Q11="",G11,Q11),{0,1,100,500,2500,5000},{0.0,0.0221104,0.0221104,0.0172206,0.0140316,0.0128623}),"")</f>
        <v>0</v>
      </c>
      <c r="S11" s="13">
        <f>iferror(if(Q11="",G11,Q11)*R11,"")</f>
        <v>0</v>
      </c>
      <c r="T11" t="s">
        <v>271</v>
      </c>
      <c r="U11" s="14" t="s">
        <v>220</v>
      </c>
      <c r="V11">
        <v>292145</v>
      </c>
      <c r="X11" s="13">
        <f>iferror(lookup(if(W11="",G11,W11),{0,1,10,100,500,1000,2500,10000,20000},{0.0,0.11,0.027,0.013,0.009,0.008,0.007,0.006,0.004}),"")</f>
        <v>0</v>
      </c>
      <c r="Y11" s="13">
        <f>iferror(if(W11="",G11,W11)*X11,"")</f>
        <v>0</v>
      </c>
      <c r="Z11" t="s">
        <v>306</v>
      </c>
      <c r="AA11" s="14" t="s">
        <v>220</v>
      </c>
      <c r="AD11" s="13">
        <f>iferror(lookup(if(AC11="",G11,AC11),{0,1,10,25,50,100,250,500,1000},{0.0,0.023,0.023,0.021,0.018,0.016,0.015,0.014,0.011}),"")</f>
        <v>0</v>
      </c>
      <c r="AE11" s="13">
        <f>iferror(if(AC11="",G11,AC11)*AD11,"")</f>
        <v>0</v>
      </c>
      <c r="AF11" t="s">
        <v>355</v>
      </c>
      <c r="AG11" s="14" t="s">
        <v>220</v>
      </c>
      <c r="AH11">
        <v>300</v>
      </c>
      <c r="AJ11" s="13">
        <f>iferror(lookup(if(AI11="",G11,AI11),{0,1,100,500},{0.0,0.015945,0.015945,0.014882}),"")</f>
        <v>0</v>
      </c>
      <c r="AK11" s="13">
        <f>iferror(if(AI11="",G11,AI11)*AJ11,"")</f>
        <v>0</v>
      </c>
      <c r="AL11" t="s">
        <v>393</v>
      </c>
      <c r="AM11" s="14" t="s">
        <v>220</v>
      </c>
    </row>
    <row r="12" spans="1:39">
      <c r="A12" t="s">
        <v>25</v>
      </c>
      <c r="B12" t="s">
        <v>28</v>
      </c>
      <c r="D12" t="s">
        <v>27</v>
      </c>
      <c r="F12" t="s">
        <v>26</v>
      </c>
      <c r="G12">
        <f>BoardQty*1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J12">
        <v>41176</v>
      </c>
      <c r="L12" s="13">
        <f>iferror(lookup(if(K12="",G12,K12),{0,1,10,25,100,250,500,1000,2000,6000,10000},{0.0,0.8,0.703,0.6228,0.5423,0.472,0.4017,0.32136,0.28275,0.26325,0.2535}),"")</f>
        <v>0</v>
      </c>
      <c r="M12" s="13">
        <f>iferror(if(K12="",G12,K12)*L12,"")</f>
        <v>0</v>
      </c>
      <c r="N12" t="s">
        <v>225</v>
      </c>
      <c r="O12" s="14" t="s">
        <v>220</v>
      </c>
      <c r="R12" s="13">
        <f>iferror(lookup(if(Q12="",G12,Q12),{0,1,5,50,250,500,1000,2000,10000,20000},{0.0,0.863156,0.863156,0.58465,0.470909,0.416696,0.349727,0.333782,0.3189,0.302955}),"")</f>
        <v>0</v>
      </c>
      <c r="S12" s="13">
        <f>iferror(if(Q12="",G12,Q12)*R12,"")</f>
        <v>0</v>
      </c>
      <c r="T12" t="s">
        <v>272</v>
      </c>
      <c r="U12" s="14" t="s">
        <v>220</v>
      </c>
      <c r="V12">
        <v>11599</v>
      </c>
      <c r="X12" s="13">
        <f>iferror(lookup(if(W12="",G12,W12),{0,1,10,100,500,1000,2000,4000,10000},{0.0,0.812,0.625,0.473,0.403,0.321,0.283,0.263,0.255}),"")</f>
        <v>0</v>
      </c>
      <c r="Y12" s="13">
        <f>iferror(if(W12="",G12,W12)*X12,"")</f>
        <v>0</v>
      </c>
      <c r="Z12" t="s">
        <v>307</v>
      </c>
      <c r="AA12" s="14" t="s">
        <v>220</v>
      </c>
      <c r="AD12" s="13">
        <f>iferror(lookup(if(AC12="",G12,AC12),{0,1,5,250,500,1000,5000},{0.0,0.815,0.815,0.615,0.548,0.494,0.448}),"")</f>
        <v>0</v>
      </c>
      <c r="AE12" s="13">
        <f>iferror(if(AC12="",G12,AC12)*AD12,"")</f>
        <v>0</v>
      </c>
      <c r="AF12" t="s">
        <v>356</v>
      </c>
      <c r="AG12" s="14" t="s">
        <v>220</v>
      </c>
    </row>
    <row r="13" spans="1:39">
      <c r="A13" t="s">
        <v>29</v>
      </c>
      <c r="B13" t="s">
        <v>32</v>
      </c>
      <c r="D13" t="s">
        <v>31</v>
      </c>
      <c r="F13" t="s">
        <v>30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J13">
        <v>45331</v>
      </c>
      <c r="L13" s="13">
        <f>iferror(lookup(if(K13="",G13,K13),{0,1,10,25,50,100,250,500,1000,5000,10000,25000,50000,125000},{0.0,0.1,0.07,0.0508,0.0388,0.0286,0.0218,0.01742,0.01283,0.00836,0.00726,0.00638,0.00585,0.00573}),"")</f>
        <v>0</v>
      </c>
      <c r="M13" s="13">
        <f>iferror(if(K13="",G13,K13)*L13,"")</f>
        <v>0</v>
      </c>
      <c r="N13" t="s">
        <v>226</v>
      </c>
      <c r="O13" s="14" t="s">
        <v>220</v>
      </c>
      <c r="V13">
        <v>17765</v>
      </c>
      <c r="X13" s="13">
        <f>iferror(lookup(if(W13="",G13,W13),{0,1,10,100,1000,5000,10000,50000},{0.0,0.101,0.072,0.018,0.013,0.009,0.007,0.006}),"")</f>
        <v>0</v>
      </c>
      <c r="Y13" s="13">
        <f>iferror(if(W13="",G13,W13)*X13,"")</f>
        <v>0</v>
      </c>
      <c r="Z13" t="s">
        <v>308</v>
      </c>
      <c r="AA13" s="14" t="s">
        <v>220</v>
      </c>
      <c r="AD13" s="13">
        <f>iferror(lookup(if(AC13="",G13,AC13),{0,1,5000},{0.0,0.027,0.027}),"")</f>
        <v>0</v>
      </c>
      <c r="AE13" s="13">
        <f>iferror(if(AC13="",G13,AC13)*AD13,"")</f>
        <v>0</v>
      </c>
      <c r="AF13" t="s">
        <v>357</v>
      </c>
      <c r="AG13" s="14" t="s">
        <v>220</v>
      </c>
    </row>
    <row r="14" spans="1:39">
      <c r="A14" t="s">
        <v>33</v>
      </c>
      <c r="B14" t="s">
        <v>36</v>
      </c>
      <c r="D14" t="s">
        <v>35</v>
      </c>
      <c r="F14" t="s">
        <v>34</v>
      </c>
      <c r="G14">
        <f>BoardQty*1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J14">
        <v>6405</v>
      </c>
      <c r="L14" s="13">
        <f>iferror(lookup(if(K14="",G14,K14),{0,1,10,50,100,500,1000,3000,5000,6000},{0.0,1.39,1.324,1.2936,1.1088,1.078,0.9086,0.784,1.875,0.756}),"")</f>
        <v>0</v>
      </c>
      <c r="M14" s="13">
        <f>iferror(if(K14="",G14,K14)*L14,"")</f>
        <v>0</v>
      </c>
      <c r="N14" t="s">
        <v>227</v>
      </c>
      <c r="O14" s="14" t="s">
        <v>220</v>
      </c>
      <c r="V14">
        <v>3364</v>
      </c>
      <c r="X14" s="13">
        <f>iferror(lookup(if(W14="",G14,W14),{0,1,1000},{0.0,1.95,1.95}),"")</f>
        <v>0</v>
      </c>
      <c r="Y14" s="13">
        <f>iferror(if(W14="",G14,W14)*X14,"")</f>
        <v>0</v>
      </c>
      <c r="Z14" t="s">
        <v>309</v>
      </c>
      <c r="AA14" s="14" t="s">
        <v>220</v>
      </c>
      <c r="AD14" s="13">
        <f>iferror(lookup(if(AC14="",G14,AC14),{0,1,1000,2000,3000,5000},{0.0,1.11,1.11,1.09,1.05,0.998}),"")</f>
        <v>0</v>
      </c>
      <c r="AE14" s="13">
        <f>iferror(if(AC14="",G14,AC14)*AD14,"")</f>
        <v>0</v>
      </c>
      <c r="AF14" t="s">
        <v>358</v>
      </c>
      <c r="AG14" s="14" t="s">
        <v>220</v>
      </c>
    </row>
    <row r="15" spans="1:39">
      <c r="A15" t="s">
        <v>37</v>
      </c>
      <c r="B15" t="s">
        <v>40</v>
      </c>
      <c r="D15" t="s">
        <v>39</v>
      </c>
      <c r="F15" t="s">
        <v>38</v>
      </c>
      <c r="G15">
        <f>BoardQty*1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J15">
        <v>1640</v>
      </c>
      <c r="L15" s="13">
        <f>iferror(lookup(if(K15="",G15,K15),{0,1,10,25,100,250,500,1200},{0.0,22.94,21.177,19.4128,17.942,17.0596,15.88308,14.00625}),"")</f>
        <v>0</v>
      </c>
      <c r="M15" s="13">
        <f>iferror(if(K15="",G15,K15)*L15,"")</f>
        <v>0</v>
      </c>
      <c r="N15" t="s">
        <v>228</v>
      </c>
      <c r="O15" s="14" t="s">
        <v>220</v>
      </c>
      <c r="R15" s="13">
        <f>iferror(lookup(if(Q15="",G15,Q15),{0,1,10,25,100},{0.0,24.71475,23.78994,21.91906,18.51746}),"")</f>
        <v>0</v>
      </c>
      <c r="S15" s="13">
        <f>iferror(if(Q15="",G15,Q15)*R15,"")</f>
        <v>0</v>
      </c>
      <c r="T15" t="s">
        <v>273</v>
      </c>
      <c r="U15" s="14" t="s">
        <v>220</v>
      </c>
      <c r="V15">
        <v>780</v>
      </c>
      <c r="X15" s="13">
        <f>iferror(lookup(if(W15="",G15,W15),{0,1,10,25,100,250,500,1200},{0.0,21.67,19.99,19.5,17.07,16.27,15.5,14.6}),"")</f>
        <v>0</v>
      </c>
      <c r="Y15" s="13">
        <f>iferror(if(W15="",G15,W15)*X15,"")</f>
        <v>0</v>
      </c>
      <c r="Z15" t="s">
        <v>310</v>
      </c>
      <c r="AA15" s="14" t="s">
        <v>220</v>
      </c>
      <c r="AD15" s="13">
        <f>iferror(lookup(if(AC15="",G15,AC15),{0,1,1200},{0.0,14.35,14.35}),"")</f>
        <v>0</v>
      </c>
      <c r="AE15" s="13">
        <f>iferror(if(AC15="",G15,AC15)*AD15,"")</f>
        <v>0</v>
      </c>
      <c r="AF15" t="s">
        <v>359</v>
      </c>
      <c r="AG15" s="14" t="s">
        <v>220</v>
      </c>
    </row>
    <row r="16" spans="1:39">
      <c r="A16" t="s">
        <v>41</v>
      </c>
      <c r="B16" t="s">
        <v>44</v>
      </c>
      <c r="D16" t="s">
        <v>43</v>
      </c>
      <c r="F16" t="s">
        <v>42</v>
      </c>
      <c r="G16">
        <f>BoardQty*2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J16">
        <v>220280</v>
      </c>
      <c r="L16" s="13">
        <f>iferror(lookup(if(K16="",G16,K16),{0,1,10,100,500,1000,3000,6000,10000,15000,30000,50000,75000,100000,150000,250000},{0.0,0.11,0.101,0.0551,0.03388,0.0231,0.01907,0.0172,0.01428,0.01496,0.01285,0.01142,0.01197,0.01071,0.00995,0.00952}),"")</f>
        <v>0</v>
      </c>
      <c r="M16" s="13">
        <f>iferror(if(K16="",G16,K16)*L16,"")</f>
        <v>0</v>
      </c>
      <c r="N16" t="s">
        <v>229</v>
      </c>
      <c r="O16" s="14" t="s">
        <v>220</v>
      </c>
      <c r="R16" s="13">
        <f>iferror(lookup(if(Q16="",G16,Q16),{0,1,10,250,1000,5000,12000},{0.0,0.0353979,0.0353979,0.0334845,0.0161576,0.013819,0.0137127}),"")</f>
        <v>0</v>
      </c>
      <c r="S16" s="13">
        <f>iferror(if(Q16="",G16,Q16)*R16,"")</f>
        <v>0</v>
      </c>
      <c r="T16" t="s">
        <v>274</v>
      </c>
      <c r="U16" s="14" t="s">
        <v>220</v>
      </c>
      <c r="V16">
        <v>183163</v>
      </c>
      <c r="X16" s="13">
        <f>iferror(lookup(if(W16="",G16,W16),{0,1,10,100,1000,3000,9000,24000,45000,99000},{0.0,0.12,0.101,0.036,0.024,0.018,0.016,0.015,0.013,0.011}),"")</f>
        <v>0</v>
      </c>
      <c r="Y16" s="13">
        <f>iferror(if(W16="",G16,W16)*X16,"")</f>
        <v>0</v>
      </c>
      <c r="Z16" t="s">
        <v>311</v>
      </c>
      <c r="AA16" s="14" t="s">
        <v>220</v>
      </c>
      <c r="AD16" s="13">
        <f>iferror(lookup(if(AC16="",G16,AC16),{0,1,25,50,100,250,500,1000},{0.0,0.1,0.088,0.06,0.031,0.028,0.024,0.021}),"")</f>
        <v>0</v>
      </c>
      <c r="AE16" s="13">
        <f>iferror(if(AC16="",G16,AC16)*AD16,"")</f>
        <v>0</v>
      </c>
      <c r="AF16" t="s">
        <v>360</v>
      </c>
      <c r="AG16" s="14" t="s">
        <v>220</v>
      </c>
      <c r="AH16">
        <v>1400</v>
      </c>
      <c r="AJ16" s="13">
        <f>iferror(lookup(if(AI16="",G16,AI16),{0,1,100,1000},{0.0,0.03189,0.03189,0.028701}),"")</f>
        <v>0</v>
      </c>
      <c r="AK16" s="13">
        <f>iferror(if(AI16="",G16,AI16)*AJ16,"")</f>
        <v>0</v>
      </c>
      <c r="AL16" t="s">
        <v>394</v>
      </c>
      <c r="AM16" s="14" t="s">
        <v>220</v>
      </c>
    </row>
    <row r="17" spans="1:39">
      <c r="A17" t="s">
        <v>45</v>
      </c>
      <c r="B17" t="s">
        <v>47</v>
      </c>
      <c r="D17" t="s">
        <v>11</v>
      </c>
      <c r="F17" t="s">
        <v>46</v>
      </c>
      <c r="G17">
        <f>BoardQty*4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J17">
        <v>15520665</v>
      </c>
      <c r="L17" s="13">
        <f>iferror(lookup(if(K17="",G17,K17),{0,1,10,25,50,100,250,500,1000,5000,10000,30000,50000,100000},{0.0,0.1,0.01,0.0068,0.0052,0.0038,0.00288,0.0023,0.0017,0.00122,0.00097,0.00086,0.00078,0.00077}),"")</f>
        <v>0</v>
      </c>
      <c r="M17" s="13">
        <f>iferror(if(K17="",G17,K17)*L17,"")</f>
        <v>0</v>
      </c>
      <c r="N17" t="s">
        <v>230</v>
      </c>
      <c r="O17" s="14" t="s">
        <v>220</v>
      </c>
      <c r="R17" s="13">
        <f>iferror(lookup(if(Q17="",G17,Q17),{0,1,100,500,2500,5000},{0.0,0.0069095,0.0069095,0.0059528,0.0035079,0.0026575}),"")</f>
        <v>0</v>
      </c>
      <c r="S17" s="13">
        <f>iferror(if(Q17="",G17,Q17)*R17,"")</f>
        <v>0</v>
      </c>
      <c r="T17" t="s">
        <v>275</v>
      </c>
      <c r="U17" s="14" t="s">
        <v>220</v>
      </c>
      <c r="V17">
        <v>746488</v>
      </c>
      <c r="X17" s="13">
        <f>iferror(lookup(if(W17="",G17,W17),{0,1,10,100,1000,2500,10000},{0.0,0.101,0.009,0.003,0.002,0.001,0.001}),"")</f>
        <v>0</v>
      </c>
      <c r="Y17" s="13">
        <f>iferror(if(W17="",G17,W17)*X17,"")</f>
        <v>0</v>
      </c>
      <c r="Z17" t="s">
        <v>312</v>
      </c>
      <c r="AA17" s="14" t="s">
        <v>220</v>
      </c>
      <c r="AD17" s="13">
        <f>iferror(lookup(if(AC17="",G17,AC17),{0,1,10000,20000},{0.0,0.002,0.002,0.001}),"")</f>
        <v>0</v>
      </c>
      <c r="AE17" s="13">
        <f>iferror(if(AC17="",G17,AC17)*AD17,"")</f>
        <v>0</v>
      </c>
      <c r="AF17" t="s">
        <v>361</v>
      </c>
      <c r="AG17" s="14" t="s">
        <v>220</v>
      </c>
      <c r="AH17">
        <v>16</v>
      </c>
      <c r="AJ17" s="13">
        <f>iferror(lookup(if(AI17="",G17,AI17),{0,1,2,3,4,5},{0.0,14.47806,5.15555,5.02799,4.83665,4.70909}),"")</f>
        <v>0</v>
      </c>
      <c r="AK17" s="13">
        <f>iferror(if(AI17="",G17,AI17)*AJ17,"")</f>
        <v>0</v>
      </c>
      <c r="AL17" t="s">
        <v>395</v>
      </c>
      <c r="AM17" s="14" t="s">
        <v>220</v>
      </c>
    </row>
    <row r="18" spans="1:39">
      <c r="A18" t="s">
        <v>48</v>
      </c>
      <c r="B18" t="s">
        <v>49</v>
      </c>
      <c r="D18" t="s">
        <v>50</v>
      </c>
      <c r="F18" t="s">
        <v>49</v>
      </c>
      <c r="G18">
        <f>BoardQty*1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J18">
        <v>1643</v>
      </c>
      <c r="L18" s="13">
        <f>iferror(lookup(if(K18="",G18,K18),{0,1,10,100,250,500,1000,1250,2500},{0.0,3.32,2.978,2.4403,2.24776,2.0169,1.55736,1.51875,1.35}),"")</f>
        <v>0</v>
      </c>
      <c r="M18" s="13">
        <f>iferror(if(K18="",G18,K18)*L18,"")</f>
        <v>0</v>
      </c>
      <c r="N18" t="s">
        <v>231</v>
      </c>
      <c r="O18" s="14" t="s">
        <v>220</v>
      </c>
      <c r="V18">
        <v>2164</v>
      </c>
      <c r="X18" s="13">
        <f>iferror(lookup(if(W18="",G18,W18),{0,1,10,25,100,250,500,1000,2500},{0.0,2.87,2.58,2.48,2.11,1.99,1.79,1.41,1.41}),"")</f>
        <v>0</v>
      </c>
      <c r="Y18" s="13">
        <f>iferror(if(W18="",G18,W18)*X18,"")</f>
        <v>0</v>
      </c>
      <c r="Z18" t="s">
        <v>313</v>
      </c>
      <c r="AA18" s="14" t="s">
        <v>220</v>
      </c>
      <c r="AD18" s="13">
        <f>iferror(lookup(if(AC18="",G18,AC18),{0,1,2500,5000,10000,15000,25000},{0.0,1.65,1.65,1.63,1.6,1.58,1.56}),"")</f>
        <v>0</v>
      </c>
      <c r="AE18" s="13">
        <f>iferror(if(AC18="",G18,AC18)*AD18,"")</f>
        <v>0</v>
      </c>
      <c r="AF18" t="s">
        <v>362</v>
      </c>
      <c r="AG18" s="14" t="s">
        <v>220</v>
      </c>
    </row>
    <row r="19" spans="1:39">
      <c r="A19" t="s">
        <v>51</v>
      </c>
      <c r="B19" t="s">
        <v>53</v>
      </c>
      <c r="D19" t="s">
        <v>11</v>
      </c>
      <c r="F19" t="s">
        <v>52</v>
      </c>
      <c r="G19">
        <f>BoardQty*2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J19">
        <v>628943</v>
      </c>
      <c r="L19" s="13">
        <f>iferror(lookup(if(K19="",G19,K19),{0,1,10,100,1000,2500,5000,10000,30000,50000,100000},{0.0,0.1,0.014,0.0056,0.00253,0.0022,0.00181,0.00158,0.00138,0.00127,0.00124}),"")</f>
        <v>0</v>
      </c>
      <c r="M19" s="13">
        <f>iferror(if(K19="",G19,K19)*L19,"")</f>
        <v>0</v>
      </c>
      <c r="N19" t="s">
        <v>232</v>
      </c>
      <c r="O19" s="14" t="s">
        <v>220</v>
      </c>
      <c r="V19">
        <v>51381</v>
      </c>
      <c r="X19" s="13">
        <f>iferror(lookup(if(W19="",G19,W19),{0,1,10,100,1000,10000},{0.0,0.101,0.01,0.003,0.002,0.002}),"")</f>
        <v>0</v>
      </c>
      <c r="Y19" s="13">
        <f>iferror(if(W19="",G19,W19)*X19,"")</f>
        <v>0</v>
      </c>
      <c r="Z19" t="s">
        <v>314</v>
      </c>
      <c r="AA19" s="14" t="s">
        <v>220</v>
      </c>
      <c r="AD19" s="13">
        <f>iferror(lookup(if(AC19="",G19,AC19),{0,1,10000,20000,30000},{0.0,0.005,0.005,0.003,0.002}),"")</f>
        <v>0</v>
      </c>
      <c r="AE19" s="13">
        <f>iferror(if(AC19="",G19,AC19)*AD19,"")</f>
        <v>0</v>
      </c>
      <c r="AF19" t="s">
        <v>363</v>
      </c>
      <c r="AG19" s="14" t="s">
        <v>220</v>
      </c>
    </row>
    <row r="20" spans="1:39">
      <c r="A20" t="s">
        <v>54</v>
      </c>
      <c r="B20" t="s">
        <v>55</v>
      </c>
      <c r="D20" t="s">
        <v>11</v>
      </c>
      <c r="G20">
        <f>BoardQty*2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</row>
    <row r="21" spans="1:39">
      <c r="A21" t="s">
        <v>56</v>
      </c>
      <c r="B21" t="s">
        <v>58</v>
      </c>
      <c r="D21" t="s">
        <v>11</v>
      </c>
      <c r="F21" t="s">
        <v>57</v>
      </c>
      <c r="G21">
        <f>BoardQty*2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  <c r="J21">
        <v>1290289</v>
      </c>
      <c r="L21" s="13">
        <f>iferror(lookup(if(K21="",G21,K21),{0,1,10,100,1000,2500,5000,10000,30000,50000,100000},{0.0,0.1,0.014,0.0056,0.00253,0.0022,0.00181,0.00158,0.00138,0.00127,0.00124}),"")</f>
        <v>0</v>
      </c>
      <c r="M21" s="13">
        <f>iferror(if(K21="",G21,K21)*L21,"")</f>
        <v>0</v>
      </c>
      <c r="N21" t="s">
        <v>233</v>
      </c>
      <c r="O21" s="14" t="s">
        <v>220</v>
      </c>
      <c r="R21" s="13">
        <f>iferror(lookup(if(Q21="",G21,Q21),{0,1,10000},{0.0,0.0030827,0.0030827}),"")</f>
        <v>0</v>
      </c>
      <c r="S21" s="13">
        <f>iferror(if(Q21="",G21,Q21)*R21,"")</f>
        <v>0</v>
      </c>
      <c r="T21" t="s">
        <v>276</v>
      </c>
      <c r="U21" s="14" t="s">
        <v>220</v>
      </c>
      <c r="V21">
        <v>219450</v>
      </c>
      <c r="X21" s="13">
        <f>iferror(lookup(if(W21="",G21,W21),{0,1,10,100,1000,2500,10000},{0.0,0.101,0.009,0.003,0.002,0.001,0.001}),"")</f>
        <v>0</v>
      </c>
      <c r="Y21" s="13">
        <f>iferror(if(W21="",G21,W21)*X21,"")</f>
        <v>0</v>
      </c>
      <c r="Z21" t="s">
        <v>315</v>
      </c>
      <c r="AA21" s="14" t="s">
        <v>220</v>
      </c>
      <c r="AD21" s="13">
        <f>iferror(lookup(if(AC21="",G21,AC21),{0,1,10,25,100,250,1000},{0.0,0.08,0.014,0.009,0.006,0.004,0.002}),"")</f>
        <v>0</v>
      </c>
      <c r="AE21" s="13">
        <f>iferror(if(AC21="",G21,AC21)*AD21,"")</f>
        <v>0</v>
      </c>
      <c r="AF21" t="s">
        <v>364</v>
      </c>
      <c r="AG21" s="14" t="s">
        <v>220</v>
      </c>
    </row>
    <row r="22" spans="1:39">
      <c r="A22" t="s">
        <v>59</v>
      </c>
      <c r="B22" t="s">
        <v>61</v>
      </c>
      <c r="D22" t="s">
        <v>23</v>
      </c>
      <c r="F22" t="s">
        <v>60</v>
      </c>
      <c r="G22">
        <f>BoardQty*4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J22">
        <v>181585</v>
      </c>
      <c r="L22" s="13">
        <f>iferror(lookup(if(K22="",G22,K22),{0,1,10,100,500,1000,2500,5000,10000,20000,30000,50000},{0.0,0.1,0.05,0.0223,0.01594,0.01252,0.01138,0.01047,0.00832,0.00792,0.00752,0.00673}),"")</f>
        <v>0</v>
      </c>
      <c r="M22" s="13">
        <f>iferror(if(K22="",G22,K22)*L22,"")</f>
        <v>0</v>
      </c>
      <c r="N22" t="s">
        <v>234</v>
      </c>
      <c r="O22" s="14" t="s">
        <v>220</v>
      </c>
      <c r="V22">
        <v>116284</v>
      </c>
      <c r="X22" s="13">
        <f>iferror(lookup(if(W22="",G22,W22),{0,1,10,100,500,1000,2500,10000,20000,50000},{0.0,0.101,0.024,0.016,0.015,0.011,0.009,0.008,0.007,0.004}),"")</f>
        <v>0</v>
      </c>
      <c r="Y22" s="13">
        <f>iferror(if(W22="",G22,W22)*X22,"")</f>
        <v>0</v>
      </c>
      <c r="Z22" t="s">
        <v>316</v>
      </c>
      <c r="AA22" s="14" t="s">
        <v>220</v>
      </c>
    </row>
    <row r="23" spans="1:39">
      <c r="A23" t="s">
        <v>62</v>
      </c>
      <c r="B23" t="s">
        <v>64</v>
      </c>
      <c r="D23" t="s">
        <v>63</v>
      </c>
      <c r="G23">
        <f>BoardQty*4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</row>
    <row r="24" spans="1:39">
      <c r="A24" t="s">
        <v>65</v>
      </c>
      <c r="B24" t="s">
        <v>67</v>
      </c>
      <c r="D24" t="s">
        <v>23</v>
      </c>
      <c r="F24" t="s">
        <v>66</v>
      </c>
      <c r="G24">
        <f>BoardQty*13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J24">
        <v>26123</v>
      </c>
      <c r="L24" s="13">
        <f>iferror(lookup(if(K24="",G24,K24),{0,1,10,100,500,1000,2500,5000,10000,20000,30000},{0.0,0.1,0.014,0.0062,0.00442,0.00348,0.00316,0.00291,0.00231,0.0022,0.00209}),"")</f>
        <v>0</v>
      </c>
      <c r="M24" s="13">
        <f>iferror(if(K24="",G24,K24)*L24,"")</f>
        <v>0</v>
      </c>
      <c r="N24" t="s">
        <v>235</v>
      </c>
      <c r="O24" s="14" t="s">
        <v>220</v>
      </c>
      <c r="V24">
        <v>280291</v>
      </c>
      <c r="X24" s="13">
        <f>iferror(lookup(if(W24="",G24,W24),{0,1,10,100,500,2500,10000},{0.0,0.101,0.006,0.004,0.003,0.002,0.002}),"")</f>
        <v>0</v>
      </c>
      <c r="Y24" s="13">
        <f>iferror(if(W24="",G24,W24)*X24,"")</f>
        <v>0</v>
      </c>
      <c r="Z24" t="s">
        <v>317</v>
      </c>
      <c r="AA24" s="14" t="s">
        <v>220</v>
      </c>
    </row>
    <row r="25" spans="1:39">
      <c r="A25" t="s">
        <v>68</v>
      </c>
      <c r="B25" t="s">
        <v>71</v>
      </c>
      <c r="D25" t="s">
        <v>70</v>
      </c>
      <c r="F25" t="s">
        <v>69</v>
      </c>
      <c r="G25">
        <f>BoardQty*1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J25">
        <v>350</v>
      </c>
      <c r="L25" s="13">
        <f>iferror(lookup(if(K25="",G25,K25),{0,1,10,100,500,1000,2500,5000,12500,25000},{0.0,1.06,0.833,0.6249,0.4347,0.37433,0.35018,0.33206,0.31467,0.3128}),"")</f>
        <v>0</v>
      </c>
      <c r="M25" s="13">
        <f>iferror(if(K25="",G25,K25)*L25,"")</f>
        <v>0</v>
      </c>
      <c r="N25" t="s">
        <v>236</v>
      </c>
      <c r="O25" s="14" t="s">
        <v>220</v>
      </c>
      <c r="R25" s="13">
        <f>iferror(lookup(if(Q25="",G25,Q25),{0,1,10,50,100,200,500,2500,5000},{0.0,1.72206,1.72206,1.3819,1.14804,1.037488,0.794061,0.777053,0.758982}),"")</f>
        <v>0</v>
      </c>
      <c r="S25" s="13">
        <f>iferror(if(Q25="",G25,Q25)*R25,"")</f>
        <v>0</v>
      </c>
      <c r="T25" t="s">
        <v>277</v>
      </c>
      <c r="U25" s="14" t="s">
        <v>220</v>
      </c>
      <c r="V25">
        <v>568</v>
      </c>
      <c r="X25" s="13">
        <f>iferror(lookup(if(W25="",G25,W25),{0,1,10,100,500,1000,2500,10000,25000},{0.0,1.98,1.46,1.05,0.416,0.357,0.334,0.317,0.314}),"")</f>
        <v>0</v>
      </c>
      <c r="Y25" s="13">
        <f>iferror(if(W25="",G25,W25)*X25,"")</f>
        <v>0</v>
      </c>
      <c r="Z25" t="s">
        <v>318</v>
      </c>
      <c r="AA25" s="14" t="s">
        <v>220</v>
      </c>
      <c r="AD25" s="13">
        <f>iferror(lookup(if(AC25="",G25,AC25),{0,1,500,1000,2000,3000,5000},{0.0,0.645,0.645,0.621,0.593,0.577,0.577}),"")</f>
        <v>0</v>
      </c>
      <c r="AE25" s="13">
        <f>iferror(if(AC25="",G25,AC25)*AD25,"")</f>
        <v>0</v>
      </c>
      <c r="AF25" t="s">
        <v>365</v>
      </c>
      <c r="AG25" s="14" t="s">
        <v>220</v>
      </c>
    </row>
    <row r="26" spans="1:39">
      <c r="A26" t="s">
        <v>72</v>
      </c>
      <c r="B26" t="s">
        <v>74</v>
      </c>
      <c r="D26" t="s">
        <v>73</v>
      </c>
      <c r="G26">
        <f>BoardQty*1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</row>
    <row r="27" spans="1:39">
      <c r="A27" t="s">
        <v>75</v>
      </c>
      <c r="B27" t="s">
        <v>77</v>
      </c>
      <c r="D27" t="s">
        <v>11</v>
      </c>
      <c r="F27" t="s">
        <v>76</v>
      </c>
      <c r="G27">
        <f>BoardQty*4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J27">
        <v>17212463</v>
      </c>
      <c r="L27" s="13">
        <f>iferror(lookup(if(K27="",G27,K27),{0,1,10,100,1000,2500,5000,10000,30000,50000,100000},{0.0,0.1,0.014,0.0056,0.00253,0.0022,0.00181,0.00158,0.00138,0.00127,0.00124}),"")</f>
        <v>0</v>
      </c>
      <c r="M27" s="13">
        <f>iferror(if(K27="",G27,K27)*L27,"")</f>
        <v>0</v>
      </c>
      <c r="N27" t="s">
        <v>237</v>
      </c>
      <c r="O27" s="14" t="s">
        <v>220</v>
      </c>
      <c r="R27" s="13">
        <f>iferror(lookup(if(Q27="",G27,Q27),{0,1,100,500,2500,5000},{0.0,0.0069095,0.0069095,0.0059528,0.0035079,0.0026575}),"")</f>
        <v>0</v>
      </c>
      <c r="S27" s="13">
        <f>iferror(if(Q27="",G27,Q27)*R27,"")</f>
        <v>0</v>
      </c>
      <c r="T27" t="s">
        <v>278</v>
      </c>
      <c r="U27" s="14" t="s">
        <v>220</v>
      </c>
      <c r="V27">
        <v>1570280</v>
      </c>
      <c r="X27" s="13">
        <f>iferror(lookup(if(W27="",G27,W27),{0,1,10,100,1000,10000},{0.0,0.101,0.009,0.003,0.002,0.002}),"")</f>
        <v>0</v>
      </c>
      <c r="Y27" s="13">
        <f>iferror(if(W27="",G27,W27)*X27,"")</f>
        <v>0</v>
      </c>
      <c r="Z27" t="s">
        <v>319</v>
      </c>
      <c r="AA27" s="14" t="s">
        <v>220</v>
      </c>
      <c r="AD27" s="13">
        <f>iferror(lookup(if(AC27="",G27,AC27),{0,1,10,25,100,250,1000},{0.0,0.08,0.014,0.009,0.006,0.004,0.002}),"")</f>
        <v>0</v>
      </c>
      <c r="AE27" s="13">
        <f>iferror(if(AC27="",G27,AC27)*AD27,"")</f>
        <v>0</v>
      </c>
      <c r="AF27" t="s">
        <v>366</v>
      </c>
      <c r="AG27" s="14" t="s">
        <v>220</v>
      </c>
    </row>
    <row r="28" spans="1:39">
      <c r="A28" t="s">
        <v>78</v>
      </c>
      <c r="B28" t="s">
        <v>79</v>
      </c>
      <c r="D28" t="s">
        <v>11</v>
      </c>
      <c r="G28">
        <f>BoardQty*1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</row>
    <row r="29" spans="1:39">
      <c r="A29" t="s">
        <v>80</v>
      </c>
      <c r="B29" t="s">
        <v>83</v>
      </c>
      <c r="D29" t="s">
        <v>82</v>
      </c>
      <c r="F29" t="s">
        <v>81</v>
      </c>
      <c r="G29">
        <f>BoardQty*2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J29">
        <v>219950</v>
      </c>
      <c r="L29" s="13">
        <f>iferror(lookup(if(K29="",G29,K29),{0,1,10,25,50,100,250,500,1000,2500,5000,12500},{0.0,1.31,1.15,1.0824,1.0374,0.9922,0.902,0.8118,0.7216,0.5945,0.574,0.533}),"")</f>
        <v>0</v>
      </c>
      <c r="M29" s="13">
        <f>iferror(if(K29="",G29,K29)*L29,"")</f>
        <v>0</v>
      </c>
      <c r="N29" t="s">
        <v>238</v>
      </c>
      <c r="O29" s="14" t="s">
        <v>220</v>
      </c>
      <c r="R29" s="13">
        <f>iferror(lookup(if(Q29="",G29,Q29),{0,1,5,20,50,150,400,1500,4000},{0.0,1.33938,0.62717,0.620792,0.614414,0.59528,0.495358,0.485791,0.475161}),"")</f>
        <v>0</v>
      </c>
      <c r="S29" s="13">
        <f>iferror(if(Q29="",G29,Q29)*R29,"")</f>
        <v>0</v>
      </c>
      <c r="T29" t="s">
        <v>279</v>
      </c>
      <c r="U29" s="14" t="s">
        <v>220</v>
      </c>
      <c r="X29" s="13">
        <f>iferror(lookup(if(W29="",G29,W29),{0,1,10,100,500,1000,2500,5000,10000,25000},{0.0,0.632,0.501,0.413,0.393,0.325,0.295,0.286,0.262,0.255}),"")</f>
        <v>0</v>
      </c>
      <c r="Y29" s="13">
        <f>iferror(if(W29="",G29,W29)*X29,"")</f>
        <v>0</v>
      </c>
      <c r="Z29" t="s">
        <v>320</v>
      </c>
      <c r="AA29" s="14" t="s">
        <v>220</v>
      </c>
      <c r="AD29" s="13">
        <f>iferror(lookup(if(AC29="",G29,AC29),{0,1,10,25,50,100,250,500,1000},{0.0,1.22,1.08,1.03,0.995,0.96,0.882,0.804,0.721}),"")</f>
        <v>0</v>
      </c>
      <c r="AE29" s="13">
        <f>iferror(if(AC29="",G29,AC29)*AD29,"")</f>
        <v>0</v>
      </c>
      <c r="AF29" t="s">
        <v>367</v>
      </c>
      <c r="AG29" s="14" t="s">
        <v>220</v>
      </c>
      <c r="AH29">
        <v>1185</v>
      </c>
      <c r="AJ29" s="13">
        <f>iferror(lookup(if(AI29="",G29,AI29),{0,1,5,75,250,500,1250},{0.0,0.69095,0.69095,0.678194,0.656934,0.586776,0.544256}),"")</f>
        <v>0</v>
      </c>
      <c r="AK29" s="13">
        <f>iferror(if(AI29="",G29,AI29)*AJ29,"")</f>
        <v>0</v>
      </c>
      <c r="AL29" t="s">
        <v>396</v>
      </c>
      <c r="AM29" s="14" t="s">
        <v>220</v>
      </c>
    </row>
    <row r="30" spans="1:39">
      <c r="A30" t="s">
        <v>84</v>
      </c>
      <c r="B30" t="s">
        <v>86</v>
      </c>
      <c r="D30" t="s">
        <v>11</v>
      </c>
      <c r="F30" t="s">
        <v>85</v>
      </c>
      <c r="G30">
        <f>BoardQty*17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J30">
        <v>19273058</v>
      </c>
      <c r="L30" s="13">
        <f>iferror(lookup(if(K30="",G30,K30),{0,1,10,100,1000,2500,5000,10000,30000,50000,100000},{0.0,0.1,0.014,0.0056,0.00253,0.0022,0.00181,0.00158,0.00138,0.00127,0.00124}),"")</f>
        <v>0</v>
      </c>
      <c r="M30" s="13">
        <f>iferror(if(K30="",G30,K30)*L30,"")</f>
        <v>0</v>
      </c>
      <c r="N30" t="s">
        <v>239</v>
      </c>
      <c r="O30" s="14" t="s">
        <v>220</v>
      </c>
      <c r="R30" s="13">
        <f>iferror(lookup(if(Q30="",G30,Q30),{0,1,100,500,2500,5000},{0.0,0.0069095,0.0069095,0.0059528,0.0035079,0.0026575}),"")</f>
        <v>0</v>
      </c>
      <c r="S30" s="13">
        <f>iferror(if(Q30="",G30,Q30)*R30,"")</f>
        <v>0</v>
      </c>
      <c r="T30" t="s">
        <v>280</v>
      </c>
      <c r="U30" s="14" t="s">
        <v>220</v>
      </c>
      <c r="V30">
        <v>1715094</v>
      </c>
      <c r="X30" s="13">
        <f>iferror(lookup(if(W30="",G30,W30),{0,1,10,100,1000,10000},{0.0,0.101,0.009,0.003,0.002,0.002}),"")</f>
        <v>0</v>
      </c>
      <c r="Y30" s="13">
        <f>iferror(if(W30="",G30,W30)*X30,"")</f>
        <v>0</v>
      </c>
      <c r="Z30" t="s">
        <v>321</v>
      </c>
      <c r="AA30" s="14" t="s">
        <v>220</v>
      </c>
      <c r="AD30" s="13">
        <f>iferror(lookup(if(AC30="",G30,AC30),{0,1,10,25,100,250,1000},{0.0,0.08,0.014,0.009,0.006,0.004,0.002}),"")</f>
        <v>0</v>
      </c>
      <c r="AE30" s="13">
        <f>iferror(if(AC30="",G30,AC30)*AD30,"")</f>
        <v>0</v>
      </c>
      <c r="AF30" t="s">
        <v>368</v>
      </c>
      <c r="AG30" s="14" t="s">
        <v>220</v>
      </c>
    </row>
    <row r="31" spans="1:39">
      <c r="A31" t="s">
        <v>87</v>
      </c>
      <c r="B31" t="s">
        <v>89</v>
      </c>
      <c r="D31" t="s">
        <v>43</v>
      </c>
      <c r="F31" t="s">
        <v>88</v>
      </c>
      <c r="G31">
        <f>BoardQty*2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J31">
        <v>1496</v>
      </c>
      <c r="L31" s="13">
        <f>iferror(lookup(if(K31="",G31,K31),{0,1,10,100,250,500,1000,1250,3000,6000,15000},{0.0,0.64,0.561,0.43,0.67724,0.3399,0.27192,0.4725,0.23925,0.22275,0.2145}),"")</f>
        <v>0</v>
      </c>
      <c r="M31" s="13">
        <f>iferror(if(K31="",G31,K31)*L31,"")</f>
        <v>0</v>
      </c>
      <c r="N31" t="s">
        <v>240</v>
      </c>
      <c r="O31" s="14" t="s">
        <v>220</v>
      </c>
      <c r="R31" s="13">
        <f>iferror(lookup(if(Q31="",G31,Q31),{0,1,10,100,250,500,1000},{0.0,0.700517,0.570831,0.330593,0.294451,0.258309,0.222167}),"")</f>
        <v>0</v>
      </c>
      <c r="S31" s="13">
        <f>iferror(if(Q31="",G31,Q31)*R31,"")</f>
        <v>0</v>
      </c>
      <c r="T31" t="s">
        <v>281</v>
      </c>
      <c r="U31" s="14" t="s">
        <v>220</v>
      </c>
      <c r="V31">
        <v>5853</v>
      </c>
      <c r="X31" s="13">
        <f>iferror(lookup(if(W31="",G31,W31),{0,1,10,100,1000,2000,3000,9000},{0.0,0.612,0.512,0.33,0.264,0.24,0.224,0.215}),"")</f>
        <v>0</v>
      </c>
      <c r="Y31" s="13">
        <f>iferror(if(W31="",G31,W31)*X31,"")</f>
        <v>0</v>
      </c>
      <c r="Z31" t="s">
        <v>322</v>
      </c>
      <c r="AA31" s="14" t="s">
        <v>220</v>
      </c>
      <c r="AD31" s="13">
        <f>iferror(lookup(if(AC31="",G31,AC31),{0,1,10,100,1000,2000,5000,10000,25000},{0.0,0.617,0.516,0.333,0.266,0.241,0.225,0.216,0.208}),"")</f>
        <v>0</v>
      </c>
      <c r="AE31" s="13">
        <f>iferror(if(AC31="",G31,AC31)*AD31,"")</f>
        <v>0</v>
      </c>
      <c r="AF31" t="s">
        <v>369</v>
      </c>
      <c r="AG31" s="14" t="s">
        <v>220</v>
      </c>
    </row>
    <row r="32" spans="1:39">
      <c r="A32" t="s">
        <v>90</v>
      </c>
      <c r="B32" t="s">
        <v>93</v>
      </c>
      <c r="D32" t="s">
        <v>92</v>
      </c>
      <c r="F32" t="s">
        <v>91</v>
      </c>
      <c r="G32">
        <f>BoardQty*1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J32">
        <v>9881</v>
      </c>
      <c r="L32" s="13">
        <f>iferror(lookup(if(K32="",G32,K32),{0,1,10,25,50,100,250,500,1000,2500,5000,10000,15000},{0.0,1.44,1.262,1.188,1.1386,1.089,0.99,0.891,0.792,0.71775,0.63,0.5985,0.585}),"")</f>
        <v>0</v>
      </c>
      <c r="M32" s="13">
        <f>iferror(if(K32="",G32,K32)*L32,"")</f>
        <v>0</v>
      </c>
      <c r="N32" t="s">
        <v>241</v>
      </c>
      <c r="O32" s="14" t="s">
        <v>220</v>
      </c>
      <c r="V32">
        <v>4027</v>
      </c>
      <c r="X32" s="13">
        <f>iferror(lookup(if(W32="",G32,W32),{0,1,10,100,250,500,1000,2500,5000,10000},{0.0,1.31,1.08,0.993,0.903,0.829,0.721,0.654,0.632,0.587}),"")</f>
        <v>0</v>
      </c>
      <c r="Y32" s="13">
        <f>iferror(if(W32="",G32,W32)*X32,"")</f>
        <v>0</v>
      </c>
      <c r="Z32" t="s">
        <v>323</v>
      </c>
      <c r="AA32" s="14" t="s">
        <v>220</v>
      </c>
    </row>
    <row r="33" spans="1:39">
      <c r="A33" t="s">
        <v>94</v>
      </c>
      <c r="B33" t="s">
        <v>97</v>
      </c>
      <c r="D33" t="s">
        <v>96</v>
      </c>
      <c r="F33" t="s">
        <v>95</v>
      </c>
      <c r="G33">
        <f>BoardQty*2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J33">
        <v>78627</v>
      </c>
      <c r="L33" s="13">
        <f>iferror(lookup(if(K33="",G33,K33),{0,1,10,100,500,1000,2000},{0.0,1.7,1.523,1.2242,1.0058,0.83337,0.6975}),"")</f>
        <v>0</v>
      </c>
      <c r="M33" s="13">
        <f>iferror(if(K33="",G33,K33)*L33,"")</f>
        <v>0</v>
      </c>
      <c r="N33" t="s">
        <v>242</v>
      </c>
      <c r="O33" s="14" t="s">
        <v>220</v>
      </c>
      <c r="R33" s="13">
        <f>iferror(lookup(if(Q33="",G33,Q33),{0,1,5,50,250,500,1000},{0.0,1.50946,1.50946,1.19056,1.12678,0.985401,0.969456}),"")</f>
        <v>0</v>
      </c>
      <c r="S33" s="13">
        <f>iferror(if(Q33="",G33,Q33)*R33,"")</f>
        <v>0</v>
      </c>
      <c r="T33" t="s">
        <v>282</v>
      </c>
      <c r="U33" s="14" t="s">
        <v>220</v>
      </c>
      <c r="V33">
        <v>14552</v>
      </c>
      <c r="X33" s="13">
        <f>iferror(lookup(if(W33="",G33,W33),{0,1,10,25,100,250,500,1000,2000},{0.0,1.65,1.48,1.4,1.19,1.11,0.979,0.727,0.727}),"")</f>
        <v>0</v>
      </c>
      <c r="Y33" s="13">
        <f>iferror(if(W33="",G33,W33)*X33,"")</f>
        <v>0</v>
      </c>
      <c r="Z33" t="s">
        <v>324</v>
      </c>
      <c r="AA33" s="14" t="s">
        <v>220</v>
      </c>
      <c r="AD33" s="13">
        <f>iferror(lookup(if(AC33="",G33,AC33),{0,1,10,25,100,250,500,1000},{0.0,1.64,1.48,1.4,1.19,1.12,0.977,0.698}),"")</f>
        <v>0</v>
      </c>
      <c r="AE33" s="13">
        <f>iferror(if(AC33="",G33,AC33)*AD33,"")</f>
        <v>0</v>
      </c>
      <c r="AF33" t="s">
        <v>370</v>
      </c>
      <c r="AG33" s="14" t="s">
        <v>220</v>
      </c>
      <c r="AH33">
        <v>129</v>
      </c>
      <c r="AJ33" s="13">
        <f>iferror(lookup(if(AI33="",G33,AI33),{0,1,10},{0.0,1.76458,1.61576}),"")</f>
        <v>0</v>
      </c>
      <c r="AK33" s="13">
        <f>iferror(if(AI33="",G33,AI33)*AJ33,"")</f>
        <v>0</v>
      </c>
      <c r="AL33" t="s">
        <v>397</v>
      </c>
      <c r="AM33" s="14" t="s">
        <v>220</v>
      </c>
    </row>
    <row r="34" spans="1:39">
      <c r="A34" t="s">
        <v>98</v>
      </c>
      <c r="B34" t="s">
        <v>99</v>
      </c>
      <c r="D34" t="s">
        <v>100</v>
      </c>
      <c r="F34" t="s">
        <v>99</v>
      </c>
      <c r="G34">
        <f>BoardQty*3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J34">
        <v>13991</v>
      </c>
      <c r="L34" s="13">
        <f>iferror(lookup(if(K34="",G34,K34),{0,1,10,100,500,1000,5000,10000,25000,50000},{0.0,0.39,0.297,0.1849,0.12654,0.09734,0.08033,0.07324,0.06851,0.063}),"")</f>
        <v>0</v>
      </c>
      <c r="M34" s="13">
        <f>iferror(if(K34="",G34,K34)*L34,"")</f>
        <v>0</v>
      </c>
      <c r="N34" t="s">
        <v>243</v>
      </c>
      <c r="O34" s="14" t="s">
        <v>220</v>
      </c>
      <c r="R34" s="13">
        <f>iferror(lookup(if(Q34="",G34,Q34),{0,1,100,250,1000,3000,7000,30000},{0.0,0.104174,0.104174,0.091418,0.079725,0.077599,0.065906,0.059528}),"")</f>
        <v>0</v>
      </c>
      <c r="S34" s="13">
        <f>iferror(if(Q34="",G34,Q34)*R34,"")</f>
        <v>0</v>
      </c>
      <c r="T34" t="s">
        <v>283</v>
      </c>
      <c r="U34" s="14" t="s">
        <v>220</v>
      </c>
      <c r="V34">
        <v>11082</v>
      </c>
      <c r="X34" s="13">
        <f>iferror(lookup(if(W34="",G34,W34),{0,1,10,100,1000,5000,10000,25000,50000,100000},{0.0,0.371,0.255,0.119,0.091,0.077,0.071,0.066,0.059,0.058}),"")</f>
        <v>0</v>
      </c>
      <c r="Y34" s="13">
        <f>iferror(if(W34="",G34,W34)*X34,"")</f>
        <v>0</v>
      </c>
      <c r="Z34" t="s">
        <v>325</v>
      </c>
      <c r="AA34" s="14" t="s">
        <v>220</v>
      </c>
      <c r="AD34" s="13">
        <f>iferror(lookup(if(AC34="",G34,AC34),{0,1,10,25,50,100,250,500,1000},{0.0,0.37,0.255,0.209,0.164,0.118,0.109,0.099,0.09}),"")</f>
        <v>0</v>
      </c>
      <c r="AE34" s="13">
        <f>iferror(if(AC34="",G34,AC34)*AD34,"")</f>
        <v>0</v>
      </c>
      <c r="AF34" t="s">
        <v>371</v>
      </c>
      <c r="AG34" s="14" t="s">
        <v>220</v>
      </c>
      <c r="AH34">
        <v>90</v>
      </c>
      <c r="AJ34" s="13">
        <f>iferror(lookup(if(AI34="",G34,AI34),{0,1,10,50},{0.0,0.242364,0.242364,0.176458}),"")</f>
        <v>0</v>
      </c>
      <c r="AK34" s="13">
        <f>iferror(if(AI34="",G34,AI34)*AJ34,"")</f>
        <v>0</v>
      </c>
      <c r="AL34" t="s">
        <v>398</v>
      </c>
      <c r="AM34" s="14" t="s">
        <v>220</v>
      </c>
    </row>
    <row r="35" spans="1:39">
      <c r="A35" t="s">
        <v>101</v>
      </c>
      <c r="B35" t="s">
        <v>102</v>
      </c>
      <c r="D35" t="s">
        <v>103</v>
      </c>
      <c r="F35" t="s">
        <v>102</v>
      </c>
      <c r="G35">
        <f>BoardQty*1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J35">
        <v>1204</v>
      </c>
      <c r="L35" s="13">
        <f>iferror(lookup(if(K35="",G35,K35),{0,1,10,100,500,1000,3000,6000,15000,30000,75000},{0.0,0.48,0.362,0.2255,0.15426,0.11866,0.10368,0.09792,0.08928,0.08352,0.07488}),"")</f>
        <v>0</v>
      </c>
      <c r="M35" s="13">
        <f>iferror(if(K35="",G35,K35)*L35,"")</f>
        <v>0</v>
      </c>
      <c r="N35" t="s">
        <v>244</v>
      </c>
      <c r="O35" s="14" t="s">
        <v>220</v>
      </c>
      <c r="V35">
        <v>2633</v>
      </c>
      <c r="X35" s="13">
        <f>iferror(lookup(if(W35="",G35,W35),{0,1,10,100,1000,3000,9000,24000,45000},{0.0,0.472,0.328,0.15,0.116,0.099,0.091,0.084,0.076}),"")</f>
        <v>0</v>
      </c>
      <c r="Y35" s="13">
        <f>iferror(if(W35="",G35,W35)*X35,"")</f>
        <v>0</v>
      </c>
      <c r="Z35" t="s">
        <v>326</v>
      </c>
      <c r="AA35" s="14" t="s">
        <v>220</v>
      </c>
      <c r="AH35">
        <v>2650</v>
      </c>
      <c r="AJ35" s="13">
        <f>iferror(lookup(if(AI35="",G35,AI35),{0,1,50,250},{0.0,0.152009,0.152009,0.109489}),"")</f>
        <v>0</v>
      </c>
      <c r="AK35" s="13">
        <f>iferror(if(AI35="",G35,AI35)*AJ35,"")</f>
        <v>0</v>
      </c>
      <c r="AL35" t="s">
        <v>399</v>
      </c>
      <c r="AM35" s="14" t="s">
        <v>220</v>
      </c>
    </row>
    <row r="36" spans="1:39">
      <c r="A36" t="s">
        <v>104</v>
      </c>
      <c r="B36" t="s">
        <v>105</v>
      </c>
      <c r="D36" t="s">
        <v>43</v>
      </c>
      <c r="F36" t="s">
        <v>105</v>
      </c>
      <c r="G36">
        <f>BoardQty*1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R36" s="13">
        <f>iferror(lookup(if(Q36="",G36,Q36),{0,1,10,250,1000,3000,7000,30000},{0.0,0.112678,0.112678,0.0781305,0.0634611,0.0537878,0.048898,0.0415633}),"")</f>
        <v>0</v>
      </c>
      <c r="S36" s="13">
        <f>iferror(if(Q36="",G36,Q36)*R36,"")</f>
        <v>0</v>
      </c>
      <c r="T36" t="s">
        <v>284</v>
      </c>
      <c r="U36" s="14" t="s">
        <v>220</v>
      </c>
      <c r="V36">
        <v>136696</v>
      </c>
      <c r="X36" s="13">
        <f>iferror(lookup(if(W36="",G36,W36),{0,1,10,100,1000,3000,9000,24000,45000,99000},{0.0,0.19,0.167,0.059,0.039,0.03,0.026,0.024,0.021,0.019}),"")</f>
        <v>0</v>
      </c>
      <c r="Y36" s="13">
        <f>iferror(if(W36="",G36,W36)*X36,"")</f>
        <v>0</v>
      </c>
      <c r="Z36" t="s">
        <v>327</v>
      </c>
      <c r="AA36" s="14" t="s">
        <v>220</v>
      </c>
      <c r="AD36" s="13">
        <f>iferror(lookup(if(AC36="",G36,AC36),{0,1,25,50,100,250,500,1000},{0.0,0.19,0.167,0.113,0.059,0.052,0.046,0.039}),"")</f>
        <v>0</v>
      </c>
      <c r="AE36" s="13">
        <f>iferror(if(AC36="",G36,AC36)*AD36,"")</f>
        <v>0</v>
      </c>
      <c r="AF36" t="s">
        <v>372</v>
      </c>
      <c r="AG36" s="14" t="s">
        <v>220</v>
      </c>
      <c r="AJ36" s="13">
        <f>iferror(lookup(if(AI36="",G36,AI36),{0,1,25,50},{0.0,0.144568,0.144568,0.133938}),"")</f>
        <v>0</v>
      </c>
      <c r="AK36" s="13">
        <f>iferror(if(AI36="",G36,AI36)*AJ36,"")</f>
        <v>0</v>
      </c>
      <c r="AL36" t="s">
        <v>400</v>
      </c>
      <c r="AM36" s="14" t="s">
        <v>220</v>
      </c>
    </row>
    <row r="37" spans="1:39">
      <c r="A37" t="s">
        <v>106</v>
      </c>
      <c r="B37" t="s">
        <v>109</v>
      </c>
      <c r="D37" t="s">
        <v>108</v>
      </c>
      <c r="F37" t="s">
        <v>107</v>
      </c>
      <c r="G37">
        <f>BoardQty*1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  <c r="J37">
        <v>28372</v>
      </c>
      <c r="L37" s="13">
        <f>iferror(lookup(if(K37="",G37,K37),{0,1,25,100,3000},{0.0,0.38,0.3692,0.359,0.359}),"")</f>
        <v>0</v>
      </c>
      <c r="M37" s="13">
        <f>iferror(if(K37="",G37,K37)*L37,"")</f>
        <v>0</v>
      </c>
      <c r="N37" t="s">
        <v>245</v>
      </c>
      <c r="O37" s="14" t="s">
        <v>220</v>
      </c>
      <c r="R37" s="13">
        <f>iferror(lookup(if(Q37="",G37,Q37),{0,1,100},{0.0,0.285947,0.285947}),"")</f>
        <v>0</v>
      </c>
      <c r="S37" s="13">
        <f>iferror(if(Q37="",G37,Q37)*R37,"")</f>
        <v>0</v>
      </c>
      <c r="T37" t="s">
        <v>285</v>
      </c>
      <c r="U37" s="14" t="s">
        <v>220</v>
      </c>
      <c r="V37">
        <v>20352</v>
      </c>
      <c r="X37" s="13">
        <f>iferror(lookup(if(W37="",G37,W37),{0,1,10,25,100,3000},{0.0,0.391,0.32,0.31,0.301,0.301}),"")</f>
        <v>0</v>
      </c>
      <c r="Y37" s="13">
        <f>iferror(if(W37="",G37,W37)*X37,"")</f>
        <v>0</v>
      </c>
      <c r="Z37" t="s">
        <v>328</v>
      </c>
      <c r="AA37" s="14" t="s">
        <v>220</v>
      </c>
      <c r="AD37" s="13">
        <f>iferror(lookup(if(AC37="",G37,AC37),{0,1,25,100},{0.0,0.333,0.321,0.318}),"")</f>
        <v>0</v>
      </c>
      <c r="AE37" s="13">
        <f>iferror(if(AC37="",G37,AC37)*AD37,"")</f>
        <v>0</v>
      </c>
      <c r="AF37" t="s">
        <v>373</v>
      </c>
      <c r="AG37" s="14" t="s">
        <v>220</v>
      </c>
      <c r="AL37" t="s">
        <v>401</v>
      </c>
      <c r="AM37" s="14" t="s">
        <v>220</v>
      </c>
    </row>
    <row r="38" spans="1:39">
      <c r="A38" t="s">
        <v>110</v>
      </c>
      <c r="B38" t="s">
        <v>112</v>
      </c>
      <c r="D38" t="s">
        <v>43</v>
      </c>
      <c r="F38" t="s">
        <v>111</v>
      </c>
      <c r="G38">
        <f>BoardQty*2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  <c r="J38">
        <v>42220</v>
      </c>
      <c r="L38" s="13">
        <f>iferror(lookup(if(K38="",G38,K38),{0,1,10,100,500,1000,3000},{0.0,0.3,0.248,0.1317,0.08666,0.05893,0.05161}),"")</f>
        <v>0</v>
      </c>
      <c r="M38" s="13">
        <f>iferror(if(K38="",G38,K38)*L38,"")</f>
        <v>0</v>
      </c>
      <c r="N38" t="s">
        <v>246</v>
      </c>
      <c r="O38" s="14" t="s">
        <v>220</v>
      </c>
      <c r="V38">
        <v>44446</v>
      </c>
      <c r="X38" s="13">
        <f>iferror(lookup(if(W38="",G38,W38),{0,1,10,100,1000,2500,10000,18000,36000,90000},{0.0,0.271,0.185,0.077,0.053,0.041,0.035,0.034,0.031,0.027}),"")</f>
        <v>0</v>
      </c>
      <c r="Y38" s="13">
        <f>iferror(if(W38="",G38,W38)*X38,"")</f>
        <v>0</v>
      </c>
      <c r="Z38" t="s">
        <v>329</v>
      </c>
      <c r="AA38" s="14" t="s">
        <v>220</v>
      </c>
    </row>
    <row r="39" spans="1:39">
      <c r="A39" t="s">
        <v>113</v>
      </c>
      <c r="B39" t="s">
        <v>116</v>
      </c>
      <c r="D39" t="s">
        <v>115</v>
      </c>
      <c r="F39" t="s">
        <v>114</v>
      </c>
      <c r="G39">
        <f>BoardQty*1</f>
        <v>0</v>
      </c>
      <c r="H3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9" s="13">
        <f>iferror(G39*H39,"")</f>
        <v>0</v>
      </c>
      <c r="J39">
        <v>179</v>
      </c>
      <c r="L39" s="13">
        <f>iferror(lookup(if(K39="",G39,K39),{0,1,10,100},{0.0,49.5,46.5,41.7}),"")</f>
        <v>0</v>
      </c>
      <c r="M39" s="13">
        <f>iferror(if(K39="",G39,K39)*L39,"")</f>
        <v>0</v>
      </c>
      <c r="N39" t="s">
        <v>247</v>
      </c>
      <c r="O39" s="14" t="s">
        <v>220</v>
      </c>
      <c r="V39">
        <v>932</v>
      </c>
      <c r="X39" s="13">
        <f>iferror(lookup(if(W39="",G39,W39),{0,1,10,100},{0.0,49.62,46.61,41.8}),"")</f>
        <v>0</v>
      </c>
      <c r="Y39" s="13">
        <f>iferror(if(W39="",G39,W39)*X39,"")</f>
        <v>0</v>
      </c>
      <c r="Z39" t="s">
        <v>330</v>
      </c>
      <c r="AA39" s="14" t="s">
        <v>220</v>
      </c>
    </row>
    <row r="40" spans="1:39">
      <c r="A40" t="s">
        <v>117</v>
      </c>
      <c r="B40" t="s">
        <v>118</v>
      </c>
      <c r="D40" t="s">
        <v>73</v>
      </c>
      <c r="G40">
        <f>BoardQty*1</f>
        <v>0</v>
      </c>
      <c r="H4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0" s="13">
        <f>iferror(G40*H40,"")</f>
        <v>0</v>
      </c>
    </row>
    <row r="41" spans="1:39">
      <c r="A41" t="s">
        <v>119</v>
      </c>
      <c r="B41" t="s">
        <v>120</v>
      </c>
      <c r="D41" t="s">
        <v>11</v>
      </c>
      <c r="F41" t="s">
        <v>46</v>
      </c>
      <c r="G41">
        <f>BoardQty*2</f>
        <v>0</v>
      </c>
      <c r="H4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13">
        <f>iferror(G41*H41,"")</f>
        <v>0</v>
      </c>
      <c r="J41">
        <v>15520665</v>
      </c>
      <c r="L41" s="13">
        <f>iferror(lookup(if(K41="",G41,K41),{0,1,10,25,50,100,250,500,1000,5000,10000,30000,50000,100000},{0.0,0.1,0.01,0.0068,0.0052,0.0038,0.00288,0.0023,0.0017,0.00122,0.00097,0.00086,0.00078,0.00077}),"")</f>
        <v>0</v>
      </c>
      <c r="M41" s="13">
        <f>iferror(if(K41="",G41,K41)*L41,"")</f>
        <v>0</v>
      </c>
      <c r="N41" t="s">
        <v>230</v>
      </c>
      <c r="O41" s="14" t="s">
        <v>220</v>
      </c>
      <c r="R41" s="13">
        <f>iferror(lookup(if(Q41="",G41,Q41),{0,1,100,500,2500,5000},{0.0,0.0069095,0.0069095,0.0059528,0.0035079,0.0026575}),"")</f>
        <v>0</v>
      </c>
      <c r="S41" s="13">
        <f>iferror(if(Q41="",G41,Q41)*R41,"")</f>
        <v>0</v>
      </c>
      <c r="T41" t="s">
        <v>275</v>
      </c>
      <c r="U41" s="14" t="s">
        <v>220</v>
      </c>
      <c r="V41">
        <v>746488</v>
      </c>
      <c r="X41" s="13">
        <f>iferror(lookup(if(W41="",G41,W41),{0,1,10,100,1000,2500,10000},{0.0,0.101,0.009,0.003,0.002,0.001,0.001}),"")</f>
        <v>0</v>
      </c>
      <c r="Y41" s="13">
        <f>iferror(if(W41="",G41,W41)*X41,"")</f>
        <v>0</v>
      </c>
      <c r="Z41" t="s">
        <v>312</v>
      </c>
      <c r="AA41" s="14" t="s">
        <v>220</v>
      </c>
      <c r="AD41" s="13">
        <f>iferror(lookup(if(AC41="",G41,AC41),{0,1,10000,20000},{0.0,0.002,0.002,0.001}),"")</f>
        <v>0</v>
      </c>
      <c r="AE41" s="13">
        <f>iferror(if(AC41="",G41,AC41)*AD41,"")</f>
        <v>0</v>
      </c>
      <c r="AF41" t="s">
        <v>361</v>
      </c>
      <c r="AG41" s="14" t="s">
        <v>220</v>
      </c>
      <c r="AH41">
        <v>16</v>
      </c>
      <c r="AJ41" s="13">
        <f>iferror(lookup(if(AI41="",G41,AI41),{0,1,2,3,4,5},{0.0,14.47806,5.15555,5.02799,4.83665,4.70909}),"")</f>
        <v>0</v>
      </c>
      <c r="AK41" s="13">
        <f>iferror(if(AI41="",G41,AI41)*AJ41,"")</f>
        <v>0</v>
      </c>
      <c r="AL41" t="s">
        <v>395</v>
      </c>
      <c r="AM41" s="14" t="s">
        <v>220</v>
      </c>
    </row>
    <row r="42" spans="1:39">
      <c r="A42" t="s">
        <v>121</v>
      </c>
      <c r="B42" t="s">
        <v>123</v>
      </c>
      <c r="D42" t="s">
        <v>11</v>
      </c>
      <c r="F42" t="s">
        <v>122</v>
      </c>
      <c r="G42">
        <f>BoardQty*1</f>
        <v>0</v>
      </c>
      <c r="H4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2" s="13">
        <f>iferror(G42*H42,"")</f>
        <v>0</v>
      </c>
      <c r="J42">
        <v>7637483</v>
      </c>
      <c r="L42" s="13">
        <f>iferror(lookup(if(K42="",G42,K42),{0,1,10,100,1000,2500,5000,10000,30000,50000,100000},{0.0,0.1,0.014,0.0056,0.00253,0.0022,0.00181,0.00158,0.00138,0.00127,0.00124}),"")</f>
        <v>0</v>
      </c>
      <c r="M42" s="13">
        <f>iferror(if(K42="",G42,K42)*L42,"")</f>
        <v>0</v>
      </c>
      <c r="N42" t="s">
        <v>248</v>
      </c>
      <c r="O42" s="14" t="s">
        <v>220</v>
      </c>
      <c r="R42" s="13">
        <f>iferror(lookup(if(Q42="",G42,Q42),{0,1,100,500,2500,5000},{0.0,0.0069095,0.0069095,0.0059528,0.0035079,0.0026575}),"")</f>
        <v>0</v>
      </c>
      <c r="S42" s="13">
        <f>iferror(if(Q42="",G42,Q42)*R42,"")</f>
        <v>0</v>
      </c>
      <c r="T42" t="s">
        <v>286</v>
      </c>
      <c r="U42" s="14" t="s">
        <v>220</v>
      </c>
      <c r="V42">
        <v>677189</v>
      </c>
      <c r="X42" s="13">
        <f>iferror(lookup(if(W42="",G42,W42),{0,1,10,100,1000,10000},{0.0,0.101,0.009,0.003,0.002,0.002}),"")</f>
        <v>0</v>
      </c>
      <c r="Y42" s="13">
        <f>iferror(if(W42="",G42,W42)*X42,"")</f>
        <v>0</v>
      </c>
      <c r="Z42" t="s">
        <v>331</v>
      </c>
      <c r="AA42" s="14" t="s">
        <v>220</v>
      </c>
      <c r="AD42" s="13">
        <f>iferror(lookup(if(AC42="",G42,AC42),{0,1,10,25,100,250,1000},{0.0,0.08,0.014,0.009,0.006,0.004,0.002}),"")</f>
        <v>0</v>
      </c>
      <c r="AE42" s="13">
        <f>iferror(if(AC42="",G42,AC42)*AD42,"")</f>
        <v>0</v>
      </c>
      <c r="AF42" t="s">
        <v>374</v>
      </c>
      <c r="AG42" s="14" t="s">
        <v>220</v>
      </c>
    </row>
    <row r="43" spans="1:39">
      <c r="A43" t="s">
        <v>124</v>
      </c>
      <c r="B43" t="s">
        <v>126</v>
      </c>
      <c r="D43" t="s">
        <v>11</v>
      </c>
      <c r="F43" t="s">
        <v>125</v>
      </c>
      <c r="G43">
        <f>BoardQty*2</f>
        <v>0</v>
      </c>
      <c r="H4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3" s="13">
        <f>iferror(G43*H43,"")</f>
        <v>0</v>
      </c>
      <c r="J43">
        <v>4237795</v>
      </c>
      <c r="L43" s="13">
        <f>iferror(lookup(if(K43="",G43,K43),{0,1,10,100,1000,2500,5000,10000,30000,50000,100000},{0.0,0.1,0.014,0.0056,0.00253,0.0022,0.00181,0.00158,0.00138,0.00127,0.00124}),"")</f>
        <v>0</v>
      </c>
      <c r="M43" s="13">
        <f>iferror(if(K43="",G43,K43)*L43,"")</f>
        <v>0</v>
      </c>
      <c r="N43" t="s">
        <v>249</v>
      </c>
      <c r="O43" s="14" t="s">
        <v>220</v>
      </c>
      <c r="R43" s="13">
        <f>iferror(lookup(if(Q43="",G43,Q43),{0,1,100,500,2500,5000},{0.0,0.0069095,0.0069095,0.0059528,0.0035079,0.0026575}),"")</f>
        <v>0</v>
      </c>
      <c r="S43" s="13">
        <f>iferror(if(Q43="",G43,Q43)*R43,"")</f>
        <v>0</v>
      </c>
      <c r="T43" t="s">
        <v>287</v>
      </c>
      <c r="U43" s="14" t="s">
        <v>220</v>
      </c>
      <c r="V43">
        <v>276008</v>
      </c>
      <c r="X43" s="13">
        <f>iferror(lookup(if(W43="",G43,W43),{0,1,10,100,1000,2500,10000},{0.0,0.101,0.009,0.003,0.002,0.001,0.001}),"")</f>
        <v>0</v>
      </c>
      <c r="Y43" s="13">
        <f>iferror(if(W43="",G43,W43)*X43,"")</f>
        <v>0</v>
      </c>
      <c r="Z43" t="s">
        <v>332</v>
      </c>
      <c r="AA43" s="14" t="s">
        <v>220</v>
      </c>
      <c r="AD43" s="13">
        <f>iferror(lookup(if(AC43="",G43,AC43),{0,1,10,25,100,250,1000},{0.0,0.08,0.014,0.009,0.006,0.004,0.002}),"")</f>
        <v>0</v>
      </c>
      <c r="AE43" s="13">
        <f>iferror(if(AC43="",G43,AC43)*AD43,"")</f>
        <v>0</v>
      </c>
      <c r="AF43" t="s">
        <v>375</v>
      </c>
      <c r="AG43" s="14" t="s">
        <v>220</v>
      </c>
      <c r="AH43">
        <v>3</v>
      </c>
      <c r="AJ43" s="13">
        <f>iferror(lookup(if(AI43="",G43,AI43),{0,1,5,10,25},{0.0,22.65253,17.84777,13.53199,10.65126}),"")</f>
        <v>0</v>
      </c>
      <c r="AK43" s="13">
        <f>iferror(if(AI43="",G43,AI43)*AJ43,"")</f>
        <v>0</v>
      </c>
      <c r="AL43" t="s">
        <v>402</v>
      </c>
      <c r="AM43" s="14" t="s">
        <v>220</v>
      </c>
    </row>
    <row r="44" spans="1:39">
      <c r="A44" t="s">
        <v>127</v>
      </c>
      <c r="B44" t="s">
        <v>128</v>
      </c>
      <c r="D44" t="s">
        <v>129</v>
      </c>
      <c r="F44" t="s">
        <v>128</v>
      </c>
      <c r="G44">
        <f>BoardQty*1</f>
        <v>0</v>
      </c>
      <c r="H4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4" s="13">
        <f>iferror(G44*H44,"")</f>
        <v>0</v>
      </c>
      <c r="J44">
        <v>84097</v>
      </c>
      <c r="L44" s="13">
        <f>iferror(lookup(if(K44="",G44,K44),{0,1,10,100,250,500,1000,1250,1500,3000,6000,15000},{0.0,0.61,0.521,0.3893,0.36424,0.30592,0.23639,0.248,0.2752,0.2204,0.19575,0.18225}),"")</f>
        <v>0</v>
      </c>
      <c r="M44" s="13">
        <f>iferror(if(K44="",G44,K44)*L44,"")</f>
        <v>0</v>
      </c>
      <c r="N44" t="s">
        <v>250</v>
      </c>
      <c r="O44" s="14" t="s">
        <v>220</v>
      </c>
      <c r="R44" s="13">
        <f>iferror(lookup(if(Q44="",G44,Q44),{0,1,80,250,750,1500},{0.0,0.551697,0.29764,0.278506,0.259372,0.216852}),"")</f>
        <v>0</v>
      </c>
      <c r="S44" s="13">
        <f>iferror(if(Q44="",G44,Q44)*R44,"")</f>
        <v>0</v>
      </c>
      <c r="T44" t="s">
        <v>288</v>
      </c>
      <c r="U44" s="14" t="s">
        <v>220</v>
      </c>
      <c r="V44">
        <v>23908</v>
      </c>
      <c r="X44" s="13">
        <f>iferror(lookup(if(W44="",G44,W44),{0,1,10,100,1000,3000,9000,24000},{0.0,0.581,0.488,0.298,0.231,0.196,0.183,0.176}),"")</f>
        <v>0</v>
      </c>
      <c r="Y44" s="13">
        <f>iferror(if(W44="",G44,W44)*X44,"")</f>
        <v>0</v>
      </c>
      <c r="Z44" t="s">
        <v>333</v>
      </c>
      <c r="AA44" s="14" t="s">
        <v>220</v>
      </c>
      <c r="AD44" s="13">
        <f>iferror(lookup(if(AC44="",G44,AC44),{0,1,10,100,1000},{0.0,0.585,0.488,0.297,0.23}),"")</f>
        <v>0</v>
      </c>
      <c r="AE44" s="13">
        <f>iferror(if(AC44="",G44,AC44)*AD44,"")</f>
        <v>0</v>
      </c>
      <c r="AF44" t="s">
        <v>376</v>
      </c>
      <c r="AG44" s="14" t="s">
        <v>220</v>
      </c>
      <c r="AH44">
        <v>160</v>
      </c>
      <c r="AJ44" s="13">
        <f>iferror(lookup(if(AI44="",G44,AI44),{0,1,10,20},{0.0,0.468783,0.468783,0.376302}),"")</f>
        <v>0</v>
      </c>
      <c r="AK44" s="13">
        <f>iferror(if(AI44="",G44,AI44)*AJ44,"")</f>
        <v>0</v>
      </c>
      <c r="AL44" t="s">
        <v>403</v>
      </c>
      <c r="AM44" s="14" t="s">
        <v>220</v>
      </c>
    </row>
    <row r="45" spans="1:39">
      <c r="A45" t="s">
        <v>130</v>
      </c>
      <c r="B45" t="s">
        <v>132</v>
      </c>
      <c r="D45" t="s">
        <v>23</v>
      </c>
      <c r="F45" t="s">
        <v>131</v>
      </c>
      <c r="G45">
        <f>BoardQty*3</f>
        <v>0</v>
      </c>
      <c r="H4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5" s="13">
        <f>iferror(G45*H45,"")</f>
        <v>0</v>
      </c>
      <c r="J45">
        <v>188590</v>
      </c>
      <c r="L45" s="13">
        <f>iferror(lookup(if(K45="",G45,K45),{0,1,10,100,500,1000,2500,5000,10000,20000,30000,50000},{0.0,0.1,0.042,0.0186,0.01328,0.01044,0.00949,0.00873,0.00693,0.0066,0.00627,0.00561}),"")</f>
        <v>0</v>
      </c>
      <c r="M45" s="13">
        <f>iferror(if(K45="",G45,K45)*L45,"")</f>
        <v>0</v>
      </c>
      <c r="N45" t="s">
        <v>251</v>
      </c>
      <c r="O45" s="14" t="s">
        <v>220</v>
      </c>
      <c r="R45" s="13">
        <f>iferror(lookup(if(Q45="",G45,Q45),{0,1,100,500,2500,5000,10000,50000,100000},{0.0,0.0190277,0.0190277,0.0122245,0.0093544,0.0087166,0.0077599,0.0066969,0.0065906}),"")</f>
        <v>0</v>
      </c>
      <c r="S45" s="13">
        <f>iferror(if(Q45="",G45,Q45)*R45,"")</f>
        <v>0</v>
      </c>
      <c r="T45" t="s">
        <v>289</v>
      </c>
      <c r="U45" s="14" t="s">
        <v>220</v>
      </c>
      <c r="X45" s="13">
        <f>iferror(lookup(if(W45="",G45,W45),{0,1,10,100,500,1000,2500,10000},{0.0,0.11,0.021,0.015,0.013,0.01,0.008,0.007}),"")</f>
        <v>0</v>
      </c>
      <c r="Y45" s="13">
        <f>iferror(if(W45="",G45,W45)*X45,"")</f>
        <v>0</v>
      </c>
      <c r="Z45" t="s">
        <v>334</v>
      </c>
      <c r="AA45" s="14" t="s">
        <v>220</v>
      </c>
      <c r="AD45" s="13">
        <f>iferror(lookup(if(AC45="",G45,AC45),{0,1,10,25,50,100,250,500,1000},{0.0,0.021,0.021,0.019,0.017,0.015,0.014,0.013,0.01}),"")</f>
        <v>0</v>
      </c>
      <c r="AE45" s="13">
        <f>iferror(if(AC45="",G45,AC45)*AD45,"")</f>
        <v>0</v>
      </c>
      <c r="AF45" t="s">
        <v>377</v>
      </c>
      <c r="AG45" s="14" t="s">
        <v>220</v>
      </c>
    </row>
    <row r="46" spans="1:39">
      <c r="A46" t="s">
        <v>133</v>
      </c>
      <c r="B46" t="s">
        <v>134</v>
      </c>
      <c r="D46" t="s">
        <v>11</v>
      </c>
      <c r="F46" t="s">
        <v>46</v>
      </c>
      <c r="G46">
        <f>BoardQty*1</f>
        <v>0</v>
      </c>
      <c r="H4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6" s="13">
        <f>iferror(G46*H46,"")</f>
        <v>0</v>
      </c>
      <c r="J46">
        <v>15520665</v>
      </c>
      <c r="L46" s="13">
        <f>iferror(lookup(if(K46="",G46,K46),{0,1,10,25,50,100,250,500,1000,5000,10000,30000,50000,100000},{0.0,0.1,0.01,0.0068,0.0052,0.0038,0.00288,0.0023,0.0017,0.00122,0.00097,0.00086,0.00078,0.00077}),"")</f>
        <v>0</v>
      </c>
      <c r="M46" s="13">
        <f>iferror(if(K46="",G46,K46)*L46,"")</f>
        <v>0</v>
      </c>
      <c r="N46" t="s">
        <v>230</v>
      </c>
      <c r="O46" s="14" t="s">
        <v>220</v>
      </c>
      <c r="R46" s="13">
        <f>iferror(lookup(if(Q46="",G46,Q46),{0,1,100,500,2500,5000},{0.0,0.0069095,0.0069095,0.0059528,0.0035079,0.0026575}),"")</f>
        <v>0</v>
      </c>
      <c r="S46" s="13">
        <f>iferror(if(Q46="",G46,Q46)*R46,"")</f>
        <v>0</v>
      </c>
      <c r="T46" t="s">
        <v>275</v>
      </c>
      <c r="U46" s="14" t="s">
        <v>220</v>
      </c>
      <c r="V46">
        <v>746488</v>
      </c>
      <c r="X46" s="13">
        <f>iferror(lookup(if(W46="",G46,W46),{0,1,10,100,1000,2500,10000},{0.0,0.101,0.009,0.003,0.002,0.001,0.001}),"")</f>
        <v>0</v>
      </c>
      <c r="Y46" s="13">
        <f>iferror(if(W46="",G46,W46)*X46,"")</f>
        <v>0</v>
      </c>
      <c r="Z46" t="s">
        <v>312</v>
      </c>
      <c r="AA46" s="14" t="s">
        <v>220</v>
      </c>
      <c r="AD46" s="13">
        <f>iferror(lookup(if(AC46="",G46,AC46),{0,1,10000,20000},{0.0,0.002,0.002,0.001}),"")</f>
        <v>0</v>
      </c>
      <c r="AE46" s="13">
        <f>iferror(if(AC46="",G46,AC46)*AD46,"")</f>
        <v>0</v>
      </c>
      <c r="AF46" t="s">
        <v>361</v>
      </c>
      <c r="AG46" s="14" t="s">
        <v>220</v>
      </c>
      <c r="AH46">
        <v>16</v>
      </c>
      <c r="AJ46" s="13">
        <f>iferror(lookup(if(AI46="",G46,AI46),{0,1,2,3,4,5},{0.0,14.47806,5.15555,5.02799,4.83665,4.70909}),"")</f>
        <v>0</v>
      </c>
      <c r="AK46" s="13">
        <f>iferror(if(AI46="",G46,AI46)*AJ46,"")</f>
        <v>0</v>
      </c>
      <c r="AL46" t="s">
        <v>395</v>
      </c>
      <c r="AM46" s="14" t="s">
        <v>220</v>
      </c>
    </row>
    <row r="47" spans="1:39">
      <c r="A47" t="s">
        <v>135</v>
      </c>
      <c r="B47" t="s">
        <v>137</v>
      </c>
      <c r="D47" t="s">
        <v>31</v>
      </c>
      <c r="F47" t="s">
        <v>136</v>
      </c>
      <c r="G47">
        <f>BoardQty*1</f>
        <v>0</v>
      </c>
      <c r="H4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7" s="13">
        <f>iferror(G47*H47,"")</f>
        <v>0</v>
      </c>
      <c r="J47">
        <v>614929</v>
      </c>
      <c r="L47" s="13">
        <f>iferror(lookup(if(K47="",G47,K47),{0,1,10,25,50,100,250,500,1000,4000,8000,12000,28000,100000},{0.0,0.1,0.078,0.0704,0.0634,0.0465,0.03384,0.03102,0.02679,0.02053,0.0186,0.01796,0.01668,0.01649}),"")</f>
        <v>0</v>
      </c>
      <c r="M47" s="13">
        <f>iferror(if(K47="",G47,K47)*L47,"")</f>
        <v>0</v>
      </c>
      <c r="N47" t="s">
        <v>252</v>
      </c>
      <c r="O47" s="14" t="s">
        <v>220</v>
      </c>
      <c r="R47" s="13">
        <f>iferror(lookup(if(Q47="",G47,Q47),{0,1,100,500,1000,2000,4000,20000,40000},{0.0,0.0551697,0.0551697,0.0413507,0.0355042,0.0310396,0.027638,0.0207285,0.0203033}),"")</f>
        <v>0</v>
      </c>
      <c r="S47" s="13">
        <f>iferror(if(Q47="",G47,Q47)*R47,"")</f>
        <v>0</v>
      </c>
      <c r="T47" t="s">
        <v>290</v>
      </c>
      <c r="U47" s="14" t="s">
        <v>220</v>
      </c>
      <c r="V47">
        <v>214966</v>
      </c>
      <c r="X47" s="13">
        <f>iferror(lookup(if(W47="",G47,W47),{0,1,10,100,1000,4000},{0.0,0.112,0.073,0.035,0.03,0.021}),"")</f>
        <v>0</v>
      </c>
      <c r="Y47" s="13">
        <f>iferror(if(W47="",G47,W47)*X47,"")</f>
        <v>0</v>
      </c>
      <c r="Z47" t="s">
        <v>335</v>
      </c>
      <c r="AA47" s="14" t="s">
        <v>220</v>
      </c>
      <c r="AD47" s="13">
        <f>iferror(lookup(if(AC47="",G47,AC47),{0,1,10,250,500,1000,5000},{0.0,0.047,0.047,0.036,0.032,0.029,0.026}),"")</f>
        <v>0</v>
      </c>
      <c r="AE47" s="13">
        <f>iferror(if(AC47="",G47,AC47)*AD47,"")</f>
        <v>0</v>
      </c>
      <c r="AF47" t="s">
        <v>378</v>
      </c>
      <c r="AG47" s="14" t="s">
        <v>220</v>
      </c>
      <c r="AL47" t="s">
        <v>404</v>
      </c>
      <c r="AM47" s="14" t="s">
        <v>220</v>
      </c>
    </row>
    <row r="48" spans="1:39">
      <c r="A48" t="s">
        <v>138</v>
      </c>
      <c r="B48" t="s">
        <v>139</v>
      </c>
      <c r="D48" t="s">
        <v>73</v>
      </c>
      <c r="G48">
        <f>BoardQty*9</f>
        <v>0</v>
      </c>
      <c r="H4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8" s="13">
        <f>iferror(G48*H48,"")</f>
        <v>0</v>
      </c>
    </row>
    <row r="49" spans="1:39">
      <c r="A49" t="s">
        <v>140</v>
      </c>
      <c r="B49" t="s">
        <v>143</v>
      </c>
      <c r="D49" t="s">
        <v>142</v>
      </c>
      <c r="F49" t="s">
        <v>141</v>
      </c>
      <c r="G49">
        <f>BoardQty*1</f>
        <v>0</v>
      </c>
      <c r="H4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9" s="13">
        <f>iferror(G49*H49,"")</f>
        <v>0</v>
      </c>
      <c r="J49">
        <v>64354</v>
      </c>
      <c r="L49" s="13">
        <f>iferror(lookup(if(K49="",G49,K49),{0,1,10,100,250,500,1000,1250,3000,6000,15000},{0.0,0.42,0.314,0.1957,0.47,0.1339,0.103,0.32,0.09,0.085,0.0775}),"")</f>
        <v>0</v>
      </c>
      <c r="M49" s="13">
        <f>iferror(if(K49="",G49,K49)*L49,"")</f>
        <v>0</v>
      </c>
      <c r="N49" t="s">
        <v>253</v>
      </c>
      <c r="O49" s="14" t="s">
        <v>220</v>
      </c>
      <c r="R49" s="13">
        <f>iferror(lookup(if(Q49="",G49,Q49),{0,1,50,250,500,1500},{0.0,0.144568,0.144568,0.131812,0.1022606,0.1010913}),"")</f>
        <v>0</v>
      </c>
      <c r="S49" s="13">
        <f>iferror(if(Q49="",G49,Q49)*R49,"")</f>
        <v>0</v>
      </c>
      <c r="T49" t="s">
        <v>291</v>
      </c>
      <c r="U49" s="14" t="s">
        <v>220</v>
      </c>
      <c r="V49">
        <v>55608</v>
      </c>
      <c r="X49" s="13">
        <f>iferror(lookup(if(W49="",G49,W49),{0,1,10,100,1000,3000,9000,24000,45000},{0.0,0.411,0.283,0.134,0.103,0.085,0.078,0.073,0.066}),"")</f>
        <v>0</v>
      </c>
      <c r="Y49" s="13">
        <f>iferror(if(W49="",G49,W49)*X49,"")</f>
        <v>0</v>
      </c>
      <c r="Z49" t="s">
        <v>336</v>
      </c>
      <c r="AA49" s="14" t="s">
        <v>220</v>
      </c>
      <c r="AD49" s="13">
        <f>iferror(lookup(if(AC49="",G49,AC49),{0,1,10,100,1000},{0.0,0.41,0.283,0.134,0.103}),"")</f>
        <v>0</v>
      </c>
      <c r="AE49" s="13">
        <f>iferror(if(AC49="",G49,AC49)*AD49,"")</f>
        <v>0</v>
      </c>
      <c r="AF49" t="s">
        <v>379</v>
      </c>
      <c r="AG49" s="14" t="s">
        <v>220</v>
      </c>
    </row>
    <row r="50" spans="1:39">
      <c r="A50" t="s">
        <v>144</v>
      </c>
      <c r="B50" t="s">
        <v>147</v>
      </c>
      <c r="D50" t="s">
        <v>146</v>
      </c>
      <c r="F50" t="s">
        <v>145</v>
      </c>
      <c r="G50">
        <f>BoardQty*6</f>
        <v>0</v>
      </c>
      <c r="H5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0" s="13">
        <f>iferror(G50*H50,"")</f>
        <v>0</v>
      </c>
      <c r="J50">
        <v>1839534</v>
      </c>
      <c r="L50" s="13">
        <f>iferror(lookup(if(K50="",G50,K50),{0,1,10,100,500,1000,4000,8000,12000},{0.0,0.18,0.13,0.061,0.04278,0.03541,0.03016,0.02805,0.02665}),"")</f>
        <v>0</v>
      </c>
      <c r="M50" s="13">
        <f>iferror(if(K50="",G50,K50)*L50,"")</f>
        <v>0</v>
      </c>
      <c r="N50" t="s">
        <v>254</v>
      </c>
      <c r="O50" s="14" t="s">
        <v>220</v>
      </c>
      <c r="R50" s="13">
        <f>iferror(lookup(if(Q50="",G50,Q50),{0,1,100,500,1000,2000},{0.0,0.0902487,0.0902487,0.0662249,0.0572957,0.0534689}),"")</f>
        <v>0</v>
      </c>
      <c r="S50" s="13">
        <f>iferror(if(Q50="",G50,Q50)*R50,"")</f>
        <v>0</v>
      </c>
      <c r="T50" t="s">
        <v>292</v>
      </c>
      <c r="U50" s="14" t="s">
        <v>220</v>
      </c>
      <c r="V50">
        <v>390947</v>
      </c>
      <c r="X50" s="13">
        <f>iferror(lookup(if(W50="",G50,W50),{0,1,10,100,500,1000,4000},{0.0,0.15,0.06,0.043,0.035,0.029,0.021}),"")</f>
        <v>0</v>
      </c>
      <c r="Y50" s="13">
        <f>iferror(if(W50="",G50,W50)*X50,"")</f>
        <v>0</v>
      </c>
      <c r="Z50" t="s">
        <v>337</v>
      </c>
      <c r="AA50" s="14" t="s">
        <v>220</v>
      </c>
      <c r="AD50" s="13">
        <f>iferror(lookup(if(AC50="",G50,AC50),{0,1,25,50,100,250,500,1000},{0.0,0.15,0.06,0.051,0.042,0.039,0.035,0.029}),"")</f>
        <v>0</v>
      </c>
      <c r="AE50" s="13">
        <f>iferror(if(AC50="",G50,AC50)*AD50,"")</f>
        <v>0</v>
      </c>
      <c r="AF50" t="s">
        <v>380</v>
      </c>
      <c r="AG50" s="14" t="s">
        <v>220</v>
      </c>
      <c r="AH50">
        <v>600</v>
      </c>
      <c r="AJ50" s="13">
        <f>iferror(lookup(if(AI50="",G50,AI50),{0,1,50,250},{0.0,0.281695,0.281695,0.197718}),"")</f>
        <v>0</v>
      </c>
      <c r="AK50" s="13">
        <f>iferror(if(AI50="",G50,AI50)*AJ50,"")</f>
        <v>0</v>
      </c>
      <c r="AL50" t="s">
        <v>405</v>
      </c>
      <c r="AM50" s="14" t="s">
        <v>220</v>
      </c>
    </row>
    <row r="51" spans="1:39">
      <c r="A51" t="s">
        <v>148</v>
      </c>
      <c r="B51" t="s">
        <v>150</v>
      </c>
      <c r="D51" t="s">
        <v>11</v>
      </c>
      <c r="F51" t="s">
        <v>149</v>
      </c>
      <c r="G51">
        <f>BoardQty*21</f>
        <v>0</v>
      </c>
      <c r="H5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1" s="13">
        <f>iferror(G51*H51,"")</f>
        <v>0</v>
      </c>
      <c r="J51">
        <v>1874106</v>
      </c>
      <c r="L51" s="13">
        <f>iferror(lookup(if(K51="",G51,K51),{0,1,10,100,1000,2500,5000,10000,30000,50000,100000},{0.0,0.1,0.012,0.005,0.00222,0.00193,0.0016,0.00139,0.00122,0.00112,0.00109}),"")</f>
        <v>0</v>
      </c>
      <c r="M51" s="13">
        <f>iferror(if(K51="",G51,K51)*L51,"")</f>
        <v>0</v>
      </c>
      <c r="N51" t="s">
        <v>255</v>
      </c>
      <c r="O51" s="14" t="s">
        <v>220</v>
      </c>
      <c r="R51" s="13">
        <f>iferror(lookup(if(Q51="",G51,Q51),{0,1,100,500,2500,5000},{0.0,0.0070158,0.0070158,0.0059528,0.0035079,0.0026575}),"")</f>
        <v>0</v>
      </c>
      <c r="S51" s="13">
        <f>iferror(if(Q51="",G51,Q51)*R51,"")</f>
        <v>0</v>
      </c>
      <c r="T51" t="s">
        <v>293</v>
      </c>
      <c r="U51" s="14" t="s">
        <v>220</v>
      </c>
      <c r="V51">
        <v>270646</v>
      </c>
      <c r="X51" s="13">
        <f>iferror(lookup(if(W51="",G51,W51),{0,1,10,100,2500,10000},{0.0,0.101,0.008,0.002,0.001,0.001}),"")</f>
        <v>0</v>
      </c>
      <c r="Y51" s="13">
        <f>iferror(if(W51="",G51,W51)*X51,"")</f>
        <v>0</v>
      </c>
      <c r="Z51" t="s">
        <v>338</v>
      </c>
      <c r="AA51" s="14" t="s">
        <v>220</v>
      </c>
      <c r="AD51" s="13">
        <f>iferror(lookup(if(AC51="",G51,AC51),{0,1,10,25,100,250,1000},{0.0,0.06,0.01,0.007,0.004,0.003,0.002}),"")</f>
        <v>0</v>
      </c>
      <c r="AE51" s="13">
        <f>iferror(if(AC51="",G51,AC51)*AD51,"")</f>
        <v>0</v>
      </c>
      <c r="AF51" t="s">
        <v>381</v>
      </c>
      <c r="AG51" s="14" t="s">
        <v>220</v>
      </c>
    </row>
    <row r="52" spans="1:39">
      <c r="A52" t="s">
        <v>151</v>
      </c>
      <c r="B52" t="s">
        <v>152</v>
      </c>
      <c r="D52" t="s">
        <v>11</v>
      </c>
      <c r="G52">
        <f>BoardQty*2</f>
        <v>0</v>
      </c>
      <c r="H5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2" s="13">
        <f>iferror(G52*H52,"")</f>
        <v>0</v>
      </c>
    </row>
    <row r="53" spans="1:39">
      <c r="A53" t="s">
        <v>153</v>
      </c>
      <c r="B53" t="s">
        <v>156</v>
      </c>
      <c r="D53" t="s">
        <v>155</v>
      </c>
      <c r="F53" t="s">
        <v>154</v>
      </c>
      <c r="G53">
        <f>BoardQty*1</f>
        <v>0</v>
      </c>
      <c r="H5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3" s="13">
        <f>iferror(G53*H53,"")</f>
        <v>0</v>
      </c>
      <c r="J53">
        <v>102530</v>
      </c>
      <c r="L53" s="13">
        <f>iferror(lookup(if(K53="",G53,K53),{0,1,10,50,100,500,1000,3000,5000,10000},{0.0,0.72,0.633,0.5912,0.5225,0.495,0.375,0.3625,0.35,0.3375}),"")</f>
        <v>0</v>
      </c>
      <c r="M53" s="13">
        <f>iferror(if(K53="",G53,K53)*L53,"")</f>
        <v>0</v>
      </c>
      <c r="N53" t="s">
        <v>256</v>
      </c>
      <c r="O53" s="14" t="s">
        <v>220</v>
      </c>
      <c r="R53" s="13">
        <f>iferror(lookup(if(Q53="",G53,Q53),{0,1,50,100,250,500,1000,5000,10000},{0.0,0.904613,0.600595,0.5315,0.517681,0.503862,0.373113,0.365672,0.358231}),"")</f>
        <v>0</v>
      </c>
      <c r="S53" s="13">
        <f>iferror(if(Q53="",G53,Q53)*R53,"")</f>
        <v>0</v>
      </c>
      <c r="T53" t="s">
        <v>294</v>
      </c>
      <c r="U53" s="14" t="s">
        <v>220</v>
      </c>
      <c r="V53">
        <v>14256</v>
      </c>
      <c r="X53" s="13">
        <f>iferror(lookup(if(W53="",G53,W53),{0,1,10,50,100,500,1000,2000,5000,10000},{0.0,0.721,0.635,0.592,0.523,0.496,0.376,0.363,0.351,0.338}),"")</f>
        <v>0</v>
      </c>
      <c r="Y53" s="13">
        <f>iferror(if(W53="",G53,W53)*X53,"")</f>
        <v>0</v>
      </c>
      <c r="Z53" t="s">
        <v>339</v>
      </c>
      <c r="AA53" s="14" t="s">
        <v>220</v>
      </c>
      <c r="AD53" s="13">
        <f>iferror(lookup(if(AC53="",G53,AC53),{0,1,10,50,100,500},{0.0,0.785,0.658,0.59,0.525,0.5}),"")</f>
        <v>0</v>
      </c>
      <c r="AE53" s="13">
        <f>iferror(if(AC53="",G53,AC53)*AD53,"")</f>
        <v>0</v>
      </c>
      <c r="AF53" t="s">
        <v>382</v>
      </c>
      <c r="AG53" s="14" t="s">
        <v>220</v>
      </c>
    </row>
    <row r="54" spans="1:39">
      <c r="A54" t="s">
        <v>157</v>
      </c>
      <c r="B54" t="s">
        <v>158</v>
      </c>
      <c r="D54" t="s">
        <v>73</v>
      </c>
      <c r="G54">
        <f>BoardQty*1</f>
        <v>0</v>
      </c>
      <c r="H5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4" s="13">
        <f>iferror(G54*H54,"")</f>
        <v>0</v>
      </c>
    </row>
    <row r="55" spans="1:39">
      <c r="A55" t="s">
        <v>159</v>
      </c>
      <c r="B55" t="s">
        <v>161</v>
      </c>
      <c r="D55" t="s">
        <v>146</v>
      </c>
      <c r="F55" t="s">
        <v>160</v>
      </c>
      <c r="G55">
        <f>BoardQty*8</f>
        <v>0</v>
      </c>
      <c r="H5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5" s="13">
        <f>iferror(G55*H55,"")</f>
        <v>0</v>
      </c>
      <c r="J55">
        <v>201916</v>
      </c>
      <c r="L55" s="13">
        <f>iferror(lookup(if(K55="",G55,K55),{0,1,10,100,500,1000,2500,4000,5000,8000,10000,12000,20000,30000},{0.0,0.26,0.18,0.0913,0.0625,0.05528,0.05288,0.0418,0.04807,0.03971,0.03971,0.03762,0.03762,0.03553}),"")</f>
        <v>0</v>
      </c>
      <c r="M55" s="13">
        <f>iferror(if(K55="",G55,K55)*L55,"")</f>
        <v>0</v>
      </c>
      <c r="N55" t="s">
        <v>257</v>
      </c>
      <c r="O55" s="14" t="s">
        <v>220</v>
      </c>
      <c r="R55" s="13">
        <f>iferror(lookup(if(Q55="",G55,Q55),{0,1,100,500,1000,2000},{0.0,0.0769612,0.0769612,0.0566579,0.0481539,0.0431578}),"")</f>
        <v>0</v>
      </c>
      <c r="S55" s="13">
        <f>iferror(if(Q55="",G55,Q55)*R55,"")</f>
        <v>0</v>
      </c>
      <c r="T55" t="s">
        <v>295</v>
      </c>
      <c r="U55" s="14" t="s">
        <v>220</v>
      </c>
      <c r="V55">
        <v>670440</v>
      </c>
      <c r="X55" s="13">
        <f>iferror(lookup(if(W55="",G55,W55),{0,1,10,100,500,1000,4000,8000,24000,48000},{0.0,0.241,0.121,0.069,0.062,0.053,0.039,0.036,0.035,0.03}),"")</f>
        <v>0</v>
      </c>
      <c r="Y55" s="13">
        <f>iferror(if(W55="",G55,W55)*X55,"")</f>
        <v>0</v>
      </c>
      <c r="Z55" t="s">
        <v>340</v>
      </c>
      <c r="AA55" s="14" t="s">
        <v>220</v>
      </c>
      <c r="AD55" s="13">
        <f>iferror(lookup(if(AC55="",G55,AC55),{0,1,10,25,50,100,250,500,1000},{0.0,0.121,0.121,0.104,0.086,0.069,0.065,0.061,0.052}),"")</f>
        <v>0</v>
      </c>
      <c r="AE55" s="13">
        <f>iferror(if(AC55="",G55,AC55)*AD55,"")</f>
        <v>0</v>
      </c>
      <c r="AF55" t="s">
        <v>383</v>
      </c>
      <c r="AG55" s="14" t="s">
        <v>220</v>
      </c>
      <c r="AH55">
        <v>150</v>
      </c>
      <c r="AJ55" s="13">
        <f>iferror(lookup(if(AI55="",G55,AI55),{0,1,50,500},{0.0,0.046772,0.046772,0.044646}),"")</f>
        <v>0</v>
      </c>
      <c r="AK55" s="13">
        <f>iferror(if(AI55="",G55,AI55)*AJ55,"")</f>
        <v>0</v>
      </c>
      <c r="AL55" t="s">
        <v>406</v>
      </c>
      <c r="AM55" s="14" t="s">
        <v>220</v>
      </c>
    </row>
    <row r="56" spans="1:39">
      <c r="A56" t="s">
        <v>162</v>
      </c>
      <c r="B56" t="s">
        <v>163</v>
      </c>
      <c r="D56" t="s">
        <v>70</v>
      </c>
      <c r="G56">
        <f>BoardQty*1</f>
        <v>0</v>
      </c>
      <c r="H5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6" s="13">
        <f>iferror(G56*H56,"")</f>
        <v>0</v>
      </c>
    </row>
    <row r="57" spans="1:39">
      <c r="A57" t="s">
        <v>164</v>
      </c>
      <c r="B57" t="s">
        <v>167</v>
      </c>
      <c r="D57" t="s">
        <v>166</v>
      </c>
      <c r="F57" t="s">
        <v>165</v>
      </c>
      <c r="G57">
        <f>BoardQty*1</f>
        <v>0</v>
      </c>
      <c r="H5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7" s="13">
        <f>iferror(G57*H57,"")</f>
        <v>0</v>
      </c>
      <c r="J57">
        <v>11921</v>
      </c>
      <c r="L57" s="13">
        <f>iferror(lookup(if(K57="",G57,K57),{0,1,10,100,500,1000,3000,6000,9000},{0.0,0.21,0.142,0.0721,0.04934,0.04364,0.0363,0.033,0.03135}),"")</f>
        <v>0</v>
      </c>
      <c r="M57" s="13">
        <f>iferror(if(K57="",G57,K57)*L57,"")</f>
        <v>0</v>
      </c>
      <c r="N57" t="s">
        <v>258</v>
      </c>
      <c r="O57" s="14" t="s">
        <v>220</v>
      </c>
      <c r="R57" s="13">
        <f>iferror(lookup(if(Q57="",G57,Q57),{0,1,50,250,500,1500},{0.0,0.0710084,0.0710084,0.0548508,0.0401814,0.0385869}),"")</f>
        <v>0</v>
      </c>
      <c r="S57" s="13">
        <f>iferror(if(Q57="",G57,Q57)*R57,"")</f>
        <v>0</v>
      </c>
      <c r="T57" t="s">
        <v>296</v>
      </c>
      <c r="U57" s="14" t="s">
        <v>220</v>
      </c>
      <c r="V57">
        <v>17962</v>
      </c>
      <c r="X57" s="13">
        <f>iferror(lookup(if(W57="",G57,W57),{0,1,10,100,500,1000,3000},{0.0,0.18,0.092,0.053,0.043,0.038,0.034}),"")</f>
        <v>0</v>
      </c>
      <c r="Y57" s="13">
        <f>iferror(if(W57="",G57,W57)*X57,"")</f>
        <v>0</v>
      </c>
      <c r="Z57" t="s">
        <v>341</v>
      </c>
      <c r="AA57" s="14" t="s">
        <v>220</v>
      </c>
      <c r="AD57" s="13">
        <f>iferror(lookup(if(AC57="",G57,AC57),{0,1,25,50,100,250,500,1000},{0.0,0.18,0.092,0.072,0.052,0.048,0.043,0.038}),"")</f>
        <v>0</v>
      </c>
      <c r="AE57" s="13">
        <f>iferror(if(AC57="",G57,AC57)*AD57,"")</f>
        <v>0</v>
      </c>
      <c r="AF57" t="s">
        <v>384</v>
      </c>
      <c r="AG57" s="14" t="s">
        <v>220</v>
      </c>
      <c r="AH57">
        <v>2750</v>
      </c>
      <c r="AJ57" s="13">
        <f>iferror(lookup(if(AI57="",G57,AI57),{0,1,50,500},{0.0,0.072284,0.072284,0.015945}),"")</f>
        <v>0</v>
      </c>
      <c r="AK57" s="13">
        <f>iferror(if(AI57="",G57,AI57)*AJ57,"")</f>
        <v>0</v>
      </c>
      <c r="AL57" t="s">
        <v>407</v>
      </c>
      <c r="AM57" s="14" t="s">
        <v>220</v>
      </c>
    </row>
    <row r="58" spans="1:39">
      <c r="A58" t="s">
        <v>168</v>
      </c>
      <c r="B58" t="s">
        <v>169</v>
      </c>
      <c r="D58" t="s">
        <v>103</v>
      </c>
      <c r="F58" t="s">
        <v>169</v>
      </c>
      <c r="G58">
        <f>BoardQty*1</f>
        <v>0</v>
      </c>
      <c r="H5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8" s="13">
        <f>iferror(G58*H58,"")</f>
        <v>0</v>
      </c>
      <c r="J58">
        <v>55653</v>
      </c>
      <c r="L58" s="13">
        <f>iferror(lookup(if(K58="",G58,K58),{0,1,10,100,500,1000,3000,6000,15000,30000,75000},{0.0,0.48,0.362,0.2255,0.15426,0.11866,0.10368,0.09792,0.08928,0.08352,0.07488}),"")</f>
        <v>0</v>
      </c>
      <c r="M58" s="13">
        <f>iferror(if(K58="",G58,K58)*L58,"")</f>
        <v>0</v>
      </c>
      <c r="N58" t="s">
        <v>259</v>
      </c>
      <c r="O58" s="14" t="s">
        <v>220</v>
      </c>
      <c r="V58">
        <v>20110</v>
      </c>
      <c r="X58" s="13">
        <f>iferror(lookup(if(W58="",G58,W58),{0,1,10,100,1000,3000,9000,24000,45000},{0.0,0.472,0.328,0.15,0.116,0.099,0.091,0.084,0.076}),"")</f>
        <v>0</v>
      </c>
      <c r="Y58" s="13">
        <f>iferror(if(W58="",G58,W58)*X58,"")</f>
        <v>0</v>
      </c>
      <c r="Z58" t="s">
        <v>342</v>
      </c>
      <c r="AA58" s="14" t="s">
        <v>220</v>
      </c>
      <c r="AH58">
        <v>8400</v>
      </c>
      <c r="AJ58" s="13">
        <f>iferror(lookup(if(AI58="",G58,AI58),{0,1,50,250},{0.0,0.199844,0.199844,0.137127}),"")</f>
        <v>0</v>
      </c>
      <c r="AK58" s="13">
        <f>iferror(if(AI58="",G58,AI58)*AJ58,"")</f>
        <v>0</v>
      </c>
      <c r="AL58" t="s">
        <v>408</v>
      </c>
      <c r="AM58" s="14" t="s">
        <v>220</v>
      </c>
    </row>
    <row r="59" spans="1:39">
      <c r="A59" t="s">
        <v>170</v>
      </c>
      <c r="B59" t="s">
        <v>172</v>
      </c>
      <c r="D59" t="s">
        <v>142</v>
      </c>
      <c r="F59" t="s">
        <v>171</v>
      </c>
      <c r="G59">
        <f>BoardQty*1</f>
        <v>0</v>
      </c>
      <c r="H5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9" s="13">
        <f>iferror(G59*H59,"")</f>
        <v>0</v>
      </c>
      <c r="J59">
        <v>24402</v>
      </c>
      <c r="L59" s="13">
        <f>iferror(lookup(if(K59="",G59,K59),{0,1,10,100,250,500,1000,1250,3000,6000,15000},{0.0,0.42,0.314,0.1957,0.47,0.1339,0.103,0.32,0.09,0.085,0.0775}),"")</f>
        <v>0</v>
      </c>
      <c r="M59" s="13">
        <f>iferror(if(K59="",G59,K59)*L59,"")</f>
        <v>0</v>
      </c>
      <c r="N59" t="s">
        <v>260</v>
      </c>
      <c r="O59" s="14" t="s">
        <v>220</v>
      </c>
      <c r="R59" s="13">
        <f>iferror(lookup(if(Q59="",G59,Q59),{0,1,80,250,750,1500},{0.0,0.335908,0.307207,0.278506,0.249805,0.222167}),"")</f>
        <v>0</v>
      </c>
      <c r="S59" s="13">
        <f>iferror(if(Q59="",G59,Q59)*R59,"")</f>
        <v>0</v>
      </c>
      <c r="T59" t="s">
        <v>297</v>
      </c>
      <c r="U59" s="14" t="s">
        <v>220</v>
      </c>
      <c r="V59">
        <v>11842</v>
      </c>
      <c r="X59" s="13">
        <f>iferror(lookup(if(W59="",G59,W59),{0,1,10,100,1000,3000,9000,24000,45000},{0.0,0.411,0.283,0.134,0.103,0.085,0.078,0.073,0.066}),"")</f>
        <v>0</v>
      </c>
      <c r="Y59" s="13">
        <f>iferror(if(W59="",G59,W59)*X59,"")</f>
        <v>0</v>
      </c>
      <c r="Z59" t="s">
        <v>343</v>
      </c>
      <c r="AA59" s="14" t="s">
        <v>220</v>
      </c>
      <c r="AD59" s="13">
        <f>iferror(lookup(if(AC59="",G59,AC59),{0,1,10,100,1000},{0.0,0.41,0.283,0.134,0.103}),"")</f>
        <v>0</v>
      </c>
      <c r="AE59" s="13">
        <f>iferror(if(AC59="",G59,AC59)*AD59,"")</f>
        <v>0</v>
      </c>
      <c r="AF59" t="s">
        <v>385</v>
      </c>
      <c r="AG59" s="14" t="s">
        <v>220</v>
      </c>
      <c r="AL59" t="s">
        <v>409</v>
      </c>
      <c r="AM59" s="14" t="s">
        <v>220</v>
      </c>
    </row>
    <row r="60" spans="1:39">
      <c r="A60" t="s">
        <v>173</v>
      </c>
      <c r="B60" t="s">
        <v>176</v>
      </c>
      <c r="D60" t="s">
        <v>175</v>
      </c>
      <c r="F60" t="s">
        <v>174</v>
      </c>
      <c r="G60">
        <f>BoardQty*3</f>
        <v>0</v>
      </c>
      <c r="H6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0" s="13">
        <f>iferror(G60*H60,"")</f>
        <v>0</v>
      </c>
      <c r="L60" s="13">
        <f>iferror(lookup(if(K60="",G60,K60),{0,1,5000},{0.0,0.0684,0.0684}),"")</f>
        <v>0</v>
      </c>
      <c r="M60" s="13">
        <f>iferror(if(K60="",G60,K60)*L60,"")</f>
        <v>0</v>
      </c>
      <c r="N60" t="s">
        <v>261</v>
      </c>
      <c r="O60" s="14" t="s">
        <v>220</v>
      </c>
      <c r="V60">
        <v>1519</v>
      </c>
      <c r="X60" s="13">
        <f>iferror(lookup(if(W60="",G60,W60),{0,1,10,100,500,1000,5000,10000,25000,50000},{0.0,0.431,0.309,0.113,0.096,0.08,0.062,0.055,0.052,0.049}),"")</f>
        <v>0</v>
      </c>
      <c r="Y60" s="13">
        <f>iferror(if(W60="",G60,W60)*X60,"")</f>
        <v>0</v>
      </c>
      <c r="Z60" t="s">
        <v>344</v>
      </c>
      <c r="AA60" s="14" t="s">
        <v>220</v>
      </c>
    </row>
    <row r="61" spans="1:39">
      <c r="A61" t="s">
        <v>177</v>
      </c>
      <c r="B61" t="s">
        <v>180</v>
      </c>
      <c r="D61" t="s">
        <v>179</v>
      </c>
      <c r="F61" t="s">
        <v>178</v>
      </c>
      <c r="G61">
        <f>BoardQty*1</f>
        <v>0</v>
      </c>
      <c r="H6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1" s="13">
        <f>iferror(G61*H61,"")</f>
        <v>0</v>
      </c>
      <c r="X61" s="13">
        <f>iferror(lookup(if(W61="",G61,W61),{0,1,5,10,25,50,100,250,500,1000},{0.0,7.76,7.32,7.11,7.01,6.99,6.75,6.6,6.45,6.37}),"")</f>
        <v>0</v>
      </c>
      <c r="Y61" s="13">
        <f>iferror(if(W61="",G61,W61)*X61,"")</f>
        <v>0</v>
      </c>
      <c r="Z61" t="s">
        <v>345</v>
      </c>
      <c r="AA61" s="14" t="s">
        <v>220</v>
      </c>
    </row>
    <row r="62" spans="1:39">
      <c r="A62" t="s">
        <v>181</v>
      </c>
      <c r="B62" t="s">
        <v>184</v>
      </c>
      <c r="D62" t="s">
        <v>183</v>
      </c>
      <c r="F62" t="s">
        <v>182</v>
      </c>
      <c r="G62">
        <f>BoardQty*1</f>
        <v>0</v>
      </c>
      <c r="H6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2" s="13">
        <f>iferror(G62*H62,"")</f>
        <v>0</v>
      </c>
      <c r="J62">
        <v>81815</v>
      </c>
      <c r="L62" s="13">
        <f>iferror(lookup(if(K62="",G62,K62),{0,1,10,50,100,500,1000,3000,6000,15000},{0.0,0.71,0.591,0.5322,0.473,0.44936,0.3784,0.3225,0.31175,0.301}),"")</f>
        <v>0</v>
      </c>
      <c r="M62" s="13">
        <f>iferror(if(K62="",G62,K62)*L62,"")</f>
        <v>0</v>
      </c>
      <c r="N62" t="s">
        <v>262</v>
      </c>
      <c r="O62" s="14" t="s">
        <v>220</v>
      </c>
      <c r="R62" s="13">
        <f>iferror(lookup(if(Q62="",G62,Q62),{0,1,100},{0.0,0.463468,0.463468}),"")</f>
        <v>0</v>
      </c>
      <c r="S62" s="13">
        <f>iferror(if(Q62="",G62,Q62)*R62,"")</f>
        <v>0</v>
      </c>
      <c r="T62" t="s">
        <v>298</v>
      </c>
      <c r="U62" s="14" t="s">
        <v>220</v>
      </c>
      <c r="V62">
        <v>45306</v>
      </c>
      <c r="X62" s="13">
        <f>iferror(lookup(if(W62="",G62,W62),{0,1,10,50,100,500,1000,2000,3000,9000},{0.0,0.773,0.657,0.59,0.525,0.501,0.4,0.375,0.363,0.351}),"")</f>
        <v>0</v>
      </c>
      <c r="Y62" s="13">
        <f>iferror(if(W62="",G62,W62)*X62,"")</f>
        <v>0</v>
      </c>
      <c r="Z62" t="s">
        <v>346</v>
      </c>
      <c r="AA62" s="14" t="s">
        <v>220</v>
      </c>
      <c r="AD62" s="13">
        <f>iferror(lookup(if(AC62="",G62,AC62),{0,1,10,25,50,100,500,1000},{0.0,0.67,0.565,0.536,0.507,0.451,0.43,0.344}),"")</f>
        <v>0</v>
      </c>
      <c r="AE62" s="13">
        <f>iferror(if(AC62="",G62,AC62)*AD62,"")</f>
        <v>0</v>
      </c>
      <c r="AF62" t="s">
        <v>386</v>
      </c>
      <c r="AG62" s="14" t="s">
        <v>220</v>
      </c>
    </row>
    <row r="63" spans="1:39">
      <c r="A63" t="s">
        <v>185</v>
      </c>
      <c r="B63" t="s">
        <v>186</v>
      </c>
      <c r="D63" t="s">
        <v>31</v>
      </c>
      <c r="F63" t="s">
        <v>186</v>
      </c>
      <c r="G63">
        <f>BoardQty*1</f>
        <v>0</v>
      </c>
      <c r="H6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3" s="13">
        <f>iferror(G63*H63,"")</f>
        <v>0</v>
      </c>
      <c r="J63">
        <v>9912</v>
      </c>
      <c r="L63" s="13">
        <f>iferror(lookup(if(K63="",G63,K63),{0,1,10,25,50,100,250,500,1000,4000,8000,12000,28000},{0.0,0.15,0.126,0.0976,0.081,0.0699,0.05588,0.0503,0.04191,0.03683,0.03429,0.03264,0.03175}),"")</f>
        <v>0</v>
      </c>
      <c r="M63" s="13">
        <f>iferror(if(K63="",G63,K63)*L63,"")</f>
        <v>0</v>
      </c>
      <c r="N63" t="s">
        <v>263</v>
      </c>
      <c r="O63" s="14" t="s">
        <v>220</v>
      </c>
      <c r="R63" s="13">
        <f>iferror(lookup(if(Q63="",G63,Q63),{0,1,100,500,1000,2000,4000,20000,40000},{0.0,0.0752604,0.0752604,0.0525122,0.0441145,0.0419885,0.0364609,0.0311459,0.0291262}),"")</f>
        <v>0</v>
      </c>
      <c r="S63" s="13">
        <f>iferror(if(Q63="",G63,Q63)*R63,"")</f>
        <v>0</v>
      </c>
      <c r="T63" t="s">
        <v>299</v>
      </c>
      <c r="U63" s="14" t="s">
        <v>220</v>
      </c>
      <c r="V63">
        <v>5288</v>
      </c>
      <c r="X63" s="13">
        <f>iferror(lookup(if(W63="",G63,W63),{0,1,10,100,500,1000,4000,8000},{0.0,0.15,0.081,0.055,0.05,0.041,0.036,0.034}),"")</f>
        <v>0</v>
      </c>
      <c r="Y63" s="13">
        <f>iferror(if(W63="",G63,W63)*X63,"")</f>
        <v>0</v>
      </c>
      <c r="Z63" t="s">
        <v>347</v>
      </c>
      <c r="AA63" s="14" t="s">
        <v>220</v>
      </c>
      <c r="AD63" s="13">
        <f>iferror(lookup(if(AC63="",G63,AC63),{0,1,10,25,50,100,250,500,1000},{0.0,0.081,0.081,0.072,0.064,0.055,0.053,0.05,0.041}),"")</f>
        <v>0</v>
      </c>
      <c r="AE63" s="13">
        <f>iferror(if(AC63="",G63,AC63)*AD63,"")</f>
        <v>0</v>
      </c>
      <c r="AF63" t="s">
        <v>387</v>
      </c>
      <c r="AG63" s="14" t="s">
        <v>220</v>
      </c>
      <c r="AH63">
        <v>275</v>
      </c>
      <c r="AJ63" s="13">
        <f>iferror(lookup(if(AI63="",G63,AI63),{0,1,25,250},{0.0,0.043583,0.043583,0.041457}),"")</f>
        <v>0</v>
      </c>
      <c r="AK63" s="13">
        <f>iferror(if(AI63="",G63,AI63)*AJ63,"")</f>
        <v>0</v>
      </c>
      <c r="AL63" t="s">
        <v>410</v>
      </c>
      <c r="AM63" s="14" t="s">
        <v>220</v>
      </c>
    </row>
    <row r="64" spans="1:39">
      <c r="A64" t="s">
        <v>187</v>
      </c>
      <c r="B64" t="s">
        <v>189</v>
      </c>
      <c r="D64" t="s">
        <v>11</v>
      </c>
      <c r="F64" t="s">
        <v>188</v>
      </c>
      <c r="G64">
        <f>BoardQty*1</f>
        <v>0</v>
      </c>
      <c r="H6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4" s="13">
        <f>iferror(G64*H64,"")</f>
        <v>0</v>
      </c>
      <c r="J64">
        <v>1197803</v>
      </c>
      <c r="L64" s="13">
        <f>iferror(lookup(if(K64="",G64,K64),{0,1,10,100,1000,2500,5000,10000,30000,50000,100000},{0.0,0.1,0.014,0.0056,0.00253,0.0022,0.00181,0.00158,0.00138,0.00127,0.00124}),"")</f>
        <v>0</v>
      </c>
      <c r="M64" s="13">
        <f>iferror(if(K64="",G64,K64)*L64,"")</f>
        <v>0</v>
      </c>
      <c r="N64" t="s">
        <v>264</v>
      </c>
      <c r="O64" s="14" t="s">
        <v>220</v>
      </c>
      <c r="R64" s="13">
        <f>iferror(lookup(if(Q64="",G64,Q64),{0,1,10,25,100,250},{0.0,0.0769612,0.0135001,0.0121182,0.0112678,0.0104174}),"")</f>
        <v>0</v>
      </c>
      <c r="S64" s="13">
        <f>iferror(if(Q64="",G64,Q64)*R64,"")</f>
        <v>0</v>
      </c>
      <c r="T64" t="s">
        <v>300</v>
      </c>
      <c r="U64" s="14" t="s">
        <v>220</v>
      </c>
      <c r="V64">
        <v>4576</v>
      </c>
      <c r="X64" s="13">
        <f>iferror(lookup(if(W64="",G64,W64),{0,1,10,100,1000,2500,10000},{0.0,0.101,0.009,0.003,0.002,0.001,0.001}),"")</f>
        <v>0</v>
      </c>
      <c r="Y64" s="13">
        <f>iferror(if(W64="",G64,W64)*X64,"")</f>
        <v>0</v>
      </c>
      <c r="Z64" t="s">
        <v>348</v>
      </c>
      <c r="AA64" s="14" t="s">
        <v>220</v>
      </c>
      <c r="AD64" s="13">
        <f>iferror(lookup(if(AC64="",G64,AC64),{0,1,10,25,100,250,1000},{0.0,0.08,0.014,0.009,0.006,0.004,0.002}),"")</f>
        <v>0</v>
      </c>
      <c r="AE64" s="13">
        <f>iferror(if(AC64="",G64,AC64)*AD64,"")</f>
        <v>0</v>
      </c>
      <c r="AF64" t="s">
        <v>388</v>
      </c>
      <c r="AG64" s="14" t="s">
        <v>220</v>
      </c>
    </row>
    <row r="65" spans="1:37">
      <c r="A65" t="s">
        <v>190</v>
      </c>
      <c r="B65" t="s">
        <v>193</v>
      </c>
      <c r="D65" t="s">
        <v>192</v>
      </c>
      <c r="F65" t="s">
        <v>191</v>
      </c>
      <c r="G65">
        <f>BoardQty*1</f>
        <v>0</v>
      </c>
      <c r="H6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5" s="13">
        <f>iferror(G65*H65,"")</f>
        <v>0</v>
      </c>
      <c r="J65">
        <v>2919</v>
      </c>
      <c r="L65" s="13">
        <f>iferror(lookup(if(K65="",G65,K65),{0,1,10,100,500,1000,2500,5000,12500},{0.0,1.52,1.363,1.0626,0.8778,0.693,0.5292,0.50274,0.48384}),"")</f>
        <v>0</v>
      </c>
      <c r="M65" s="13">
        <f>iferror(if(K65="",G65,K65)*L65,"")</f>
        <v>0</v>
      </c>
      <c r="N65" t="s">
        <v>265</v>
      </c>
      <c r="O65" s="14" t="s">
        <v>220</v>
      </c>
      <c r="V65">
        <v>2362</v>
      </c>
      <c r="X65" s="13">
        <f>iferror(lookup(if(W65="",G65,W65),{0,1,10,100,500,1000,2500,10000},{0.0,1.24,1.05,0.815,0.72,0.568,0.504,0.492}),"")</f>
        <v>0</v>
      </c>
      <c r="Y65" s="13">
        <f>iferror(if(W65="",G65,W65)*X65,"")</f>
        <v>0</v>
      </c>
      <c r="Z65" t="s">
        <v>349</v>
      </c>
      <c r="AA65" s="14" t="s">
        <v>220</v>
      </c>
      <c r="AD65" s="13">
        <f>iferror(lookup(if(AC65="",G65,AC65),{0,1,2500,10000,25000},{0.0,0.492,0.492,0.473,0.473}),"")</f>
        <v>0</v>
      </c>
      <c r="AE65" s="13">
        <f>iferror(if(AC65="",G65,AC65)*AD65,"")</f>
        <v>0</v>
      </c>
      <c r="AF65" t="s">
        <v>389</v>
      </c>
      <c r="AG65" s="14" t="s">
        <v>220</v>
      </c>
    </row>
    <row r="66" spans="1:37">
      <c r="A66" t="s">
        <v>194</v>
      </c>
      <c r="B66" t="s">
        <v>196</v>
      </c>
      <c r="D66" t="s">
        <v>11</v>
      </c>
      <c r="F66" t="s">
        <v>195</v>
      </c>
      <c r="G66">
        <f>BoardQty*1</f>
        <v>0</v>
      </c>
      <c r="H6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6" s="13">
        <f>iferror(G66*H66,"")</f>
        <v>0</v>
      </c>
      <c r="J66">
        <v>17165201</v>
      </c>
      <c r="L66" s="13">
        <f>iferror(lookup(if(K66="",G66,K66),{0,1,10,100,1000,2500,5000,10000,30000,50000,100000},{0.0,0.1,0.014,0.0056,0.00253,0.0022,0.00181,0.00158,0.00138,0.00127,0.00124}),"")</f>
        <v>0</v>
      </c>
      <c r="M66" s="13">
        <f>iferror(if(K66="",G66,K66)*L66,"")</f>
        <v>0</v>
      </c>
      <c r="N66" t="s">
        <v>266</v>
      </c>
      <c r="O66" s="14" t="s">
        <v>220</v>
      </c>
      <c r="R66" s="13">
        <f>iferror(lookup(if(Q66="",G66,Q66),{0,1,10000},{0.0,0.0030827,0.0030827}),"")</f>
        <v>0</v>
      </c>
      <c r="S66" s="13">
        <f>iferror(if(Q66="",G66,Q66)*R66,"")</f>
        <v>0</v>
      </c>
      <c r="T66" t="s">
        <v>301</v>
      </c>
      <c r="U66" s="14" t="s">
        <v>220</v>
      </c>
      <c r="V66">
        <v>2145434</v>
      </c>
      <c r="X66" s="13">
        <f>iferror(lookup(if(W66="",G66,W66),{0,1,10,100,1000,2500,10000},{0.0,0.101,0.009,0.003,0.002,0.001,0.001}),"")</f>
        <v>0</v>
      </c>
      <c r="Y66" s="13">
        <f>iferror(if(W66="",G66,W66)*X66,"")</f>
        <v>0</v>
      </c>
      <c r="Z66" t="s">
        <v>350</v>
      </c>
      <c r="AA66" s="14" t="s">
        <v>220</v>
      </c>
      <c r="AD66" s="13">
        <f>iferror(lookup(if(AC66="",G66,AC66),{0,1,10,25,100,250,1000},{0.0,0.08,0.014,0.009,0.006,0.004,0.002}),"")</f>
        <v>0</v>
      </c>
      <c r="AE66" s="13">
        <f>iferror(if(AC66="",G66,AC66)*AD66,"")</f>
        <v>0</v>
      </c>
      <c r="AF66" t="s">
        <v>390</v>
      </c>
      <c r="AG66" s="14" t="s">
        <v>220</v>
      </c>
    </row>
    <row r="67" spans="1:37">
      <c r="A67" t="s">
        <v>197</v>
      </c>
      <c r="B67" t="s">
        <v>198</v>
      </c>
      <c r="D67" t="s">
        <v>73</v>
      </c>
      <c r="G67">
        <f>BoardQty*1</f>
        <v>0</v>
      </c>
      <c r="H6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7" s="13">
        <f>iferror(G67*H67,"")</f>
        <v>0</v>
      </c>
    </row>
    <row r="68" spans="1:37">
      <c r="A68" t="s">
        <v>199</v>
      </c>
      <c r="B68" t="s">
        <v>200</v>
      </c>
      <c r="D68" t="s">
        <v>73</v>
      </c>
      <c r="G68">
        <f>BoardQty*1</f>
        <v>0</v>
      </c>
      <c r="H6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8" s="13">
        <f>iferror(G68*H68,"")</f>
        <v>0</v>
      </c>
    </row>
    <row r="69" spans="1:37">
      <c r="A69" t="s">
        <v>201</v>
      </c>
      <c r="B69" t="s">
        <v>203</v>
      </c>
      <c r="D69" t="s">
        <v>202</v>
      </c>
      <c r="G69">
        <f>BoardQty*1</f>
        <v>0</v>
      </c>
      <c r="H6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69" s="13">
        <f>iferror(G69*H69,"")</f>
        <v>0</v>
      </c>
    </row>
    <row r="70" spans="1:37">
      <c r="A70" t="s">
        <v>204</v>
      </c>
      <c r="B70" t="s">
        <v>205</v>
      </c>
      <c r="D70" t="s">
        <v>11</v>
      </c>
      <c r="F70" t="s">
        <v>195</v>
      </c>
      <c r="G70">
        <f>BoardQty*23</f>
        <v>0</v>
      </c>
      <c r="H7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0" s="13">
        <f>iferror(G70*H70,"")</f>
        <v>0</v>
      </c>
      <c r="J70">
        <v>17165201</v>
      </c>
      <c r="L70" s="13">
        <f>iferror(lookup(if(K70="",G70,K70),{0,1,10,100,1000,2500,5000,10000,30000,50000,100000},{0.0,0.1,0.014,0.0056,0.00253,0.0022,0.00181,0.00158,0.00138,0.00127,0.00124}),"")</f>
        <v>0</v>
      </c>
      <c r="M70" s="13">
        <f>iferror(if(K70="",G70,K70)*L70,"")</f>
        <v>0</v>
      </c>
      <c r="N70" t="s">
        <v>266</v>
      </c>
      <c r="O70" s="14" t="s">
        <v>220</v>
      </c>
      <c r="R70" s="13">
        <f>iferror(lookup(if(Q70="",G70,Q70),{0,1,10000},{0.0,0.0030827,0.0030827}),"")</f>
        <v>0</v>
      </c>
      <c r="S70" s="13">
        <f>iferror(if(Q70="",G70,Q70)*R70,"")</f>
        <v>0</v>
      </c>
      <c r="T70" t="s">
        <v>301</v>
      </c>
      <c r="U70" s="14" t="s">
        <v>220</v>
      </c>
      <c r="V70">
        <v>2145434</v>
      </c>
      <c r="X70" s="13">
        <f>iferror(lookup(if(W70="",G70,W70),{0,1,10,100,1000,2500,10000},{0.0,0.101,0.009,0.003,0.002,0.001,0.001}),"")</f>
        <v>0</v>
      </c>
      <c r="Y70" s="13">
        <f>iferror(if(W70="",G70,W70)*X70,"")</f>
        <v>0</v>
      </c>
      <c r="Z70" t="s">
        <v>350</v>
      </c>
      <c r="AA70" s="14" t="s">
        <v>220</v>
      </c>
      <c r="AD70" s="13">
        <f>iferror(lookup(if(AC70="",G70,AC70),{0,1,10,25,100,250,1000},{0.0,0.08,0.014,0.009,0.006,0.004,0.002}),"")</f>
        <v>0</v>
      </c>
      <c r="AE70" s="13">
        <f>iferror(if(AC70="",G70,AC70)*AD70,"")</f>
        <v>0</v>
      </c>
      <c r="AF70" t="s">
        <v>390</v>
      </c>
      <c r="AG70" s="14" t="s">
        <v>220</v>
      </c>
    </row>
    <row r="71" spans="1:37">
      <c r="A71" t="s">
        <v>206</v>
      </c>
      <c r="B71" t="s">
        <v>207</v>
      </c>
      <c r="D71" t="s">
        <v>73</v>
      </c>
      <c r="G71">
        <f>BoardQty*1</f>
        <v>0</v>
      </c>
      <c r="H7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1" s="13">
        <f>iferror(G71*H71,"")</f>
        <v>0</v>
      </c>
    </row>
    <row r="72" spans="1:37">
      <c r="A72" t="s">
        <v>208</v>
      </c>
      <c r="B72" t="s">
        <v>209</v>
      </c>
      <c r="D72" t="s">
        <v>92</v>
      </c>
      <c r="F72" t="s">
        <v>91</v>
      </c>
      <c r="G72">
        <f>BoardQty*1</f>
        <v>0</v>
      </c>
      <c r="H7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2" s="13">
        <f>iferror(G72*H72,"")</f>
        <v>0</v>
      </c>
      <c r="J72">
        <v>9881</v>
      </c>
      <c r="L72" s="13">
        <f>iferror(lookup(if(K72="",G72,K72),{0,1,10,25,50,100,250,500,1000,2500,5000,10000,15000},{0.0,1.44,1.262,1.188,1.1386,1.089,0.99,0.891,0.792,0.71775,0.63,0.5985,0.585}),"")</f>
        <v>0</v>
      </c>
      <c r="M72" s="13">
        <f>iferror(if(K72="",G72,K72)*L72,"")</f>
        <v>0</v>
      </c>
      <c r="N72" t="s">
        <v>241</v>
      </c>
      <c r="O72" s="14" t="s">
        <v>220</v>
      </c>
      <c r="V72">
        <v>4027</v>
      </c>
      <c r="X72" s="13">
        <f>iferror(lookup(if(W72="",G72,W72),{0,1,10,100,250,500,1000,2500,5000,10000},{0.0,1.31,1.08,0.993,0.903,0.829,0.721,0.654,0.632,0.587}),"")</f>
        <v>0</v>
      </c>
      <c r="Y72" s="13">
        <f>iferror(if(W72="",G72,W72)*X72,"")</f>
        <v>0</v>
      </c>
      <c r="Z72" t="s">
        <v>323</v>
      </c>
      <c r="AA72" s="14" t="s">
        <v>220</v>
      </c>
    </row>
    <row r="73" spans="1:37">
      <c r="A73" t="s">
        <v>210</v>
      </c>
      <c r="B73" t="s">
        <v>211</v>
      </c>
      <c r="D73" t="s">
        <v>11</v>
      </c>
      <c r="G73">
        <f>BoardQty*1</f>
        <v>0</v>
      </c>
      <c r="H7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3" s="13">
        <f>iferror(G73*H73,"")</f>
        <v>0</v>
      </c>
    </row>
    <row r="75" spans="1:37">
      <c r="K75">
        <f t="array" ref="K75">IFERROR(CONCATENATE(TEXT(INDEX($K$7:$K$73,SMALL(IF($N$7:$N$73&lt;&gt;"",IF($K$7:$K$73&lt;&gt;"",ROW($K$7:$K$73)-MIN(ROW($K$7:$K$73))+1,""),""),ROW()-ROW(A$75)+1)),"##0"),","),"")</f>
        <v>0</v>
      </c>
      <c r="L75">
        <f t="array" ref="L75">IFERROR(CONCATENATE((INDEX($N$7:$N$73,SMALL(IF($N$7:$N$73&lt;&gt;"",IF($K$7:$K$73&lt;&gt;"",ROW($K$7:$K$73)-MIN(ROW($K$7:$K$73))+1,""),""),ROW()-ROW(A$75)+1))),","),"")</f>
        <v>0</v>
      </c>
      <c r="M75">
        <f t="array" ref="M75">IFERROR(CONCATENATE((INDEX($A$7:$A$73,SMALL(IF($N$7:$N$73&lt;&gt;"",IF($K$7:$K$73&lt;&gt;"",ROW($K$7:$K$73)-MIN(ROW($K$7:$K$73))+1,""),""),ROW()-ROW(A$75)+1))),),"")</f>
        <v>0</v>
      </c>
      <c r="Q75">
        <f t="array" ref="Q75">IFERROR(CONCATENATE((INDEX($T$7:$T$73,SMALL(IF($T$7:$T$73&lt;&gt;"",IF($Q$7:$Q$73&lt;&gt;"",ROW($Q$7:$Q$73)-MIN(ROW($Q$7:$Q$73))+1,""),""),ROW()-ROW(A$75)+1)))," "),"")</f>
        <v>0</v>
      </c>
      <c r="R75">
        <f t="array" ref="R75">IFERROR(CONCATENATE(TEXT(INDEX($Q$7:$Q$73,SMALL(IF($T$7:$T$73&lt;&gt;"",IF($Q$7:$Q$73&lt;&gt;"",ROW($Q$7:$Q$73)-MIN(ROW($Q$7:$Q$73))+1,""),""),ROW()-ROW(A$75)+1)),"##0")," "),"")</f>
        <v>0</v>
      </c>
      <c r="S75">
        <f t="array" ref="S75">IFERROR(CONCATENATE((INDEX($A$7:$A$73,SMALL(IF($T$7:$T$73&lt;&gt;"",IF($Q$7:$Q$73&lt;&gt;"",ROW($Q$7:$Q$73)-MIN(ROW($Q$7:$Q$73))+1,""),""),ROW()-ROW(A$75)+1))),),"")</f>
        <v>0</v>
      </c>
      <c r="W75">
        <f t="array" ref="W75">IFERROR(CONCATENATE((INDEX($Z$7:$Z$73,SMALL(IF($Z$7:$Z$73&lt;&gt;"",IF($W$7:$W$73&lt;&gt;"",ROW($W$7:$W$73)-MIN(ROW($W$7:$W$73))+1,""),""),ROW()-ROW(A$75)+1)))," "),"")</f>
        <v>0</v>
      </c>
      <c r="X75">
        <f t="array" ref="X75">IFERROR(CONCATENATE(TEXT(INDEX($W$7:$W$73,SMALL(IF($Z$7:$Z$73&lt;&gt;"",IF($W$7:$W$73&lt;&gt;"",ROW($W$7:$W$73)-MIN(ROW($W$7:$W$73))+1,""),""),ROW()-ROW(A$75)+1)),"##0")," "),"")</f>
        <v>0</v>
      </c>
      <c r="Y75">
        <f t="array" ref="Y75">IFERROR(CONCATENATE((INDEX($A$7:$A$73,SMALL(IF($Z$7:$Z$73&lt;&gt;"",IF($W$7:$W$73&lt;&gt;"",ROW($W$7:$W$73)-MIN(ROW($W$7:$W$73))+1,""),""),ROW()-ROW(A$75)+1))),),"")</f>
        <v>0</v>
      </c>
      <c r="AC75">
        <f t="array" ref="AC75">IFERROR(CONCATENATE((INDEX($AF$7:$AF$73,SMALL(IF($AF$7:$AF$73&lt;&gt;"",IF($AC$7:$AC$73&lt;&gt;"",ROW($AC$7:$AC$73)-MIN(ROW($AC$7:$AC$73))+1,""),""),ROW()-ROW(A$75)+1))),","),"")</f>
        <v>0</v>
      </c>
      <c r="AD75">
        <f t="array" ref="AD75">IFERROR(CONCATENATE(TEXT(INDEX($AC$7:$AC$73,SMALL(IF($AF$7:$AF$73&lt;&gt;"",IF($AC$7:$AC$73&lt;&gt;"",ROW($AC$7:$AC$73)-MIN(ROW($AC$7:$AC$73))+1,""),""),ROW()-ROW(A$75)+1)),"##0"),","),"")</f>
        <v>0</v>
      </c>
      <c r="AE75">
        <f t="array" ref="AE75">IFERROR(CONCATENATE((INDEX($A$7:$A$73,SMALL(IF($AF$7:$AF$73&lt;&gt;"",IF($AC$7:$AC$73&lt;&gt;"",ROW($AC$7:$AC$73)-MIN(ROW($AC$7:$AC$73))+1,""),""),ROW()-ROW(A$75)+1))),),"")</f>
        <v>0</v>
      </c>
      <c r="AI75">
        <f t="array" ref="AI75">IFERROR(CONCATENATE((INDEX($AL$7:$AL$73,SMALL(IF($AL$7:$AL$73&lt;&gt;"",IF($AI$7:$AI$73&lt;&gt;"",ROW($AI$7:$AI$73)-MIN(ROW($AI$7:$AI$73))+1,""),""),ROW()-ROW(A$75)+1)))," "),"")</f>
        <v>0</v>
      </c>
      <c r="AJ75">
        <f t="array" ref="AJ75">IFERROR(CONCATENATE(TEXT(INDEX($AI$7:$AI$73,SMALL(IF($AL$7:$AL$73&lt;&gt;"",IF($AI$7:$AI$73&lt;&gt;"",ROW($AI$7:$AI$73)-MIN(ROW($AI$7:$AI$73))+1,""),""),ROW()-ROW(A$75)+1)),"##0")," "),"")</f>
        <v>0</v>
      </c>
      <c r="AK75">
        <f t="array" ref="AK75">IFERROR(CONCATENATE((INDEX($A$7:$A$73,SMALL(IF($AL$7:$AL$73&lt;&gt;"",IF($AI$7:$AI$73&lt;&gt;"",ROW($AI$7:$AI$73)-MIN(ROW($AI$7:$AI$73))+1,""),""),ROW()-ROW(A$75)+1))),),"")</f>
        <v>0</v>
      </c>
    </row>
    <row r="76" spans="1:37">
      <c r="K76">
        <f t="array" ref="K76">IFERROR(CONCATENATE(TEXT(INDEX($K$7:$K$73,SMALL(IF($N$7:$N$73&lt;&gt;"",IF($K$7:$K$73&lt;&gt;"",ROW($K$7:$K$73)-MIN(ROW($K$7:$K$73))+1,""),""),ROW()-ROW(A$75)+1)),"##0"),","),"")</f>
        <v>0</v>
      </c>
      <c r="L76">
        <f t="array" ref="L76">IFERROR(CONCATENATE((INDEX($N$7:$N$73,SMALL(IF($N$7:$N$73&lt;&gt;"",IF($K$7:$K$73&lt;&gt;"",ROW($K$7:$K$73)-MIN(ROW($K$7:$K$73))+1,""),""),ROW()-ROW(A$75)+1))),","),"")</f>
        <v>0</v>
      </c>
      <c r="M76">
        <f t="array" ref="M76">IFERROR(CONCATENATE((INDEX($A$7:$A$73,SMALL(IF($N$7:$N$73&lt;&gt;"",IF($K$7:$K$73&lt;&gt;"",ROW($K$7:$K$73)-MIN(ROW($K$7:$K$73))+1,""),""),ROW()-ROW(A$75)+1))),),"")</f>
        <v>0</v>
      </c>
      <c r="Q76">
        <f t="array" ref="Q76">IFERROR(CONCATENATE((INDEX($T$7:$T$73,SMALL(IF($T$7:$T$73&lt;&gt;"",IF($Q$7:$Q$73&lt;&gt;"",ROW($Q$7:$Q$73)-MIN(ROW($Q$7:$Q$73))+1,""),""),ROW()-ROW(A$75)+1)))," "),"")</f>
        <v>0</v>
      </c>
      <c r="R76">
        <f t="array" ref="R76">IFERROR(CONCATENATE(TEXT(INDEX($Q$7:$Q$73,SMALL(IF($T$7:$T$73&lt;&gt;"",IF($Q$7:$Q$73&lt;&gt;"",ROW($Q$7:$Q$73)-MIN(ROW($Q$7:$Q$73))+1,""),""),ROW()-ROW(A$75)+1)),"##0")," "),"")</f>
        <v>0</v>
      </c>
      <c r="S76">
        <f t="array" ref="S76">IFERROR(CONCATENATE((INDEX($A$7:$A$73,SMALL(IF($T$7:$T$73&lt;&gt;"",IF($Q$7:$Q$73&lt;&gt;"",ROW($Q$7:$Q$73)-MIN(ROW($Q$7:$Q$73))+1,""),""),ROW()-ROW(A$75)+1))),),"")</f>
        <v>0</v>
      </c>
      <c r="W76">
        <f t="array" ref="W76">IFERROR(CONCATENATE((INDEX($Z$7:$Z$73,SMALL(IF($Z$7:$Z$73&lt;&gt;"",IF($W$7:$W$73&lt;&gt;"",ROW($W$7:$W$73)-MIN(ROW($W$7:$W$73))+1,""),""),ROW()-ROW(A$75)+1)))," "),"")</f>
        <v>0</v>
      </c>
      <c r="X76">
        <f t="array" ref="X76">IFERROR(CONCATENATE(TEXT(INDEX($W$7:$W$73,SMALL(IF($Z$7:$Z$73&lt;&gt;"",IF($W$7:$W$73&lt;&gt;"",ROW($W$7:$W$73)-MIN(ROW($W$7:$W$73))+1,""),""),ROW()-ROW(A$75)+1)),"##0")," "),"")</f>
        <v>0</v>
      </c>
      <c r="Y76">
        <f t="array" ref="Y76">IFERROR(CONCATENATE((INDEX($A$7:$A$73,SMALL(IF($Z$7:$Z$73&lt;&gt;"",IF($W$7:$W$73&lt;&gt;"",ROW($W$7:$W$73)-MIN(ROW($W$7:$W$73))+1,""),""),ROW()-ROW(A$75)+1))),),"")</f>
        <v>0</v>
      </c>
      <c r="AC76">
        <f t="array" ref="AC76">IFERROR(CONCATENATE((INDEX($AF$7:$AF$73,SMALL(IF($AF$7:$AF$73&lt;&gt;"",IF($AC$7:$AC$73&lt;&gt;"",ROW($AC$7:$AC$73)-MIN(ROW($AC$7:$AC$73))+1,""),""),ROW()-ROW(A$75)+1))),","),"")</f>
        <v>0</v>
      </c>
      <c r="AD76">
        <f t="array" ref="AD76">IFERROR(CONCATENATE(TEXT(INDEX($AC$7:$AC$73,SMALL(IF($AF$7:$AF$73&lt;&gt;"",IF($AC$7:$AC$73&lt;&gt;"",ROW($AC$7:$AC$73)-MIN(ROW($AC$7:$AC$73))+1,""),""),ROW()-ROW(A$75)+1)),"##0"),","),"")</f>
        <v>0</v>
      </c>
      <c r="AE76">
        <f t="array" ref="AE76">IFERROR(CONCATENATE((INDEX($A$7:$A$73,SMALL(IF($AF$7:$AF$73&lt;&gt;"",IF($AC$7:$AC$73&lt;&gt;"",ROW($AC$7:$AC$73)-MIN(ROW($AC$7:$AC$73))+1,""),""),ROW()-ROW(A$75)+1))),),"")</f>
        <v>0</v>
      </c>
      <c r="AI76">
        <f t="array" ref="AI76">IFERROR(CONCATENATE((INDEX($AL$7:$AL$73,SMALL(IF($AL$7:$AL$73&lt;&gt;"",IF($AI$7:$AI$73&lt;&gt;"",ROW($AI$7:$AI$73)-MIN(ROW($AI$7:$AI$73))+1,""),""),ROW()-ROW(A$75)+1)))," "),"")</f>
        <v>0</v>
      </c>
      <c r="AJ76">
        <f t="array" ref="AJ76">IFERROR(CONCATENATE(TEXT(INDEX($AI$7:$AI$73,SMALL(IF($AL$7:$AL$73&lt;&gt;"",IF($AI$7:$AI$73&lt;&gt;"",ROW($AI$7:$AI$73)-MIN(ROW($AI$7:$AI$73))+1,""),""),ROW()-ROW(A$75)+1)),"##0")," "),"")</f>
        <v>0</v>
      </c>
      <c r="AK76">
        <f t="array" ref="AK76">IFERROR(CONCATENATE((INDEX($A$7:$A$73,SMALL(IF($AL$7:$AL$73&lt;&gt;"",IF($AI$7:$AI$73&lt;&gt;"",ROW($AI$7:$AI$73)-MIN(ROW($AI$7:$AI$73))+1,""),""),ROW()-ROW(A$75)+1))),),"")</f>
        <v>0</v>
      </c>
    </row>
    <row r="77" spans="1:37">
      <c r="K77">
        <f t="array" ref="K77">IFERROR(CONCATENATE(TEXT(INDEX($K$7:$K$73,SMALL(IF($N$7:$N$73&lt;&gt;"",IF($K$7:$K$73&lt;&gt;"",ROW($K$7:$K$73)-MIN(ROW($K$7:$K$73))+1,""),""),ROW()-ROW(A$75)+1)),"##0"),","),"")</f>
        <v>0</v>
      </c>
      <c r="L77">
        <f t="array" ref="L77">IFERROR(CONCATENATE((INDEX($N$7:$N$73,SMALL(IF($N$7:$N$73&lt;&gt;"",IF($K$7:$K$73&lt;&gt;"",ROW($K$7:$K$73)-MIN(ROW($K$7:$K$73))+1,""),""),ROW()-ROW(A$75)+1))),","),"")</f>
        <v>0</v>
      </c>
      <c r="M77">
        <f t="array" ref="M77">IFERROR(CONCATENATE((INDEX($A$7:$A$73,SMALL(IF($N$7:$N$73&lt;&gt;"",IF($K$7:$K$73&lt;&gt;"",ROW($K$7:$K$73)-MIN(ROW($K$7:$K$73))+1,""),""),ROW()-ROW(A$75)+1))),),"")</f>
        <v>0</v>
      </c>
      <c r="Q77">
        <f t="array" ref="Q77">IFERROR(CONCATENATE((INDEX($T$7:$T$73,SMALL(IF($T$7:$T$73&lt;&gt;"",IF($Q$7:$Q$73&lt;&gt;"",ROW($Q$7:$Q$73)-MIN(ROW($Q$7:$Q$73))+1,""),""),ROW()-ROW(A$75)+1)))," "),"")</f>
        <v>0</v>
      </c>
      <c r="R77">
        <f t="array" ref="R77">IFERROR(CONCATENATE(TEXT(INDEX($Q$7:$Q$73,SMALL(IF($T$7:$T$73&lt;&gt;"",IF($Q$7:$Q$73&lt;&gt;"",ROW($Q$7:$Q$73)-MIN(ROW($Q$7:$Q$73))+1,""),""),ROW()-ROW(A$75)+1)),"##0")," "),"")</f>
        <v>0</v>
      </c>
      <c r="S77">
        <f t="array" ref="S77">IFERROR(CONCATENATE((INDEX($A$7:$A$73,SMALL(IF($T$7:$T$73&lt;&gt;"",IF($Q$7:$Q$73&lt;&gt;"",ROW($Q$7:$Q$73)-MIN(ROW($Q$7:$Q$73))+1,""),""),ROW()-ROW(A$75)+1))),),"")</f>
        <v>0</v>
      </c>
      <c r="W77">
        <f t="array" ref="W77">IFERROR(CONCATENATE((INDEX($Z$7:$Z$73,SMALL(IF($Z$7:$Z$73&lt;&gt;"",IF($W$7:$W$73&lt;&gt;"",ROW($W$7:$W$73)-MIN(ROW($W$7:$W$73))+1,""),""),ROW()-ROW(A$75)+1)))," "),"")</f>
        <v>0</v>
      </c>
      <c r="X77">
        <f t="array" ref="X77">IFERROR(CONCATENATE(TEXT(INDEX($W$7:$W$73,SMALL(IF($Z$7:$Z$73&lt;&gt;"",IF($W$7:$W$73&lt;&gt;"",ROW($W$7:$W$73)-MIN(ROW($W$7:$W$73))+1,""),""),ROW()-ROW(A$75)+1)),"##0")," "),"")</f>
        <v>0</v>
      </c>
      <c r="Y77">
        <f t="array" ref="Y77">IFERROR(CONCATENATE((INDEX($A$7:$A$73,SMALL(IF($Z$7:$Z$73&lt;&gt;"",IF($W$7:$W$73&lt;&gt;"",ROW($W$7:$W$73)-MIN(ROW($W$7:$W$73))+1,""),""),ROW()-ROW(A$75)+1))),),"")</f>
        <v>0</v>
      </c>
      <c r="AC77">
        <f t="array" ref="AC77">IFERROR(CONCATENATE((INDEX($AF$7:$AF$73,SMALL(IF($AF$7:$AF$73&lt;&gt;"",IF($AC$7:$AC$73&lt;&gt;"",ROW($AC$7:$AC$73)-MIN(ROW($AC$7:$AC$73))+1,""),""),ROW()-ROW(A$75)+1))),","),"")</f>
        <v>0</v>
      </c>
      <c r="AD77">
        <f t="array" ref="AD77">IFERROR(CONCATENATE(TEXT(INDEX($AC$7:$AC$73,SMALL(IF($AF$7:$AF$73&lt;&gt;"",IF($AC$7:$AC$73&lt;&gt;"",ROW($AC$7:$AC$73)-MIN(ROW($AC$7:$AC$73))+1,""),""),ROW()-ROW(A$75)+1)),"##0"),","),"")</f>
        <v>0</v>
      </c>
      <c r="AE77">
        <f t="array" ref="AE77">IFERROR(CONCATENATE((INDEX($A$7:$A$73,SMALL(IF($AF$7:$AF$73&lt;&gt;"",IF($AC$7:$AC$73&lt;&gt;"",ROW($AC$7:$AC$73)-MIN(ROW($AC$7:$AC$73))+1,""),""),ROW()-ROW(A$75)+1))),),"")</f>
        <v>0</v>
      </c>
      <c r="AI77">
        <f t="array" ref="AI77">IFERROR(CONCATENATE((INDEX($AL$7:$AL$73,SMALL(IF($AL$7:$AL$73&lt;&gt;"",IF($AI$7:$AI$73&lt;&gt;"",ROW($AI$7:$AI$73)-MIN(ROW($AI$7:$AI$73))+1,""),""),ROW()-ROW(A$75)+1)))," "),"")</f>
        <v>0</v>
      </c>
      <c r="AJ77">
        <f t="array" ref="AJ77">IFERROR(CONCATENATE(TEXT(INDEX($AI$7:$AI$73,SMALL(IF($AL$7:$AL$73&lt;&gt;"",IF($AI$7:$AI$73&lt;&gt;"",ROW($AI$7:$AI$73)-MIN(ROW($AI$7:$AI$73))+1,""),""),ROW()-ROW(A$75)+1)),"##0")," "),"")</f>
        <v>0</v>
      </c>
      <c r="AK77">
        <f t="array" ref="AK77">IFERROR(CONCATENATE((INDEX($A$7:$A$73,SMALL(IF($AL$7:$AL$73&lt;&gt;"",IF($AI$7:$AI$73&lt;&gt;"",ROW($AI$7:$AI$73)-MIN(ROW($AI$7:$AI$73))+1,""),""),ROW()-ROW(A$75)+1))),),"")</f>
        <v>0</v>
      </c>
    </row>
    <row r="78" spans="1:37">
      <c r="K78">
        <f t="array" ref="K78">IFERROR(CONCATENATE(TEXT(INDEX($K$7:$K$73,SMALL(IF($N$7:$N$73&lt;&gt;"",IF($K$7:$K$73&lt;&gt;"",ROW($K$7:$K$73)-MIN(ROW($K$7:$K$73))+1,""),""),ROW()-ROW(A$75)+1)),"##0"),","),"")</f>
        <v>0</v>
      </c>
      <c r="L78">
        <f t="array" ref="L78">IFERROR(CONCATENATE((INDEX($N$7:$N$73,SMALL(IF($N$7:$N$73&lt;&gt;"",IF($K$7:$K$73&lt;&gt;"",ROW($K$7:$K$73)-MIN(ROW($K$7:$K$73))+1,""),""),ROW()-ROW(A$75)+1))),","),"")</f>
        <v>0</v>
      </c>
      <c r="M78">
        <f t="array" ref="M78">IFERROR(CONCATENATE((INDEX($A$7:$A$73,SMALL(IF($N$7:$N$73&lt;&gt;"",IF($K$7:$K$73&lt;&gt;"",ROW($K$7:$K$73)-MIN(ROW($K$7:$K$73))+1,""),""),ROW()-ROW(A$75)+1))),),"")</f>
        <v>0</v>
      </c>
      <c r="Q78">
        <f t="array" ref="Q78">IFERROR(CONCATENATE((INDEX($T$7:$T$73,SMALL(IF($T$7:$T$73&lt;&gt;"",IF($Q$7:$Q$73&lt;&gt;"",ROW($Q$7:$Q$73)-MIN(ROW($Q$7:$Q$73))+1,""),""),ROW()-ROW(A$75)+1)))," "),"")</f>
        <v>0</v>
      </c>
      <c r="R78">
        <f t="array" ref="R78">IFERROR(CONCATENATE(TEXT(INDEX($Q$7:$Q$73,SMALL(IF($T$7:$T$73&lt;&gt;"",IF($Q$7:$Q$73&lt;&gt;"",ROW($Q$7:$Q$73)-MIN(ROW($Q$7:$Q$73))+1,""),""),ROW()-ROW(A$75)+1)),"##0")," "),"")</f>
        <v>0</v>
      </c>
      <c r="S78">
        <f t="array" ref="S78">IFERROR(CONCATENATE((INDEX($A$7:$A$73,SMALL(IF($T$7:$T$73&lt;&gt;"",IF($Q$7:$Q$73&lt;&gt;"",ROW($Q$7:$Q$73)-MIN(ROW($Q$7:$Q$73))+1,""),""),ROW()-ROW(A$75)+1))),),"")</f>
        <v>0</v>
      </c>
      <c r="W78">
        <f t="array" ref="W78">IFERROR(CONCATENATE((INDEX($Z$7:$Z$73,SMALL(IF($Z$7:$Z$73&lt;&gt;"",IF($W$7:$W$73&lt;&gt;"",ROW($W$7:$W$73)-MIN(ROW($W$7:$W$73))+1,""),""),ROW()-ROW(A$75)+1)))," "),"")</f>
        <v>0</v>
      </c>
      <c r="X78">
        <f t="array" ref="X78">IFERROR(CONCATENATE(TEXT(INDEX($W$7:$W$73,SMALL(IF($Z$7:$Z$73&lt;&gt;"",IF($W$7:$W$73&lt;&gt;"",ROW($W$7:$W$73)-MIN(ROW($W$7:$W$73))+1,""),""),ROW()-ROW(A$75)+1)),"##0")," "),"")</f>
        <v>0</v>
      </c>
      <c r="Y78">
        <f t="array" ref="Y78">IFERROR(CONCATENATE((INDEX($A$7:$A$73,SMALL(IF($Z$7:$Z$73&lt;&gt;"",IF($W$7:$W$73&lt;&gt;"",ROW($W$7:$W$73)-MIN(ROW($W$7:$W$73))+1,""),""),ROW()-ROW(A$75)+1))),),"")</f>
        <v>0</v>
      </c>
      <c r="AC78">
        <f t="array" ref="AC78">IFERROR(CONCATENATE((INDEX($AF$7:$AF$73,SMALL(IF($AF$7:$AF$73&lt;&gt;"",IF($AC$7:$AC$73&lt;&gt;"",ROW($AC$7:$AC$73)-MIN(ROW($AC$7:$AC$73))+1,""),""),ROW()-ROW(A$75)+1))),","),"")</f>
        <v>0</v>
      </c>
      <c r="AD78">
        <f t="array" ref="AD78">IFERROR(CONCATENATE(TEXT(INDEX($AC$7:$AC$73,SMALL(IF($AF$7:$AF$73&lt;&gt;"",IF($AC$7:$AC$73&lt;&gt;"",ROW($AC$7:$AC$73)-MIN(ROW($AC$7:$AC$73))+1,""),""),ROW()-ROW(A$75)+1)),"##0"),","),"")</f>
        <v>0</v>
      </c>
      <c r="AE78">
        <f t="array" ref="AE78">IFERROR(CONCATENATE((INDEX($A$7:$A$73,SMALL(IF($AF$7:$AF$73&lt;&gt;"",IF($AC$7:$AC$73&lt;&gt;"",ROW($AC$7:$AC$73)-MIN(ROW($AC$7:$AC$73))+1,""),""),ROW()-ROW(A$75)+1))),),"")</f>
        <v>0</v>
      </c>
      <c r="AI78">
        <f t="array" ref="AI78">IFERROR(CONCATENATE((INDEX($AL$7:$AL$73,SMALL(IF($AL$7:$AL$73&lt;&gt;"",IF($AI$7:$AI$73&lt;&gt;"",ROW($AI$7:$AI$73)-MIN(ROW($AI$7:$AI$73))+1,""),""),ROW()-ROW(A$75)+1)))," "),"")</f>
        <v>0</v>
      </c>
      <c r="AJ78">
        <f t="array" ref="AJ78">IFERROR(CONCATENATE(TEXT(INDEX($AI$7:$AI$73,SMALL(IF($AL$7:$AL$73&lt;&gt;"",IF($AI$7:$AI$73&lt;&gt;"",ROW($AI$7:$AI$73)-MIN(ROW($AI$7:$AI$73))+1,""),""),ROW()-ROW(A$75)+1)),"##0")," "),"")</f>
        <v>0</v>
      </c>
      <c r="AK78">
        <f t="array" ref="AK78">IFERROR(CONCATENATE((INDEX($A$7:$A$73,SMALL(IF($AL$7:$AL$73&lt;&gt;"",IF($AI$7:$AI$73&lt;&gt;"",ROW($AI$7:$AI$73)-MIN(ROW($AI$7:$AI$73))+1,""),""),ROW()-ROW(A$75)+1))),),"")</f>
        <v>0</v>
      </c>
    </row>
    <row r="79" spans="1:37">
      <c r="K79">
        <f t="array" ref="K79">IFERROR(CONCATENATE(TEXT(INDEX($K$7:$K$73,SMALL(IF($N$7:$N$73&lt;&gt;"",IF($K$7:$K$73&lt;&gt;"",ROW($K$7:$K$73)-MIN(ROW($K$7:$K$73))+1,""),""),ROW()-ROW(A$75)+1)),"##0"),","),"")</f>
        <v>0</v>
      </c>
      <c r="L79">
        <f t="array" ref="L79">IFERROR(CONCATENATE((INDEX($N$7:$N$73,SMALL(IF($N$7:$N$73&lt;&gt;"",IF($K$7:$K$73&lt;&gt;"",ROW($K$7:$K$73)-MIN(ROW($K$7:$K$73))+1,""),""),ROW()-ROW(A$75)+1))),","),"")</f>
        <v>0</v>
      </c>
      <c r="M79">
        <f t="array" ref="M79">IFERROR(CONCATENATE((INDEX($A$7:$A$73,SMALL(IF($N$7:$N$73&lt;&gt;"",IF($K$7:$K$73&lt;&gt;"",ROW($K$7:$K$73)-MIN(ROW($K$7:$K$73))+1,""),""),ROW()-ROW(A$75)+1))),),"")</f>
        <v>0</v>
      </c>
      <c r="Q79">
        <f t="array" ref="Q79">IFERROR(CONCATENATE((INDEX($T$7:$T$73,SMALL(IF($T$7:$T$73&lt;&gt;"",IF($Q$7:$Q$73&lt;&gt;"",ROW($Q$7:$Q$73)-MIN(ROW($Q$7:$Q$73))+1,""),""),ROW()-ROW(A$75)+1)))," "),"")</f>
        <v>0</v>
      </c>
      <c r="R79">
        <f t="array" ref="R79">IFERROR(CONCATENATE(TEXT(INDEX($Q$7:$Q$73,SMALL(IF($T$7:$T$73&lt;&gt;"",IF($Q$7:$Q$73&lt;&gt;"",ROW($Q$7:$Q$73)-MIN(ROW($Q$7:$Q$73))+1,""),""),ROW()-ROW(A$75)+1)),"##0")," "),"")</f>
        <v>0</v>
      </c>
      <c r="S79">
        <f t="array" ref="S79">IFERROR(CONCATENATE((INDEX($A$7:$A$73,SMALL(IF($T$7:$T$73&lt;&gt;"",IF($Q$7:$Q$73&lt;&gt;"",ROW($Q$7:$Q$73)-MIN(ROW($Q$7:$Q$73))+1,""),""),ROW()-ROW(A$75)+1))),),"")</f>
        <v>0</v>
      </c>
      <c r="W79">
        <f t="array" ref="W79">IFERROR(CONCATENATE((INDEX($Z$7:$Z$73,SMALL(IF($Z$7:$Z$73&lt;&gt;"",IF($W$7:$W$73&lt;&gt;"",ROW($W$7:$W$73)-MIN(ROW($W$7:$W$73))+1,""),""),ROW()-ROW(A$75)+1)))," "),"")</f>
        <v>0</v>
      </c>
      <c r="X79">
        <f t="array" ref="X79">IFERROR(CONCATENATE(TEXT(INDEX($W$7:$W$73,SMALL(IF($Z$7:$Z$73&lt;&gt;"",IF($W$7:$W$73&lt;&gt;"",ROW($W$7:$W$73)-MIN(ROW($W$7:$W$73))+1,""),""),ROW()-ROW(A$75)+1)),"##0")," "),"")</f>
        <v>0</v>
      </c>
      <c r="Y79">
        <f t="array" ref="Y79">IFERROR(CONCATENATE((INDEX($A$7:$A$73,SMALL(IF($Z$7:$Z$73&lt;&gt;"",IF($W$7:$W$73&lt;&gt;"",ROW($W$7:$W$73)-MIN(ROW($W$7:$W$73))+1,""),""),ROW()-ROW(A$75)+1))),),"")</f>
        <v>0</v>
      </c>
      <c r="AC79">
        <f t="array" ref="AC79">IFERROR(CONCATENATE((INDEX($AF$7:$AF$73,SMALL(IF($AF$7:$AF$73&lt;&gt;"",IF($AC$7:$AC$73&lt;&gt;"",ROW($AC$7:$AC$73)-MIN(ROW($AC$7:$AC$73))+1,""),""),ROW()-ROW(A$75)+1))),","),"")</f>
        <v>0</v>
      </c>
      <c r="AD79">
        <f t="array" ref="AD79">IFERROR(CONCATENATE(TEXT(INDEX($AC$7:$AC$73,SMALL(IF($AF$7:$AF$73&lt;&gt;"",IF($AC$7:$AC$73&lt;&gt;"",ROW($AC$7:$AC$73)-MIN(ROW($AC$7:$AC$73))+1,""),""),ROW()-ROW(A$75)+1)),"##0"),","),"")</f>
        <v>0</v>
      </c>
      <c r="AE79">
        <f t="array" ref="AE79">IFERROR(CONCATENATE((INDEX($A$7:$A$73,SMALL(IF($AF$7:$AF$73&lt;&gt;"",IF($AC$7:$AC$73&lt;&gt;"",ROW($AC$7:$AC$73)-MIN(ROW($AC$7:$AC$73))+1,""),""),ROW()-ROW(A$75)+1))),),"")</f>
        <v>0</v>
      </c>
      <c r="AI79">
        <f t="array" ref="AI79">IFERROR(CONCATENATE((INDEX($AL$7:$AL$73,SMALL(IF($AL$7:$AL$73&lt;&gt;"",IF($AI$7:$AI$73&lt;&gt;"",ROW($AI$7:$AI$73)-MIN(ROW($AI$7:$AI$73))+1,""),""),ROW()-ROW(A$75)+1)))," "),"")</f>
        <v>0</v>
      </c>
      <c r="AJ79">
        <f t="array" ref="AJ79">IFERROR(CONCATENATE(TEXT(INDEX($AI$7:$AI$73,SMALL(IF($AL$7:$AL$73&lt;&gt;"",IF($AI$7:$AI$73&lt;&gt;"",ROW($AI$7:$AI$73)-MIN(ROW($AI$7:$AI$73))+1,""),""),ROW()-ROW(A$75)+1)),"##0")," "),"")</f>
        <v>0</v>
      </c>
      <c r="AK79">
        <f t="array" ref="AK79">IFERROR(CONCATENATE((INDEX($A$7:$A$73,SMALL(IF($AL$7:$AL$73&lt;&gt;"",IF($AI$7:$AI$73&lt;&gt;"",ROW($AI$7:$AI$73)-MIN(ROW($AI$7:$AI$73))+1,""),""),ROW()-ROW(A$75)+1))),),"")</f>
        <v>0</v>
      </c>
    </row>
    <row r="80" spans="1:37">
      <c r="K80">
        <f t="array" ref="K80">IFERROR(CONCATENATE(TEXT(INDEX($K$7:$K$73,SMALL(IF($N$7:$N$73&lt;&gt;"",IF($K$7:$K$73&lt;&gt;"",ROW($K$7:$K$73)-MIN(ROW($K$7:$K$73))+1,""),""),ROW()-ROW(A$75)+1)),"##0"),","),"")</f>
        <v>0</v>
      </c>
      <c r="L80">
        <f t="array" ref="L80">IFERROR(CONCATENATE((INDEX($N$7:$N$73,SMALL(IF($N$7:$N$73&lt;&gt;"",IF($K$7:$K$73&lt;&gt;"",ROW($K$7:$K$73)-MIN(ROW($K$7:$K$73))+1,""),""),ROW()-ROW(A$75)+1))),","),"")</f>
        <v>0</v>
      </c>
      <c r="M80">
        <f t="array" ref="M80">IFERROR(CONCATENATE((INDEX($A$7:$A$73,SMALL(IF($N$7:$N$73&lt;&gt;"",IF($K$7:$K$73&lt;&gt;"",ROW($K$7:$K$73)-MIN(ROW($K$7:$K$73))+1,""),""),ROW()-ROW(A$75)+1))),),"")</f>
        <v>0</v>
      </c>
      <c r="Q80">
        <f t="array" ref="Q80">IFERROR(CONCATENATE((INDEX($T$7:$T$73,SMALL(IF($T$7:$T$73&lt;&gt;"",IF($Q$7:$Q$73&lt;&gt;"",ROW($Q$7:$Q$73)-MIN(ROW($Q$7:$Q$73))+1,""),""),ROW()-ROW(A$75)+1)))," "),"")</f>
        <v>0</v>
      </c>
      <c r="R80">
        <f t="array" ref="R80">IFERROR(CONCATENATE(TEXT(INDEX($Q$7:$Q$73,SMALL(IF($T$7:$T$73&lt;&gt;"",IF($Q$7:$Q$73&lt;&gt;"",ROW($Q$7:$Q$73)-MIN(ROW($Q$7:$Q$73))+1,""),""),ROW()-ROW(A$75)+1)),"##0")," "),"")</f>
        <v>0</v>
      </c>
      <c r="S80">
        <f t="array" ref="S80">IFERROR(CONCATENATE((INDEX($A$7:$A$73,SMALL(IF($T$7:$T$73&lt;&gt;"",IF($Q$7:$Q$73&lt;&gt;"",ROW($Q$7:$Q$73)-MIN(ROW($Q$7:$Q$73))+1,""),""),ROW()-ROW(A$75)+1))),),"")</f>
        <v>0</v>
      </c>
      <c r="W80">
        <f t="array" ref="W80">IFERROR(CONCATENATE((INDEX($Z$7:$Z$73,SMALL(IF($Z$7:$Z$73&lt;&gt;"",IF($W$7:$W$73&lt;&gt;"",ROW($W$7:$W$73)-MIN(ROW($W$7:$W$73))+1,""),""),ROW()-ROW(A$75)+1)))," "),"")</f>
        <v>0</v>
      </c>
      <c r="X80">
        <f t="array" ref="X80">IFERROR(CONCATENATE(TEXT(INDEX($W$7:$W$73,SMALL(IF($Z$7:$Z$73&lt;&gt;"",IF($W$7:$W$73&lt;&gt;"",ROW($W$7:$W$73)-MIN(ROW($W$7:$W$73))+1,""),""),ROW()-ROW(A$75)+1)),"##0")," "),"")</f>
        <v>0</v>
      </c>
      <c r="Y80">
        <f t="array" ref="Y80">IFERROR(CONCATENATE((INDEX($A$7:$A$73,SMALL(IF($Z$7:$Z$73&lt;&gt;"",IF($W$7:$W$73&lt;&gt;"",ROW($W$7:$W$73)-MIN(ROW($W$7:$W$73))+1,""),""),ROW()-ROW(A$75)+1))),),"")</f>
        <v>0</v>
      </c>
      <c r="AC80">
        <f t="array" ref="AC80">IFERROR(CONCATENATE((INDEX($AF$7:$AF$73,SMALL(IF($AF$7:$AF$73&lt;&gt;"",IF($AC$7:$AC$73&lt;&gt;"",ROW($AC$7:$AC$73)-MIN(ROW($AC$7:$AC$73))+1,""),""),ROW()-ROW(A$75)+1))),","),"")</f>
        <v>0</v>
      </c>
      <c r="AD80">
        <f t="array" ref="AD80">IFERROR(CONCATENATE(TEXT(INDEX($AC$7:$AC$73,SMALL(IF($AF$7:$AF$73&lt;&gt;"",IF($AC$7:$AC$73&lt;&gt;"",ROW($AC$7:$AC$73)-MIN(ROW($AC$7:$AC$73))+1,""),""),ROW()-ROW(A$75)+1)),"##0"),","),"")</f>
        <v>0</v>
      </c>
      <c r="AE80">
        <f t="array" ref="AE80">IFERROR(CONCATENATE((INDEX($A$7:$A$73,SMALL(IF($AF$7:$AF$73&lt;&gt;"",IF($AC$7:$AC$73&lt;&gt;"",ROW($AC$7:$AC$73)-MIN(ROW($AC$7:$AC$73))+1,""),""),ROW()-ROW(A$75)+1))),),"")</f>
        <v>0</v>
      </c>
      <c r="AI80">
        <f t="array" ref="AI80">IFERROR(CONCATENATE((INDEX($AL$7:$AL$73,SMALL(IF($AL$7:$AL$73&lt;&gt;"",IF($AI$7:$AI$73&lt;&gt;"",ROW($AI$7:$AI$73)-MIN(ROW($AI$7:$AI$73))+1,""),""),ROW()-ROW(A$75)+1)))," "),"")</f>
        <v>0</v>
      </c>
      <c r="AJ80">
        <f t="array" ref="AJ80">IFERROR(CONCATENATE(TEXT(INDEX($AI$7:$AI$73,SMALL(IF($AL$7:$AL$73&lt;&gt;"",IF($AI$7:$AI$73&lt;&gt;"",ROW($AI$7:$AI$73)-MIN(ROW($AI$7:$AI$73))+1,""),""),ROW()-ROW(A$75)+1)),"##0")," "),"")</f>
        <v>0</v>
      </c>
      <c r="AK80">
        <f t="array" ref="AK80">IFERROR(CONCATENATE((INDEX($A$7:$A$73,SMALL(IF($AL$7:$AL$73&lt;&gt;"",IF($AI$7:$AI$73&lt;&gt;"",ROW($AI$7:$AI$73)-MIN(ROW($AI$7:$AI$73))+1,""),""),ROW()-ROW(A$75)+1))),),"")</f>
        <v>0</v>
      </c>
    </row>
    <row r="81" spans="11:37">
      <c r="K81">
        <f t="array" ref="K81">IFERROR(CONCATENATE(TEXT(INDEX($K$7:$K$73,SMALL(IF($N$7:$N$73&lt;&gt;"",IF($K$7:$K$73&lt;&gt;"",ROW($K$7:$K$73)-MIN(ROW($K$7:$K$73))+1,""),""),ROW()-ROW(A$75)+1)),"##0"),","),"")</f>
        <v>0</v>
      </c>
      <c r="L81">
        <f t="array" ref="L81">IFERROR(CONCATENATE((INDEX($N$7:$N$73,SMALL(IF($N$7:$N$73&lt;&gt;"",IF($K$7:$K$73&lt;&gt;"",ROW($K$7:$K$73)-MIN(ROW($K$7:$K$73))+1,""),""),ROW()-ROW(A$75)+1))),","),"")</f>
        <v>0</v>
      </c>
      <c r="M81">
        <f t="array" ref="M81">IFERROR(CONCATENATE((INDEX($A$7:$A$73,SMALL(IF($N$7:$N$73&lt;&gt;"",IF($K$7:$K$73&lt;&gt;"",ROW($K$7:$K$73)-MIN(ROW($K$7:$K$73))+1,""),""),ROW()-ROW(A$75)+1))),),"")</f>
        <v>0</v>
      </c>
      <c r="Q81">
        <f t="array" ref="Q81">IFERROR(CONCATENATE((INDEX($T$7:$T$73,SMALL(IF($T$7:$T$73&lt;&gt;"",IF($Q$7:$Q$73&lt;&gt;"",ROW($Q$7:$Q$73)-MIN(ROW($Q$7:$Q$73))+1,""),""),ROW()-ROW(A$75)+1)))," "),"")</f>
        <v>0</v>
      </c>
      <c r="R81">
        <f t="array" ref="R81">IFERROR(CONCATENATE(TEXT(INDEX($Q$7:$Q$73,SMALL(IF($T$7:$T$73&lt;&gt;"",IF($Q$7:$Q$73&lt;&gt;"",ROW($Q$7:$Q$73)-MIN(ROW($Q$7:$Q$73))+1,""),""),ROW()-ROW(A$75)+1)),"##0")," "),"")</f>
        <v>0</v>
      </c>
      <c r="S81">
        <f t="array" ref="S81">IFERROR(CONCATENATE((INDEX($A$7:$A$73,SMALL(IF($T$7:$T$73&lt;&gt;"",IF($Q$7:$Q$73&lt;&gt;"",ROW($Q$7:$Q$73)-MIN(ROW($Q$7:$Q$73))+1,""),""),ROW()-ROW(A$75)+1))),),"")</f>
        <v>0</v>
      </c>
      <c r="W81">
        <f t="array" ref="W81">IFERROR(CONCATENATE((INDEX($Z$7:$Z$73,SMALL(IF($Z$7:$Z$73&lt;&gt;"",IF($W$7:$W$73&lt;&gt;"",ROW($W$7:$W$73)-MIN(ROW($W$7:$W$73))+1,""),""),ROW()-ROW(A$75)+1)))," "),"")</f>
        <v>0</v>
      </c>
      <c r="X81">
        <f t="array" ref="X81">IFERROR(CONCATENATE(TEXT(INDEX($W$7:$W$73,SMALL(IF($Z$7:$Z$73&lt;&gt;"",IF($W$7:$W$73&lt;&gt;"",ROW($W$7:$W$73)-MIN(ROW($W$7:$W$73))+1,""),""),ROW()-ROW(A$75)+1)),"##0")," "),"")</f>
        <v>0</v>
      </c>
      <c r="Y81">
        <f t="array" ref="Y81">IFERROR(CONCATENATE((INDEX($A$7:$A$73,SMALL(IF($Z$7:$Z$73&lt;&gt;"",IF($W$7:$W$73&lt;&gt;"",ROW($W$7:$W$73)-MIN(ROW($W$7:$W$73))+1,""),""),ROW()-ROW(A$75)+1))),),"")</f>
        <v>0</v>
      </c>
      <c r="AC81">
        <f t="array" ref="AC81">IFERROR(CONCATENATE((INDEX($AF$7:$AF$73,SMALL(IF($AF$7:$AF$73&lt;&gt;"",IF($AC$7:$AC$73&lt;&gt;"",ROW($AC$7:$AC$73)-MIN(ROW($AC$7:$AC$73))+1,""),""),ROW()-ROW(A$75)+1))),","),"")</f>
        <v>0</v>
      </c>
      <c r="AD81">
        <f t="array" ref="AD81">IFERROR(CONCATENATE(TEXT(INDEX($AC$7:$AC$73,SMALL(IF($AF$7:$AF$73&lt;&gt;"",IF($AC$7:$AC$73&lt;&gt;"",ROW($AC$7:$AC$73)-MIN(ROW($AC$7:$AC$73))+1,""),""),ROW()-ROW(A$75)+1)),"##0"),","),"")</f>
        <v>0</v>
      </c>
      <c r="AE81">
        <f t="array" ref="AE81">IFERROR(CONCATENATE((INDEX($A$7:$A$73,SMALL(IF($AF$7:$AF$73&lt;&gt;"",IF($AC$7:$AC$73&lt;&gt;"",ROW($AC$7:$AC$73)-MIN(ROW($AC$7:$AC$73))+1,""),""),ROW()-ROW(A$75)+1))),),"")</f>
        <v>0</v>
      </c>
      <c r="AI81">
        <f t="array" ref="AI81">IFERROR(CONCATENATE((INDEX($AL$7:$AL$73,SMALL(IF($AL$7:$AL$73&lt;&gt;"",IF($AI$7:$AI$73&lt;&gt;"",ROW($AI$7:$AI$73)-MIN(ROW($AI$7:$AI$73))+1,""),""),ROW()-ROW(A$75)+1)))," "),"")</f>
        <v>0</v>
      </c>
      <c r="AJ81">
        <f t="array" ref="AJ81">IFERROR(CONCATENATE(TEXT(INDEX($AI$7:$AI$73,SMALL(IF($AL$7:$AL$73&lt;&gt;"",IF($AI$7:$AI$73&lt;&gt;"",ROW($AI$7:$AI$73)-MIN(ROW($AI$7:$AI$73))+1,""),""),ROW()-ROW(A$75)+1)),"##0")," "),"")</f>
        <v>0</v>
      </c>
      <c r="AK81">
        <f t="array" ref="AK81">IFERROR(CONCATENATE((INDEX($A$7:$A$73,SMALL(IF($AL$7:$AL$73&lt;&gt;"",IF($AI$7:$AI$73&lt;&gt;"",ROW($AI$7:$AI$73)-MIN(ROW($AI$7:$AI$73))+1,""),""),ROW()-ROW(A$75)+1))),),"")</f>
        <v>0</v>
      </c>
    </row>
    <row r="82" spans="11:37">
      <c r="K82">
        <f t="array" ref="K82">IFERROR(CONCATENATE(TEXT(INDEX($K$7:$K$73,SMALL(IF($N$7:$N$73&lt;&gt;"",IF($K$7:$K$73&lt;&gt;"",ROW($K$7:$K$73)-MIN(ROW($K$7:$K$73))+1,""),""),ROW()-ROW(A$75)+1)),"##0"),","),"")</f>
        <v>0</v>
      </c>
      <c r="L82">
        <f t="array" ref="L82">IFERROR(CONCATENATE((INDEX($N$7:$N$73,SMALL(IF($N$7:$N$73&lt;&gt;"",IF($K$7:$K$73&lt;&gt;"",ROW($K$7:$K$73)-MIN(ROW($K$7:$K$73))+1,""),""),ROW()-ROW(A$75)+1))),","),"")</f>
        <v>0</v>
      </c>
      <c r="M82">
        <f t="array" ref="M82">IFERROR(CONCATENATE((INDEX($A$7:$A$73,SMALL(IF($N$7:$N$73&lt;&gt;"",IF($K$7:$K$73&lt;&gt;"",ROW($K$7:$K$73)-MIN(ROW($K$7:$K$73))+1,""),""),ROW()-ROW(A$75)+1))),),"")</f>
        <v>0</v>
      </c>
      <c r="Q82">
        <f t="array" ref="Q82">IFERROR(CONCATENATE((INDEX($T$7:$T$73,SMALL(IF($T$7:$T$73&lt;&gt;"",IF($Q$7:$Q$73&lt;&gt;"",ROW($Q$7:$Q$73)-MIN(ROW($Q$7:$Q$73))+1,""),""),ROW()-ROW(A$75)+1)))," "),"")</f>
        <v>0</v>
      </c>
      <c r="R82">
        <f t="array" ref="R82">IFERROR(CONCATENATE(TEXT(INDEX($Q$7:$Q$73,SMALL(IF($T$7:$T$73&lt;&gt;"",IF($Q$7:$Q$73&lt;&gt;"",ROW($Q$7:$Q$73)-MIN(ROW($Q$7:$Q$73))+1,""),""),ROW()-ROW(A$75)+1)),"##0")," "),"")</f>
        <v>0</v>
      </c>
      <c r="S82">
        <f t="array" ref="S82">IFERROR(CONCATENATE((INDEX($A$7:$A$73,SMALL(IF($T$7:$T$73&lt;&gt;"",IF($Q$7:$Q$73&lt;&gt;"",ROW($Q$7:$Q$73)-MIN(ROW($Q$7:$Q$73))+1,""),""),ROW()-ROW(A$75)+1))),),"")</f>
        <v>0</v>
      </c>
      <c r="W82">
        <f t="array" ref="W82">IFERROR(CONCATENATE((INDEX($Z$7:$Z$73,SMALL(IF($Z$7:$Z$73&lt;&gt;"",IF($W$7:$W$73&lt;&gt;"",ROW($W$7:$W$73)-MIN(ROW($W$7:$W$73))+1,""),""),ROW()-ROW(A$75)+1)))," "),"")</f>
        <v>0</v>
      </c>
      <c r="X82">
        <f t="array" ref="X82">IFERROR(CONCATENATE(TEXT(INDEX($W$7:$W$73,SMALL(IF($Z$7:$Z$73&lt;&gt;"",IF($W$7:$W$73&lt;&gt;"",ROW($W$7:$W$73)-MIN(ROW($W$7:$W$73))+1,""),""),ROW()-ROW(A$75)+1)),"##0")," "),"")</f>
        <v>0</v>
      </c>
      <c r="Y82">
        <f t="array" ref="Y82">IFERROR(CONCATENATE((INDEX($A$7:$A$73,SMALL(IF($Z$7:$Z$73&lt;&gt;"",IF($W$7:$W$73&lt;&gt;"",ROW($W$7:$W$73)-MIN(ROW($W$7:$W$73))+1,""),""),ROW()-ROW(A$75)+1))),),"")</f>
        <v>0</v>
      </c>
      <c r="AC82">
        <f t="array" ref="AC82">IFERROR(CONCATENATE((INDEX($AF$7:$AF$73,SMALL(IF($AF$7:$AF$73&lt;&gt;"",IF($AC$7:$AC$73&lt;&gt;"",ROW($AC$7:$AC$73)-MIN(ROW($AC$7:$AC$73))+1,""),""),ROW()-ROW(A$75)+1))),","),"")</f>
        <v>0</v>
      </c>
      <c r="AD82">
        <f t="array" ref="AD82">IFERROR(CONCATENATE(TEXT(INDEX($AC$7:$AC$73,SMALL(IF($AF$7:$AF$73&lt;&gt;"",IF($AC$7:$AC$73&lt;&gt;"",ROW($AC$7:$AC$73)-MIN(ROW($AC$7:$AC$73))+1,""),""),ROW()-ROW(A$75)+1)),"##0"),","),"")</f>
        <v>0</v>
      </c>
      <c r="AE82">
        <f t="array" ref="AE82">IFERROR(CONCATENATE((INDEX($A$7:$A$73,SMALL(IF($AF$7:$AF$73&lt;&gt;"",IF($AC$7:$AC$73&lt;&gt;"",ROW($AC$7:$AC$73)-MIN(ROW($AC$7:$AC$73))+1,""),""),ROW()-ROW(A$75)+1))),),"")</f>
        <v>0</v>
      </c>
      <c r="AI82">
        <f t="array" ref="AI82">IFERROR(CONCATENATE((INDEX($AL$7:$AL$73,SMALL(IF($AL$7:$AL$73&lt;&gt;"",IF($AI$7:$AI$73&lt;&gt;"",ROW($AI$7:$AI$73)-MIN(ROW($AI$7:$AI$73))+1,""),""),ROW()-ROW(A$75)+1)))," "),"")</f>
        <v>0</v>
      </c>
      <c r="AJ82">
        <f t="array" ref="AJ82">IFERROR(CONCATENATE(TEXT(INDEX($AI$7:$AI$73,SMALL(IF($AL$7:$AL$73&lt;&gt;"",IF($AI$7:$AI$73&lt;&gt;"",ROW($AI$7:$AI$73)-MIN(ROW($AI$7:$AI$73))+1,""),""),ROW()-ROW(A$75)+1)),"##0")," "),"")</f>
        <v>0</v>
      </c>
      <c r="AK82">
        <f t="array" ref="AK82">IFERROR(CONCATENATE((INDEX($A$7:$A$73,SMALL(IF($AL$7:$AL$73&lt;&gt;"",IF($AI$7:$AI$73&lt;&gt;"",ROW($AI$7:$AI$73)-MIN(ROW($AI$7:$AI$73))+1,""),""),ROW()-ROW(A$75)+1))),),"")</f>
        <v>0</v>
      </c>
    </row>
    <row r="83" spans="11:37">
      <c r="K83">
        <f t="array" ref="K83">IFERROR(CONCATENATE(TEXT(INDEX($K$7:$K$73,SMALL(IF($N$7:$N$73&lt;&gt;"",IF($K$7:$K$73&lt;&gt;"",ROW($K$7:$K$73)-MIN(ROW($K$7:$K$73))+1,""),""),ROW()-ROW(A$75)+1)),"##0"),","),"")</f>
        <v>0</v>
      </c>
      <c r="L83">
        <f t="array" ref="L83">IFERROR(CONCATENATE((INDEX($N$7:$N$73,SMALL(IF($N$7:$N$73&lt;&gt;"",IF($K$7:$K$73&lt;&gt;"",ROW($K$7:$K$73)-MIN(ROW($K$7:$K$73))+1,""),""),ROW()-ROW(A$75)+1))),","),"")</f>
        <v>0</v>
      </c>
      <c r="M83">
        <f t="array" ref="M83">IFERROR(CONCATENATE((INDEX($A$7:$A$73,SMALL(IF($N$7:$N$73&lt;&gt;"",IF($K$7:$K$73&lt;&gt;"",ROW($K$7:$K$73)-MIN(ROW($K$7:$K$73))+1,""),""),ROW()-ROW(A$75)+1))),),"")</f>
        <v>0</v>
      </c>
      <c r="Q83">
        <f t="array" ref="Q83">IFERROR(CONCATENATE((INDEX($T$7:$T$73,SMALL(IF($T$7:$T$73&lt;&gt;"",IF($Q$7:$Q$73&lt;&gt;"",ROW($Q$7:$Q$73)-MIN(ROW($Q$7:$Q$73))+1,""),""),ROW()-ROW(A$75)+1)))," "),"")</f>
        <v>0</v>
      </c>
      <c r="R83">
        <f t="array" ref="R83">IFERROR(CONCATENATE(TEXT(INDEX($Q$7:$Q$73,SMALL(IF($T$7:$T$73&lt;&gt;"",IF($Q$7:$Q$73&lt;&gt;"",ROW($Q$7:$Q$73)-MIN(ROW($Q$7:$Q$73))+1,""),""),ROW()-ROW(A$75)+1)),"##0")," "),"")</f>
        <v>0</v>
      </c>
      <c r="S83">
        <f t="array" ref="S83">IFERROR(CONCATENATE((INDEX($A$7:$A$73,SMALL(IF($T$7:$T$73&lt;&gt;"",IF($Q$7:$Q$73&lt;&gt;"",ROW($Q$7:$Q$73)-MIN(ROW($Q$7:$Q$73))+1,""),""),ROW()-ROW(A$75)+1))),),"")</f>
        <v>0</v>
      </c>
      <c r="W83">
        <f t="array" ref="W83">IFERROR(CONCATENATE((INDEX($Z$7:$Z$73,SMALL(IF($Z$7:$Z$73&lt;&gt;"",IF($W$7:$W$73&lt;&gt;"",ROW($W$7:$W$73)-MIN(ROW($W$7:$W$73))+1,""),""),ROW()-ROW(A$75)+1)))," "),"")</f>
        <v>0</v>
      </c>
      <c r="X83">
        <f t="array" ref="X83">IFERROR(CONCATENATE(TEXT(INDEX($W$7:$W$73,SMALL(IF($Z$7:$Z$73&lt;&gt;"",IF($W$7:$W$73&lt;&gt;"",ROW($W$7:$W$73)-MIN(ROW($W$7:$W$73))+1,""),""),ROW()-ROW(A$75)+1)),"##0")," "),"")</f>
        <v>0</v>
      </c>
      <c r="Y83">
        <f t="array" ref="Y83">IFERROR(CONCATENATE((INDEX($A$7:$A$73,SMALL(IF($Z$7:$Z$73&lt;&gt;"",IF($W$7:$W$73&lt;&gt;"",ROW($W$7:$W$73)-MIN(ROW($W$7:$W$73))+1,""),""),ROW()-ROW(A$75)+1))),),"")</f>
        <v>0</v>
      </c>
      <c r="AC83">
        <f t="array" ref="AC83">IFERROR(CONCATENATE((INDEX($AF$7:$AF$73,SMALL(IF($AF$7:$AF$73&lt;&gt;"",IF($AC$7:$AC$73&lt;&gt;"",ROW($AC$7:$AC$73)-MIN(ROW($AC$7:$AC$73))+1,""),""),ROW()-ROW(A$75)+1))),","),"")</f>
        <v>0</v>
      </c>
      <c r="AD83">
        <f t="array" ref="AD83">IFERROR(CONCATENATE(TEXT(INDEX($AC$7:$AC$73,SMALL(IF($AF$7:$AF$73&lt;&gt;"",IF($AC$7:$AC$73&lt;&gt;"",ROW($AC$7:$AC$73)-MIN(ROW($AC$7:$AC$73))+1,""),""),ROW()-ROW(A$75)+1)),"##0"),","),"")</f>
        <v>0</v>
      </c>
      <c r="AE83">
        <f t="array" ref="AE83">IFERROR(CONCATENATE((INDEX($A$7:$A$73,SMALL(IF($AF$7:$AF$73&lt;&gt;"",IF($AC$7:$AC$73&lt;&gt;"",ROW($AC$7:$AC$73)-MIN(ROW($AC$7:$AC$73))+1,""),""),ROW()-ROW(A$75)+1))),),"")</f>
        <v>0</v>
      </c>
      <c r="AI83">
        <f t="array" ref="AI83">IFERROR(CONCATENATE((INDEX($AL$7:$AL$73,SMALL(IF($AL$7:$AL$73&lt;&gt;"",IF($AI$7:$AI$73&lt;&gt;"",ROW($AI$7:$AI$73)-MIN(ROW($AI$7:$AI$73))+1,""),""),ROW()-ROW(A$75)+1)))," "),"")</f>
        <v>0</v>
      </c>
      <c r="AJ83">
        <f t="array" ref="AJ83">IFERROR(CONCATENATE(TEXT(INDEX($AI$7:$AI$73,SMALL(IF($AL$7:$AL$73&lt;&gt;"",IF($AI$7:$AI$73&lt;&gt;"",ROW($AI$7:$AI$73)-MIN(ROW($AI$7:$AI$73))+1,""),""),ROW()-ROW(A$75)+1)),"##0")," "),"")</f>
        <v>0</v>
      </c>
      <c r="AK83">
        <f t="array" ref="AK83">IFERROR(CONCATENATE((INDEX($A$7:$A$73,SMALL(IF($AL$7:$AL$73&lt;&gt;"",IF($AI$7:$AI$73&lt;&gt;"",ROW($AI$7:$AI$73)-MIN(ROW($AI$7:$AI$73))+1,""),""),ROW()-ROW(A$75)+1))),),"")</f>
        <v>0</v>
      </c>
    </row>
    <row r="84" spans="11:37">
      <c r="K84">
        <f t="array" ref="K84">IFERROR(CONCATENATE(TEXT(INDEX($K$7:$K$73,SMALL(IF($N$7:$N$73&lt;&gt;"",IF($K$7:$K$73&lt;&gt;"",ROW($K$7:$K$73)-MIN(ROW($K$7:$K$73))+1,""),""),ROW()-ROW(A$75)+1)),"##0"),","),"")</f>
        <v>0</v>
      </c>
      <c r="L84">
        <f t="array" ref="L84">IFERROR(CONCATENATE((INDEX($N$7:$N$73,SMALL(IF($N$7:$N$73&lt;&gt;"",IF($K$7:$K$73&lt;&gt;"",ROW($K$7:$K$73)-MIN(ROW($K$7:$K$73))+1,""),""),ROW()-ROW(A$75)+1))),","),"")</f>
        <v>0</v>
      </c>
      <c r="M84">
        <f t="array" ref="M84">IFERROR(CONCATENATE((INDEX($A$7:$A$73,SMALL(IF($N$7:$N$73&lt;&gt;"",IF($K$7:$K$73&lt;&gt;"",ROW($K$7:$K$73)-MIN(ROW($K$7:$K$73))+1,""),""),ROW()-ROW(A$75)+1))),),"")</f>
        <v>0</v>
      </c>
      <c r="Q84">
        <f t="array" ref="Q84">IFERROR(CONCATENATE((INDEX($T$7:$T$73,SMALL(IF($T$7:$T$73&lt;&gt;"",IF($Q$7:$Q$73&lt;&gt;"",ROW($Q$7:$Q$73)-MIN(ROW($Q$7:$Q$73))+1,""),""),ROW()-ROW(A$75)+1)))," "),"")</f>
        <v>0</v>
      </c>
      <c r="R84">
        <f t="array" ref="R84">IFERROR(CONCATENATE(TEXT(INDEX($Q$7:$Q$73,SMALL(IF($T$7:$T$73&lt;&gt;"",IF($Q$7:$Q$73&lt;&gt;"",ROW($Q$7:$Q$73)-MIN(ROW($Q$7:$Q$73))+1,""),""),ROW()-ROW(A$75)+1)),"##0")," "),"")</f>
        <v>0</v>
      </c>
      <c r="S84">
        <f t="array" ref="S84">IFERROR(CONCATENATE((INDEX($A$7:$A$73,SMALL(IF($T$7:$T$73&lt;&gt;"",IF($Q$7:$Q$73&lt;&gt;"",ROW($Q$7:$Q$73)-MIN(ROW($Q$7:$Q$73))+1,""),""),ROW()-ROW(A$75)+1))),),"")</f>
        <v>0</v>
      </c>
      <c r="W84">
        <f t="array" ref="W84">IFERROR(CONCATENATE((INDEX($Z$7:$Z$73,SMALL(IF($Z$7:$Z$73&lt;&gt;"",IF($W$7:$W$73&lt;&gt;"",ROW($W$7:$W$73)-MIN(ROW($W$7:$W$73))+1,""),""),ROW()-ROW(A$75)+1)))," "),"")</f>
        <v>0</v>
      </c>
      <c r="X84">
        <f t="array" ref="X84">IFERROR(CONCATENATE(TEXT(INDEX($W$7:$W$73,SMALL(IF($Z$7:$Z$73&lt;&gt;"",IF($W$7:$W$73&lt;&gt;"",ROW($W$7:$W$73)-MIN(ROW($W$7:$W$73))+1,""),""),ROW()-ROW(A$75)+1)),"##0")," "),"")</f>
        <v>0</v>
      </c>
      <c r="Y84">
        <f t="array" ref="Y84">IFERROR(CONCATENATE((INDEX($A$7:$A$73,SMALL(IF($Z$7:$Z$73&lt;&gt;"",IF($W$7:$W$73&lt;&gt;"",ROW($W$7:$W$73)-MIN(ROW($W$7:$W$73))+1,""),""),ROW()-ROW(A$75)+1))),),"")</f>
        <v>0</v>
      </c>
      <c r="AC84">
        <f t="array" ref="AC84">IFERROR(CONCATENATE((INDEX($AF$7:$AF$73,SMALL(IF($AF$7:$AF$73&lt;&gt;"",IF($AC$7:$AC$73&lt;&gt;"",ROW($AC$7:$AC$73)-MIN(ROW($AC$7:$AC$73))+1,""),""),ROW()-ROW(A$75)+1))),","),"")</f>
        <v>0</v>
      </c>
      <c r="AD84">
        <f t="array" ref="AD84">IFERROR(CONCATENATE(TEXT(INDEX($AC$7:$AC$73,SMALL(IF($AF$7:$AF$73&lt;&gt;"",IF($AC$7:$AC$73&lt;&gt;"",ROW($AC$7:$AC$73)-MIN(ROW($AC$7:$AC$73))+1,""),""),ROW()-ROW(A$75)+1)),"##0"),","),"")</f>
        <v>0</v>
      </c>
      <c r="AE84">
        <f t="array" ref="AE84">IFERROR(CONCATENATE((INDEX($A$7:$A$73,SMALL(IF($AF$7:$AF$73&lt;&gt;"",IF($AC$7:$AC$73&lt;&gt;"",ROW($AC$7:$AC$73)-MIN(ROW($AC$7:$AC$73))+1,""),""),ROW()-ROW(A$75)+1))),),"")</f>
        <v>0</v>
      </c>
      <c r="AI84">
        <f t="array" ref="AI84">IFERROR(CONCATENATE((INDEX($AL$7:$AL$73,SMALL(IF($AL$7:$AL$73&lt;&gt;"",IF($AI$7:$AI$73&lt;&gt;"",ROW($AI$7:$AI$73)-MIN(ROW($AI$7:$AI$73))+1,""),""),ROW()-ROW(A$75)+1)))," "),"")</f>
        <v>0</v>
      </c>
      <c r="AJ84">
        <f t="array" ref="AJ84">IFERROR(CONCATENATE(TEXT(INDEX($AI$7:$AI$73,SMALL(IF($AL$7:$AL$73&lt;&gt;"",IF($AI$7:$AI$73&lt;&gt;"",ROW($AI$7:$AI$73)-MIN(ROW($AI$7:$AI$73))+1,""),""),ROW()-ROW(A$75)+1)),"##0")," "),"")</f>
        <v>0</v>
      </c>
      <c r="AK84">
        <f t="array" ref="AK84">IFERROR(CONCATENATE((INDEX($A$7:$A$73,SMALL(IF($AL$7:$AL$73&lt;&gt;"",IF($AI$7:$AI$73&lt;&gt;"",ROW($AI$7:$AI$73)-MIN(ROW($AI$7:$AI$73))+1,""),""),ROW()-ROW(A$75)+1))),),"")</f>
        <v>0</v>
      </c>
    </row>
    <row r="85" spans="11:37">
      <c r="K85">
        <f t="array" ref="K85">IFERROR(CONCATENATE(TEXT(INDEX($K$7:$K$73,SMALL(IF($N$7:$N$73&lt;&gt;"",IF($K$7:$K$73&lt;&gt;"",ROW($K$7:$K$73)-MIN(ROW($K$7:$K$73))+1,""),""),ROW()-ROW(A$75)+1)),"##0"),","),"")</f>
        <v>0</v>
      </c>
      <c r="L85">
        <f t="array" ref="L85">IFERROR(CONCATENATE((INDEX($N$7:$N$73,SMALL(IF($N$7:$N$73&lt;&gt;"",IF($K$7:$K$73&lt;&gt;"",ROW($K$7:$K$73)-MIN(ROW($K$7:$K$73))+1,""),""),ROW()-ROW(A$75)+1))),","),"")</f>
        <v>0</v>
      </c>
      <c r="M85">
        <f t="array" ref="M85">IFERROR(CONCATENATE((INDEX($A$7:$A$73,SMALL(IF($N$7:$N$73&lt;&gt;"",IF($K$7:$K$73&lt;&gt;"",ROW($K$7:$K$73)-MIN(ROW($K$7:$K$73))+1,""),""),ROW()-ROW(A$75)+1))),),"")</f>
        <v>0</v>
      </c>
      <c r="Q85">
        <f t="array" ref="Q85">IFERROR(CONCATENATE((INDEX($T$7:$T$73,SMALL(IF($T$7:$T$73&lt;&gt;"",IF($Q$7:$Q$73&lt;&gt;"",ROW($Q$7:$Q$73)-MIN(ROW($Q$7:$Q$73))+1,""),""),ROW()-ROW(A$75)+1)))," "),"")</f>
        <v>0</v>
      </c>
      <c r="R85">
        <f t="array" ref="R85">IFERROR(CONCATENATE(TEXT(INDEX($Q$7:$Q$73,SMALL(IF($T$7:$T$73&lt;&gt;"",IF($Q$7:$Q$73&lt;&gt;"",ROW($Q$7:$Q$73)-MIN(ROW($Q$7:$Q$73))+1,""),""),ROW()-ROW(A$75)+1)),"##0")," "),"")</f>
        <v>0</v>
      </c>
      <c r="S85">
        <f t="array" ref="S85">IFERROR(CONCATENATE((INDEX($A$7:$A$73,SMALL(IF($T$7:$T$73&lt;&gt;"",IF($Q$7:$Q$73&lt;&gt;"",ROW($Q$7:$Q$73)-MIN(ROW($Q$7:$Q$73))+1,""),""),ROW()-ROW(A$75)+1))),),"")</f>
        <v>0</v>
      </c>
      <c r="W85">
        <f t="array" ref="W85">IFERROR(CONCATENATE((INDEX($Z$7:$Z$73,SMALL(IF($Z$7:$Z$73&lt;&gt;"",IF($W$7:$W$73&lt;&gt;"",ROW($W$7:$W$73)-MIN(ROW($W$7:$W$73))+1,""),""),ROW()-ROW(A$75)+1)))," "),"")</f>
        <v>0</v>
      </c>
      <c r="X85">
        <f t="array" ref="X85">IFERROR(CONCATENATE(TEXT(INDEX($W$7:$W$73,SMALL(IF($Z$7:$Z$73&lt;&gt;"",IF($W$7:$W$73&lt;&gt;"",ROW($W$7:$W$73)-MIN(ROW($W$7:$W$73))+1,""),""),ROW()-ROW(A$75)+1)),"##0")," "),"")</f>
        <v>0</v>
      </c>
      <c r="Y85">
        <f t="array" ref="Y85">IFERROR(CONCATENATE((INDEX($A$7:$A$73,SMALL(IF($Z$7:$Z$73&lt;&gt;"",IF($W$7:$W$73&lt;&gt;"",ROW($W$7:$W$73)-MIN(ROW($W$7:$W$73))+1,""),""),ROW()-ROW(A$75)+1))),),"")</f>
        <v>0</v>
      </c>
      <c r="AC85">
        <f t="array" ref="AC85">IFERROR(CONCATENATE((INDEX($AF$7:$AF$73,SMALL(IF($AF$7:$AF$73&lt;&gt;"",IF($AC$7:$AC$73&lt;&gt;"",ROW($AC$7:$AC$73)-MIN(ROW($AC$7:$AC$73))+1,""),""),ROW()-ROW(A$75)+1))),","),"")</f>
        <v>0</v>
      </c>
      <c r="AD85">
        <f t="array" ref="AD85">IFERROR(CONCATENATE(TEXT(INDEX($AC$7:$AC$73,SMALL(IF($AF$7:$AF$73&lt;&gt;"",IF($AC$7:$AC$73&lt;&gt;"",ROW($AC$7:$AC$73)-MIN(ROW($AC$7:$AC$73))+1,""),""),ROW()-ROW(A$75)+1)),"##0"),","),"")</f>
        <v>0</v>
      </c>
      <c r="AE85">
        <f t="array" ref="AE85">IFERROR(CONCATENATE((INDEX($A$7:$A$73,SMALL(IF($AF$7:$AF$73&lt;&gt;"",IF($AC$7:$AC$73&lt;&gt;"",ROW($AC$7:$AC$73)-MIN(ROW($AC$7:$AC$73))+1,""),""),ROW()-ROW(A$75)+1))),),"")</f>
        <v>0</v>
      </c>
      <c r="AI85">
        <f t="array" ref="AI85">IFERROR(CONCATENATE((INDEX($AL$7:$AL$73,SMALL(IF($AL$7:$AL$73&lt;&gt;"",IF($AI$7:$AI$73&lt;&gt;"",ROW($AI$7:$AI$73)-MIN(ROW($AI$7:$AI$73))+1,""),""),ROW()-ROW(A$75)+1)))," "),"")</f>
        <v>0</v>
      </c>
      <c r="AJ85">
        <f t="array" ref="AJ85">IFERROR(CONCATENATE(TEXT(INDEX($AI$7:$AI$73,SMALL(IF($AL$7:$AL$73&lt;&gt;"",IF($AI$7:$AI$73&lt;&gt;"",ROW($AI$7:$AI$73)-MIN(ROW($AI$7:$AI$73))+1,""),""),ROW()-ROW(A$75)+1)),"##0")," "),"")</f>
        <v>0</v>
      </c>
      <c r="AK85">
        <f t="array" ref="AK85">IFERROR(CONCATENATE((INDEX($A$7:$A$73,SMALL(IF($AL$7:$AL$73&lt;&gt;"",IF($AI$7:$AI$73&lt;&gt;"",ROW($AI$7:$AI$73)-MIN(ROW($AI$7:$AI$73))+1,""),""),ROW()-ROW(A$75)+1))),),"")</f>
        <v>0</v>
      </c>
    </row>
    <row r="86" spans="11:37">
      <c r="K86">
        <f t="array" ref="K86">IFERROR(CONCATENATE(TEXT(INDEX($K$7:$K$73,SMALL(IF($N$7:$N$73&lt;&gt;"",IF($K$7:$K$73&lt;&gt;"",ROW($K$7:$K$73)-MIN(ROW($K$7:$K$73))+1,""),""),ROW()-ROW(A$75)+1)),"##0"),","),"")</f>
        <v>0</v>
      </c>
      <c r="L86">
        <f t="array" ref="L86">IFERROR(CONCATENATE((INDEX($N$7:$N$73,SMALL(IF($N$7:$N$73&lt;&gt;"",IF($K$7:$K$73&lt;&gt;"",ROW($K$7:$K$73)-MIN(ROW($K$7:$K$73))+1,""),""),ROW()-ROW(A$75)+1))),","),"")</f>
        <v>0</v>
      </c>
      <c r="M86">
        <f t="array" ref="M86">IFERROR(CONCATENATE((INDEX($A$7:$A$73,SMALL(IF($N$7:$N$73&lt;&gt;"",IF($K$7:$K$73&lt;&gt;"",ROW($K$7:$K$73)-MIN(ROW($K$7:$K$73))+1,""),""),ROW()-ROW(A$75)+1))),),"")</f>
        <v>0</v>
      </c>
      <c r="Q86">
        <f t="array" ref="Q86">IFERROR(CONCATENATE((INDEX($T$7:$T$73,SMALL(IF($T$7:$T$73&lt;&gt;"",IF($Q$7:$Q$73&lt;&gt;"",ROW($Q$7:$Q$73)-MIN(ROW($Q$7:$Q$73))+1,""),""),ROW()-ROW(A$75)+1)))," "),"")</f>
        <v>0</v>
      </c>
      <c r="R86">
        <f t="array" ref="R86">IFERROR(CONCATENATE(TEXT(INDEX($Q$7:$Q$73,SMALL(IF($T$7:$T$73&lt;&gt;"",IF($Q$7:$Q$73&lt;&gt;"",ROW($Q$7:$Q$73)-MIN(ROW($Q$7:$Q$73))+1,""),""),ROW()-ROW(A$75)+1)),"##0")," "),"")</f>
        <v>0</v>
      </c>
      <c r="S86">
        <f t="array" ref="S86">IFERROR(CONCATENATE((INDEX($A$7:$A$73,SMALL(IF($T$7:$T$73&lt;&gt;"",IF($Q$7:$Q$73&lt;&gt;"",ROW($Q$7:$Q$73)-MIN(ROW($Q$7:$Q$73))+1,""),""),ROW()-ROW(A$75)+1))),),"")</f>
        <v>0</v>
      </c>
      <c r="W86">
        <f t="array" ref="W86">IFERROR(CONCATENATE((INDEX($Z$7:$Z$73,SMALL(IF($Z$7:$Z$73&lt;&gt;"",IF($W$7:$W$73&lt;&gt;"",ROW($W$7:$W$73)-MIN(ROW($W$7:$W$73))+1,""),""),ROW()-ROW(A$75)+1)))," "),"")</f>
        <v>0</v>
      </c>
      <c r="X86">
        <f t="array" ref="X86">IFERROR(CONCATENATE(TEXT(INDEX($W$7:$W$73,SMALL(IF($Z$7:$Z$73&lt;&gt;"",IF($W$7:$W$73&lt;&gt;"",ROW($W$7:$W$73)-MIN(ROW($W$7:$W$73))+1,""),""),ROW()-ROW(A$75)+1)),"##0")," "),"")</f>
        <v>0</v>
      </c>
      <c r="Y86">
        <f t="array" ref="Y86">IFERROR(CONCATENATE((INDEX($A$7:$A$73,SMALL(IF($Z$7:$Z$73&lt;&gt;"",IF($W$7:$W$73&lt;&gt;"",ROW($W$7:$W$73)-MIN(ROW($W$7:$W$73))+1,""),""),ROW()-ROW(A$75)+1))),),"")</f>
        <v>0</v>
      </c>
      <c r="AC86">
        <f t="array" ref="AC86">IFERROR(CONCATENATE((INDEX($AF$7:$AF$73,SMALL(IF($AF$7:$AF$73&lt;&gt;"",IF($AC$7:$AC$73&lt;&gt;"",ROW($AC$7:$AC$73)-MIN(ROW($AC$7:$AC$73))+1,""),""),ROW()-ROW(A$75)+1))),","),"")</f>
        <v>0</v>
      </c>
      <c r="AD86">
        <f t="array" ref="AD86">IFERROR(CONCATENATE(TEXT(INDEX($AC$7:$AC$73,SMALL(IF($AF$7:$AF$73&lt;&gt;"",IF($AC$7:$AC$73&lt;&gt;"",ROW($AC$7:$AC$73)-MIN(ROW($AC$7:$AC$73))+1,""),""),ROW()-ROW(A$75)+1)),"##0"),","),"")</f>
        <v>0</v>
      </c>
      <c r="AE86">
        <f t="array" ref="AE86">IFERROR(CONCATENATE((INDEX($A$7:$A$73,SMALL(IF($AF$7:$AF$73&lt;&gt;"",IF($AC$7:$AC$73&lt;&gt;"",ROW($AC$7:$AC$73)-MIN(ROW($AC$7:$AC$73))+1,""),""),ROW()-ROW(A$75)+1))),),"")</f>
        <v>0</v>
      </c>
      <c r="AI86">
        <f t="array" ref="AI86">IFERROR(CONCATENATE((INDEX($AL$7:$AL$73,SMALL(IF($AL$7:$AL$73&lt;&gt;"",IF($AI$7:$AI$73&lt;&gt;"",ROW($AI$7:$AI$73)-MIN(ROW($AI$7:$AI$73))+1,""),""),ROW()-ROW(A$75)+1)))," "),"")</f>
        <v>0</v>
      </c>
      <c r="AJ86">
        <f t="array" ref="AJ86">IFERROR(CONCATENATE(TEXT(INDEX($AI$7:$AI$73,SMALL(IF($AL$7:$AL$73&lt;&gt;"",IF($AI$7:$AI$73&lt;&gt;"",ROW($AI$7:$AI$73)-MIN(ROW($AI$7:$AI$73))+1,""),""),ROW()-ROW(A$75)+1)),"##0")," "),"")</f>
        <v>0</v>
      </c>
      <c r="AK86">
        <f t="array" ref="AK86">IFERROR(CONCATENATE((INDEX($A$7:$A$73,SMALL(IF($AL$7:$AL$73&lt;&gt;"",IF($AI$7:$AI$73&lt;&gt;"",ROW($AI$7:$AI$73)-MIN(ROW($AI$7:$AI$73))+1,""),""),ROW()-ROW(A$75)+1))),),"")</f>
        <v>0</v>
      </c>
    </row>
    <row r="87" spans="11:37">
      <c r="K87">
        <f t="array" ref="K87">IFERROR(CONCATENATE(TEXT(INDEX($K$7:$K$73,SMALL(IF($N$7:$N$73&lt;&gt;"",IF($K$7:$K$73&lt;&gt;"",ROW($K$7:$K$73)-MIN(ROW($K$7:$K$73))+1,""),""),ROW()-ROW(A$75)+1)),"##0"),","),"")</f>
        <v>0</v>
      </c>
      <c r="L87">
        <f t="array" ref="L87">IFERROR(CONCATENATE((INDEX($N$7:$N$73,SMALL(IF($N$7:$N$73&lt;&gt;"",IF($K$7:$K$73&lt;&gt;"",ROW($K$7:$K$73)-MIN(ROW($K$7:$K$73))+1,""),""),ROW()-ROW(A$75)+1))),","),"")</f>
        <v>0</v>
      </c>
      <c r="M87">
        <f t="array" ref="M87">IFERROR(CONCATENATE((INDEX($A$7:$A$73,SMALL(IF($N$7:$N$73&lt;&gt;"",IF($K$7:$K$73&lt;&gt;"",ROW($K$7:$K$73)-MIN(ROW($K$7:$K$73))+1,""),""),ROW()-ROW(A$75)+1))),),"")</f>
        <v>0</v>
      </c>
      <c r="Q87">
        <f t="array" ref="Q87">IFERROR(CONCATENATE((INDEX($T$7:$T$73,SMALL(IF($T$7:$T$73&lt;&gt;"",IF($Q$7:$Q$73&lt;&gt;"",ROW($Q$7:$Q$73)-MIN(ROW($Q$7:$Q$73))+1,""),""),ROW()-ROW(A$75)+1)))," "),"")</f>
        <v>0</v>
      </c>
      <c r="R87">
        <f t="array" ref="R87">IFERROR(CONCATENATE(TEXT(INDEX($Q$7:$Q$73,SMALL(IF($T$7:$T$73&lt;&gt;"",IF($Q$7:$Q$73&lt;&gt;"",ROW($Q$7:$Q$73)-MIN(ROW($Q$7:$Q$73))+1,""),""),ROW()-ROW(A$75)+1)),"##0")," "),"")</f>
        <v>0</v>
      </c>
      <c r="S87">
        <f t="array" ref="S87">IFERROR(CONCATENATE((INDEX($A$7:$A$73,SMALL(IF($T$7:$T$73&lt;&gt;"",IF($Q$7:$Q$73&lt;&gt;"",ROW($Q$7:$Q$73)-MIN(ROW($Q$7:$Q$73))+1,""),""),ROW()-ROW(A$75)+1))),),"")</f>
        <v>0</v>
      </c>
      <c r="W87">
        <f t="array" ref="W87">IFERROR(CONCATENATE((INDEX($Z$7:$Z$73,SMALL(IF($Z$7:$Z$73&lt;&gt;"",IF($W$7:$W$73&lt;&gt;"",ROW($W$7:$W$73)-MIN(ROW($W$7:$W$73))+1,""),""),ROW()-ROW(A$75)+1)))," "),"")</f>
        <v>0</v>
      </c>
      <c r="X87">
        <f t="array" ref="X87">IFERROR(CONCATENATE(TEXT(INDEX($W$7:$W$73,SMALL(IF($Z$7:$Z$73&lt;&gt;"",IF($W$7:$W$73&lt;&gt;"",ROW($W$7:$W$73)-MIN(ROW($W$7:$W$73))+1,""),""),ROW()-ROW(A$75)+1)),"##0")," "),"")</f>
        <v>0</v>
      </c>
      <c r="Y87">
        <f t="array" ref="Y87">IFERROR(CONCATENATE((INDEX($A$7:$A$73,SMALL(IF($Z$7:$Z$73&lt;&gt;"",IF($W$7:$W$73&lt;&gt;"",ROW($W$7:$W$73)-MIN(ROW($W$7:$W$73))+1,""),""),ROW()-ROW(A$75)+1))),),"")</f>
        <v>0</v>
      </c>
      <c r="AC87">
        <f t="array" ref="AC87">IFERROR(CONCATENATE((INDEX($AF$7:$AF$73,SMALL(IF($AF$7:$AF$73&lt;&gt;"",IF($AC$7:$AC$73&lt;&gt;"",ROW($AC$7:$AC$73)-MIN(ROW($AC$7:$AC$73))+1,""),""),ROW()-ROW(A$75)+1))),","),"")</f>
        <v>0</v>
      </c>
      <c r="AD87">
        <f t="array" ref="AD87">IFERROR(CONCATENATE(TEXT(INDEX($AC$7:$AC$73,SMALL(IF($AF$7:$AF$73&lt;&gt;"",IF($AC$7:$AC$73&lt;&gt;"",ROW($AC$7:$AC$73)-MIN(ROW($AC$7:$AC$73))+1,""),""),ROW()-ROW(A$75)+1)),"##0"),","),"")</f>
        <v>0</v>
      </c>
      <c r="AE87">
        <f t="array" ref="AE87">IFERROR(CONCATENATE((INDEX($A$7:$A$73,SMALL(IF($AF$7:$AF$73&lt;&gt;"",IF($AC$7:$AC$73&lt;&gt;"",ROW($AC$7:$AC$73)-MIN(ROW($AC$7:$AC$73))+1,""),""),ROW()-ROW(A$75)+1))),),"")</f>
        <v>0</v>
      </c>
      <c r="AI87">
        <f t="array" ref="AI87">IFERROR(CONCATENATE((INDEX($AL$7:$AL$73,SMALL(IF($AL$7:$AL$73&lt;&gt;"",IF($AI$7:$AI$73&lt;&gt;"",ROW($AI$7:$AI$73)-MIN(ROW($AI$7:$AI$73))+1,""),""),ROW()-ROW(A$75)+1)))," "),"")</f>
        <v>0</v>
      </c>
      <c r="AJ87">
        <f t="array" ref="AJ87">IFERROR(CONCATENATE(TEXT(INDEX($AI$7:$AI$73,SMALL(IF($AL$7:$AL$73&lt;&gt;"",IF($AI$7:$AI$73&lt;&gt;"",ROW($AI$7:$AI$73)-MIN(ROW($AI$7:$AI$73))+1,""),""),ROW()-ROW(A$75)+1)),"##0")," "),"")</f>
        <v>0</v>
      </c>
      <c r="AK87">
        <f t="array" ref="AK87">IFERROR(CONCATENATE((INDEX($A$7:$A$73,SMALL(IF($AL$7:$AL$73&lt;&gt;"",IF($AI$7:$AI$73&lt;&gt;"",ROW($AI$7:$AI$73)-MIN(ROW($AI$7:$AI$73))+1,""),""),ROW()-ROW(A$75)+1))),),"")</f>
        <v>0</v>
      </c>
    </row>
    <row r="88" spans="11:37">
      <c r="K88">
        <f t="array" ref="K88">IFERROR(CONCATENATE(TEXT(INDEX($K$7:$K$73,SMALL(IF($N$7:$N$73&lt;&gt;"",IF($K$7:$K$73&lt;&gt;"",ROW($K$7:$K$73)-MIN(ROW($K$7:$K$73))+1,""),""),ROW()-ROW(A$75)+1)),"##0"),","),"")</f>
        <v>0</v>
      </c>
      <c r="L88">
        <f t="array" ref="L88">IFERROR(CONCATENATE((INDEX($N$7:$N$73,SMALL(IF($N$7:$N$73&lt;&gt;"",IF($K$7:$K$73&lt;&gt;"",ROW($K$7:$K$73)-MIN(ROW($K$7:$K$73))+1,""),""),ROW()-ROW(A$75)+1))),","),"")</f>
        <v>0</v>
      </c>
      <c r="M88">
        <f t="array" ref="M88">IFERROR(CONCATENATE((INDEX($A$7:$A$73,SMALL(IF($N$7:$N$73&lt;&gt;"",IF($K$7:$K$73&lt;&gt;"",ROW($K$7:$K$73)-MIN(ROW($K$7:$K$73))+1,""),""),ROW()-ROW(A$75)+1))),),"")</f>
        <v>0</v>
      </c>
      <c r="Q88">
        <f t="array" ref="Q88">IFERROR(CONCATENATE((INDEX($T$7:$T$73,SMALL(IF($T$7:$T$73&lt;&gt;"",IF($Q$7:$Q$73&lt;&gt;"",ROW($Q$7:$Q$73)-MIN(ROW($Q$7:$Q$73))+1,""),""),ROW()-ROW(A$75)+1)))," "),"")</f>
        <v>0</v>
      </c>
      <c r="R88">
        <f t="array" ref="R88">IFERROR(CONCATENATE(TEXT(INDEX($Q$7:$Q$73,SMALL(IF($T$7:$T$73&lt;&gt;"",IF($Q$7:$Q$73&lt;&gt;"",ROW($Q$7:$Q$73)-MIN(ROW($Q$7:$Q$73))+1,""),""),ROW()-ROW(A$75)+1)),"##0")," "),"")</f>
        <v>0</v>
      </c>
      <c r="S88">
        <f t="array" ref="S88">IFERROR(CONCATENATE((INDEX($A$7:$A$73,SMALL(IF($T$7:$T$73&lt;&gt;"",IF($Q$7:$Q$73&lt;&gt;"",ROW($Q$7:$Q$73)-MIN(ROW($Q$7:$Q$73))+1,""),""),ROW()-ROW(A$75)+1))),),"")</f>
        <v>0</v>
      </c>
      <c r="W88">
        <f t="array" ref="W88">IFERROR(CONCATENATE((INDEX($Z$7:$Z$73,SMALL(IF($Z$7:$Z$73&lt;&gt;"",IF($W$7:$W$73&lt;&gt;"",ROW($W$7:$W$73)-MIN(ROW($W$7:$W$73))+1,""),""),ROW()-ROW(A$75)+1)))," "),"")</f>
        <v>0</v>
      </c>
      <c r="X88">
        <f t="array" ref="X88">IFERROR(CONCATENATE(TEXT(INDEX($W$7:$W$73,SMALL(IF($Z$7:$Z$73&lt;&gt;"",IF($W$7:$W$73&lt;&gt;"",ROW($W$7:$W$73)-MIN(ROW($W$7:$W$73))+1,""),""),ROW()-ROW(A$75)+1)),"##0")," "),"")</f>
        <v>0</v>
      </c>
      <c r="Y88">
        <f t="array" ref="Y88">IFERROR(CONCATENATE((INDEX($A$7:$A$73,SMALL(IF($Z$7:$Z$73&lt;&gt;"",IF($W$7:$W$73&lt;&gt;"",ROW($W$7:$W$73)-MIN(ROW($W$7:$W$73))+1,""),""),ROW()-ROW(A$75)+1))),),"")</f>
        <v>0</v>
      </c>
      <c r="AC88">
        <f t="array" ref="AC88">IFERROR(CONCATENATE((INDEX($AF$7:$AF$73,SMALL(IF($AF$7:$AF$73&lt;&gt;"",IF($AC$7:$AC$73&lt;&gt;"",ROW($AC$7:$AC$73)-MIN(ROW($AC$7:$AC$73))+1,""),""),ROW()-ROW(A$75)+1))),","),"")</f>
        <v>0</v>
      </c>
      <c r="AD88">
        <f t="array" ref="AD88">IFERROR(CONCATENATE(TEXT(INDEX($AC$7:$AC$73,SMALL(IF($AF$7:$AF$73&lt;&gt;"",IF($AC$7:$AC$73&lt;&gt;"",ROW($AC$7:$AC$73)-MIN(ROW($AC$7:$AC$73))+1,""),""),ROW()-ROW(A$75)+1)),"##0"),","),"")</f>
        <v>0</v>
      </c>
      <c r="AE88">
        <f t="array" ref="AE88">IFERROR(CONCATENATE((INDEX($A$7:$A$73,SMALL(IF($AF$7:$AF$73&lt;&gt;"",IF($AC$7:$AC$73&lt;&gt;"",ROW($AC$7:$AC$73)-MIN(ROW($AC$7:$AC$73))+1,""),""),ROW()-ROW(A$75)+1))),),"")</f>
        <v>0</v>
      </c>
      <c r="AI88">
        <f t="array" ref="AI88">IFERROR(CONCATENATE((INDEX($AL$7:$AL$73,SMALL(IF($AL$7:$AL$73&lt;&gt;"",IF($AI$7:$AI$73&lt;&gt;"",ROW($AI$7:$AI$73)-MIN(ROW($AI$7:$AI$73))+1,""),""),ROW()-ROW(A$75)+1)))," "),"")</f>
        <v>0</v>
      </c>
      <c r="AJ88">
        <f t="array" ref="AJ88">IFERROR(CONCATENATE(TEXT(INDEX($AI$7:$AI$73,SMALL(IF($AL$7:$AL$73&lt;&gt;"",IF($AI$7:$AI$73&lt;&gt;"",ROW($AI$7:$AI$73)-MIN(ROW($AI$7:$AI$73))+1,""),""),ROW()-ROW(A$75)+1)),"##0")," "),"")</f>
        <v>0</v>
      </c>
      <c r="AK88">
        <f t="array" ref="AK88">IFERROR(CONCATENATE((INDEX($A$7:$A$73,SMALL(IF($AL$7:$AL$73&lt;&gt;"",IF($AI$7:$AI$73&lt;&gt;"",ROW($AI$7:$AI$73)-MIN(ROW($AI$7:$AI$73))+1,""),""),ROW()-ROW(A$75)+1))),),"")</f>
        <v>0</v>
      </c>
    </row>
    <row r="89" spans="11:37">
      <c r="K89">
        <f t="array" ref="K89">IFERROR(CONCATENATE(TEXT(INDEX($K$7:$K$73,SMALL(IF($N$7:$N$73&lt;&gt;"",IF($K$7:$K$73&lt;&gt;"",ROW($K$7:$K$73)-MIN(ROW($K$7:$K$73))+1,""),""),ROW()-ROW(A$75)+1)),"##0"),","),"")</f>
        <v>0</v>
      </c>
      <c r="L89">
        <f t="array" ref="L89">IFERROR(CONCATENATE((INDEX($N$7:$N$73,SMALL(IF($N$7:$N$73&lt;&gt;"",IF($K$7:$K$73&lt;&gt;"",ROW($K$7:$K$73)-MIN(ROW($K$7:$K$73))+1,""),""),ROW()-ROW(A$75)+1))),","),"")</f>
        <v>0</v>
      </c>
      <c r="M89">
        <f t="array" ref="M89">IFERROR(CONCATENATE((INDEX($A$7:$A$73,SMALL(IF($N$7:$N$73&lt;&gt;"",IF($K$7:$K$73&lt;&gt;"",ROW($K$7:$K$73)-MIN(ROW($K$7:$K$73))+1,""),""),ROW()-ROW(A$75)+1))),),"")</f>
        <v>0</v>
      </c>
      <c r="Q89">
        <f t="array" ref="Q89">IFERROR(CONCATENATE((INDEX($T$7:$T$73,SMALL(IF($T$7:$T$73&lt;&gt;"",IF($Q$7:$Q$73&lt;&gt;"",ROW($Q$7:$Q$73)-MIN(ROW($Q$7:$Q$73))+1,""),""),ROW()-ROW(A$75)+1)))," "),"")</f>
        <v>0</v>
      </c>
      <c r="R89">
        <f t="array" ref="R89">IFERROR(CONCATENATE(TEXT(INDEX($Q$7:$Q$73,SMALL(IF($T$7:$T$73&lt;&gt;"",IF($Q$7:$Q$73&lt;&gt;"",ROW($Q$7:$Q$73)-MIN(ROW($Q$7:$Q$73))+1,""),""),ROW()-ROW(A$75)+1)),"##0")," "),"")</f>
        <v>0</v>
      </c>
      <c r="S89">
        <f t="array" ref="S89">IFERROR(CONCATENATE((INDEX($A$7:$A$73,SMALL(IF($T$7:$T$73&lt;&gt;"",IF($Q$7:$Q$73&lt;&gt;"",ROW($Q$7:$Q$73)-MIN(ROW($Q$7:$Q$73))+1,""),""),ROW()-ROW(A$75)+1))),),"")</f>
        <v>0</v>
      </c>
      <c r="W89">
        <f t="array" ref="W89">IFERROR(CONCATENATE((INDEX($Z$7:$Z$73,SMALL(IF($Z$7:$Z$73&lt;&gt;"",IF($W$7:$W$73&lt;&gt;"",ROW($W$7:$W$73)-MIN(ROW($W$7:$W$73))+1,""),""),ROW()-ROW(A$75)+1)))," "),"")</f>
        <v>0</v>
      </c>
      <c r="X89">
        <f t="array" ref="X89">IFERROR(CONCATENATE(TEXT(INDEX($W$7:$W$73,SMALL(IF($Z$7:$Z$73&lt;&gt;"",IF($W$7:$W$73&lt;&gt;"",ROW($W$7:$W$73)-MIN(ROW($W$7:$W$73))+1,""),""),ROW()-ROW(A$75)+1)),"##0")," "),"")</f>
        <v>0</v>
      </c>
      <c r="Y89">
        <f t="array" ref="Y89">IFERROR(CONCATENATE((INDEX($A$7:$A$73,SMALL(IF($Z$7:$Z$73&lt;&gt;"",IF($W$7:$W$73&lt;&gt;"",ROW($W$7:$W$73)-MIN(ROW($W$7:$W$73))+1,""),""),ROW()-ROW(A$75)+1))),),"")</f>
        <v>0</v>
      </c>
      <c r="AC89">
        <f t="array" ref="AC89">IFERROR(CONCATENATE((INDEX($AF$7:$AF$73,SMALL(IF($AF$7:$AF$73&lt;&gt;"",IF($AC$7:$AC$73&lt;&gt;"",ROW($AC$7:$AC$73)-MIN(ROW($AC$7:$AC$73))+1,""),""),ROW()-ROW(A$75)+1))),","),"")</f>
        <v>0</v>
      </c>
      <c r="AD89">
        <f t="array" ref="AD89">IFERROR(CONCATENATE(TEXT(INDEX($AC$7:$AC$73,SMALL(IF($AF$7:$AF$73&lt;&gt;"",IF($AC$7:$AC$73&lt;&gt;"",ROW($AC$7:$AC$73)-MIN(ROW($AC$7:$AC$73))+1,""),""),ROW()-ROW(A$75)+1)),"##0"),","),"")</f>
        <v>0</v>
      </c>
      <c r="AE89">
        <f t="array" ref="AE89">IFERROR(CONCATENATE((INDEX($A$7:$A$73,SMALL(IF($AF$7:$AF$73&lt;&gt;"",IF($AC$7:$AC$73&lt;&gt;"",ROW($AC$7:$AC$73)-MIN(ROW($AC$7:$AC$73))+1,""),""),ROW()-ROW(A$75)+1))),),"")</f>
        <v>0</v>
      </c>
      <c r="AI89">
        <f t="array" ref="AI89">IFERROR(CONCATENATE((INDEX($AL$7:$AL$73,SMALL(IF($AL$7:$AL$73&lt;&gt;"",IF($AI$7:$AI$73&lt;&gt;"",ROW($AI$7:$AI$73)-MIN(ROW($AI$7:$AI$73))+1,""),""),ROW()-ROW(A$75)+1)))," "),"")</f>
        <v>0</v>
      </c>
      <c r="AJ89">
        <f t="array" ref="AJ89">IFERROR(CONCATENATE(TEXT(INDEX($AI$7:$AI$73,SMALL(IF($AL$7:$AL$73&lt;&gt;"",IF($AI$7:$AI$73&lt;&gt;"",ROW($AI$7:$AI$73)-MIN(ROW($AI$7:$AI$73))+1,""),""),ROW()-ROW(A$75)+1)),"##0")," "),"")</f>
        <v>0</v>
      </c>
      <c r="AK89">
        <f t="array" ref="AK89">IFERROR(CONCATENATE((INDEX($A$7:$A$73,SMALL(IF($AL$7:$AL$73&lt;&gt;"",IF($AI$7:$AI$73&lt;&gt;"",ROW($AI$7:$AI$73)-MIN(ROW($AI$7:$AI$73))+1,""),""),ROW()-ROW(A$75)+1))),),"")</f>
        <v>0</v>
      </c>
    </row>
    <row r="90" spans="11:37">
      <c r="K90">
        <f t="array" ref="K90">IFERROR(CONCATENATE(TEXT(INDEX($K$7:$K$73,SMALL(IF($N$7:$N$73&lt;&gt;"",IF($K$7:$K$73&lt;&gt;"",ROW($K$7:$K$73)-MIN(ROW($K$7:$K$73))+1,""),""),ROW()-ROW(A$75)+1)),"##0"),","),"")</f>
        <v>0</v>
      </c>
      <c r="L90">
        <f t="array" ref="L90">IFERROR(CONCATENATE((INDEX($N$7:$N$73,SMALL(IF($N$7:$N$73&lt;&gt;"",IF($K$7:$K$73&lt;&gt;"",ROW($K$7:$K$73)-MIN(ROW($K$7:$K$73))+1,""),""),ROW()-ROW(A$75)+1))),","),"")</f>
        <v>0</v>
      </c>
      <c r="M90">
        <f t="array" ref="M90">IFERROR(CONCATENATE((INDEX($A$7:$A$73,SMALL(IF($N$7:$N$73&lt;&gt;"",IF($K$7:$K$73&lt;&gt;"",ROW($K$7:$K$73)-MIN(ROW($K$7:$K$73))+1,""),""),ROW()-ROW(A$75)+1))),),"")</f>
        <v>0</v>
      </c>
      <c r="Q90">
        <f t="array" ref="Q90">IFERROR(CONCATENATE((INDEX($T$7:$T$73,SMALL(IF($T$7:$T$73&lt;&gt;"",IF($Q$7:$Q$73&lt;&gt;"",ROW($Q$7:$Q$73)-MIN(ROW($Q$7:$Q$73))+1,""),""),ROW()-ROW(A$75)+1)))," "),"")</f>
        <v>0</v>
      </c>
      <c r="R90">
        <f t="array" ref="R90">IFERROR(CONCATENATE(TEXT(INDEX($Q$7:$Q$73,SMALL(IF($T$7:$T$73&lt;&gt;"",IF($Q$7:$Q$73&lt;&gt;"",ROW($Q$7:$Q$73)-MIN(ROW($Q$7:$Q$73))+1,""),""),ROW()-ROW(A$75)+1)),"##0")," "),"")</f>
        <v>0</v>
      </c>
      <c r="S90">
        <f t="array" ref="S90">IFERROR(CONCATENATE((INDEX($A$7:$A$73,SMALL(IF($T$7:$T$73&lt;&gt;"",IF($Q$7:$Q$73&lt;&gt;"",ROW($Q$7:$Q$73)-MIN(ROW($Q$7:$Q$73))+1,""),""),ROW()-ROW(A$75)+1))),),"")</f>
        <v>0</v>
      </c>
      <c r="W90">
        <f t="array" ref="W90">IFERROR(CONCATENATE((INDEX($Z$7:$Z$73,SMALL(IF($Z$7:$Z$73&lt;&gt;"",IF($W$7:$W$73&lt;&gt;"",ROW($W$7:$W$73)-MIN(ROW($W$7:$W$73))+1,""),""),ROW()-ROW(A$75)+1)))," "),"")</f>
        <v>0</v>
      </c>
      <c r="X90">
        <f t="array" ref="X90">IFERROR(CONCATENATE(TEXT(INDEX($W$7:$W$73,SMALL(IF($Z$7:$Z$73&lt;&gt;"",IF($W$7:$W$73&lt;&gt;"",ROW($W$7:$W$73)-MIN(ROW($W$7:$W$73))+1,""),""),ROW()-ROW(A$75)+1)),"##0")," "),"")</f>
        <v>0</v>
      </c>
      <c r="Y90">
        <f t="array" ref="Y90">IFERROR(CONCATENATE((INDEX($A$7:$A$73,SMALL(IF($Z$7:$Z$73&lt;&gt;"",IF($W$7:$W$73&lt;&gt;"",ROW($W$7:$W$73)-MIN(ROW($W$7:$W$73))+1,""),""),ROW()-ROW(A$75)+1))),),"")</f>
        <v>0</v>
      </c>
      <c r="AC90">
        <f t="array" ref="AC90">IFERROR(CONCATENATE((INDEX($AF$7:$AF$73,SMALL(IF($AF$7:$AF$73&lt;&gt;"",IF($AC$7:$AC$73&lt;&gt;"",ROW($AC$7:$AC$73)-MIN(ROW($AC$7:$AC$73))+1,""),""),ROW()-ROW(A$75)+1))),","),"")</f>
        <v>0</v>
      </c>
      <c r="AD90">
        <f t="array" ref="AD90">IFERROR(CONCATENATE(TEXT(INDEX($AC$7:$AC$73,SMALL(IF($AF$7:$AF$73&lt;&gt;"",IF($AC$7:$AC$73&lt;&gt;"",ROW($AC$7:$AC$73)-MIN(ROW($AC$7:$AC$73))+1,""),""),ROW()-ROW(A$75)+1)),"##0"),","),"")</f>
        <v>0</v>
      </c>
      <c r="AE90">
        <f t="array" ref="AE90">IFERROR(CONCATENATE((INDEX($A$7:$A$73,SMALL(IF($AF$7:$AF$73&lt;&gt;"",IF($AC$7:$AC$73&lt;&gt;"",ROW($AC$7:$AC$73)-MIN(ROW($AC$7:$AC$73))+1,""),""),ROW()-ROW(A$75)+1))),),"")</f>
        <v>0</v>
      </c>
      <c r="AI90">
        <f t="array" ref="AI90">IFERROR(CONCATENATE((INDEX($AL$7:$AL$73,SMALL(IF($AL$7:$AL$73&lt;&gt;"",IF($AI$7:$AI$73&lt;&gt;"",ROW($AI$7:$AI$73)-MIN(ROW($AI$7:$AI$73))+1,""),""),ROW()-ROW(A$75)+1)))," "),"")</f>
        <v>0</v>
      </c>
      <c r="AJ90">
        <f t="array" ref="AJ90">IFERROR(CONCATENATE(TEXT(INDEX($AI$7:$AI$73,SMALL(IF($AL$7:$AL$73&lt;&gt;"",IF($AI$7:$AI$73&lt;&gt;"",ROW($AI$7:$AI$73)-MIN(ROW($AI$7:$AI$73))+1,""),""),ROW()-ROW(A$75)+1)),"##0")," "),"")</f>
        <v>0</v>
      </c>
      <c r="AK90">
        <f t="array" ref="AK90">IFERROR(CONCATENATE((INDEX($A$7:$A$73,SMALL(IF($AL$7:$AL$73&lt;&gt;"",IF($AI$7:$AI$73&lt;&gt;"",ROW($AI$7:$AI$73)-MIN(ROW($AI$7:$AI$73))+1,""),""),ROW()-ROW(A$75)+1))),),"")</f>
        <v>0</v>
      </c>
    </row>
    <row r="91" spans="11:37">
      <c r="K91">
        <f t="array" ref="K91">IFERROR(CONCATENATE(TEXT(INDEX($K$7:$K$73,SMALL(IF($N$7:$N$73&lt;&gt;"",IF($K$7:$K$73&lt;&gt;"",ROW($K$7:$K$73)-MIN(ROW($K$7:$K$73))+1,""),""),ROW()-ROW(A$75)+1)),"##0"),","),"")</f>
        <v>0</v>
      </c>
      <c r="L91">
        <f t="array" ref="L91">IFERROR(CONCATENATE((INDEX($N$7:$N$73,SMALL(IF($N$7:$N$73&lt;&gt;"",IF($K$7:$K$73&lt;&gt;"",ROW($K$7:$K$73)-MIN(ROW($K$7:$K$73))+1,""),""),ROW()-ROW(A$75)+1))),","),"")</f>
        <v>0</v>
      </c>
      <c r="M91">
        <f t="array" ref="M91">IFERROR(CONCATENATE((INDEX($A$7:$A$73,SMALL(IF($N$7:$N$73&lt;&gt;"",IF($K$7:$K$73&lt;&gt;"",ROW($K$7:$K$73)-MIN(ROW($K$7:$K$73))+1,""),""),ROW()-ROW(A$75)+1))),),"")</f>
        <v>0</v>
      </c>
      <c r="Q91">
        <f t="array" ref="Q91">IFERROR(CONCATENATE((INDEX($T$7:$T$73,SMALL(IF($T$7:$T$73&lt;&gt;"",IF($Q$7:$Q$73&lt;&gt;"",ROW($Q$7:$Q$73)-MIN(ROW($Q$7:$Q$73))+1,""),""),ROW()-ROW(A$75)+1)))," "),"")</f>
        <v>0</v>
      </c>
      <c r="R91">
        <f t="array" ref="R91">IFERROR(CONCATENATE(TEXT(INDEX($Q$7:$Q$73,SMALL(IF($T$7:$T$73&lt;&gt;"",IF($Q$7:$Q$73&lt;&gt;"",ROW($Q$7:$Q$73)-MIN(ROW($Q$7:$Q$73))+1,""),""),ROW()-ROW(A$75)+1)),"##0")," "),"")</f>
        <v>0</v>
      </c>
      <c r="S91">
        <f t="array" ref="S91">IFERROR(CONCATENATE((INDEX($A$7:$A$73,SMALL(IF($T$7:$T$73&lt;&gt;"",IF($Q$7:$Q$73&lt;&gt;"",ROW($Q$7:$Q$73)-MIN(ROW($Q$7:$Q$73))+1,""),""),ROW()-ROW(A$75)+1))),),"")</f>
        <v>0</v>
      </c>
      <c r="W91">
        <f t="array" ref="W91">IFERROR(CONCATENATE((INDEX($Z$7:$Z$73,SMALL(IF($Z$7:$Z$73&lt;&gt;"",IF($W$7:$W$73&lt;&gt;"",ROW($W$7:$W$73)-MIN(ROW($W$7:$W$73))+1,""),""),ROW()-ROW(A$75)+1)))," "),"")</f>
        <v>0</v>
      </c>
      <c r="X91">
        <f t="array" ref="X91">IFERROR(CONCATENATE(TEXT(INDEX($W$7:$W$73,SMALL(IF($Z$7:$Z$73&lt;&gt;"",IF($W$7:$W$73&lt;&gt;"",ROW($W$7:$W$73)-MIN(ROW($W$7:$W$73))+1,""),""),ROW()-ROW(A$75)+1)),"##0")," "),"")</f>
        <v>0</v>
      </c>
      <c r="Y91">
        <f t="array" ref="Y91">IFERROR(CONCATENATE((INDEX($A$7:$A$73,SMALL(IF($Z$7:$Z$73&lt;&gt;"",IF($W$7:$W$73&lt;&gt;"",ROW($W$7:$W$73)-MIN(ROW($W$7:$W$73))+1,""),""),ROW()-ROW(A$75)+1))),),"")</f>
        <v>0</v>
      </c>
      <c r="AC91">
        <f t="array" ref="AC91">IFERROR(CONCATENATE((INDEX($AF$7:$AF$73,SMALL(IF($AF$7:$AF$73&lt;&gt;"",IF($AC$7:$AC$73&lt;&gt;"",ROW($AC$7:$AC$73)-MIN(ROW($AC$7:$AC$73))+1,""),""),ROW()-ROW(A$75)+1))),","),"")</f>
        <v>0</v>
      </c>
      <c r="AD91">
        <f t="array" ref="AD91">IFERROR(CONCATENATE(TEXT(INDEX($AC$7:$AC$73,SMALL(IF($AF$7:$AF$73&lt;&gt;"",IF($AC$7:$AC$73&lt;&gt;"",ROW($AC$7:$AC$73)-MIN(ROW($AC$7:$AC$73))+1,""),""),ROW()-ROW(A$75)+1)),"##0"),","),"")</f>
        <v>0</v>
      </c>
      <c r="AE91">
        <f t="array" ref="AE91">IFERROR(CONCATENATE((INDEX($A$7:$A$73,SMALL(IF($AF$7:$AF$73&lt;&gt;"",IF($AC$7:$AC$73&lt;&gt;"",ROW($AC$7:$AC$73)-MIN(ROW($AC$7:$AC$73))+1,""),""),ROW()-ROW(A$75)+1))),),"")</f>
        <v>0</v>
      </c>
      <c r="AI91">
        <f t="array" ref="AI91">IFERROR(CONCATENATE((INDEX($AL$7:$AL$73,SMALL(IF($AL$7:$AL$73&lt;&gt;"",IF($AI$7:$AI$73&lt;&gt;"",ROW($AI$7:$AI$73)-MIN(ROW($AI$7:$AI$73))+1,""),""),ROW()-ROW(A$75)+1)))," "),"")</f>
        <v>0</v>
      </c>
      <c r="AJ91">
        <f t="array" ref="AJ91">IFERROR(CONCATENATE(TEXT(INDEX($AI$7:$AI$73,SMALL(IF($AL$7:$AL$73&lt;&gt;"",IF($AI$7:$AI$73&lt;&gt;"",ROW($AI$7:$AI$73)-MIN(ROW($AI$7:$AI$73))+1,""),""),ROW()-ROW(A$75)+1)),"##0")," "),"")</f>
        <v>0</v>
      </c>
      <c r="AK91">
        <f t="array" ref="AK91">IFERROR(CONCATENATE((INDEX($A$7:$A$73,SMALL(IF($AL$7:$AL$73&lt;&gt;"",IF($AI$7:$AI$73&lt;&gt;"",ROW($AI$7:$AI$73)-MIN(ROW($AI$7:$AI$73))+1,""),""),ROW()-ROW(A$75)+1))),),"")</f>
        <v>0</v>
      </c>
    </row>
    <row r="92" spans="11:37">
      <c r="K92">
        <f t="array" ref="K92">IFERROR(CONCATENATE(TEXT(INDEX($K$7:$K$73,SMALL(IF($N$7:$N$73&lt;&gt;"",IF($K$7:$K$73&lt;&gt;"",ROW($K$7:$K$73)-MIN(ROW($K$7:$K$73))+1,""),""),ROW()-ROW(A$75)+1)),"##0"),","),"")</f>
        <v>0</v>
      </c>
      <c r="L92">
        <f t="array" ref="L92">IFERROR(CONCATENATE((INDEX($N$7:$N$73,SMALL(IF($N$7:$N$73&lt;&gt;"",IF($K$7:$K$73&lt;&gt;"",ROW($K$7:$K$73)-MIN(ROW($K$7:$K$73))+1,""),""),ROW()-ROW(A$75)+1))),","),"")</f>
        <v>0</v>
      </c>
      <c r="M92">
        <f t="array" ref="M92">IFERROR(CONCATENATE((INDEX($A$7:$A$73,SMALL(IF($N$7:$N$73&lt;&gt;"",IF($K$7:$K$73&lt;&gt;"",ROW($K$7:$K$73)-MIN(ROW($K$7:$K$73))+1,""),""),ROW()-ROW(A$75)+1))),),"")</f>
        <v>0</v>
      </c>
      <c r="Q92">
        <f t="array" ref="Q92">IFERROR(CONCATENATE((INDEX($T$7:$T$73,SMALL(IF($T$7:$T$73&lt;&gt;"",IF($Q$7:$Q$73&lt;&gt;"",ROW($Q$7:$Q$73)-MIN(ROW($Q$7:$Q$73))+1,""),""),ROW()-ROW(A$75)+1)))," "),"")</f>
        <v>0</v>
      </c>
      <c r="R92">
        <f t="array" ref="R92">IFERROR(CONCATENATE(TEXT(INDEX($Q$7:$Q$73,SMALL(IF($T$7:$T$73&lt;&gt;"",IF($Q$7:$Q$73&lt;&gt;"",ROW($Q$7:$Q$73)-MIN(ROW($Q$7:$Q$73))+1,""),""),ROW()-ROW(A$75)+1)),"##0")," "),"")</f>
        <v>0</v>
      </c>
      <c r="S92">
        <f t="array" ref="S92">IFERROR(CONCATENATE((INDEX($A$7:$A$73,SMALL(IF($T$7:$T$73&lt;&gt;"",IF($Q$7:$Q$73&lt;&gt;"",ROW($Q$7:$Q$73)-MIN(ROW($Q$7:$Q$73))+1,""),""),ROW()-ROW(A$75)+1))),),"")</f>
        <v>0</v>
      </c>
      <c r="W92">
        <f t="array" ref="W92">IFERROR(CONCATENATE((INDEX($Z$7:$Z$73,SMALL(IF($Z$7:$Z$73&lt;&gt;"",IF($W$7:$W$73&lt;&gt;"",ROW($W$7:$W$73)-MIN(ROW($W$7:$W$73))+1,""),""),ROW()-ROW(A$75)+1)))," "),"")</f>
        <v>0</v>
      </c>
      <c r="X92">
        <f t="array" ref="X92">IFERROR(CONCATENATE(TEXT(INDEX($W$7:$W$73,SMALL(IF($Z$7:$Z$73&lt;&gt;"",IF($W$7:$W$73&lt;&gt;"",ROW($W$7:$W$73)-MIN(ROW($W$7:$W$73))+1,""),""),ROW()-ROW(A$75)+1)),"##0")," "),"")</f>
        <v>0</v>
      </c>
      <c r="Y92">
        <f t="array" ref="Y92">IFERROR(CONCATENATE((INDEX($A$7:$A$73,SMALL(IF($Z$7:$Z$73&lt;&gt;"",IF($W$7:$W$73&lt;&gt;"",ROW($W$7:$W$73)-MIN(ROW($W$7:$W$73))+1,""),""),ROW()-ROW(A$75)+1))),),"")</f>
        <v>0</v>
      </c>
      <c r="AC92">
        <f t="array" ref="AC92">IFERROR(CONCATENATE((INDEX($AF$7:$AF$73,SMALL(IF($AF$7:$AF$73&lt;&gt;"",IF($AC$7:$AC$73&lt;&gt;"",ROW($AC$7:$AC$73)-MIN(ROW($AC$7:$AC$73))+1,""),""),ROW()-ROW(A$75)+1))),","),"")</f>
        <v>0</v>
      </c>
      <c r="AD92">
        <f t="array" ref="AD92">IFERROR(CONCATENATE(TEXT(INDEX($AC$7:$AC$73,SMALL(IF($AF$7:$AF$73&lt;&gt;"",IF($AC$7:$AC$73&lt;&gt;"",ROW($AC$7:$AC$73)-MIN(ROW($AC$7:$AC$73))+1,""),""),ROW()-ROW(A$75)+1)),"##0"),","),"")</f>
        <v>0</v>
      </c>
      <c r="AE92">
        <f t="array" ref="AE92">IFERROR(CONCATENATE((INDEX($A$7:$A$73,SMALL(IF($AF$7:$AF$73&lt;&gt;"",IF($AC$7:$AC$73&lt;&gt;"",ROW($AC$7:$AC$73)-MIN(ROW($AC$7:$AC$73))+1,""),""),ROW()-ROW(A$75)+1))),),"")</f>
        <v>0</v>
      </c>
      <c r="AI92">
        <f t="array" ref="AI92">IFERROR(CONCATENATE((INDEX($AL$7:$AL$73,SMALL(IF($AL$7:$AL$73&lt;&gt;"",IF($AI$7:$AI$73&lt;&gt;"",ROW($AI$7:$AI$73)-MIN(ROW($AI$7:$AI$73))+1,""),""),ROW()-ROW(A$75)+1)))," "),"")</f>
        <v>0</v>
      </c>
      <c r="AJ92">
        <f t="array" ref="AJ92">IFERROR(CONCATENATE(TEXT(INDEX($AI$7:$AI$73,SMALL(IF($AL$7:$AL$73&lt;&gt;"",IF($AI$7:$AI$73&lt;&gt;"",ROW($AI$7:$AI$73)-MIN(ROW($AI$7:$AI$73))+1,""),""),ROW()-ROW(A$75)+1)),"##0")," "),"")</f>
        <v>0</v>
      </c>
      <c r="AK92">
        <f t="array" ref="AK92">IFERROR(CONCATENATE((INDEX($A$7:$A$73,SMALL(IF($AL$7:$AL$73&lt;&gt;"",IF($AI$7:$AI$73&lt;&gt;"",ROW($AI$7:$AI$73)-MIN(ROW($AI$7:$AI$73))+1,""),""),ROW()-ROW(A$75)+1))),),"")</f>
        <v>0</v>
      </c>
    </row>
    <row r="93" spans="11:37">
      <c r="K93">
        <f t="array" ref="K93">IFERROR(CONCATENATE(TEXT(INDEX($K$7:$K$73,SMALL(IF($N$7:$N$73&lt;&gt;"",IF($K$7:$K$73&lt;&gt;"",ROW($K$7:$K$73)-MIN(ROW($K$7:$K$73))+1,""),""),ROW()-ROW(A$75)+1)),"##0"),","),"")</f>
        <v>0</v>
      </c>
      <c r="L93">
        <f t="array" ref="L93">IFERROR(CONCATENATE((INDEX($N$7:$N$73,SMALL(IF($N$7:$N$73&lt;&gt;"",IF($K$7:$K$73&lt;&gt;"",ROW($K$7:$K$73)-MIN(ROW($K$7:$K$73))+1,""),""),ROW()-ROW(A$75)+1))),","),"")</f>
        <v>0</v>
      </c>
      <c r="M93">
        <f t="array" ref="M93">IFERROR(CONCATENATE((INDEX($A$7:$A$73,SMALL(IF($N$7:$N$73&lt;&gt;"",IF($K$7:$K$73&lt;&gt;"",ROW($K$7:$K$73)-MIN(ROW($K$7:$K$73))+1,""),""),ROW()-ROW(A$75)+1))),),"")</f>
        <v>0</v>
      </c>
      <c r="Q93">
        <f t="array" ref="Q93">IFERROR(CONCATENATE((INDEX($T$7:$T$73,SMALL(IF($T$7:$T$73&lt;&gt;"",IF($Q$7:$Q$73&lt;&gt;"",ROW($Q$7:$Q$73)-MIN(ROW($Q$7:$Q$73))+1,""),""),ROW()-ROW(A$75)+1)))," "),"")</f>
        <v>0</v>
      </c>
      <c r="R93">
        <f t="array" ref="R93">IFERROR(CONCATENATE(TEXT(INDEX($Q$7:$Q$73,SMALL(IF($T$7:$T$73&lt;&gt;"",IF($Q$7:$Q$73&lt;&gt;"",ROW($Q$7:$Q$73)-MIN(ROW($Q$7:$Q$73))+1,""),""),ROW()-ROW(A$75)+1)),"##0")," "),"")</f>
        <v>0</v>
      </c>
      <c r="S93">
        <f t="array" ref="S93">IFERROR(CONCATENATE((INDEX($A$7:$A$73,SMALL(IF($T$7:$T$73&lt;&gt;"",IF($Q$7:$Q$73&lt;&gt;"",ROW($Q$7:$Q$73)-MIN(ROW($Q$7:$Q$73))+1,""),""),ROW()-ROW(A$75)+1))),),"")</f>
        <v>0</v>
      </c>
      <c r="W93">
        <f t="array" ref="W93">IFERROR(CONCATENATE((INDEX($Z$7:$Z$73,SMALL(IF($Z$7:$Z$73&lt;&gt;"",IF($W$7:$W$73&lt;&gt;"",ROW($W$7:$W$73)-MIN(ROW($W$7:$W$73))+1,""),""),ROW()-ROW(A$75)+1)))," "),"")</f>
        <v>0</v>
      </c>
      <c r="X93">
        <f t="array" ref="X93">IFERROR(CONCATENATE(TEXT(INDEX($W$7:$W$73,SMALL(IF($Z$7:$Z$73&lt;&gt;"",IF($W$7:$W$73&lt;&gt;"",ROW($W$7:$W$73)-MIN(ROW($W$7:$W$73))+1,""),""),ROW()-ROW(A$75)+1)),"##0")," "),"")</f>
        <v>0</v>
      </c>
      <c r="Y93">
        <f t="array" ref="Y93">IFERROR(CONCATENATE((INDEX($A$7:$A$73,SMALL(IF($Z$7:$Z$73&lt;&gt;"",IF($W$7:$W$73&lt;&gt;"",ROW($W$7:$W$73)-MIN(ROW($W$7:$W$73))+1,""),""),ROW()-ROW(A$75)+1))),),"")</f>
        <v>0</v>
      </c>
      <c r="AC93">
        <f t="array" ref="AC93">IFERROR(CONCATENATE((INDEX($AF$7:$AF$73,SMALL(IF($AF$7:$AF$73&lt;&gt;"",IF($AC$7:$AC$73&lt;&gt;"",ROW($AC$7:$AC$73)-MIN(ROW($AC$7:$AC$73))+1,""),""),ROW()-ROW(A$75)+1))),","),"")</f>
        <v>0</v>
      </c>
      <c r="AD93">
        <f t="array" ref="AD93">IFERROR(CONCATENATE(TEXT(INDEX($AC$7:$AC$73,SMALL(IF($AF$7:$AF$73&lt;&gt;"",IF($AC$7:$AC$73&lt;&gt;"",ROW($AC$7:$AC$73)-MIN(ROW($AC$7:$AC$73))+1,""),""),ROW()-ROW(A$75)+1)),"##0"),","),"")</f>
        <v>0</v>
      </c>
      <c r="AE93">
        <f t="array" ref="AE93">IFERROR(CONCATENATE((INDEX($A$7:$A$73,SMALL(IF($AF$7:$AF$73&lt;&gt;"",IF($AC$7:$AC$73&lt;&gt;"",ROW($AC$7:$AC$73)-MIN(ROW($AC$7:$AC$73))+1,""),""),ROW()-ROW(A$75)+1))),),"")</f>
        <v>0</v>
      </c>
      <c r="AI93">
        <f t="array" ref="AI93">IFERROR(CONCATENATE((INDEX($AL$7:$AL$73,SMALL(IF($AL$7:$AL$73&lt;&gt;"",IF($AI$7:$AI$73&lt;&gt;"",ROW($AI$7:$AI$73)-MIN(ROW($AI$7:$AI$73))+1,""),""),ROW()-ROW(A$75)+1)))," "),"")</f>
        <v>0</v>
      </c>
      <c r="AJ93">
        <f t="array" ref="AJ93">IFERROR(CONCATENATE(TEXT(INDEX($AI$7:$AI$73,SMALL(IF($AL$7:$AL$73&lt;&gt;"",IF($AI$7:$AI$73&lt;&gt;"",ROW($AI$7:$AI$73)-MIN(ROW($AI$7:$AI$73))+1,""),""),ROW()-ROW(A$75)+1)),"##0")," "),"")</f>
        <v>0</v>
      </c>
      <c r="AK93">
        <f t="array" ref="AK93">IFERROR(CONCATENATE((INDEX($A$7:$A$73,SMALL(IF($AL$7:$AL$73&lt;&gt;"",IF($AI$7:$AI$73&lt;&gt;"",ROW($AI$7:$AI$73)-MIN(ROW($AI$7:$AI$73))+1,""),""),ROW()-ROW(A$75)+1))),),"")</f>
        <v>0</v>
      </c>
    </row>
    <row r="94" spans="11:37">
      <c r="K94">
        <f t="array" ref="K94">IFERROR(CONCATENATE(TEXT(INDEX($K$7:$K$73,SMALL(IF($N$7:$N$73&lt;&gt;"",IF($K$7:$K$73&lt;&gt;"",ROW($K$7:$K$73)-MIN(ROW($K$7:$K$73))+1,""),""),ROW()-ROW(A$75)+1)),"##0"),","),"")</f>
        <v>0</v>
      </c>
      <c r="L94">
        <f t="array" ref="L94">IFERROR(CONCATENATE((INDEX($N$7:$N$73,SMALL(IF($N$7:$N$73&lt;&gt;"",IF($K$7:$K$73&lt;&gt;"",ROW($K$7:$K$73)-MIN(ROW($K$7:$K$73))+1,""),""),ROW()-ROW(A$75)+1))),","),"")</f>
        <v>0</v>
      </c>
      <c r="M94">
        <f t="array" ref="M94">IFERROR(CONCATENATE((INDEX($A$7:$A$73,SMALL(IF($N$7:$N$73&lt;&gt;"",IF($K$7:$K$73&lt;&gt;"",ROW($K$7:$K$73)-MIN(ROW($K$7:$K$73))+1,""),""),ROW()-ROW(A$75)+1))),),"")</f>
        <v>0</v>
      </c>
      <c r="Q94">
        <f t="array" ref="Q94">IFERROR(CONCATENATE((INDEX($T$7:$T$73,SMALL(IF($T$7:$T$73&lt;&gt;"",IF($Q$7:$Q$73&lt;&gt;"",ROW($Q$7:$Q$73)-MIN(ROW($Q$7:$Q$73))+1,""),""),ROW()-ROW(A$75)+1)))," "),"")</f>
        <v>0</v>
      </c>
      <c r="R94">
        <f t="array" ref="R94">IFERROR(CONCATENATE(TEXT(INDEX($Q$7:$Q$73,SMALL(IF($T$7:$T$73&lt;&gt;"",IF($Q$7:$Q$73&lt;&gt;"",ROW($Q$7:$Q$73)-MIN(ROW($Q$7:$Q$73))+1,""),""),ROW()-ROW(A$75)+1)),"##0")," "),"")</f>
        <v>0</v>
      </c>
      <c r="S94">
        <f t="array" ref="S94">IFERROR(CONCATENATE((INDEX($A$7:$A$73,SMALL(IF($T$7:$T$73&lt;&gt;"",IF($Q$7:$Q$73&lt;&gt;"",ROW($Q$7:$Q$73)-MIN(ROW($Q$7:$Q$73))+1,""),""),ROW()-ROW(A$75)+1))),),"")</f>
        <v>0</v>
      </c>
      <c r="W94">
        <f t="array" ref="W94">IFERROR(CONCATENATE((INDEX($Z$7:$Z$73,SMALL(IF($Z$7:$Z$73&lt;&gt;"",IF($W$7:$W$73&lt;&gt;"",ROW($W$7:$W$73)-MIN(ROW($W$7:$W$73))+1,""),""),ROW()-ROW(A$75)+1)))," "),"")</f>
        <v>0</v>
      </c>
      <c r="X94">
        <f t="array" ref="X94">IFERROR(CONCATENATE(TEXT(INDEX($W$7:$W$73,SMALL(IF($Z$7:$Z$73&lt;&gt;"",IF($W$7:$W$73&lt;&gt;"",ROW($W$7:$W$73)-MIN(ROW($W$7:$W$73))+1,""),""),ROW()-ROW(A$75)+1)),"##0")," "),"")</f>
        <v>0</v>
      </c>
      <c r="Y94">
        <f t="array" ref="Y94">IFERROR(CONCATENATE((INDEX($A$7:$A$73,SMALL(IF($Z$7:$Z$73&lt;&gt;"",IF($W$7:$W$73&lt;&gt;"",ROW($W$7:$W$73)-MIN(ROW($W$7:$W$73))+1,""),""),ROW()-ROW(A$75)+1))),),"")</f>
        <v>0</v>
      </c>
      <c r="AC94">
        <f t="array" ref="AC94">IFERROR(CONCATENATE((INDEX($AF$7:$AF$73,SMALL(IF($AF$7:$AF$73&lt;&gt;"",IF($AC$7:$AC$73&lt;&gt;"",ROW($AC$7:$AC$73)-MIN(ROW($AC$7:$AC$73))+1,""),""),ROW()-ROW(A$75)+1))),","),"")</f>
        <v>0</v>
      </c>
      <c r="AD94">
        <f t="array" ref="AD94">IFERROR(CONCATENATE(TEXT(INDEX($AC$7:$AC$73,SMALL(IF($AF$7:$AF$73&lt;&gt;"",IF($AC$7:$AC$73&lt;&gt;"",ROW($AC$7:$AC$73)-MIN(ROW($AC$7:$AC$73))+1,""),""),ROW()-ROW(A$75)+1)),"##0"),","),"")</f>
        <v>0</v>
      </c>
      <c r="AE94">
        <f t="array" ref="AE94">IFERROR(CONCATENATE((INDEX($A$7:$A$73,SMALL(IF($AF$7:$AF$73&lt;&gt;"",IF($AC$7:$AC$73&lt;&gt;"",ROW($AC$7:$AC$73)-MIN(ROW($AC$7:$AC$73))+1,""),""),ROW()-ROW(A$75)+1))),),"")</f>
        <v>0</v>
      </c>
      <c r="AI94">
        <f t="array" ref="AI94">IFERROR(CONCATENATE((INDEX($AL$7:$AL$73,SMALL(IF($AL$7:$AL$73&lt;&gt;"",IF($AI$7:$AI$73&lt;&gt;"",ROW($AI$7:$AI$73)-MIN(ROW($AI$7:$AI$73))+1,""),""),ROW()-ROW(A$75)+1)))," "),"")</f>
        <v>0</v>
      </c>
      <c r="AJ94">
        <f t="array" ref="AJ94">IFERROR(CONCATENATE(TEXT(INDEX($AI$7:$AI$73,SMALL(IF($AL$7:$AL$73&lt;&gt;"",IF($AI$7:$AI$73&lt;&gt;"",ROW($AI$7:$AI$73)-MIN(ROW($AI$7:$AI$73))+1,""),""),ROW()-ROW(A$75)+1)),"##0")," "),"")</f>
        <v>0</v>
      </c>
      <c r="AK94">
        <f t="array" ref="AK94">IFERROR(CONCATENATE((INDEX($A$7:$A$73,SMALL(IF($AL$7:$AL$73&lt;&gt;"",IF($AI$7:$AI$73&lt;&gt;"",ROW($AI$7:$AI$73)-MIN(ROW($AI$7:$AI$73))+1,""),""),ROW()-ROW(A$75)+1))),),"")</f>
        <v>0</v>
      </c>
    </row>
    <row r="95" spans="11:37">
      <c r="K95">
        <f t="array" ref="K95">IFERROR(CONCATENATE(TEXT(INDEX($K$7:$K$73,SMALL(IF($N$7:$N$73&lt;&gt;"",IF($K$7:$K$73&lt;&gt;"",ROW($K$7:$K$73)-MIN(ROW($K$7:$K$73))+1,""),""),ROW()-ROW(A$75)+1)),"##0"),","),"")</f>
        <v>0</v>
      </c>
      <c r="L95">
        <f t="array" ref="L95">IFERROR(CONCATENATE((INDEX($N$7:$N$73,SMALL(IF($N$7:$N$73&lt;&gt;"",IF($K$7:$K$73&lt;&gt;"",ROW($K$7:$K$73)-MIN(ROW($K$7:$K$73))+1,""),""),ROW()-ROW(A$75)+1))),","),"")</f>
        <v>0</v>
      </c>
      <c r="M95">
        <f t="array" ref="M95">IFERROR(CONCATENATE((INDEX($A$7:$A$73,SMALL(IF($N$7:$N$73&lt;&gt;"",IF($K$7:$K$73&lt;&gt;"",ROW($K$7:$K$73)-MIN(ROW($K$7:$K$73))+1,""),""),ROW()-ROW(A$75)+1))),),"")</f>
        <v>0</v>
      </c>
      <c r="Q95">
        <f t="array" ref="Q95">IFERROR(CONCATENATE((INDEX($T$7:$T$73,SMALL(IF($T$7:$T$73&lt;&gt;"",IF($Q$7:$Q$73&lt;&gt;"",ROW($Q$7:$Q$73)-MIN(ROW($Q$7:$Q$73))+1,""),""),ROW()-ROW(A$75)+1)))," "),"")</f>
        <v>0</v>
      </c>
      <c r="R95">
        <f t="array" ref="R95">IFERROR(CONCATENATE(TEXT(INDEX($Q$7:$Q$73,SMALL(IF($T$7:$T$73&lt;&gt;"",IF($Q$7:$Q$73&lt;&gt;"",ROW($Q$7:$Q$73)-MIN(ROW($Q$7:$Q$73))+1,""),""),ROW()-ROW(A$75)+1)),"##0")," "),"")</f>
        <v>0</v>
      </c>
      <c r="S95">
        <f t="array" ref="S95">IFERROR(CONCATENATE((INDEX($A$7:$A$73,SMALL(IF($T$7:$T$73&lt;&gt;"",IF($Q$7:$Q$73&lt;&gt;"",ROW($Q$7:$Q$73)-MIN(ROW($Q$7:$Q$73))+1,""),""),ROW()-ROW(A$75)+1))),),"")</f>
        <v>0</v>
      </c>
      <c r="W95">
        <f t="array" ref="W95">IFERROR(CONCATENATE((INDEX($Z$7:$Z$73,SMALL(IF($Z$7:$Z$73&lt;&gt;"",IF($W$7:$W$73&lt;&gt;"",ROW($W$7:$W$73)-MIN(ROW($W$7:$W$73))+1,""),""),ROW()-ROW(A$75)+1)))," "),"")</f>
        <v>0</v>
      </c>
      <c r="X95">
        <f t="array" ref="X95">IFERROR(CONCATENATE(TEXT(INDEX($W$7:$W$73,SMALL(IF($Z$7:$Z$73&lt;&gt;"",IF($W$7:$W$73&lt;&gt;"",ROW($W$7:$W$73)-MIN(ROW($W$7:$W$73))+1,""),""),ROW()-ROW(A$75)+1)),"##0")," "),"")</f>
        <v>0</v>
      </c>
      <c r="Y95">
        <f t="array" ref="Y95">IFERROR(CONCATENATE((INDEX($A$7:$A$73,SMALL(IF($Z$7:$Z$73&lt;&gt;"",IF($W$7:$W$73&lt;&gt;"",ROW($W$7:$W$73)-MIN(ROW($W$7:$W$73))+1,""),""),ROW()-ROW(A$75)+1))),),"")</f>
        <v>0</v>
      </c>
      <c r="AC95">
        <f t="array" ref="AC95">IFERROR(CONCATENATE((INDEX($AF$7:$AF$73,SMALL(IF($AF$7:$AF$73&lt;&gt;"",IF($AC$7:$AC$73&lt;&gt;"",ROW($AC$7:$AC$73)-MIN(ROW($AC$7:$AC$73))+1,""),""),ROW()-ROW(A$75)+1))),","),"")</f>
        <v>0</v>
      </c>
      <c r="AD95">
        <f t="array" ref="AD95">IFERROR(CONCATENATE(TEXT(INDEX($AC$7:$AC$73,SMALL(IF($AF$7:$AF$73&lt;&gt;"",IF($AC$7:$AC$73&lt;&gt;"",ROW($AC$7:$AC$73)-MIN(ROW($AC$7:$AC$73))+1,""),""),ROW()-ROW(A$75)+1)),"##0"),","),"")</f>
        <v>0</v>
      </c>
      <c r="AE95">
        <f t="array" ref="AE95">IFERROR(CONCATENATE((INDEX($A$7:$A$73,SMALL(IF($AF$7:$AF$73&lt;&gt;"",IF($AC$7:$AC$73&lt;&gt;"",ROW($AC$7:$AC$73)-MIN(ROW($AC$7:$AC$73))+1,""),""),ROW()-ROW(A$75)+1))),),"")</f>
        <v>0</v>
      </c>
      <c r="AI95">
        <f t="array" ref="AI95">IFERROR(CONCATENATE((INDEX($AL$7:$AL$73,SMALL(IF($AL$7:$AL$73&lt;&gt;"",IF($AI$7:$AI$73&lt;&gt;"",ROW($AI$7:$AI$73)-MIN(ROW($AI$7:$AI$73))+1,""),""),ROW()-ROW(A$75)+1)))," "),"")</f>
        <v>0</v>
      </c>
      <c r="AJ95">
        <f t="array" ref="AJ95">IFERROR(CONCATENATE(TEXT(INDEX($AI$7:$AI$73,SMALL(IF($AL$7:$AL$73&lt;&gt;"",IF($AI$7:$AI$73&lt;&gt;"",ROW($AI$7:$AI$73)-MIN(ROW($AI$7:$AI$73))+1,""),""),ROW()-ROW(A$75)+1)),"##0")," "),"")</f>
        <v>0</v>
      </c>
      <c r="AK95">
        <f t="array" ref="AK95">IFERROR(CONCATENATE((INDEX($A$7:$A$73,SMALL(IF($AL$7:$AL$73&lt;&gt;"",IF($AI$7:$AI$73&lt;&gt;"",ROW($AI$7:$AI$73)-MIN(ROW($AI$7:$AI$73))+1,""),""),ROW()-ROW(A$75)+1))),),"")</f>
        <v>0</v>
      </c>
    </row>
    <row r="96" spans="11:37">
      <c r="K96">
        <f t="array" ref="K96">IFERROR(CONCATENATE(TEXT(INDEX($K$7:$K$73,SMALL(IF($N$7:$N$73&lt;&gt;"",IF($K$7:$K$73&lt;&gt;"",ROW($K$7:$K$73)-MIN(ROW($K$7:$K$73))+1,""),""),ROW()-ROW(A$75)+1)),"##0"),","),"")</f>
        <v>0</v>
      </c>
      <c r="L96">
        <f t="array" ref="L96">IFERROR(CONCATENATE((INDEX($N$7:$N$73,SMALL(IF($N$7:$N$73&lt;&gt;"",IF($K$7:$K$73&lt;&gt;"",ROW($K$7:$K$73)-MIN(ROW($K$7:$K$73))+1,""),""),ROW()-ROW(A$75)+1))),","),"")</f>
        <v>0</v>
      </c>
      <c r="M96">
        <f t="array" ref="M96">IFERROR(CONCATENATE((INDEX($A$7:$A$73,SMALL(IF($N$7:$N$73&lt;&gt;"",IF($K$7:$K$73&lt;&gt;"",ROW($K$7:$K$73)-MIN(ROW($K$7:$K$73))+1,""),""),ROW()-ROW(A$75)+1))),),"")</f>
        <v>0</v>
      </c>
      <c r="Q96">
        <f t="array" ref="Q96">IFERROR(CONCATENATE((INDEX($T$7:$T$73,SMALL(IF($T$7:$T$73&lt;&gt;"",IF($Q$7:$Q$73&lt;&gt;"",ROW($Q$7:$Q$73)-MIN(ROW($Q$7:$Q$73))+1,""),""),ROW()-ROW(A$75)+1)))," "),"")</f>
        <v>0</v>
      </c>
      <c r="R96">
        <f t="array" ref="R96">IFERROR(CONCATENATE(TEXT(INDEX($Q$7:$Q$73,SMALL(IF($T$7:$T$73&lt;&gt;"",IF($Q$7:$Q$73&lt;&gt;"",ROW($Q$7:$Q$73)-MIN(ROW($Q$7:$Q$73))+1,""),""),ROW()-ROW(A$75)+1)),"##0")," "),"")</f>
        <v>0</v>
      </c>
      <c r="S96">
        <f t="array" ref="S96">IFERROR(CONCATENATE((INDEX($A$7:$A$73,SMALL(IF($T$7:$T$73&lt;&gt;"",IF($Q$7:$Q$73&lt;&gt;"",ROW($Q$7:$Q$73)-MIN(ROW($Q$7:$Q$73))+1,""),""),ROW()-ROW(A$75)+1))),),"")</f>
        <v>0</v>
      </c>
      <c r="W96">
        <f t="array" ref="W96">IFERROR(CONCATENATE((INDEX($Z$7:$Z$73,SMALL(IF($Z$7:$Z$73&lt;&gt;"",IF($W$7:$W$73&lt;&gt;"",ROW($W$7:$W$73)-MIN(ROW($W$7:$W$73))+1,""),""),ROW()-ROW(A$75)+1)))," "),"")</f>
        <v>0</v>
      </c>
      <c r="X96">
        <f t="array" ref="X96">IFERROR(CONCATENATE(TEXT(INDEX($W$7:$W$73,SMALL(IF($Z$7:$Z$73&lt;&gt;"",IF($W$7:$W$73&lt;&gt;"",ROW($W$7:$W$73)-MIN(ROW($W$7:$W$73))+1,""),""),ROW()-ROW(A$75)+1)),"##0")," "),"")</f>
        <v>0</v>
      </c>
      <c r="Y96">
        <f t="array" ref="Y96">IFERROR(CONCATENATE((INDEX($A$7:$A$73,SMALL(IF($Z$7:$Z$73&lt;&gt;"",IF($W$7:$W$73&lt;&gt;"",ROW($W$7:$W$73)-MIN(ROW($W$7:$W$73))+1,""),""),ROW()-ROW(A$75)+1))),),"")</f>
        <v>0</v>
      </c>
      <c r="AC96">
        <f t="array" ref="AC96">IFERROR(CONCATENATE((INDEX($AF$7:$AF$73,SMALL(IF($AF$7:$AF$73&lt;&gt;"",IF($AC$7:$AC$73&lt;&gt;"",ROW($AC$7:$AC$73)-MIN(ROW($AC$7:$AC$73))+1,""),""),ROW()-ROW(A$75)+1))),","),"")</f>
        <v>0</v>
      </c>
      <c r="AD96">
        <f t="array" ref="AD96">IFERROR(CONCATENATE(TEXT(INDEX($AC$7:$AC$73,SMALL(IF($AF$7:$AF$73&lt;&gt;"",IF($AC$7:$AC$73&lt;&gt;"",ROW($AC$7:$AC$73)-MIN(ROW($AC$7:$AC$73))+1,""),""),ROW()-ROW(A$75)+1)),"##0"),","),"")</f>
        <v>0</v>
      </c>
      <c r="AE96">
        <f t="array" ref="AE96">IFERROR(CONCATENATE((INDEX($A$7:$A$73,SMALL(IF($AF$7:$AF$73&lt;&gt;"",IF($AC$7:$AC$73&lt;&gt;"",ROW($AC$7:$AC$73)-MIN(ROW($AC$7:$AC$73))+1,""),""),ROW()-ROW(A$75)+1))),),"")</f>
        <v>0</v>
      </c>
      <c r="AI96">
        <f t="array" ref="AI96">IFERROR(CONCATENATE((INDEX($AL$7:$AL$73,SMALL(IF($AL$7:$AL$73&lt;&gt;"",IF($AI$7:$AI$73&lt;&gt;"",ROW($AI$7:$AI$73)-MIN(ROW($AI$7:$AI$73))+1,""),""),ROW()-ROW(A$75)+1)))," "),"")</f>
        <v>0</v>
      </c>
      <c r="AJ96">
        <f t="array" ref="AJ96">IFERROR(CONCATENATE(TEXT(INDEX($AI$7:$AI$73,SMALL(IF($AL$7:$AL$73&lt;&gt;"",IF($AI$7:$AI$73&lt;&gt;"",ROW($AI$7:$AI$73)-MIN(ROW($AI$7:$AI$73))+1,""),""),ROW()-ROW(A$75)+1)),"##0")," "),"")</f>
        <v>0</v>
      </c>
      <c r="AK96">
        <f t="array" ref="AK96">IFERROR(CONCATENATE((INDEX($A$7:$A$73,SMALL(IF($AL$7:$AL$73&lt;&gt;"",IF($AI$7:$AI$73&lt;&gt;"",ROW($AI$7:$AI$73)-MIN(ROW($AI$7:$AI$73))+1,""),""),ROW()-ROW(A$75)+1))),),"")</f>
        <v>0</v>
      </c>
    </row>
    <row r="97" spans="11:37">
      <c r="K97">
        <f t="array" ref="K97">IFERROR(CONCATENATE(TEXT(INDEX($K$7:$K$73,SMALL(IF($N$7:$N$73&lt;&gt;"",IF($K$7:$K$73&lt;&gt;"",ROW($K$7:$K$73)-MIN(ROW($K$7:$K$73))+1,""),""),ROW()-ROW(A$75)+1)),"##0"),","),"")</f>
        <v>0</v>
      </c>
      <c r="L97">
        <f t="array" ref="L97">IFERROR(CONCATENATE((INDEX($N$7:$N$73,SMALL(IF($N$7:$N$73&lt;&gt;"",IF($K$7:$K$73&lt;&gt;"",ROW($K$7:$K$73)-MIN(ROW($K$7:$K$73))+1,""),""),ROW()-ROW(A$75)+1))),","),"")</f>
        <v>0</v>
      </c>
      <c r="M97">
        <f t="array" ref="M97">IFERROR(CONCATENATE((INDEX($A$7:$A$73,SMALL(IF($N$7:$N$73&lt;&gt;"",IF($K$7:$K$73&lt;&gt;"",ROW($K$7:$K$73)-MIN(ROW($K$7:$K$73))+1,""),""),ROW()-ROW(A$75)+1))),),"")</f>
        <v>0</v>
      </c>
      <c r="Q97">
        <f t="array" ref="Q97">IFERROR(CONCATENATE((INDEX($T$7:$T$73,SMALL(IF($T$7:$T$73&lt;&gt;"",IF($Q$7:$Q$73&lt;&gt;"",ROW($Q$7:$Q$73)-MIN(ROW($Q$7:$Q$73))+1,""),""),ROW()-ROW(A$75)+1)))," "),"")</f>
        <v>0</v>
      </c>
      <c r="R97">
        <f t="array" ref="R97">IFERROR(CONCATENATE(TEXT(INDEX($Q$7:$Q$73,SMALL(IF($T$7:$T$73&lt;&gt;"",IF($Q$7:$Q$73&lt;&gt;"",ROW($Q$7:$Q$73)-MIN(ROW($Q$7:$Q$73))+1,""),""),ROW()-ROW(A$75)+1)),"##0")," "),"")</f>
        <v>0</v>
      </c>
      <c r="S97">
        <f t="array" ref="S97">IFERROR(CONCATENATE((INDEX($A$7:$A$73,SMALL(IF($T$7:$T$73&lt;&gt;"",IF($Q$7:$Q$73&lt;&gt;"",ROW($Q$7:$Q$73)-MIN(ROW($Q$7:$Q$73))+1,""),""),ROW()-ROW(A$75)+1))),),"")</f>
        <v>0</v>
      </c>
      <c r="W97">
        <f t="array" ref="W97">IFERROR(CONCATENATE((INDEX($Z$7:$Z$73,SMALL(IF($Z$7:$Z$73&lt;&gt;"",IF($W$7:$W$73&lt;&gt;"",ROW($W$7:$W$73)-MIN(ROW($W$7:$W$73))+1,""),""),ROW()-ROW(A$75)+1)))," "),"")</f>
        <v>0</v>
      </c>
      <c r="X97">
        <f t="array" ref="X97">IFERROR(CONCATENATE(TEXT(INDEX($W$7:$W$73,SMALL(IF($Z$7:$Z$73&lt;&gt;"",IF($W$7:$W$73&lt;&gt;"",ROW($W$7:$W$73)-MIN(ROW($W$7:$W$73))+1,""),""),ROW()-ROW(A$75)+1)),"##0")," "),"")</f>
        <v>0</v>
      </c>
      <c r="Y97">
        <f t="array" ref="Y97">IFERROR(CONCATENATE((INDEX($A$7:$A$73,SMALL(IF($Z$7:$Z$73&lt;&gt;"",IF($W$7:$W$73&lt;&gt;"",ROW($W$7:$W$73)-MIN(ROW($W$7:$W$73))+1,""),""),ROW()-ROW(A$75)+1))),),"")</f>
        <v>0</v>
      </c>
      <c r="AC97">
        <f t="array" ref="AC97">IFERROR(CONCATENATE((INDEX($AF$7:$AF$73,SMALL(IF($AF$7:$AF$73&lt;&gt;"",IF($AC$7:$AC$73&lt;&gt;"",ROW($AC$7:$AC$73)-MIN(ROW($AC$7:$AC$73))+1,""),""),ROW()-ROW(A$75)+1))),","),"")</f>
        <v>0</v>
      </c>
      <c r="AD97">
        <f t="array" ref="AD97">IFERROR(CONCATENATE(TEXT(INDEX($AC$7:$AC$73,SMALL(IF($AF$7:$AF$73&lt;&gt;"",IF($AC$7:$AC$73&lt;&gt;"",ROW($AC$7:$AC$73)-MIN(ROW($AC$7:$AC$73))+1,""),""),ROW()-ROW(A$75)+1)),"##0"),","),"")</f>
        <v>0</v>
      </c>
      <c r="AE97">
        <f t="array" ref="AE97">IFERROR(CONCATENATE((INDEX($A$7:$A$73,SMALL(IF($AF$7:$AF$73&lt;&gt;"",IF($AC$7:$AC$73&lt;&gt;"",ROW($AC$7:$AC$73)-MIN(ROW($AC$7:$AC$73))+1,""),""),ROW()-ROW(A$75)+1))),),"")</f>
        <v>0</v>
      </c>
      <c r="AI97">
        <f t="array" ref="AI97">IFERROR(CONCATENATE((INDEX($AL$7:$AL$73,SMALL(IF($AL$7:$AL$73&lt;&gt;"",IF($AI$7:$AI$73&lt;&gt;"",ROW($AI$7:$AI$73)-MIN(ROW($AI$7:$AI$73))+1,""),""),ROW()-ROW(A$75)+1)))," "),"")</f>
        <v>0</v>
      </c>
      <c r="AJ97">
        <f t="array" ref="AJ97">IFERROR(CONCATENATE(TEXT(INDEX($AI$7:$AI$73,SMALL(IF($AL$7:$AL$73&lt;&gt;"",IF($AI$7:$AI$73&lt;&gt;"",ROW($AI$7:$AI$73)-MIN(ROW($AI$7:$AI$73))+1,""),""),ROW()-ROW(A$75)+1)),"##0")," "),"")</f>
        <v>0</v>
      </c>
      <c r="AK97">
        <f t="array" ref="AK97">IFERROR(CONCATENATE((INDEX($A$7:$A$73,SMALL(IF($AL$7:$AL$73&lt;&gt;"",IF($AI$7:$AI$73&lt;&gt;"",ROW($AI$7:$AI$73)-MIN(ROW($AI$7:$AI$73))+1,""),""),ROW()-ROW(A$75)+1))),),"")</f>
        <v>0</v>
      </c>
    </row>
    <row r="98" spans="11:37">
      <c r="K98">
        <f t="array" ref="K98">IFERROR(CONCATENATE(TEXT(INDEX($K$7:$K$73,SMALL(IF($N$7:$N$73&lt;&gt;"",IF($K$7:$K$73&lt;&gt;"",ROW($K$7:$K$73)-MIN(ROW($K$7:$K$73))+1,""),""),ROW()-ROW(A$75)+1)),"##0"),","),"")</f>
        <v>0</v>
      </c>
      <c r="L98">
        <f t="array" ref="L98">IFERROR(CONCATENATE((INDEX($N$7:$N$73,SMALL(IF($N$7:$N$73&lt;&gt;"",IF($K$7:$K$73&lt;&gt;"",ROW($K$7:$K$73)-MIN(ROW($K$7:$K$73))+1,""),""),ROW()-ROW(A$75)+1))),","),"")</f>
        <v>0</v>
      </c>
      <c r="M98">
        <f t="array" ref="M98">IFERROR(CONCATENATE((INDEX($A$7:$A$73,SMALL(IF($N$7:$N$73&lt;&gt;"",IF($K$7:$K$73&lt;&gt;"",ROW($K$7:$K$73)-MIN(ROW($K$7:$K$73))+1,""),""),ROW()-ROW(A$75)+1))),),"")</f>
        <v>0</v>
      </c>
      <c r="Q98">
        <f t="array" ref="Q98">IFERROR(CONCATENATE((INDEX($T$7:$T$73,SMALL(IF($T$7:$T$73&lt;&gt;"",IF($Q$7:$Q$73&lt;&gt;"",ROW($Q$7:$Q$73)-MIN(ROW($Q$7:$Q$73))+1,""),""),ROW()-ROW(A$75)+1)))," "),"")</f>
        <v>0</v>
      </c>
      <c r="R98">
        <f t="array" ref="R98">IFERROR(CONCATENATE(TEXT(INDEX($Q$7:$Q$73,SMALL(IF($T$7:$T$73&lt;&gt;"",IF($Q$7:$Q$73&lt;&gt;"",ROW($Q$7:$Q$73)-MIN(ROW($Q$7:$Q$73))+1,""),""),ROW()-ROW(A$75)+1)),"##0")," "),"")</f>
        <v>0</v>
      </c>
      <c r="S98">
        <f t="array" ref="S98">IFERROR(CONCATENATE((INDEX($A$7:$A$73,SMALL(IF($T$7:$T$73&lt;&gt;"",IF($Q$7:$Q$73&lt;&gt;"",ROW($Q$7:$Q$73)-MIN(ROW($Q$7:$Q$73))+1,""),""),ROW()-ROW(A$75)+1))),),"")</f>
        <v>0</v>
      </c>
      <c r="W98">
        <f t="array" ref="W98">IFERROR(CONCATENATE((INDEX($Z$7:$Z$73,SMALL(IF($Z$7:$Z$73&lt;&gt;"",IF($W$7:$W$73&lt;&gt;"",ROW($W$7:$W$73)-MIN(ROW($W$7:$W$73))+1,""),""),ROW()-ROW(A$75)+1)))," "),"")</f>
        <v>0</v>
      </c>
      <c r="X98">
        <f t="array" ref="X98">IFERROR(CONCATENATE(TEXT(INDEX($W$7:$W$73,SMALL(IF($Z$7:$Z$73&lt;&gt;"",IF($W$7:$W$73&lt;&gt;"",ROW($W$7:$W$73)-MIN(ROW($W$7:$W$73))+1,""),""),ROW()-ROW(A$75)+1)),"##0")," "),"")</f>
        <v>0</v>
      </c>
      <c r="Y98">
        <f t="array" ref="Y98">IFERROR(CONCATENATE((INDEX($A$7:$A$73,SMALL(IF($Z$7:$Z$73&lt;&gt;"",IF($W$7:$W$73&lt;&gt;"",ROW($W$7:$W$73)-MIN(ROW($W$7:$W$73))+1,""),""),ROW()-ROW(A$75)+1))),),"")</f>
        <v>0</v>
      </c>
      <c r="AC98">
        <f t="array" ref="AC98">IFERROR(CONCATENATE((INDEX($AF$7:$AF$73,SMALL(IF($AF$7:$AF$73&lt;&gt;"",IF($AC$7:$AC$73&lt;&gt;"",ROW($AC$7:$AC$73)-MIN(ROW($AC$7:$AC$73))+1,""),""),ROW()-ROW(A$75)+1))),","),"")</f>
        <v>0</v>
      </c>
      <c r="AD98">
        <f t="array" ref="AD98">IFERROR(CONCATENATE(TEXT(INDEX($AC$7:$AC$73,SMALL(IF($AF$7:$AF$73&lt;&gt;"",IF($AC$7:$AC$73&lt;&gt;"",ROW($AC$7:$AC$73)-MIN(ROW($AC$7:$AC$73))+1,""),""),ROW()-ROW(A$75)+1)),"##0"),","),"")</f>
        <v>0</v>
      </c>
      <c r="AE98">
        <f t="array" ref="AE98">IFERROR(CONCATENATE((INDEX($A$7:$A$73,SMALL(IF($AF$7:$AF$73&lt;&gt;"",IF($AC$7:$AC$73&lt;&gt;"",ROW($AC$7:$AC$73)-MIN(ROW($AC$7:$AC$73))+1,""),""),ROW()-ROW(A$75)+1))),),"")</f>
        <v>0</v>
      </c>
      <c r="AI98">
        <f t="array" ref="AI98">IFERROR(CONCATENATE((INDEX($AL$7:$AL$73,SMALL(IF($AL$7:$AL$73&lt;&gt;"",IF($AI$7:$AI$73&lt;&gt;"",ROW($AI$7:$AI$73)-MIN(ROW($AI$7:$AI$73))+1,""),""),ROW()-ROW(A$75)+1)))," "),"")</f>
        <v>0</v>
      </c>
      <c r="AJ98">
        <f t="array" ref="AJ98">IFERROR(CONCATENATE(TEXT(INDEX($AI$7:$AI$73,SMALL(IF($AL$7:$AL$73&lt;&gt;"",IF($AI$7:$AI$73&lt;&gt;"",ROW($AI$7:$AI$73)-MIN(ROW($AI$7:$AI$73))+1,""),""),ROW()-ROW(A$75)+1)),"##0")," "),"")</f>
        <v>0</v>
      </c>
      <c r="AK98">
        <f t="array" ref="AK98">IFERROR(CONCATENATE((INDEX($A$7:$A$73,SMALL(IF($AL$7:$AL$73&lt;&gt;"",IF($AI$7:$AI$73&lt;&gt;"",ROW($AI$7:$AI$73)-MIN(ROW($AI$7:$AI$73))+1,""),""),ROW()-ROW(A$75)+1))),),"")</f>
        <v>0</v>
      </c>
    </row>
    <row r="99" spans="11:37">
      <c r="K99">
        <f t="array" ref="K99">IFERROR(CONCATENATE(TEXT(INDEX($K$7:$K$73,SMALL(IF($N$7:$N$73&lt;&gt;"",IF($K$7:$K$73&lt;&gt;"",ROW($K$7:$K$73)-MIN(ROW($K$7:$K$73))+1,""),""),ROW()-ROW(A$75)+1)),"##0"),","),"")</f>
        <v>0</v>
      </c>
      <c r="L99">
        <f t="array" ref="L99">IFERROR(CONCATENATE((INDEX($N$7:$N$73,SMALL(IF($N$7:$N$73&lt;&gt;"",IF($K$7:$K$73&lt;&gt;"",ROW($K$7:$K$73)-MIN(ROW($K$7:$K$73))+1,""),""),ROW()-ROW(A$75)+1))),","),"")</f>
        <v>0</v>
      </c>
      <c r="M99">
        <f t="array" ref="M99">IFERROR(CONCATENATE((INDEX($A$7:$A$73,SMALL(IF($N$7:$N$73&lt;&gt;"",IF($K$7:$K$73&lt;&gt;"",ROW($K$7:$K$73)-MIN(ROW($K$7:$K$73))+1,""),""),ROW()-ROW(A$75)+1))),),"")</f>
        <v>0</v>
      </c>
      <c r="Q99">
        <f t="array" ref="Q99">IFERROR(CONCATENATE((INDEX($T$7:$T$73,SMALL(IF($T$7:$T$73&lt;&gt;"",IF($Q$7:$Q$73&lt;&gt;"",ROW($Q$7:$Q$73)-MIN(ROW($Q$7:$Q$73))+1,""),""),ROW()-ROW(A$75)+1)))," "),"")</f>
        <v>0</v>
      </c>
      <c r="R99">
        <f t="array" ref="R99">IFERROR(CONCATENATE(TEXT(INDEX($Q$7:$Q$73,SMALL(IF($T$7:$T$73&lt;&gt;"",IF($Q$7:$Q$73&lt;&gt;"",ROW($Q$7:$Q$73)-MIN(ROW($Q$7:$Q$73))+1,""),""),ROW()-ROW(A$75)+1)),"##0")," "),"")</f>
        <v>0</v>
      </c>
      <c r="S99">
        <f t="array" ref="S99">IFERROR(CONCATENATE((INDEX($A$7:$A$73,SMALL(IF($T$7:$T$73&lt;&gt;"",IF($Q$7:$Q$73&lt;&gt;"",ROW($Q$7:$Q$73)-MIN(ROW($Q$7:$Q$73))+1,""),""),ROW()-ROW(A$75)+1))),),"")</f>
        <v>0</v>
      </c>
      <c r="W99">
        <f t="array" ref="W99">IFERROR(CONCATENATE((INDEX($Z$7:$Z$73,SMALL(IF($Z$7:$Z$73&lt;&gt;"",IF($W$7:$W$73&lt;&gt;"",ROW($W$7:$W$73)-MIN(ROW($W$7:$W$73))+1,""),""),ROW()-ROW(A$75)+1)))," "),"")</f>
        <v>0</v>
      </c>
      <c r="X99">
        <f t="array" ref="X99">IFERROR(CONCATENATE(TEXT(INDEX($W$7:$W$73,SMALL(IF($Z$7:$Z$73&lt;&gt;"",IF($W$7:$W$73&lt;&gt;"",ROW($W$7:$W$73)-MIN(ROW($W$7:$W$73))+1,""),""),ROW()-ROW(A$75)+1)),"##0")," "),"")</f>
        <v>0</v>
      </c>
      <c r="Y99">
        <f t="array" ref="Y99">IFERROR(CONCATENATE((INDEX($A$7:$A$73,SMALL(IF($Z$7:$Z$73&lt;&gt;"",IF($W$7:$W$73&lt;&gt;"",ROW($W$7:$W$73)-MIN(ROW($W$7:$W$73))+1,""),""),ROW()-ROW(A$75)+1))),),"")</f>
        <v>0</v>
      </c>
      <c r="AC99">
        <f t="array" ref="AC99">IFERROR(CONCATENATE((INDEX($AF$7:$AF$73,SMALL(IF($AF$7:$AF$73&lt;&gt;"",IF($AC$7:$AC$73&lt;&gt;"",ROW($AC$7:$AC$73)-MIN(ROW($AC$7:$AC$73))+1,""),""),ROW()-ROW(A$75)+1))),","),"")</f>
        <v>0</v>
      </c>
      <c r="AD99">
        <f t="array" ref="AD99">IFERROR(CONCATENATE(TEXT(INDEX($AC$7:$AC$73,SMALL(IF($AF$7:$AF$73&lt;&gt;"",IF($AC$7:$AC$73&lt;&gt;"",ROW($AC$7:$AC$73)-MIN(ROW($AC$7:$AC$73))+1,""),""),ROW()-ROW(A$75)+1)),"##0"),","),"")</f>
        <v>0</v>
      </c>
      <c r="AE99">
        <f t="array" ref="AE99">IFERROR(CONCATENATE((INDEX($A$7:$A$73,SMALL(IF($AF$7:$AF$73&lt;&gt;"",IF($AC$7:$AC$73&lt;&gt;"",ROW($AC$7:$AC$73)-MIN(ROW($AC$7:$AC$73))+1,""),""),ROW()-ROW(A$75)+1))),),"")</f>
        <v>0</v>
      </c>
      <c r="AI99">
        <f t="array" ref="AI99">IFERROR(CONCATENATE((INDEX($AL$7:$AL$73,SMALL(IF($AL$7:$AL$73&lt;&gt;"",IF($AI$7:$AI$73&lt;&gt;"",ROW($AI$7:$AI$73)-MIN(ROW($AI$7:$AI$73))+1,""),""),ROW()-ROW(A$75)+1)))," "),"")</f>
        <v>0</v>
      </c>
      <c r="AJ99">
        <f t="array" ref="AJ99">IFERROR(CONCATENATE(TEXT(INDEX($AI$7:$AI$73,SMALL(IF($AL$7:$AL$73&lt;&gt;"",IF($AI$7:$AI$73&lt;&gt;"",ROW($AI$7:$AI$73)-MIN(ROW($AI$7:$AI$73))+1,""),""),ROW()-ROW(A$75)+1)),"##0")," "),"")</f>
        <v>0</v>
      </c>
      <c r="AK99">
        <f t="array" ref="AK99">IFERROR(CONCATENATE((INDEX($A$7:$A$73,SMALL(IF($AL$7:$AL$73&lt;&gt;"",IF($AI$7:$AI$73&lt;&gt;"",ROW($AI$7:$AI$73)-MIN(ROW($AI$7:$AI$73))+1,""),""),ROW()-ROW(A$75)+1))),),"")</f>
        <v>0</v>
      </c>
    </row>
    <row r="100" spans="11:37">
      <c r="K100">
        <f t="array" ref="K100">IFERROR(CONCATENATE(TEXT(INDEX($K$7:$K$73,SMALL(IF($N$7:$N$73&lt;&gt;"",IF($K$7:$K$73&lt;&gt;"",ROW($K$7:$K$73)-MIN(ROW($K$7:$K$73))+1,""),""),ROW()-ROW(A$75)+1)),"##0"),","),"")</f>
        <v>0</v>
      </c>
      <c r="L100">
        <f t="array" ref="L100">IFERROR(CONCATENATE((INDEX($N$7:$N$73,SMALL(IF($N$7:$N$73&lt;&gt;"",IF($K$7:$K$73&lt;&gt;"",ROW($K$7:$K$73)-MIN(ROW($K$7:$K$73))+1,""),""),ROW()-ROW(A$75)+1))),","),"")</f>
        <v>0</v>
      </c>
      <c r="M100">
        <f t="array" ref="M100">IFERROR(CONCATENATE((INDEX($A$7:$A$73,SMALL(IF($N$7:$N$73&lt;&gt;"",IF($K$7:$K$73&lt;&gt;"",ROW($K$7:$K$73)-MIN(ROW($K$7:$K$73))+1,""),""),ROW()-ROW(A$75)+1))),),"")</f>
        <v>0</v>
      </c>
      <c r="Q100">
        <f t="array" ref="Q100">IFERROR(CONCATENATE((INDEX($T$7:$T$73,SMALL(IF($T$7:$T$73&lt;&gt;"",IF($Q$7:$Q$73&lt;&gt;"",ROW($Q$7:$Q$73)-MIN(ROW($Q$7:$Q$73))+1,""),""),ROW()-ROW(A$75)+1)))," "),"")</f>
        <v>0</v>
      </c>
      <c r="R100">
        <f t="array" ref="R100">IFERROR(CONCATENATE(TEXT(INDEX($Q$7:$Q$73,SMALL(IF($T$7:$T$73&lt;&gt;"",IF($Q$7:$Q$73&lt;&gt;"",ROW($Q$7:$Q$73)-MIN(ROW($Q$7:$Q$73))+1,""),""),ROW()-ROW(A$75)+1)),"##0")," "),"")</f>
        <v>0</v>
      </c>
      <c r="S100">
        <f t="array" ref="S100">IFERROR(CONCATENATE((INDEX($A$7:$A$73,SMALL(IF($T$7:$T$73&lt;&gt;"",IF($Q$7:$Q$73&lt;&gt;"",ROW($Q$7:$Q$73)-MIN(ROW($Q$7:$Q$73))+1,""),""),ROW()-ROW(A$75)+1))),),"")</f>
        <v>0</v>
      </c>
      <c r="W100">
        <f t="array" ref="W100">IFERROR(CONCATENATE((INDEX($Z$7:$Z$73,SMALL(IF($Z$7:$Z$73&lt;&gt;"",IF($W$7:$W$73&lt;&gt;"",ROW($W$7:$W$73)-MIN(ROW($W$7:$W$73))+1,""),""),ROW()-ROW(A$75)+1)))," "),"")</f>
        <v>0</v>
      </c>
      <c r="X100">
        <f t="array" ref="X100">IFERROR(CONCATENATE(TEXT(INDEX($W$7:$W$73,SMALL(IF($Z$7:$Z$73&lt;&gt;"",IF($W$7:$W$73&lt;&gt;"",ROW($W$7:$W$73)-MIN(ROW($W$7:$W$73))+1,""),""),ROW()-ROW(A$75)+1)),"##0")," "),"")</f>
        <v>0</v>
      </c>
      <c r="Y100">
        <f t="array" ref="Y100">IFERROR(CONCATENATE((INDEX($A$7:$A$73,SMALL(IF($Z$7:$Z$73&lt;&gt;"",IF($W$7:$W$73&lt;&gt;"",ROW($W$7:$W$73)-MIN(ROW($W$7:$W$73))+1,""),""),ROW()-ROW(A$75)+1))),),"")</f>
        <v>0</v>
      </c>
      <c r="AC100">
        <f t="array" ref="AC100">IFERROR(CONCATENATE((INDEX($AF$7:$AF$73,SMALL(IF($AF$7:$AF$73&lt;&gt;"",IF($AC$7:$AC$73&lt;&gt;"",ROW($AC$7:$AC$73)-MIN(ROW($AC$7:$AC$73))+1,""),""),ROW()-ROW(A$75)+1))),","),"")</f>
        <v>0</v>
      </c>
      <c r="AD100">
        <f t="array" ref="AD100">IFERROR(CONCATENATE(TEXT(INDEX($AC$7:$AC$73,SMALL(IF($AF$7:$AF$73&lt;&gt;"",IF($AC$7:$AC$73&lt;&gt;"",ROW($AC$7:$AC$73)-MIN(ROW($AC$7:$AC$73))+1,""),""),ROW()-ROW(A$75)+1)),"##0"),","),"")</f>
        <v>0</v>
      </c>
      <c r="AE100">
        <f t="array" ref="AE100">IFERROR(CONCATENATE((INDEX($A$7:$A$73,SMALL(IF($AF$7:$AF$73&lt;&gt;"",IF($AC$7:$AC$73&lt;&gt;"",ROW($AC$7:$AC$73)-MIN(ROW($AC$7:$AC$73))+1,""),""),ROW()-ROW(A$75)+1))),),"")</f>
        <v>0</v>
      </c>
      <c r="AI100">
        <f t="array" ref="AI100">IFERROR(CONCATENATE((INDEX($AL$7:$AL$73,SMALL(IF($AL$7:$AL$73&lt;&gt;"",IF($AI$7:$AI$73&lt;&gt;"",ROW($AI$7:$AI$73)-MIN(ROW($AI$7:$AI$73))+1,""),""),ROW()-ROW(A$75)+1)))," "),"")</f>
        <v>0</v>
      </c>
      <c r="AJ100">
        <f t="array" ref="AJ100">IFERROR(CONCATENATE(TEXT(INDEX($AI$7:$AI$73,SMALL(IF($AL$7:$AL$73&lt;&gt;"",IF($AI$7:$AI$73&lt;&gt;"",ROW($AI$7:$AI$73)-MIN(ROW($AI$7:$AI$73))+1,""),""),ROW()-ROW(A$75)+1)),"##0")," "),"")</f>
        <v>0</v>
      </c>
      <c r="AK100">
        <f t="array" ref="AK100">IFERROR(CONCATENATE((INDEX($A$7:$A$73,SMALL(IF($AL$7:$AL$73&lt;&gt;"",IF($AI$7:$AI$73&lt;&gt;"",ROW($AI$7:$AI$73)-MIN(ROW($AI$7:$AI$73))+1,""),""),ROW()-ROW(A$75)+1))),),"")</f>
        <v>0</v>
      </c>
    </row>
    <row r="101" spans="11:37">
      <c r="K101">
        <f t="array" ref="K101">IFERROR(CONCATENATE(TEXT(INDEX($K$7:$K$73,SMALL(IF($N$7:$N$73&lt;&gt;"",IF($K$7:$K$73&lt;&gt;"",ROW($K$7:$K$73)-MIN(ROW($K$7:$K$73))+1,""),""),ROW()-ROW(A$75)+1)),"##0"),","),"")</f>
        <v>0</v>
      </c>
      <c r="L101">
        <f t="array" ref="L101">IFERROR(CONCATENATE((INDEX($N$7:$N$73,SMALL(IF($N$7:$N$73&lt;&gt;"",IF($K$7:$K$73&lt;&gt;"",ROW($K$7:$K$73)-MIN(ROW($K$7:$K$73))+1,""),""),ROW()-ROW(A$75)+1))),","),"")</f>
        <v>0</v>
      </c>
      <c r="M101">
        <f t="array" ref="M101">IFERROR(CONCATENATE((INDEX($A$7:$A$73,SMALL(IF($N$7:$N$73&lt;&gt;"",IF($K$7:$K$73&lt;&gt;"",ROW($K$7:$K$73)-MIN(ROW($K$7:$K$73))+1,""),""),ROW()-ROW(A$75)+1))),),"")</f>
        <v>0</v>
      </c>
      <c r="Q101">
        <f t="array" ref="Q101">IFERROR(CONCATENATE((INDEX($T$7:$T$73,SMALL(IF($T$7:$T$73&lt;&gt;"",IF($Q$7:$Q$73&lt;&gt;"",ROW($Q$7:$Q$73)-MIN(ROW($Q$7:$Q$73))+1,""),""),ROW()-ROW(A$75)+1)))," "),"")</f>
        <v>0</v>
      </c>
      <c r="R101">
        <f t="array" ref="R101">IFERROR(CONCATENATE(TEXT(INDEX($Q$7:$Q$73,SMALL(IF($T$7:$T$73&lt;&gt;"",IF($Q$7:$Q$73&lt;&gt;"",ROW($Q$7:$Q$73)-MIN(ROW($Q$7:$Q$73))+1,""),""),ROW()-ROW(A$75)+1)),"##0")," "),"")</f>
        <v>0</v>
      </c>
      <c r="S101">
        <f t="array" ref="S101">IFERROR(CONCATENATE((INDEX($A$7:$A$73,SMALL(IF($T$7:$T$73&lt;&gt;"",IF($Q$7:$Q$73&lt;&gt;"",ROW($Q$7:$Q$73)-MIN(ROW($Q$7:$Q$73))+1,""),""),ROW()-ROW(A$75)+1))),),"")</f>
        <v>0</v>
      </c>
      <c r="W101">
        <f t="array" ref="W101">IFERROR(CONCATENATE((INDEX($Z$7:$Z$73,SMALL(IF($Z$7:$Z$73&lt;&gt;"",IF($W$7:$W$73&lt;&gt;"",ROW($W$7:$W$73)-MIN(ROW($W$7:$W$73))+1,""),""),ROW()-ROW(A$75)+1)))," "),"")</f>
        <v>0</v>
      </c>
      <c r="X101">
        <f t="array" ref="X101">IFERROR(CONCATENATE(TEXT(INDEX($W$7:$W$73,SMALL(IF($Z$7:$Z$73&lt;&gt;"",IF($W$7:$W$73&lt;&gt;"",ROW($W$7:$W$73)-MIN(ROW($W$7:$W$73))+1,""),""),ROW()-ROW(A$75)+1)),"##0")," "),"")</f>
        <v>0</v>
      </c>
      <c r="Y101">
        <f t="array" ref="Y101">IFERROR(CONCATENATE((INDEX($A$7:$A$73,SMALL(IF($Z$7:$Z$73&lt;&gt;"",IF($W$7:$W$73&lt;&gt;"",ROW($W$7:$W$73)-MIN(ROW($W$7:$W$73))+1,""),""),ROW()-ROW(A$75)+1))),),"")</f>
        <v>0</v>
      </c>
      <c r="AC101">
        <f t="array" ref="AC101">IFERROR(CONCATENATE((INDEX($AF$7:$AF$73,SMALL(IF($AF$7:$AF$73&lt;&gt;"",IF($AC$7:$AC$73&lt;&gt;"",ROW($AC$7:$AC$73)-MIN(ROW($AC$7:$AC$73))+1,""),""),ROW()-ROW(A$75)+1))),","),"")</f>
        <v>0</v>
      </c>
      <c r="AD101">
        <f t="array" ref="AD101">IFERROR(CONCATENATE(TEXT(INDEX($AC$7:$AC$73,SMALL(IF($AF$7:$AF$73&lt;&gt;"",IF($AC$7:$AC$73&lt;&gt;"",ROW($AC$7:$AC$73)-MIN(ROW($AC$7:$AC$73))+1,""),""),ROW()-ROW(A$75)+1)),"##0"),","),"")</f>
        <v>0</v>
      </c>
      <c r="AE101">
        <f t="array" ref="AE101">IFERROR(CONCATENATE((INDEX($A$7:$A$73,SMALL(IF($AF$7:$AF$73&lt;&gt;"",IF($AC$7:$AC$73&lt;&gt;"",ROW($AC$7:$AC$73)-MIN(ROW($AC$7:$AC$73))+1,""),""),ROW()-ROW(A$75)+1))),),"")</f>
        <v>0</v>
      </c>
      <c r="AI101">
        <f t="array" ref="AI101">IFERROR(CONCATENATE((INDEX($AL$7:$AL$73,SMALL(IF($AL$7:$AL$73&lt;&gt;"",IF($AI$7:$AI$73&lt;&gt;"",ROW($AI$7:$AI$73)-MIN(ROW($AI$7:$AI$73))+1,""),""),ROW()-ROW(A$75)+1)))," "),"")</f>
        <v>0</v>
      </c>
      <c r="AJ101">
        <f t="array" ref="AJ101">IFERROR(CONCATENATE(TEXT(INDEX($AI$7:$AI$73,SMALL(IF($AL$7:$AL$73&lt;&gt;"",IF($AI$7:$AI$73&lt;&gt;"",ROW($AI$7:$AI$73)-MIN(ROW($AI$7:$AI$73))+1,""),""),ROW()-ROW(A$75)+1)),"##0")," "),"")</f>
        <v>0</v>
      </c>
      <c r="AK101">
        <f t="array" ref="AK101">IFERROR(CONCATENATE((INDEX($A$7:$A$73,SMALL(IF($AL$7:$AL$73&lt;&gt;"",IF($AI$7:$AI$73&lt;&gt;"",ROW($AI$7:$AI$73)-MIN(ROW($AI$7:$AI$73))+1,""),""),ROW()-ROW(A$75)+1))),),"")</f>
        <v>0</v>
      </c>
    </row>
    <row r="102" spans="11:37">
      <c r="K102">
        <f t="array" ref="K102">IFERROR(CONCATENATE(TEXT(INDEX($K$7:$K$73,SMALL(IF($N$7:$N$73&lt;&gt;"",IF($K$7:$K$73&lt;&gt;"",ROW($K$7:$K$73)-MIN(ROW($K$7:$K$73))+1,""),""),ROW()-ROW(A$75)+1)),"##0"),","),"")</f>
        <v>0</v>
      </c>
      <c r="L102">
        <f t="array" ref="L102">IFERROR(CONCATENATE((INDEX($N$7:$N$73,SMALL(IF($N$7:$N$73&lt;&gt;"",IF($K$7:$K$73&lt;&gt;"",ROW($K$7:$K$73)-MIN(ROW($K$7:$K$73))+1,""),""),ROW()-ROW(A$75)+1))),","),"")</f>
        <v>0</v>
      </c>
      <c r="M102">
        <f t="array" ref="M102">IFERROR(CONCATENATE((INDEX($A$7:$A$73,SMALL(IF($N$7:$N$73&lt;&gt;"",IF($K$7:$K$73&lt;&gt;"",ROW($K$7:$K$73)-MIN(ROW($K$7:$K$73))+1,""),""),ROW()-ROW(A$75)+1))),),"")</f>
        <v>0</v>
      </c>
      <c r="Q102">
        <f t="array" ref="Q102">IFERROR(CONCATENATE((INDEX($T$7:$T$73,SMALL(IF($T$7:$T$73&lt;&gt;"",IF($Q$7:$Q$73&lt;&gt;"",ROW($Q$7:$Q$73)-MIN(ROW($Q$7:$Q$73))+1,""),""),ROW()-ROW(A$75)+1)))," "),"")</f>
        <v>0</v>
      </c>
      <c r="R102">
        <f t="array" ref="R102">IFERROR(CONCATENATE(TEXT(INDEX($Q$7:$Q$73,SMALL(IF($T$7:$T$73&lt;&gt;"",IF($Q$7:$Q$73&lt;&gt;"",ROW($Q$7:$Q$73)-MIN(ROW($Q$7:$Q$73))+1,""),""),ROW()-ROW(A$75)+1)),"##0")," "),"")</f>
        <v>0</v>
      </c>
      <c r="S102">
        <f t="array" ref="S102">IFERROR(CONCATENATE((INDEX($A$7:$A$73,SMALL(IF($T$7:$T$73&lt;&gt;"",IF($Q$7:$Q$73&lt;&gt;"",ROW($Q$7:$Q$73)-MIN(ROW($Q$7:$Q$73))+1,""),""),ROW()-ROW(A$75)+1))),),"")</f>
        <v>0</v>
      </c>
      <c r="W102">
        <f t="array" ref="W102">IFERROR(CONCATENATE((INDEX($Z$7:$Z$73,SMALL(IF($Z$7:$Z$73&lt;&gt;"",IF($W$7:$W$73&lt;&gt;"",ROW($W$7:$W$73)-MIN(ROW($W$7:$W$73))+1,""),""),ROW()-ROW(A$75)+1)))," "),"")</f>
        <v>0</v>
      </c>
      <c r="X102">
        <f t="array" ref="X102">IFERROR(CONCATENATE(TEXT(INDEX($W$7:$W$73,SMALL(IF($Z$7:$Z$73&lt;&gt;"",IF($W$7:$W$73&lt;&gt;"",ROW($W$7:$W$73)-MIN(ROW($W$7:$W$73))+1,""),""),ROW()-ROW(A$75)+1)),"##0")," "),"")</f>
        <v>0</v>
      </c>
      <c r="Y102">
        <f t="array" ref="Y102">IFERROR(CONCATENATE((INDEX($A$7:$A$73,SMALL(IF($Z$7:$Z$73&lt;&gt;"",IF($W$7:$W$73&lt;&gt;"",ROW($W$7:$W$73)-MIN(ROW($W$7:$W$73))+1,""),""),ROW()-ROW(A$75)+1))),),"")</f>
        <v>0</v>
      </c>
      <c r="AC102">
        <f t="array" ref="AC102">IFERROR(CONCATENATE((INDEX($AF$7:$AF$73,SMALL(IF($AF$7:$AF$73&lt;&gt;"",IF($AC$7:$AC$73&lt;&gt;"",ROW($AC$7:$AC$73)-MIN(ROW($AC$7:$AC$73))+1,""),""),ROW()-ROW(A$75)+1))),","),"")</f>
        <v>0</v>
      </c>
      <c r="AD102">
        <f t="array" ref="AD102">IFERROR(CONCATENATE(TEXT(INDEX($AC$7:$AC$73,SMALL(IF($AF$7:$AF$73&lt;&gt;"",IF($AC$7:$AC$73&lt;&gt;"",ROW($AC$7:$AC$73)-MIN(ROW($AC$7:$AC$73))+1,""),""),ROW()-ROW(A$75)+1)),"##0"),","),"")</f>
        <v>0</v>
      </c>
      <c r="AE102">
        <f t="array" ref="AE102">IFERROR(CONCATENATE((INDEX($A$7:$A$73,SMALL(IF($AF$7:$AF$73&lt;&gt;"",IF($AC$7:$AC$73&lt;&gt;"",ROW($AC$7:$AC$73)-MIN(ROW($AC$7:$AC$73))+1,""),""),ROW()-ROW(A$75)+1))),),"")</f>
        <v>0</v>
      </c>
      <c r="AI102">
        <f t="array" ref="AI102">IFERROR(CONCATENATE((INDEX($AL$7:$AL$73,SMALL(IF($AL$7:$AL$73&lt;&gt;"",IF($AI$7:$AI$73&lt;&gt;"",ROW($AI$7:$AI$73)-MIN(ROW($AI$7:$AI$73))+1,""),""),ROW()-ROW(A$75)+1)))," "),"")</f>
        <v>0</v>
      </c>
      <c r="AJ102">
        <f t="array" ref="AJ102">IFERROR(CONCATENATE(TEXT(INDEX($AI$7:$AI$73,SMALL(IF($AL$7:$AL$73&lt;&gt;"",IF($AI$7:$AI$73&lt;&gt;"",ROW($AI$7:$AI$73)-MIN(ROW($AI$7:$AI$73))+1,""),""),ROW()-ROW(A$75)+1)),"##0")," "),"")</f>
        <v>0</v>
      </c>
      <c r="AK102">
        <f t="array" ref="AK102">IFERROR(CONCATENATE((INDEX($A$7:$A$73,SMALL(IF($AL$7:$AL$73&lt;&gt;"",IF($AI$7:$AI$73&lt;&gt;"",ROW($AI$7:$AI$73)-MIN(ROW($AI$7:$AI$73))+1,""),""),ROW()-ROW(A$75)+1))),),"")</f>
        <v>0</v>
      </c>
    </row>
    <row r="103" spans="11:37">
      <c r="K103">
        <f t="array" ref="K103">IFERROR(CONCATENATE(TEXT(INDEX($K$7:$K$73,SMALL(IF($N$7:$N$73&lt;&gt;"",IF($K$7:$K$73&lt;&gt;"",ROW($K$7:$K$73)-MIN(ROW($K$7:$K$73))+1,""),""),ROW()-ROW(A$75)+1)),"##0"),","),"")</f>
        <v>0</v>
      </c>
      <c r="L103">
        <f t="array" ref="L103">IFERROR(CONCATENATE((INDEX($N$7:$N$73,SMALL(IF($N$7:$N$73&lt;&gt;"",IF($K$7:$K$73&lt;&gt;"",ROW($K$7:$K$73)-MIN(ROW($K$7:$K$73))+1,""),""),ROW()-ROW(A$75)+1))),","),"")</f>
        <v>0</v>
      </c>
      <c r="M103">
        <f t="array" ref="M103">IFERROR(CONCATENATE((INDEX($A$7:$A$73,SMALL(IF($N$7:$N$73&lt;&gt;"",IF($K$7:$K$73&lt;&gt;"",ROW($K$7:$K$73)-MIN(ROW($K$7:$K$73))+1,""),""),ROW()-ROW(A$75)+1))),),"")</f>
        <v>0</v>
      </c>
      <c r="Q103">
        <f t="array" ref="Q103">IFERROR(CONCATENATE((INDEX($T$7:$T$73,SMALL(IF($T$7:$T$73&lt;&gt;"",IF($Q$7:$Q$73&lt;&gt;"",ROW($Q$7:$Q$73)-MIN(ROW($Q$7:$Q$73))+1,""),""),ROW()-ROW(A$75)+1)))," "),"")</f>
        <v>0</v>
      </c>
      <c r="R103">
        <f t="array" ref="R103">IFERROR(CONCATENATE(TEXT(INDEX($Q$7:$Q$73,SMALL(IF($T$7:$T$73&lt;&gt;"",IF($Q$7:$Q$73&lt;&gt;"",ROW($Q$7:$Q$73)-MIN(ROW($Q$7:$Q$73))+1,""),""),ROW()-ROW(A$75)+1)),"##0")," "),"")</f>
        <v>0</v>
      </c>
      <c r="S103">
        <f t="array" ref="S103">IFERROR(CONCATENATE((INDEX($A$7:$A$73,SMALL(IF($T$7:$T$73&lt;&gt;"",IF($Q$7:$Q$73&lt;&gt;"",ROW($Q$7:$Q$73)-MIN(ROW($Q$7:$Q$73))+1,""),""),ROW()-ROW(A$75)+1))),),"")</f>
        <v>0</v>
      </c>
      <c r="W103">
        <f t="array" ref="W103">IFERROR(CONCATENATE((INDEX($Z$7:$Z$73,SMALL(IF($Z$7:$Z$73&lt;&gt;"",IF($W$7:$W$73&lt;&gt;"",ROW($W$7:$W$73)-MIN(ROW($W$7:$W$73))+1,""),""),ROW()-ROW(A$75)+1)))," "),"")</f>
        <v>0</v>
      </c>
      <c r="X103">
        <f t="array" ref="X103">IFERROR(CONCATENATE(TEXT(INDEX($W$7:$W$73,SMALL(IF($Z$7:$Z$73&lt;&gt;"",IF($W$7:$W$73&lt;&gt;"",ROW($W$7:$W$73)-MIN(ROW($W$7:$W$73))+1,""),""),ROW()-ROW(A$75)+1)),"##0")," "),"")</f>
        <v>0</v>
      </c>
      <c r="Y103">
        <f t="array" ref="Y103">IFERROR(CONCATENATE((INDEX($A$7:$A$73,SMALL(IF($Z$7:$Z$73&lt;&gt;"",IF($W$7:$W$73&lt;&gt;"",ROW($W$7:$W$73)-MIN(ROW($W$7:$W$73))+1,""),""),ROW()-ROW(A$75)+1))),),"")</f>
        <v>0</v>
      </c>
      <c r="AC103">
        <f t="array" ref="AC103">IFERROR(CONCATENATE((INDEX($AF$7:$AF$73,SMALL(IF($AF$7:$AF$73&lt;&gt;"",IF($AC$7:$AC$73&lt;&gt;"",ROW($AC$7:$AC$73)-MIN(ROW($AC$7:$AC$73))+1,""),""),ROW()-ROW(A$75)+1))),","),"")</f>
        <v>0</v>
      </c>
      <c r="AD103">
        <f t="array" ref="AD103">IFERROR(CONCATENATE(TEXT(INDEX($AC$7:$AC$73,SMALL(IF($AF$7:$AF$73&lt;&gt;"",IF($AC$7:$AC$73&lt;&gt;"",ROW($AC$7:$AC$73)-MIN(ROW($AC$7:$AC$73))+1,""),""),ROW()-ROW(A$75)+1)),"##0"),","),"")</f>
        <v>0</v>
      </c>
      <c r="AE103">
        <f t="array" ref="AE103">IFERROR(CONCATENATE((INDEX($A$7:$A$73,SMALL(IF($AF$7:$AF$73&lt;&gt;"",IF($AC$7:$AC$73&lt;&gt;"",ROW($AC$7:$AC$73)-MIN(ROW($AC$7:$AC$73))+1,""),""),ROW()-ROW(A$75)+1))),),"")</f>
        <v>0</v>
      </c>
      <c r="AI103">
        <f t="array" ref="AI103">IFERROR(CONCATENATE((INDEX($AL$7:$AL$73,SMALL(IF($AL$7:$AL$73&lt;&gt;"",IF($AI$7:$AI$73&lt;&gt;"",ROW($AI$7:$AI$73)-MIN(ROW($AI$7:$AI$73))+1,""),""),ROW()-ROW(A$75)+1)))," "),"")</f>
        <v>0</v>
      </c>
      <c r="AJ103">
        <f t="array" ref="AJ103">IFERROR(CONCATENATE(TEXT(INDEX($AI$7:$AI$73,SMALL(IF($AL$7:$AL$73&lt;&gt;"",IF($AI$7:$AI$73&lt;&gt;"",ROW($AI$7:$AI$73)-MIN(ROW($AI$7:$AI$73))+1,""),""),ROW()-ROW(A$75)+1)),"##0")," "),"")</f>
        <v>0</v>
      </c>
      <c r="AK103">
        <f t="array" ref="AK103">IFERROR(CONCATENATE((INDEX($A$7:$A$73,SMALL(IF($AL$7:$AL$73&lt;&gt;"",IF($AI$7:$AI$73&lt;&gt;"",ROW($AI$7:$AI$73)-MIN(ROW($AI$7:$AI$73))+1,""),""),ROW()-ROW(A$75)+1))),),"")</f>
        <v>0</v>
      </c>
    </row>
    <row r="104" spans="11:37">
      <c r="K104">
        <f t="array" ref="K104">IFERROR(CONCATENATE(TEXT(INDEX($K$7:$K$73,SMALL(IF($N$7:$N$73&lt;&gt;"",IF($K$7:$K$73&lt;&gt;"",ROW($K$7:$K$73)-MIN(ROW($K$7:$K$73))+1,""),""),ROW()-ROW(A$75)+1)),"##0"),","),"")</f>
        <v>0</v>
      </c>
      <c r="L104">
        <f t="array" ref="L104">IFERROR(CONCATENATE((INDEX($N$7:$N$73,SMALL(IF($N$7:$N$73&lt;&gt;"",IF($K$7:$K$73&lt;&gt;"",ROW($K$7:$K$73)-MIN(ROW($K$7:$K$73))+1,""),""),ROW()-ROW(A$75)+1))),","),"")</f>
        <v>0</v>
      </c>
      <c r="M104">
        <f t="array" ref="M104">IFERROR(CONCATENATE((INDEX($A$7:$A$73,SMALL(IF($N$7:$N$73&lt;&gt;"",IF($K$7:$K$73&lt;&gt;"",ROW($K$7:$K$73)-MIN(ROW($K$7:$K$73))+1,""),""),ROW()-ROW(A$75)+1))),),"")</f>
        <v>0</v>
      </c>
      <c r="Q104">
        <f t="array" ref="Q104">IFERROR(CONCATENATE((INDEX($T$7:$T$73,SMALL(IF($T$7:$T$73&lt;&gt;"",IF($Q$7:$Q$73&lt;&gt;"",ROW($Q$7:$Q$73)-MIN(ROW($Q$7:$Q$73))+1,""),""),ROW()-ROW(A$75)+1)))," "),"")</f>
        <v>0</v>
      </c>
      <c r="R104">
        <f t="array" ref="R104">IFERROR(CONCATENATE(TEXT(INDEX($Q$7:$Q$73,SMALL(IF($T$7:$T$73&lt;&gt;"",IF($Q$7:$Q$73&lt;&gt;"",ROW($Q$7:$Q$73)-MIN(ROW($Q$7:$Q$73))+1,""),""),ROW()-ROW(A$75)+1)),"##0")," "),"")</f>
        <v>0</v>
      </c>
      <c r="S104">
        <f t="array" ref="S104">IFERROR(CONCATENATE((INDEX($A$7:$A$73,SMALL(IF($T$7:$T$73&lt;&gt;"",IF($Q$7:$Q$73&lt;&gt;"",ROW($Q$7:$Q$73)-MIN(ROW($Q$7:$Q$73))+1,""),""),ROW()-ROW(A$75)+1))),),"")</f>
        <v>0</v>
      </c>
      <c r="W104">
        <f t="array" ref="W104">IFERROR(CONCATENATE((INDEX($Z$7:$Z$73,SMALL(IF($Z$7:$Z$73&lt;&gt;"",IF($W$7:$W$73&lt;&gt;"",ROW($W$7:$W$73)-MIN(ROW($W$7:$W$73))+1,""),""),ROW()-ROW(A$75)+1)))," "),"")</f>
        <v>0</v>
      </c>
      <c r="X104">
        <f t="array" ref="X104">IFERROR(CONCATENATE(TEXT(INDEX($W$7:$W$73,SMALL(IF($Z$7:$Z$73&lt;&gt;"",IF($W$7:$W$73&lt;&gt;"",ROW($W$7:$W$73)-MIN(ROW($W$7:$W$73))+1,""),""),ROW()-ROW(A$75)+1)),"##0")," "),"")</f>
        <v>0</v>
      </c>
      <c r="Y104">
        <f t="array" ref="Y104">IFERROR(CONCATENATE((INDEX($A$7:$A$73,SMALL(IF($Z$7:$Z$73&lt;&gt;"",IF($W$7:$W$73&lt;&gt;"",ROW($W$7:$W$73)-MIN(ROW($W$7:$W$73))+1,""),""),ROW()-ROW(A$75)+1))),),"")</f>
        <v>0</v>
      </c>
      <c r="AC104">
        <f t="array" ref="AC104">IFERROR(CONCATENATE((INDEX($AF$7:$AF$73,SMALL(IF($AF$7:$AF$73&lt;&gt;"",IF($AC$7:$AC$73&lt;&gt;"",ROW($AC$7:$AC$73)-MIN(ROW($AC$7:$AC$73))+1,""),""),ROW()-ROW(A$75)+1))),","),"")</f>
        <v>0</v>
      </c>
      <c r="AD104">
        <f t="array" ref="AD104">IFERROR(CONCATENATE(TEXT(INDEX($AC$7:$AC$73,SMALL(IF($AF$7:$AF$73&lt;&gt;"",IF($AC$7:$AC$73&lt;&gt;"",ROW($AC$7:$AC$73)-MIN(ROW($AC$7:$AC$73))+1,""),""),ROW()-ROW(A$75)+1)),"##0"),","),"")</f>
        <v>0</v>
      </c>
      <c r="AE104">
        <f t="array" ref="AE104">IFERROR(CONCATENATE((INDEX($A$7:$A$73,SMALL(IF($AF$7:$AF$73&lt;&gt;"",IF($AC$7:$AC$73&lt;&gt;"",ROW($AC$7:$AC$73)-MIN(ROW($AC$7:$AC$73))+1,""),""),ROW()-ROW(A$75)+1))),),"")</f>
        <v>0</v>
      </c>
      <c r="AI104">
        <f t="array" ref="AI104">IFERROR(CONCATENATE((INDEX($AL$7:$AL$73,SMALL(IF($AL$7:$AL$73&lt;&gt;"",IF($AI$7:$AI$73&lt;&gt;"",ROW($AI$7:$AI$73)-MIN(ROW($AI$7:$AI$73))+1,""),""),ROW()-ROW(A$75)+1)))," "),"")</f>
        <v>0</v>
      </c>
      <c r="AJ104">
        <f t="array" ref="AJ104">IFERROR(CONCATENATE(TEXT(INDEX($AI$7:$AI$73,SMALL(IF($AL$7:$AL$73&lt;&gt;"",IF($AI$7:$AI$73&lt;&gt;"",ROW($AI$7:$AI$73)-MIN(ROW($AI$7:$AI$73))+1,""),""),ROW()-ROW(A$75)+1)),"##0")," "),"")</f>
        <v>0</v>
      </c>
      <c r="AK104">
        <f t="array" ref="AK104">IFERROR(CONCATENATE((INDEX($A$7:$A$73,SMALL(IF($AL$7:$AL$73&lt;&gt;"",IF($AI$7:$AI$73&lt;&gt;"",ROW($AI$7:$AI$73)-MIN(ROW($AI$7:$AI$73))+1,""),""),ROW()-ROW(A$75)+1))),),"")</f>
        <v>0</v>
      </c>
    </row>
    <row r="105" spans="11:37">
      <c r="K105">
        <f t="array" ref="K105">IFERROR(CONCATENATE(TEXT(INDEX($K$7:$K$73,SMALL(IF($N$7:$N$73&lt;&gt;"",IF($K$7:$K$73&lt;&gt;"",ROW($K$7:$K$73)-MIN(ROW($K$7:$K$73))+1,""),""),ROW()-ROW(A$75)+1)),"##0"),","),"")</f>
        <v>0</v>
      </c>
      <c r="L105">
        <f t="array" ref="L105">IFERROR(CONCATENATE((INDEX($N$7:$N$73,SMALL(IF($N$7:$N$73&lt;&gt;"",IF($K$7:$K$73&lt;&gt;"",ROW($K$7:$K$73)-MIN(ROW($K$7:$K$73))+1,""),""),ROW()-ROW(A$75)+1))),","),"")</f>
        <v>0</v>
      </c>
      <c r="M105">
        <f t="array" ref="M105">IFERROR(CONCATENATE((INDEX($A$7:$A$73,SMALL(IF($N$7:$N$73&lt;&gt;"",IF($K$7:$K$73&lt;&gt;"",ROW($K$7:$K$73)-MIN(ROW($K$7:$K$73))+1,""),""),ROW()-ROW(A$75)+1))),),"")</f>
        <v>0</v>
      </c>
      <c r="Q105">
        <f t="array" ref="Q105">IFERROR(CONCATENATE((INDEX($T$7:$T$73,SMALL(IF($T$7:$T$73&lt;&gt;"",IF($Q$7:$Q$73&lt;&gt;"",ROW($Q$7:$Q$73)-MIN(ROW($Q$7:$Q$73))+1,""),""),ROW()-ROW(A$75)+1)))," "),"")</f>
        <v>0</v>
      </c>
      <c r="R105">
        <f t="array" ref="R105">IFERROR(CONCATENATE(TEXT(INDEX($Q$7:$Q$73,SMALL(IF($T$7:$T$73&lt;&gt;"",IF($Q$7:$Q$73&lt;&gt;"",ROW($Q$7:$Q$73)-MIN(ROW($Q$7:$Q$73))+1,""),""),ROW()-ROW(A$75)+1)),"##0")," "),"")</f>
        <v>0</v>
      </c>
      <c r="S105">
        <f t="array" ref="S105">IFERROR(CONCATENATE((INDEX($A$7:$A$73,SMALL(IF($T$7:$T$73&lt;&gt;"",IF($Q$7:$Q$73&lt;&gt;"",ROW($Q$7:$Q$73)-MIN(ROW($Q$7:$Q$73))+1,""),""),ROW()-ROW(A$75)+1))),),"")</f>
        <v>0</v>
      </c>
      <c r="W105">
        <f t="array" ref="W105">IFERROR(CONCATENATE((INDEX($Z$7:$Z$73,SMALL(IF($Z$7:$Z$73&lt;&gt;"",IF($W$7:$W$73&lt;&gt;"",ROW($W$7:$W$73)-MIN(ROW($W$7:$W$73))+1,""),""),ROW()-ROW(A$75)+1)))," "),"")</f>
        <v>0</v>
      </c>
      <c r="X105">
        <f t="array" ref="X105">IFERROR(CONCATENATE(TEXT(INDEX($W$7:$W$73,SMALL(IF($Z$7:$Z$73&lt;&gt;"",IF($W$7:$W$73&lt;&gt;"",ROW($W$7:$W$73)-MIN(ROW($W$7:$W$73))+1,""),""),ROW()-ROW(A$75)+1)),"##0")," "),"")</f>
        <v>0</v>
      </c>
      <c r="Y105">
        <f t="array" ref="Y105">IFERROR(CONCATENATE((INDEX($A$7:$A$73,SMALL(IF($Z$7:$Z$73&lt;&gt;"",IF($W$7:$W$73&lt;&gt;"",ROW($W$7:$W$73)-MIN(ROW($W$7:$W$73))+1,""),""),ROW()-ROW(A$75)+1))),),"")</f>
        <v>0</v>
      </c>
      <c r="AC105">
        <f t="array" ref="AC105">IFERROR(CONCATENATE((INDEX($AF$7:$AF$73,SMALL(IF($AF$7:$AF$73&lt;&gt;"",IF($AC$7:$AC$73&lt;&gt;"",ROW($AC$7:$AC$73)-MIN(ROW($AC$7:$AC$73))+1,""),""),ROW()-ROW(A$75)+1))),","),"")</f>
        <v>0</v>
      </c>
      <c r="AD105">
        <f t="array" ref="AD105">IFERROR(CONCATENATE(TEXT(INDEX($AC$7:$AC$73,SMALL(IF($AF$7:$AF$73&lt;&gt;"",IF($AC$7:$AC$73&lt;&gt;"",ROW($AC$7:$AC$73)-MIN(ROW($AC$7:$AC$73))+1,""),""),ROW()-ROW(A$75)+1)),"##0"),","),"")</f>
        <v>0</v>
      </c>
      <c r="AE105">
        <f t="array" ref="AE105">IFERROR(CONCATENATE((INDEX($A$7:$A$73,SMALL(IF($AF$7:$AF$73&lt;&gt;"",IF($AC$7:$AC$73&lt;&gt;"",ROW($AC$7:$AC$73)-MIN(ROW($AC$7:$AC$73))+1,""),""),ROW()-ROW(A$75)+1))),),"")</f>
        <v>0</v>
      </c>
      <c r="AI105">
        <f t="array" ref="AI105">IFERROR(CONCATENATE((INDEX($AL$7:$AL$73,SMALL(IF($AL$7:$AL$73&lt;&gt;"",IF($AI$7:$AI$73&lt;&gt;"",ROW($AI$7:$AI$73)-MIN(ROW($AI$7:$AI$73))+1,""),""),ROW()-ROW(A$75)+1)))," "),"")</f>
        <v>0</v>
      </c>
      <c r="AJ105">
        <f t="array" ref="AJ105">IFERROR(CONCATENATE(TEXT(INDEX($AI$7:$AI$73,SMALL(IF($AL$7:$AL$73&lt;&gt;"",IF($AI$7:$AI$73&lt;&gt;"",ROW($AI$7:$AI$73)-MIN(ROW($AI$7:$AI$73))+1,""),""),ROW()-ROW(A$75)+1)),"##0")," "),"")</f>
        <v>0</v>
      </c>
      <c r="AK105">
        <f t="array" ref="AK105">IFERROR(CONCATENATE((INDEX($A$7:$A$73,SMALL(IF($AL$7:$AL$73&lt;&gt;"",IF($AI$7:$AI$73&lt;&gt;"",ROW($AI$7:$AI$73)-MIN(ROW($AI$7:$AI$73))+1,""),""),ROW()-ROW(A$75)+1))),),"")</f>
        <v>0</v>
      </c>
    </row>
    <row r="106" spans="11:37">
      <c r="K106">
        <f t="array" ref="K106">IFERROR(CONCATENATE(TEXT(INDEX($K$7:$K$73,SMALL(IF($N$7:$N$73&lt;&gt;"",IF($K$7:$K$73&lt;&gt;"",ROW($K$7:$K$73)-MIN(ROW($K$7:$K$73))+1,""),""),ROW()-ROW(A$75)+1)),"##0"),","),"")</f>
        <v>0</v>
      </c>
      <c r="L106">
        <f t="array" ref="L106">IFERROR(CONCATENATE((INDEX($N$7:$N$73,SMALL(IF($N$7:$N$73&lt;&gt;"",IF($K$7:$K$73&lt;&gt;"",ROW($K$7:$K$73)-MIN(ROW($K$7:$K$73))+1,""),""),ROW()-ROW(A$75)+1))),","),"")</f>
        <v>0</v>
      </c>
      <c r="M106">
        <f t="array" ref="M106">IFERROR(CONCATENATE((INDEX($A$7:$A$73,SMALL(IF($N$7:$N$73&lt;&gt;"",IF($K$7:$K$73&lt;&gt;"",ROW($K$7:$K$73)-MIN(ROW($K$7:$K$73))+1,""),""),ROW()-ROW(A$75)+1))),),"")</f>
        <v>0</v>
      </c>
      <c r="Q106">
        <f t="array" ref="Q106">IFERROR(CONCATENATE((INDEX($T$7:$T$73,SMALL(IF($T$7:$T$73&lt;&gt;"",IF($Q$7:$Q$73&lt;&gt;"",ROW($Q$7:$Q$73)-MIN(ROW($Q$7:$Q$73))+1,""),""),ROW()-ROW(A$75)+1)))," "),"")</f>
        <v>0</v>
      </c>
      <c r="R106">
        <f t="array" ref="R106">IFERROR(CONCATENATE(TEXT(INDEX($Q$7:$Q$73,SMALL(IF($T$7:$T$73&lt;&gt;"",IF($Q$7:$Q$73&lt;&gt;"",ROW($Q$7:$Q$73)-MIN(ROW($Q$7:$Q$73))+1,""),""),ROW()-ROW(A$75)+1)),"##0")," "),"")</f>
        <v>0</v>
      </c>
      <c r="S106">
        <f t="array" ref="S106">IFERROR(CONCATENATE((INDEX($A$7:$A$73,SMALL(IF($T$7:$T$73&lt;&gt;"",IF($Q$7:$Q$73&lt;&gt;"",ROW($Q$7:$Q$73)-MIN(ROW($Q$7:$Q$73))+1,""),""),ROW()-ROW(A$75)+1))),),"")</f>
        <v>0</v>
      </c>
      <c r="W106">
        <f t="array" ref="W106">IFERROR(CONCATENATE((INDEX($Z$7:$Z$73,SMALL(IF($Z$7:$Z$73&lt;&gt;"",IF($W$7:$W$73&lt;&gt;"",ROW($W$7:$W$73)-MIN(ROW($W$7:$W$73))+1,""),""),ROW()-ROW(A$75)+1)))," "),"")</f>
        <v>0</v>
      </c>
      <c r="X106">
        <f t="array" ref="X106">IFERROR(CONCATENATE(TEXT(INDEX($W$7:$W$73,SMALL(IF($Z$7:$Z$73&lt;&gt;"",IF($W$7:$W$73&lt;&gt;"",ROW($W$7:$W$73)-MIN(ROW($W$7:$W$73))+1,""),""),ROW()-ROW(A$75)+1)),"##0")," "),"")</f>
        <v>0</v>
      </c>
      <c r="Y106">
        <f t="array" ref="Y106">IFERROR(CONCATENATE((INDEX($A$7:$A$73,SMALL(IF($Z$7:$Z$73&lt;&gt;"",IF($W$7:$W$73&lt;&gt;"",ROW($W$7:$W$73)-MIN(ROW($W$7:$W$73))+1,""),""),ROW()-ROW(A$75)+1))),),"")</f>
        <v>0</v>
      </c>
      <c r="AC106">
        <f t="array" ref="AC106">IFERROR(CONCATENATE((INDEX($AF$7:$AF$73,SMALL(IF($AF$7:$AF$73&lt;&gt;"",IF($AC$7:$AC$73&lt;&gt;"",ROW($AC$7:$AC$73)-MIN(ROW($AC$7:$AC$73))+1,""),""),ROW()-ROW(A$75)+1))),","),"")</f>
        <v>0</v>
      </c>
      <c r="AD106">
        <f t="array" ref="AD106">IFERROR(CONCATENATE(TEXT(INDEX($AC$7:$AC$73,SMALL(IF($AF$7:$AF$73&lt;&gt;"",IF($AC$7:$AC$73&lt;&gt;"",ROW($AC$7:$AC$73)-MIN(ROW($AC$7:$AC$73))+1,""),""),ROW()-ROW(A$75)+1)),"##0"),","),"")</f>
        <v>0</v>
      </c>
      <c r="AE106">
        <f t="array" ref="AE106">IFERROR(CONCATENATE((INDEX($A$7:$A$73,SMALL(IF($AF$7:$AF$73&lt;&gt;"",IF($AC$7:$AC$73&lt;&gt;"",ROW($AC$7:$AC$73)-MIN(ROW($AC$7:$AC$73))+1,""),""),ROW()-ROW(A$75)+1))),),"")</f>
        <v>0</v>
      </c>
      <c r="AI106">
        <f t="array" ref="AI106">IFERROR(CONCATENATE((INDEX($AL$7:$AL$73,SMALL(IF($AL$7:$AL$73&lt;&gt;"",IF($AI$7:$AI$73&lt;&gt;"",ROW($AI$7:$AI$73)-MIN(ROW($AI$7:$AI$73))+1,""),""),ROW()-ROW(A$75)+1)))," "),"")</f>
        <v>0</v>
      </c>
      <c r="AJ106">
        <f t="array" ref="AJ106">IFERROR(CONCATENATE(TEXT(INDEX($AI$7:$AI$73,SMALL(IF($AL$7:$AL$73&lt;&gt;"",IF($AI$7:$AI$73&lt;&gt;"",ROW($AI$7:$AI$73)-MIN(ROW($AI$7:$AI$73))+1,""),""),ROW()-ROW(A$75)+1)),"##0")," "),"")</f>
        <v>0</v>
      </c>
      <c r="AK106">
        <f t="array" ref="AK106">IFERROR(CONCATENATE((INDEX($A$7:$A$73,SMALL(IF($AL$7:$AL$73&lt;&gt;"",IF($AI$7:$AI$73&lt;&gt;"",ROW($AI$7:$AI$73)-MIN(ROW($AI$7:$AI$73))+1,""),""),ROW()-ROW(A$75)+1))),),"")</f>
        <v>0</v>
      </c>
    </row>
    <row r="107" spans="11:37">
      <c r="K107">
        <f t="array" ref="K107">IFERROR(CONCATENATE(TEXT(INDEX($K$7:$K$73,SMALL(IF($N$7:$N$73&lt;&gt;"",IF($K$7:$K$73&lt;&gt;"",ROW($K$7:$K$73)-MIN(ROW($K$7:$K$73))+1,""),""),ROW()-ROW(A$75)+1)),"##0"),","),"")</f>
        <v>0</v>
      </c>
      <c r="L107">
        <f t="array" ref="L107">IFERROR(CONCATENATE((INDEX($N$7:$N$73,SMALL(IF($N$7:$N$73&lt;&gt;"",IF($K$7:$K$73&lt;&gt;"",ROW($K$7:$K$73)-MIN(ROW($K$7:$K$73))+1,""),""),ROW()-ROW(A$75)+1))),","),"")</f>
        <v>0</v>
      </c>
      <c r="M107">
        <f t="array" ref="M107">IFERROR(CONCATENATE((INDEX($A$7:$A$73,SMALL(IF($N$7:$N$73&lt;&gt;"",IF($K$7:$K$73&lt;&gt;"",ROW($K$7:$K$73)-MIN(ROW($K$7:$K$73))+1,""),""),ROW()-ROW(A$75)+1))),),"")</f>
        <v>0</v>
      </c>
      <c r="Q107">
        <f t="array" ref="Q107">IFERROR(CONCATENATE((INDEX($T$7:$T$73,SMALL(IF($T$7:$T$73&lt;&gt;"",IF($Q$7:$Q$73&lt;&gt;"",ROW($Q$7:$Q$73)-MIN(ROW($Q$7:$Q$73))+1,""),""),ROW()-ROW(A$75)+1)))," "),"")</f>
        <v>0</v>
      </c>
      <c r="R107">
        <f t="array" ref="R107">IFERROR(CONCATENATE(TEXT(INDEX($Q$7:$Q$73,SMALL(IF($T$7:$T$73&lt;&gt;"",IF($Q$7:$Q$73&lt;&gt;"",ROW($Q$7:$Q$73)-MIN(ROW($Q$7:$Q$73))+1,""),""),ROW()-ROW(A$75)+1)),"##0")," "),"")</f>
        <v>0</v>
      </c>
      <c r="S107">
        <f t="array" ref="S107">IFERROR(CONCATENATE((INDEX($A$7:$A$73,SMALL(IF($T$7:$T$73&lt;&gt;"",IF($Q$7:$Q$73&lt;&gt;"",ROW($Q$7:$Q$73)-MIN(ROW($Q$7:$Q$73))+1,""),""),ROW()-ROW(A$75)+1))),),"")</f>
        <v>0</v>
      </c>
      <c r="W107">
        <f t="array" ref="W107">IFERROR(CONCATENATE((INDEX($Z$7:$Z$73,SMALL(IF($Z$7:$Z$73&lt;&gt;"",IF($W$7:$W$73&lt;&gt;"",ROW($W$7:$W$73)-MIN(ROW($W$7:$W$73))+1,""),""),ROW()-ROW(A$75)+1)))," "),"")</f>
        <v>0</v>
      </c>
      <c r="X107">
        <f t="array" ref="X107">IFERROR(CONCATENATE(TEXT(INDEX($W$7:$W$73,SMALL(IF($Z$7:$Z$73&lt;&gt;"",IF($W$7:$W$73&lt;&gt;"",ROW($W$7:$W$73)-MIN(ROW($W$7:$W$73))+1,""),""),ROW()-ROW(A$75)+1)),"##0")," "),"")</f>
        <v>0</v>
      </c>
      <c r="Y107">
        <f t="array" ref="Y107">IFERROR(CONCATENATE((INDEX($A$7:$A$73,SMALL(IF($Z$7:$Z$73&lt;&gt;"",IF($W$7:$W$73&lt;&gt;"",ROW($W$7:$W$73)-MIN(ROW($W$7:$W$73))+1,""),""),ROW()-ROW(A$75)+1))),),"")</f>
        <v>0</v>
      </c>
      <c r="AC107">
        <f t="array" ref="AC107">IFERROR(CONCATENATE((INDEX($AF$7:$AF$73,SMALL(IF($AF$7:$AF$73&lt;&gt;"",IF($AC$7:$AC$73&lt;&gt;"",ROW($AC$7:$AC$73)-MIN(ROW($AC$7:$AC$73))+1,""),""),ROW()-ROW(A$75)+1))),","),"")</f>
        <v>0</v>
      </c>
      <c r="AD107">
        <f t="array" ref="AD107">IFERROR(CONCATENATE(TEXT(INDEX($AC$7:$AC$73,SMALL(IF($AF$7:$AF$73&lt;&gt;"",IF($AC$7:$AC$73&lt;&gt;"",ROW($AC$7:$AC$73)-MIN(ROW($AC$7:$AC$73))+1,""),""),ROW()-ROW(A$75)+1)),"##0"),","),"")</f>
        <v>0</v>
      </c>
      <c r="AE107">
        <f t="array" ref="AE107">IFERROR(CONCATENATE((INDEX($A$7:$A$73,SMALL(IF($AF$7:$AF$73&lt;&gt;"",IF($AC$7:$AC$73&lt;&gt;"",ROW($AC$7:$AC$73)-MIN(ROW($AC$7:$AC$73))+1,""),""),ROW()-ROW(A$75)+1))),),"")</f>
        <v>0</v>
      </c>
      <c r="AI107">
        <f t="array" ref="AI107">IFERROR(CONCATENATE((INDEX($AL$7:$AL$73,SMALL(IF($AL$7:$AL$73&lt;&gt;"",IF($AI$7:$AI$73&lt;&gt;"",ROW($AI$7:$AI$73)-MIN(ROW($AI$7:$AI$73))+1,""),""),ROW()-ROW(A$75)+1)))," "),"")</f>
        <v>0</v>
      </c>
      <c r="AJ107">
        <f t="array" ref="AJ107">IFERROR(CONCATENATE(TEXT(INDEX($AI$7:$AI$73,SMALL(IF($AL$7:$AL$73&lt;&gt;"",IF($AI$7:$AI$73&lt;&gt;"",ROW($AI$7:$AI$73)-MIN(ROW($AI$7:$AI$73))+1,""),""),ROW()-ROW(A$75)+1)),"##0")," "),"")</f>
        <v>0</v>
      </c>
      <c r="AK107">
        <f t="array" ref="AK107">IFERROR(CONCATENATE((INDEX($A$7:$A$73,SMALL(IF($AL$7:$AL$73&lt;&gt;"",IF($AI$7:$AI$73&lt;&gt;"",ROW($AI$7:$AI$73)-MIN(ROW($AI$7:$AI$73))+1,""),""),ROW()-ROW(A$75)+1))),),"")</f>
        <v>0</v>
      </c>
    </row>
    <row r="108" spans="11:37">
      <c r="K108">
        <f t="array" ref="K108">IFERROR(CONCATENATE(TEXT(INDEX($K$7:$K$73,SMALL(IF($N$7:$N$73&lt;&gt;"",IF($K$7:$K$73&lt;&gt;"",ROW($K$7:$K$73)-MIN(ROW($K$7:$K$73))+1,""),""),ROW()-ROW(A$75)+1)),"##0"),","),"")</f>
        <v>0</v>
      </c>
      <c r="L108">
        <f t="array" ref="L108">IFERROR(CONCATENATE((INDEX($N$7:$N$73,SMALL(IF($N$7:$N$73&lt;&gt;"",IF($K$7:$K$73&lt;&gt;"",ROW($K$7:$K$73)-MIN(ROW($K$7:$K$73))+1,""),""),ROW()-ROW(A$75)+1))),","),"")</f>
        <v>0</v>
      </c>
      <c r="M108">
        <f t="array" ref="M108">IFERROR(CONCATENATE((INDEX($A$7:$A$73,SMALL(IF($N$7:$N$73&lt;&gt;"",IF($K$7:$K$73&lt;&gt;"",ROW($K$7:$K$73)-MIN(ROW($K$7:$K$73))+1,""),""),ROW()-ROW(A$75)+1))),),"")</f>
        <v>0</v>
      </c>
      <c r="Q108">
        <f t="array" ref="Q108">IFERROR(CONCATENATE((INDEX($T$7:$T$73,SMALL(IF($T$7:$T$73&lt;&gt;"",IF($Q$7:$Q$73&lt;&gt;"",ROW($Q$7:$Q$73)-MIN(ROW($Q$7:$Q$73))+1,""),""),ROW()-ROW(A$75)+1)))," "),"")</f>
        <v>0</v>
      </c>
      <c r="R108">
        <f t="array" ref="R108">IFERROR(CONCATENATE(TEXT(INDEX($Q$7:$Q$73,SMALL(IF($T$7:$T$73&lt;&gt;"",IF($Q$7:$Q$73&lt;&gt;"",ROW($Q$7:$Q$73)-MIN(ROW($Q$7:$Q$73))+1,""),""),ROW()-ROW(A$75)+1)),"##0")," "),"")</f>
        <v>0</v>
      </c>
      <c r="S108">
        <f t="array" ref="S108">IFERROR(CONCATENATE((INDEX($A$7:$A$73,SMALL(IF($T$7:$T$73&lt;&gt;"",IF($Q$7:$Q$73&lt;&gt;"",ROW($Q$7:$Q$73)-MIN(ROW($Q$7:$Q$73))+1,""),""),ROW()-ROW(A$75)+1))),),"")</f>
        <v>0</v>
      </c>
      <c r="W108">
        <f t="array" ref="W108">IFERROR(CONCATENATE((INDEX($Z$7:$Z$73,SMALL(IF($Z$7:$Z$73&lt;&gt;"",IF($W$7:$W$73&lt;&gt;"",ROW($W$7:$W$73)-MIN(ROW($W$7:$W$73))+1,""),""),ROW()-ROW(A$75)+1)))," "),"")</f>
        <v>0</v>
      </c>
      <c r="X108">
        <f t="array" ref="X108">IFERROR(CONCATENATE(TEXT(INDEX($W$7:$W$73,SMALL(IF($Z$7:$Z$73&lt;&gt;"",IF($W$7:$W$73&lt;&gt;"",ROW($W$7:$W$73)-MIN(ROW($W$7:$W$73))+1,""),""),ROW()-ROW(A$75)+1)),"##0")," "),"")</f>
        <v>0</v>
      </c>
      <c r="Y108">
        <f t="array" ref="Y108">IFERROR(CONCATENATE((INDEX($A$7:$A$73,SMALL(IF($Z$7:$Z$73&lt;&gt;"",IF($W$7:$W$73&lt;&gt;"",ROW($W$7:$W$73)-MIN(ROW($W$7:$W$73))+1,""),""),ROW()-ROW(A$75)+1))),),"")</f>
        <v>0</v>
      </c>
      <c r="AC108">
        <f t="array" ref="AC108">IFERROR(CONCATENATE((INDEX($AF$7:$AF$73,SMALL(IF($AF$7:$AF$73&lt;&gt;"",IF($AC$7:$AC$73&lt;&gt;"",ROW($AC$7:$AC$73)-MIN(ROW($AC$7:$AC$73))+1,""),""),ROW()-ROW(A$75)+1))),","),"")</f>
        <v>0</v>
      </c>
      <c r="AD108">
        <f t="array" ref="AD108">IFERROR(CONCATENATE(TEXT(INDEX($AC$7:$AC$73,SMALL(IF($AF$7:$AF$73&lt;&gt;"",IF($AC$7:$AC$73&lt;&gt;"",ROW($AC$7:$AC$73)-MIN(ROW($AC$7:$AC$73))+1,""),""),ROW()-ROW(A$75)+1)),"##0"),","),"")</f>
        <v>0</v>
      </c>
      <c r="AE108">
        <f t="array" ref="AE108">IFERROR(CONCATENATE((INDEX($A$7:$A$73,SMALL(IF($AF$7:$AF$73&lt;&gt;"",IF($AC$7:$AC$73&lt;&gt;"",ROW($AC$7:$AC$73)-MIN(ROW($AC$7:$AC$73))+1,""),""),ROW()-ROW(A$75)+1))),),"")</f>
        <v>0</v>
      </c>
      <c r="AI108">
        <f t="array" ref="AI108">IFERROR(CONCATENATE((INDEX($AL$7:$AL$73,SMALL(IF($AL$7:$AL$73&lt;&gt;"",IF($AI$7:$AI$73&lt;&gt;"",ROW($AI$7:$AI$73)-MIN(ROW($AI$7:$AI$73))+1,""),""),ROW()-ROW(A$75)+1)))," "),"")</f>
        <v>0</v>
      </c>
      <c r="AJ108">
        <f t="array" ref="AJ108">IFERROR(CONCATENATE(TEXT(INDEX($AI$7:$AI$73,SMALL(IF($AL$7:$AL$73&lt;&gt;"",IF($AI$7:$AI$73&lt;&gt;"",ROW($AI$7:$AI$73)-MIN(ROW($AI$7:$AI$73))+1,""),""),ROW()-ROW(A$75)+1)),"##0")," "),"")</f>
        <v>0</v>
      </c>
      <c r="AK108">
        <f t="array" ref="AK108">IFERROR(CONCATENATE((INDEX($A$7:$A$73,SMALL(IF($AL$7:$AL$73&lt;&gt;"",IF($AI$7:$AI$73&lt;&gt;"",ROW($AI$7:$AI$73)-MIN(ROW($AI$7:$AI$73))+1,""),""),ROW()-ROW(A$75)+1))),),"")</f>
        <v>0</v>
      </c>
    </row>
    <row r="109" spans="11:37">
      <c r="K109">
        <f t="array" ref="K109">IFERROR(CONCATENATE(TEXT(INDEX($K$7:$K$73,SMALL(IF($N$7:$N$73&lt;&gt;"",IF($K$7:$K$73&lt;&gt;"",ROW($K$7:$K$73)-MIN(ROW($K$7:$K$73))+1,""),""),ROW()-ROW(A$75)+1)),"##0"),","),"")</f>
        <v>0</v>
      </c>
      <c r="L109">
        <f t="array" ref="L109">IFERROR(CONCATENATE((INDEX($N$7:$N$73,SMALL(IF($N$7:$N$73&lt;&gt;"",IF($K$7:$K$73&lt;&gt;"",ROW($K$7:$K$73)-MIN(ROW($K$7:$K$73))+1,""),""),ROW()-ROW(A$75)+1))),","),"")</f>
        <v>0</v>
      </c>
      <c r="M109">
        <f t="array" ref="M109">IFERROR(CONCATENATE((INDEX($A$7:$A$73,SMALL(IF($N$7:$N$73&lt;&gt;"",IF($K$7:$K$73&lt;&gt;"",ROW($K$7:$K$73)-MIN(ROW($K$7:$K$73))+1,""),""),ROW()-ROW(A$75)+1))),),"")</f>
        <v>0</v>
      </c>
      <c r="Q109">
        <f t="array" ref="Q109">IFERROR(CONCATENATE((INDEX($T$7:$T$73,SMALL(IF($T$7:$T$73&lt;&gt;"",IF($Q$7:$Q$73&lt;&gt;"",ROW($Q$7:$Q$73)-MIN(ROW($Q$7:$Q$73))+1,""),""),ROW()-ROW(A$75)+1)))," "),"")</f>
        <v>0</v>
      </c>
      <c r="R109">
        <f t="array" ref="R109">IFERROR(CONCATENATE(TEXT(INDEX($Q$7:$Q$73,SMALL(IF($T$7:$T$73&lt;&gt;"",IF($Q$7:$Q$73&lt;&gt;"",ROW($Q$7:$Q$73)-MIN(ROW($Q$7:$Q$73))+1,""),""),ROW()-ROW(A$75)+1)),"##0")," "),"")</f>
        <v>0</v>
      </c>
      <c r="S109">
        <f t="array" ref="S109">IFERROR(CONCATENATE((INDEX($A$7:$A$73,SMALL(IF($T$7:$T$73&lt;&gt;"",IF($Q$7:$Q$73&lt;&gt;"",ROW($Q$7:$Q$73)-MIN(ROW($Q$7:$Q$73))+1,""),""),ROW()-ROW(A$75)+1))),),"")</f>
        <v>0</v>
      </c>
      <c r="W109">
        <f t="array" ref="W109">IFERROR(CONCATENATE((INDEX($Z$7:$Z$73,SMALL(IF($Z$7:$Z$73&lt;&gt;"",IF($W$7:$W$73&lt;&gt;"",ROW($W$7:$W$73)-MIN(ROW($W$7:$W$73))+1,""),""),ROW()-ROW(A$75)+1)))," "),"")</f>
        <v>0</v>
      </c>
      <c r="X109">
        <f t="array" ref="X109">IFERROR(CONCATENATE(TEXT(INDEX($W$7:$W$73,SMALL(IF($Z$7:$Z$73&lt;&gt;"",IF($W$7:$W$73&lt;&gt;"",ROW($W$7:$W$73)-MIN(ROW($W$7:$W$73))+1,""),""),ROW()-ROW(A$75)+1)),"##0")," "),"")</f>
        <v>0</v>
      </c>
      <c r="Y109">
        <f t="array" ref="Y109">IFERROR(CONCATENATE((INDEX($A$7:$A$73,SMALL(IF($Z$7:$Z$73&lt;&gt;"",IF($W$7:$W$73&lt;&gt;"",ROW($W$7:$W$73)-MIN(ROW($W$7:$W$73))+1,""),""),ROW()-ROW(A$75)+1))),),"")</f>
        <v>0</v>
      </c>
      <c r="AC109">
        <f t="array" ref="AC109">IFERROR(CONCATENATE((INDEX($AF$7:$AF$73,SMALL(IF($AF$7:$AF$73&lt;&gt;"",IF($AC$7:$AC$73&lt;&gt;"",ROW($AC$7:$AC$73)-MIN(ROW($AC$7:$AC$73))+1,""),""),ROW()-ROW(A$75)+1))),","),"")</f>
        <v>0</v>
      </c>
      <c r="AD109">
        <f t="array" ref="AD109">IFERROR(CONCATENATE(TEXT(INDEX($AC$7:$AC$73,SMALL(IF($AF$7:$AF$73&lt;&gt;"",IF($AC$7:$AC$73&lt;&gt;"",ROW($AC$7:$AC$73)-MIN(ROW($AC$7:$AC$73))+1,""),""),ROW()-ROW(A$75)+1)),"##0"),","),"")</f>
        <v>0</v>
      </c>
      <c r="AE109">
        <f t="array" ref="AE109">IFERROR(CONCATENATE((INDEX($A$7:$A$73,SMALL(IF($AF$7:$AF$73&lt;&gt;"",IF($AC$7:$AC$73&lt;&gt;"",ROW($AC$7:$AC$73)-MIN(ROW($AC$7:$AC$73))+1,""),""),ROW()-ROW(A$75)+1))),),"")</f>
        <v>0</v>
      </c>
      <c r="AI109">
        <f t="array" ref="AI109">IFERROR(CONCATENATE((INDEX($AL$7:$AL$73,SMALL(IF($AL$7:$AL$73&lt;&gt;"",IF($AI$7:$AI$73&lt;&gt;"",ROW($AI$7:$AI$73)-MIN(ROW($AI$7:$AI$73))+1,""),""),ROW()-ROW(A$75)+1)))," "),"")</f>
        <v>0</v>
      </c>
      <c r="AJ109">
        <f t="array" ref="AJ109">IFERROR(CONCATENATE(TEXT(INDEX($AI$7:$AI$73,SMALL(IF($AL$7:$AL$73&lt;&gt;"",IF($AI$7:$AI$73&lt;&gt;"",ROW($AI$7:$AI$73)-MIN(ROW($AI$7:$AI$73))+1,""),""),ROW()-ROW(A$75)+1)),"##0")," "),"")</f>
        <v>0</v>
      </c>
      <c r="AK109">
        <f t="array" ref="AK109">IFERROR(CONCATENATE((INDEX($A$7:$A$73,SMALL(IF($AL$7:$AL$73&lt;&gt;"",IF($AI$7:$AI$73&lt;&gt;"",ROW($AI$7:$AI$73)-MIN(ROW($AI$7:$AI$73))+1,""),""),ROW()-ROW(A$75)+1))),),"")</f>
        <v>0</v>
      </c>
    </row>
    <row r="110" spans="11:37">
      <c r="K110">
        <f t="array" ref="K110">IFERROR(CONCATENATE(TEXT(INDEX($K$7:$K$73,SMALL(IF($N$7:$N$73&lt;&gt;"",IF($K$7:$K$73&lt;&gt;"",ROW($K$7:$K$73)-MIN(ROW($K$7:$K$73))+1,""),""),ROW()-ROW(A$75)+1)),"##0"),","),"")</f>
        <v>0</v>
      </c>
      <c r="L110">
        <f t="array" ref="L110">IFERROR(CONCATENATE((INDEX($N$7:$N$73,SMALL(IF($N$7:$N$73&lt;&gt;"",IF($K$7:$K$73&lt;&gt;"",ROW($K$7:$K$73)-MIN(ROW($K$7:$K$73))+1,""),""),ROW()-ROW(A$75)+1))),","),"")</f>
        <v>0</v>
      </c>
      <c r="M110">
        <f t="array" ref="M110">IFERROR(CONCATENATE((INDEX($A$7:$A$73,SMALL(IF($N$7:$N$73&lt;&gt;"",IF($K$7:$K$73&lt;&gt;"",ROW($K$7:$K$73)-MIN(ROW($K$7:$K$73))+1,""),""),ROW()-ROW(A$75)+1))),),"")</f>
        <v>0</v>
      </c>
      <c r="Q110">
        <f t="array" ref="Q110">IFERROR(CONCATENATE((INDEX($T$7:$T$73,SMALL(IF($T$7:$T$73&lt;&gt;"",IF($Q$7:$Q$73&lt;&gt;"",ROW($Q$7:$Q$73)-MIN(ROW($Q$7:$Q$73))+1,""),""),ROW()-ROW(A$75)+1)))," "),"")</f>
        <v>0</v>
      </c>
      <c r="R110">
        <f t="array" ref="R110">IFERROR(CONCATENATE(TEXT(INDEX($Q$7:$Q$73,SMALL(IF($T$7:$T$73&lt;&gt;"",IF($Q$7:$Q$73&lt;&gt;"",ROW($Q$7:$Q$73)-MIN(ROW($Q$7:$Q$73))+1,""),""),ROW()-ROW(A$75)+1)),"##0")," "),"")</f>
        <v>0</v>
      </c>
      <c r="S110">
        <f t="array" ref="S110">IFERROR(CONCATENATE((INDEX($A$7:$A$73,SMALL(IF($T$7:$T$73&lt;&gt;"",IF($Q$7:$Q$73&lt;&gt;"",ROW($Q$7:$Q$73)-MIN(ROW($Q$7:$Q$73))+1,""),""),ROW()-ROW(A$75)+1))),),"")</f>
        <v>0</v>
      </c>
      <c r="W110">
        <f t="array" ref="W110">IFERROR(CONCATENATE((INDEX($Z$7:$Z$73,SMALL(IF($Z$7:$Z$73&lt;&gt;"",IF($W$7:$W$73&lt;&gt;"",ROW($W$7:$W$73)-MIN(ROW($W$7:$W$73))+1,""),""),ROW()-ROW(A$75)+1)))," "),"")</f>
        <v>0</v>
      </c>
      <c r="X110">
        <f t="array" ref="X110">IFERROR(CONCATENATE(TEXT(INDEX($W$7:$W$73,SMALL(IF($Z$7:$Z$73&lt;&gt;"",IF($W$7:$W$73&lt;&gt;"",ROW($W$7:$W$73)-MIN(ROW($W$7:$W$73))+1,""),""),ROW()-ROW(A$75)+1)),"##0")," "),"")</f>
        <v>0</v>
      </c>
      <c r="Y110">
        <f t="array" ref="Y110">IFERROR(CONCATENATE((INDEX($A$7:$A$73,SMALL(IF($Z$7:$Z$73&lt;&gt;"",IF($W$7:$W$73&lt;&gt;"",ROW($W$7:$W$73)-MIN(ROW($W$7:$W$73))+1,""),""),ROW()-ROW(A$75)+1))),),"")</f>
        <v>0</v>
      </c>
      <c r="AC110">
        <f t="array" ref="AC110">IFERROR(CONCATENATE((INDEX($AF$7:$AF$73,SMALL(IF($AF$7:$AF$73&lt;&gt;"",IF($AC$7:$AC$73&lt;&gt;"",ROW($AC$7:$AC$73)-MIN(ROW($AC$7:$AC$73))+1,""),""),ROW()-ROW(A$75)+1))),","),"")</f>
        <v>0</v>
      </c>
      <c r="AD110">
        <f t="array" ref="AD110">IFERROR(CONCATENATE(TEXT(INDEX($AC$7:$AC$73,SMALL(IF($AF$7:$AF$73&lt;&gt;"",IF($AC$7:$AC$73&lt;&gt;"",ROW($AC$7:$AC$73)-MIN(ROW($AC$7:$AC$73))+1,""),""),ROW()-ROW(A$75)+1)),"##0"),","),"")</f>
        <v>0</v>
      </c>
      <c r="AE110">
        <f t="array" ref="AE110">IFERROR(CONCATENATE((INDEX($A$7:$A$73,SMALL(IF($AF$7:$AF$73&lt;&gt;"",IF($AC$7:$AC$73&lt;&gt;"",ROW($AC$7:$AC$73)-MIN(ROW($AC$7:$AC$73))+1,""),""),ROW()-ROW(A$75)+1))),),"")</f>
        <v>0</v>
      </c>
      <c r="AI110">
        <f t="array" ref="AI110">IFERROR(CONCATENATE((INDEX($AL$7:$AL$73,SMALL(IF($AL$7:$AL$73&lt;&gt;"",IF($AI$7:$AI$73&lt;&gt;"",ROW($AI$7:$AI$73)-MIN(ROW($AI$7:$AI$73))+1,""),""),ROW()-ROW(A$75)+1)))," "),"")</f>
        <v>0</v>
      </c>
      <c r="AJ110">
        <f t="array" ref="AJ110">IFERROR(CONCATENATE(TEXT(INDEX($AI$7:$AI$73,SMALL(IF($AL$7:$AL$73&lt;&gt;"",IF($AI$7:$AI$73&lt;&gt;"",ROW($AI$7:$AI$73)-MIN(ROW($AI$7:$AI$73))+1,""),""),ROW()-ROW(A$75)+1)),"##0")," "),"")</f>
        <v>0</v>
      </c>
      <c r="AK110">
        <f t="array" ref="AK110">IFERROR(CONCATENATE((INDEX($A$7:$A$73,SMALL(IF($AL$7:$AL$73&lt;&gt;"",IF($AI$7:$AI$73&lt;&gt;"",ROW($AI$7:$AI$73)-MIN(ROW($AI$7:$AI$73))+1,""),""),ROW()-ROW(A$75)+1))),),"")</f>
        <v>0</v>
      </c>
    </row>
    <row r="111" spans="11:37">
      <c r="K111">
        <f t="array" ref="K111">IFERROR(CONCATENATE(TEXT(INDEX($K$7:$K$73,SMALL(IF($N$7:$N$73&lt;&gt;"",IF($K$7:$K$73&lt;&gt;"",ROW($K$7:$K$73)-MIN(ROW($K$7:$K$73))+1,""),""),ROW()-ROW(A$75)+1)),"##0"),","),"")</f>
        <v>0</v>
      </c>
      <c r="L111">
        <f t="array" ref="L111">IFERROR(CONCATENATE((INDEX($N$7:$N$73,SMALL(IF($N$7:$N$73&lt;&gt;"",IF($K$7:$K$73&lt;&gt;"",ROW($K$7:$K$73)-MIN(ROW($K$7:$K$73))+1,""),""),ROW()-ROW(A$75)+1))),","),"")</f>
        <v>0</v>
      </c>
      <c r="M111">
        <f t="array" ref="M111">IFERROR(CONCATENATE((INDEX($A$7:$A$73,SMALL(IF($N$7:$N$73&lt;&gt;"",IF($K$7:$K$73&lt;&gt;"",ROW($K$7:$K$73)-MIN(ROW($K$7:$K$73))+1,""),""),ROW()-ROW(A$75)+1))),),"")</f>
        <v>0</v>
      </c>
      <c r="Q111">
        <f t="array" ref="Q111">IFERROR(CONCATENATE((INDEX($T$7:$T$73,SMALL(IF($T$7:$T$73&lt;&gt;"",IF($Q$7:$Q$73&lt;&gt;"",ROW($Q$7:$Q$73)-MIN(ROW($Q$7:$Q$73))+1,""),""),ROW()-ROW(A$75)+1)))," "),"")</f>
        <v>0</v>
      </c>
      <c r="R111">
        <f t="array" ref="R111">IFERROR(CONCATENATE(TEXT(INDEX($Q$7:$Q$73,SMALL(IF($T$7:$T$73&lt;&gt;"",IF($Q$7:$Q$73&lt;&gt;"",ROW($Q$7:$Q$73)-MIN(ROW($Q$7:$Q$73))+1,""),""),ROW()-ROW(A$75)+1)),"##0")," "),"")</f>
        <v>0</v>
      </c>
      <c r="S111">
        <f t="array" ref="S111">IFERROR(CONCATENATE((INDEX($A$7:$A$73,SMALL(IF($T$7:$T$73&lt;&gt;"",IF($Q$7:$Q$73&lt;&gt;"",ROW($Q$7:$Q$73)-MIN(ROW($Q$7:$Q$73))+1,""),""),ROW()-ROW(A$75)+1))),),"")</f>
        <v>0</v>
      </c>
      <c r="W111">
        <f t="array" ref="W111">IFERROR(CONCATENATE((INDEX($Z$7:$Z$73,SMALL(IF($Z$7:$Z$73&lt;&gt;"",IF($W$7:$W$73&lt;&gt;"",ROW($W$7:$W$73)-MIN(ROW($W$7:$W$73))+1,""),""),ROW()-ROW(A$75)+1)))," "),"")</f>
        <v>0</v>
      </c>
      <c r="X111">
        <f t="array" ref="X111">IFERROR(CONCATENATE(TEXT(INDEX($W$7:$W$73,SMALL(IF($Z$7:$Z$73&lt;&gt;"",IF($W$7:$W$73&lt;&gt;"",ROW($W$7:$W$73)-MIN(ROW($W$7:$W$73))+1,""),""),ROW()-ROW(A$75)+1)),"##0")," "),"")</f>
        <v>0</v>
      </c>
      <c r="Y111">
        <f t="array" ref="Y111">IFERROR(CONCATENATE((INDEX($A$7:$A$73,SMALL(IF($Z$7:$Z$73&lt;&gt;"",IF($W$7:$W$73&lt;&gt;"",ROW($W$7:$W$73)-MIN(ROW($W$7:$W$73))+1,""),""),ROW()-ROW(A$75)+1))),),"")</f>
        <v>0</v>
      </c>
      <c r="AC111">
        <f t="array" ref="AC111">IFERROR(CONCATENATE((INDEX($AF$7:$AF$73,SMALL(IF($AF$7:$AF$73&lt;&gt;"",IF($AC$7:$AC$73&lt;&gt;"",ROW($AC$7:$AC$73)-MIN(ROW($AC$7:$AC$73))+1,""),""),ROW()-ROW(A$75)+1))),","),"")</f>
        <v>0</v>
      </c>
      <c r="AD111">
        <f t="array" ref="AD111">IFERROR(CONCATENATE(TEXT(INDEX($AC$7:$AC$73,SMALL(IF($AF$7:$AF$73&lt;&gt;"",IF($AC$7:$AC$73&lt;&gt;"",ROW($AC$7:$AC$73)-MIN(ROW($AC$7:$AC$73))+1,""),""),ROW()-ROW(A$75)+1)),"##0"),","),"")</f>
        <v>0</v>
      </c>
      <c r="AE111">
        <f t="array" ref="AE111">IFERROR(CONCATENATE((INDEX($A$7:$A$73,SMALL(IF($AF$7:$AF$73&lt;&gt;"",IF($AC$7:$AC$73&lt;&gt;"",ROW($AC$7:$AC$73)-MIN(ROW($AC$7:$AC$73))+1,""),""),ROW()-ROW(A$75)+1))),),"")</f>
        <v>0</v>
      </c>
      <c r="AI111">
        <f t="array" ref="AI111">IFERROR(CONCATENATE((INDEX($AL$7:$AL$73,SMALL(IF($AL$7:$AL$73&lt;&gt;"",IF($AI$7:$AI$73&lt;&gt;"",ROW($AI$7:$AI$73)-MIN(ROW($AI$7:$AI$73))+1,""),""),ROW()-ROW(A$75)+1)))," "),"")</f>
        <v>0</v>
      </c>
      <c r="AJ111">
        <f t="array" ref="AJ111">IFERROR(CONCATENATE(TEXT(INDEX($AI$7:$AI$73,SMALL(IF($AL$7:$AL$73&lt;&gt;"",IF($AI$7:$AI$73&lt;&gt;"",ROW($AI$7:$AI$73)-MIN(ROW($AI$7:$AI$73))+1,""),""),ROW()-ROW(A$75)+1)),"##0")," "),"")</f>
        <v>0</v>
      </c>
      <c r="AK111">
        <f t="array" ref="AK111">IFERROR(CONCATENATE((INDEX($A$7:$A$73,SMALL(IF($AL$7:$AL$73&lt;&gt;"",IF($AI$7:$AI$73&lt;&gt;"",ROW($AI$7:$AI$73)-MIN(ROW($AI$7:$AI$73))+1,""),""),ROW()-ROW(A$75)+1))),),"")</f>
        <v>0</v>
      </c>
    </row>
    <row r="112" spans="11:37">
      <c r="K112">
        <f t="array" ref="K112">IFERROR(CONCATENATE(TEXT(INDEX($K$7:$K$73,SMALL(IF($N$7:$N$73&lt;&gt;"",IF($K$7:$K$73&lt;&gt;"",ROW($K$7:$K$73)-MIN(ROW($K$7:$K$73))+1,""),""),ROW()-ROW(A$75)+1)),"##0"),","),"")</f>
        <v>0</v>
      </c>
      <c r="L112">
        <f t="array" ref="L112">IFERROR(CONCATENATE((INDEX($N$7:$N$73,SMALL(IF($N$7:$N$73&lt;&gt;"",IF($K$7:$K$73&lt;&gt;"",ROW($K$7:$K$73)-MIN(ROW($K$7:$K$73))+1,""),""),ROW()-ROW(A$75)+1))),","),"")</f>
        <v>0</v>
      </c>
      <c r="M112">
        <f t="array" ref="M112">IFERROR(CONCATENATE((INDEX($A$7:$A$73,SMALL(IF($N$7:$N$73&lt;&gt;"",IF($K$7:$K$73&lt;&gt;"",ROW($K$7:$K$73)-MIN(ROW($K$7:$K$73))+1,""),""),ROW()-ROW(A$75)+1))),),"")</f>
        <v>0</v>
      </c>
      <c r="Q112">
        <f t="array" ref="Q112">IFERROR(CONCATENATE((INDEX($T$7:$T$73,SMALL(IF($T$7:$T$73&lt;&gt;"",IF($Q$7:$Q$73&lt;&gt;"",ROW($Q$7:$Q$73)-MIN(ROW($Q$7:$Q$73))+1,""),""),ROW()-ROW(A$75)+1)))," "),"")</f>
        <v>0</v>
      </c>
      <c r="R112">
        <f t="array" ref="R112">IFERROR(CONCATENATE(TEXT(INDEX($Q$7:$Q$73,SMALL(IF($T$7:$T$73&lt;&gt;"",IF($Q$7:$Q$73&lt;&gt;"",ROW($Q$7:$Q$73)-MIN(ROW($Q$7:$Q$73))+1,""),""),ROW()-ROW(A$75)+1)),"##0")," "),"")</f>
        <v>0</v>
      </c>
      <c r="S112">
        <f t="array" ref="S112">IFERROR(CONCATENATE((INDEX($A$7:$A$73,SMALL(IF($T$7:$T$73&lt;&gt;"",IF($Q$7:$Q$73&lt;&gt;"",ROW($Q$7:$Q$73)-MIN(ROW($Q$7:$Q$73))+1,""),""),ROW()-ROW(A$75)+1))),),"")</f>
        <v>0</v>
      </c>
      <c r="W112">
        <f t="array" ref="W112">IFERROR(CONCATENATE((INDEX($Z$7:$Z$73,SMALL(IF($Z$7:$Z$73&lt;&gt;"",IF($W$7:$W$73&lt;&gt;"",ROW($W$7:$W$73)-MIN(ROW($W$7:$W$73))+1,""),""),ROW()-ROW(A$75)+1)))," "),"")</f>
        <v>0</v>
      </c>
      <c r="X112">
        <f t="array" ref="X112">IFERROR(CONCATENATE(TEXT(INDEX($W$7:$W$73,SMALL(IF($Z$7:$Z$73&lt;&gt;"",IF($W$7:$W$73&lt;&gt;"",ROW($W$7:$W$73)-MIN(ROW($W$7:$W$73))+1,""),""),ROW()-ROW(A$75)+1)),"##0")," "),"")</f>
        <v>0</v>
      </c>
      <c r="Y112">
        <f t="array" ref="Y112">IFERROR(CONCATENATE((INDEX($A$7:$A$73,SMALL(IF($Z$7:$Z$73&lt;&gt;"",IF($W$7:$W$73&lt;&gt;"",ROW($W$7:$W$73)-MIN(ROW($W$7:$W$73))+1,""),""),ROW()-ROW(A$75)+1))),),"")</f>
        <v>0</v>
      </c>
      <c r="AC112">
        <f t="array" ref="AC112">IFERROR(CONCATENATE((INDEX($AF$7:$AF$73,SMALL(IF($AF$7:$AF$73&lt;&gt;"",IF($AC$7:$AC$73&lt;&gt;"",ROW($AC$7:$AC$73)-MIN(ROW($AC$7:$AC$73))+1,""),""),ROW()-ROW(A$75)+1))),","),"")</f>
        <v>0</v>
      </c>
      <c r="AD112">
        <f t="array" ref="AD112">IFERROR(CONCATENATE(TEXT(INDEX($AC$7:$AC$73,SMALL(IF($AF$7:$AF$73&lt;&gt;"",IF($AC$7:$AC$73&lt;&gt;"",ROW($AC$7:$AC$73)-MIN(ROW($AC$7:$AC$73))+1,""),""),ROW()-ROW(A$75)+1)),"##0"),","),"")</f>
        <v>0</v>
      </c>
      <c r="AE112">
        <f t="array" ref="AE112">IFERROR(CONCATENATE((INDEX($A$7:$A$73,SMALL(IF($AF$7:$AF$73&lt;&gt;"",IF($AC$7:$AC$73&lt;&gt;"",ROW($AC$7:$AC$73)-MIN(ROW($AC$7:$AC$73))+1,""),""),ROW()-ROW(A$75)+1))),),"")</f>
        <v>0</v>
      </c>
      <c r="AI112">
        <f t="array" ref="AI112">IFERROR(CONCATENATE((INDEX($AL$7:$AL$73,SMALL(IF($AL$7:$AL$73&lt;&gt;"",IF($AI$7:$AI$73&lt;&gt;"",ROW($AI$7:$AI$73)-MIN(ROW($AI$7:$AI$73))+1,""),""),ROW()-ROW(A$75)+1)))," "),"")</f>
        <v>0</v>
      </c>
      <c r="AJ112">
        <f t="array" ref="AJ112">IFERROR(CONCATENATE(TEXT(INDEX($AI$7:$AI$73,SMALL(IF($AL$7:$AL$73&lt;&gt;"",IF($AI$7:$AI$73&lt;&gt;"",ROW($AI$7:$AI$73)-MIN(ROW($AI$7:$AI$73))+1,""),""),ROW()-ROW(A$75)+1)),"##0")," "),"")</f>
        <v>0</v>
      </c>
      <c r="AK112">
        <f t="array" ref="AK112">IFERROR(CONCATENATE((INDEX($A$7:$A$73,SMALL(IF($AL$7:$AL$73&lt;&gt;"",IF($AI$7:$AI$73&lt;&gt;"",ROW($AI$7:$AI$73)-MIN(ROW($AI$7:$AI$73))+1,""),""),ROW()-ROW(A$75)+1))),),"")</f>
        <v>0</v>
      </c>
    </row>
    <row r="113" spans="11:37">
      <c r="K113">
        <f t="array" ref="K113">IFERROR(CONCATENATE(TEXT(INDEX($K$7:$K$73,SMALL(IF($N$7:$N$73&lt;&gt;"",IF($K$7:$K$73&lt;&gt;"",ROW($K$7:$K$73)-MIN(ROW($K$7:$K$73))+1,""),""),ROW()-ROW(A$75)+1)),"##0"),","),"")</f>
        <v>0</v>
      </c>
      <c r="L113">
        <f t="array" ref="L113">IFERROR(CONCATENATE((INDEX($N$7:$N$73,SMALL(IF($N$7:$N$73&lt;&gt;"",IF($K$7:$K$73&lt;&gt;"",ROW($K$7:$K$73)-MIN(ROW($K$7:$K$73))+1,""),""),ROW()-ROW(A$75)+1))),","),"")</f>
        <v>0</v>
      </c>
      <c r="M113">
        <f t="array" ref="M113">IFERROR(CONCATENATE((INDEX($A$7:$A$73,SMALL(IF($N$7:$N$73&lt;&gt;"",IF($K$7:$K$73&lt;&gt;"",ROW($K$7:$K$73)-MIN(ROW($K$7:$K$73))+1,""),""),ROW()-ROW(A$75)+1))),),"")</f>
        <v>0</v>
      </c>
      <c r="Q113">
        <f t="array" ref="Q113">IFERROR(CONCATENATE((INDEX($T$7:$T$73,SMALL(IF($T$7:$T$73&lt;&gt;"",IF($Q$7:$Q$73&lt;&gt;"",ROW($Q$7:$Q$73)-MIN(ROW($Q$7:$Q$73))+1,""),""),ROW()-ROW(A$75)+1)))," "),"")</f>
        <v>0</v>
      </c>
      <c r="R113">
        <f t="array" ref="R113">IFERROR(CONCATENATE(TEXT(INDEX($Q$7:$Q$73,SMALL(IF($T$7:$T$73&lt;&gt;"",IF($Q$7:$Q$73&lt;&gt;"",ROW($Q$7:$Q$73)-MIN(ROW($Q$7:$Q$73))+1,""),""),ROW()-ROW(A$75)+1)),"##0")," "),"")</f>
        <v>0</v>
      </c>
      <c r="S113">
        <f t="array" ref="S113">IFERROR(CONCATENATE((INDEX($A$7:$A$73,SMALL(IF($T$7:$T$73&lt;&gt;"",IF($Q$7:$Q$73&lt;&gt;"",ROW($Q$7:$Q$73)-MIN(ROW($Q$7:$Q$73))+1,""),""),ROW()-ROW(A$75)+1))),),"")</f>
        <v>0</v>
      </c>
      <c r="W113">
        <f t="array" ref="W113">IFERROR(CONCATENATE((INDEX($Z$7:$Z$73,SMALL(IF($Z$7:$Z$73&lt;&gt;"",IF($W$7:$W$73&lt;&gt;"",ROW($W$7:$W$73)-MIN(ROW($W$7:$W$73))+1,""),""),ROW()-ROW(A$75)+1)))," "),"")</f>
        <v>0</v>
      </c>
      <c r="X113">
        <f t="array" ref="X113">IFERROR(CONCATENATE(TEXT(INDEX($W$7:$W$73,SMALL(IF($Z$7:$Z$73&lt;&gt;"",IF($W$7:$W$73&lt;&gt;"",ROW($W$7:$W$73)-MIN(ROW($W$7:$W$73))+1,""),""),ROW()-ROW(A$75)+1)),"##0")," "),"")</f>
        <v>0</v>
      </c>
      <c r="Y113">
        <f t="array" ref="Y113">IFERROR(CONCATENATE((INDEX($A$7:$A$73,SMALL(IF($Z$7:$Z$73&lt;&gt;"",IF($W$7:$W$73&lt;&gt;"",ROW($W$7:$W$73)-MIN(ROW($W$7:$W$73))+1,""),""),ROW()-ROW(A$75)+1))),),"")</f>
        <v>0</v>
      </c>
      <c r="AC113">
        <f t="array" ref="AC113">IFERROR(CONCATENATE((INDEX($AF$7:$AF$73,SMALL(IF($AF$7:$AF$73&lt;&gt;"",IF($AC$7:$AC$73&lt;&gt;"",ROW($AC$7:$AC$73)-MIN(ROW($AC$7:$AC$73))+1,""),""),ROW()-ROW(A$75)+1))),","),"")</f>
        <v>0</v>
      </c>
      <c r="AD113">
        <f t="array" ref="AD113">IFERROR(CONCATENATE(TEXT(INDEX($AC$7:$AC$73,SMALL(IF($AF$7:$AF$73&lt;&gt;"",IF($AC$7:$AC$73&lt;&gt;"",ROW($AC$7:$AC$73)-MIN(ROW($AC$7:$AC$73))+1,""),""),ROW()-ROW(A$75)+1)),"##0"),","),"")</f>
        <v>0</v>
      </c>
      <c r="AE113">
        <f t="array" ref="AE113">IFERROR(CONCATENATE((INDEX($A$7:$A$73,SMALL(IF($AF$7:$AF$73&lt;&gt;"",IF($AC$7:$AC$73&lt;&gt;"",ROW($AC$7:$AC$73)-MIN(ROW($AC$7:$AC$73))+1,""),""),ROW()-ROW(A$75)+1))),),"")</f>
        <v>0</v>
      </c>
      <c r="AI113">
        <f t="array" ref="AI113">IFERROR(CONCATENATE((INDEX($AL$7:$AL$73,SMALL(IF($AL$7:$AL$73&lt;&gt;"",IF($AI$7:$AI$73&lt;&gt;"",ROW($AI$7:$AI$73)-MIN(ROW($AI$7:$AI$73))+1,""),""),ROW()-ROW(A$75)+1)))," "),"")</f>
        <v>0</v>
      </c>
      <c r="AJ113">
        <f t="array" ref="AJ113">IFERROR(CONCATENATE(TEXT(INDEX($AI$7:$AI$73,SMALL(IF($AL$7:$AL$73&lt;&gt;"",IF($AI$7:$AI$73&lt;&gt;"",ROW($AI$7:$AI$73)-MIN(ROW($AI$7:$AI$73))+1,""),""),ROW()-ROW(A$75)+1)),"##0")," "),"")</f>
        <v>0</v>
      </c>
      <c r="AK113">
        <f t="array" ref="AK113">IFERROR(CONCATENATE((INDEX($A$7:$A$73,SMALL(IF($AL$7:$AL$73&lt;&gt;"",IF($AI$7:$AI$73&lt;&gt;"",ROW($AI$7:$AI$73)-MIN(ROW($AI$7:$AI$73))+1,""),""),ROW()-ROW(A$75)+1))),),"")</f>
        <v>0</v>
      </c>
    </row>
    <row r="114" spans="11:37">
      <c r="K114">
        <f t="array" ref="K114">IFERROR(CONCATENATE(TEXT(INDEX($K$7:$K$73,SMALL(IF($N$7:$N$73&lt;&gt;"",IF($K$7:$K$73&lt;&gt;"",ROW($K$7:$K$73)-MIN(ROW($K$7:$K$73))+1,""),""),ROW()-ROW(A$75)+1)),"##0"),","),"")</f>
        <v>0</v>
      </c>
      <c r="L114">
        <f t="array" ref="L114">IFERROR(CONCATENATE((INDEX($N$7:$N$73,SMALL(IF($N$7:$N$73&lt;&gt;"",IF($K$7:$K$73&lt;&gt;"",ROW($K$7:$K$73)-MIN(ROW($K$7:$K$73))+1,""),""),ROW()-ROW(A$75)+1))),","),"")</f>
        <v>0</v>
      </c>
      <c r="M114">
        <f t="array" ref="M114">IFERROR(CONCATENATE((INDEX($A$7:$A$73,SMALL(IF($N$7:$N$73&lt;&gt;"",IF($K$7:$K$73&lt;&gt;"",ROW($K$7:$K$73)-MIN(ROW($K$7:$K$73))+1,""),""),ROW()-ROW(A$75)+1))),),"")</f>
        <v>0</v>
      </c>
      <c r="Q114">
        <f t="array" ref="Q114">IFERROR(CONCATENATE((INDEX($T$7:$T$73,SMALL(IF($T$7:$T$73&lt;&gt;"",IF($Q$7:$Q$73&lt;&gt;"",ROW($Q$7:$Q$73)-MIN(ROW($Q$7:$Q$73))+1,""),""),ROW()-ROW(A$75)+1)))," "),"")</f>
        <v>0</v>
      </c>
      <c r="R114">
        <f t="array" ref="R114">IFERROR(CONCATENATE(TEXT(INDEX($Q$7:$Q$73,SMALL(IF($T$7:$T$73&lt;&gt;"",IF($Q$7:$Q$73&lt;&gt;"",ROW($Q$7:$Q$73)-MIN(ROW($Q$7:$Q$73))+1,""),""),ROW()-ROW(A$75)+1)),"##0")," "),"")</f>
        <v>0</v>
      </c>
      <c r="S114">
        <f t="array" ref="S114">IFERROR(CONCATENATE((INDEX($A$7:$A$73,SMALL(IF($T$7:$T$73&lt;&gt;"",IF($Q$7:$Q$73&lt;&gt;"",ROW($Q$7:$Q$73)-MIN(ROW($Q$7:$Q$73))+1,""),""),ROW()-ROW(A$75)+1))),),"")</f>
        <v>0</v>
      </c>
      <c r="W114">
        <f t="array" ref="W114">IFERROR(CONCATENATE((INDEX($Z$7:$Z$73,SMALL(IF($Z$7:$Z$73&lt;&gt;"",IF($W$7:$W$73&lt;&gt;"",ROW($W$7:$W$73)-MIN(ROW($W$7:$W$73))+1,""),""),ROW()-ROW(A$75)+1)))," "),"")</f>
        <v>0</v>
      </c>
      <c r="X114">
        <f t="array" ref="X114">IFERROR(CONCATENATE(TEXT(INDEX($W$7:$W$73,SMALL(IF($Z$7:$Z$73&lt;&gt;"",IF($W$7:$W$73&lt;&gt;"",ROW($W$7:$W$73)-MIN(ROW($W$7:$W$73))+1,""),""),ROW()-ROW(A$75)+1)),"##0")," "),"")</f>
        <v>0</v>
      </c>
      <c r="Y114">
        <f t="array" ref="Y114">IFERROR(CONCATENATE((INDEX($A$7:$A$73,SMALL(IF($Z$7:$Z$73&lt;&gt;"",IF($W$7:$W$73&lt;&gt;"",ROW($W$7:$W$73)-MIN(ROW($W$7:$W$73))+1,""),""),ROW()-ROW(A$75)+1))),),"")</f>
        <v>0</v>
      </c>
      <c r="AC114">
        <f t="array" ref="AC114">IFERROR(CONCATENATE((INDEX($AF$7:$AF$73,SMALL(IF($AF$7:$AF$73&lt;&gt;"",IF($AC$7:$AC$73&lt;&gt;"",ROW($AC$7:$AC$73)-MIN(ROW($AC$7:$AC$73))+1,""),""),ROW()-ROW(A$75)+1))),","),"")</f>
        <v>0</v>
      </c>
      <c r="AD114">
        <f t="array" ref="AD114">IFERROR(CONCATENATE(TEXT(INDEX($AC$7:$AC$73,SMALL(IF($AF$7:$AF$73&lt;&gt;"",IF($AC$7:$AC$73&lt;&gt;"",ROW($AC$7:$AC$73)-MIN(ROW($AC$7:$AC$73))+1,""),""),ROW()-ROW(A$75)+1)),"##0"),","),"")</f>
        <v>0</v>
      </c>
      <c r="AE114">
        <f t="array" ref="AE114">IFERROR(CONCATENATE((INDEX($A$7:$A$73,SMALL(IF($AF$7:$AF$73&lt;&gt;"",IF($AC$7:$AC$73&lt;&gt;"",ROW($AC$7:$AC$73)-MIN(ROW($AC$7:$AC$73))+1,""),""),ROW()-ROW(A$75)+1))),),"")</f>
        <v>0</v>
      </c>
      <c r="AI114">
        <f t="array" ref="AI114">IFERROR(CONCATENATE((INDEX($AL$7:$AL$73,SMALL(IF($AL$7:$AL$73&lt;&gt;"",IF($AI$7:$AI$73&lt;&gt;"",ROW($AI$7:$AI$73)-MIN(ROW($AI$7:$AI$73))+1,""),""),ROW()-ROW(A$75)+1)))," "),"")</f>
        <v>0</v>
      </c>
      <c r="AJ114">
        <f t="array" ref="AJ114">IFERROR(CONCATENATE(TEXT(INDEX($AI$7:$AI$73,SMALL(IF($AL$7:$AL$73&lt;&gt;"",IF($AI$7:$AI$73&lt;&gt;"",ROW($AI$7:$AI$73)-MIN(ROW($AI$7:$AI$73))+1,""),""),ROW()-ROW(A$75)+1)),"##0")," "),"")</f>
        <v>0</v>
      </c>
      <c r="AK114">
        <f t="array" ref="AK114">IFERROR(CONCATENATE((INDEX($A$7:$A$73,SMALL(IF($AL$7:$AL$73&lt;&gt;"",IF($AI$7:$AI$73&lt;&gt;"",ROW($AI$7:$AI$73)-MIN(ROW($AI$7:$AI$73))+1,""),""),ROW()-ROW(A$75)+1))),),"")</f>
        <v>0</v>
      </c>
    </row>
    <row r="115" spans="11:37">
      <c r="K115">
        <f t="array" ref="K115">IFERROR(CONCATENATE(TEXT(INDEX($K$7:$K$73,SMALL(IF($N$7:$N$73&lt;&gt;"",IF($K$7:$K$73&lt;&gt;"",ROW($K$7:$K$73)-MIN(ROW($K$7:$K$73))+1,""),""),ROW()-ROW(A$75)+1)),"##0"),","),"")</f>
        <v>0</v>
      </c>
      <c r="L115">
        <f t="array" ref="L115">IFERROR(CONCATENATE((INDEX($N$7:$N$73,SMALL(IF($N$7:$N$73&lt;&gt;"",IF($K$7:$K$73&lt;&gt;"",ROW($K$7:$K$73)-MIN(ROW($K$7:$K$73))+1,""),""),ROW()-ROW(A$75)+1))),","),"")</f>
        <v>0</v>
      </c>
      <c r="M115">
        <f t="array" ref="M115">IFERROR(CONCATENATE((INDEX($A$7:$A$73,SMALL(IF($N$7:$N$73&lt;&gt;"",IF($K$7:$K$73&lt;&gt;"",ROW($K$7:$K$73)-MIN(ROW($K$7:$K$73))+1,""),""),ROW()-ROW(A$75)+1))),),"")</f>
        <v>0</v>
      </c>
      <c r="Q115">
        <f t="array" ref="Q115">IFERROR(CONCATENATE((INDEX($T$7:$T$73,SMALL(IF($T$7:$T$73&lt;&gt;"",IF($Q$7:$Q$73&lt;&gt;"",ROW($Q$7:$Q$73)-MIN(ROW($Q$7:$Q$73))+1,""),""),ROW()-ROW(A$75)+1)))," "),"")</f>
        <v>0</v>
      </c>
      <c r="R115">
        <f t="array" ref="R115">IFERROR(CONCATENATE(TEXT(INDEX($Q$7:$Q$73,SMALL(IF($T$7:$T$73&lt;&gt;"",IF($Q$7:$Q$73&lt;&gt;"",ROW($Q$7:$Q$73)-MIN(ROW($Q$7:$Q$73))+1,""),""),ROW()-ROW(A$75)+1)),"##0")," "),"")</f>
        <v>0</v>
      </c>
      <c r="S115">
        <f t="array" ref="S115">IFERROR(CONCATENATE((INDEX($A$7:$A$73,SMALL(IF($T$7:$T$73&lt;&gt;"",IF($Q$7:$Q$73&lt;&gt;"",ROW($Q$7:$Q$73)-MIN(ROW($Q$7:$Q$73))+1,""),""),ROW()-ROW(A$75)+1))),),"")</f>
        <v>0</v>
      </c>
      <c r="W115">
        <f t="array" ref="W115">IFERROR(CONCATENATE((INDEX($Z$7:$Z$73,SMALL(IF($Z$7:$Z$73&lt;&gt;"",IF($W$7:$W$73&lt;&gt;"",ROW($W$7:$W$73)-MIN(ROW($W$7:$W$73))+1,""),""),ROW()-ROW(A$75)+1)))," "),"")</f>
        <v>0</v>
      </c>
      <c r="X115">
        <f t="array" ref="X115">IFERROR(CONCATENATE(TEXT(INDEX($W$7:$W$73,SMALL(IF($Z$7:$Z$73&lt;&gt;"",IF($W$7:$W$73&lt;&gt;"",ROW($W$7:$W$73)-MIN(ROW($W$7:$W$73))+1,""),""),ROW()-ROW(A$75)+1)),"##0")," "),"")</f>
        <v>0</v>
      </c>
      <c r="Y115">
        <f t="array" ref="Y115">IFERROR(CONCATENATE((INDEX($A$7:$A$73,SMALL(IF($Z$7:$Z$73&lt;&gt;"",IF($W$7:$W$73&lt;&gt;"",ROW($W$7:$W$73)-MIN(ROW($W$7:$W$73))+1,""),""),ROW()-ROW(A$75)+1))),),"")</f>
        <v>0</v>
      </c>
      <c r="AC115">
        <f t="array" ref="AC115">IFERROR(CONCATENATE((INDEX($AF$7:$AF$73,SMALL(IF($AF$7:$AF$73&lt;&gt;"",IF($AC$7:$AC$73&lt;&gt;"",ROW($AC$7:$AC$73)-MIN(ROW($AC$7:$AC$73))+1,""),""),ROW()-ROW(A$75)+1))),","),"")</f>
        <v>0</v>
      </c>
      <c r="AD115">
        <f t="array" ref="AD115">IFERROR(CONCATENATE(TEXT(INDEX($AC$7:$AC$73,SMALL(IF($AF$7:$AF$73&lt;&gt;"",IF($AC$7:$AC$73&lt;&gt;"",ROW($AC$7:$AC$73)-MIN(ROW($AC$7:$AC$73))+1,""),""),ROW()-ROW(A$75)+1)),"##0"),","),"")</f>
        <v>0</v>
      </c>
      <c r="AE115">
        <f t="array" ref="AE115">IFERROR(CONCATENATE((INDEX($A$7:$A$73,SMALL(IF($AF$7:$AF$73&lt;&gt;"",IF($AC$7:$AC$73&lt;&gt;"",ROW($AC$7:$AC$73)-MIN(ROW($AC$7:$AC$73))+1,""),""),ROW()-ROW(A$75)+1))),),"")</f>
        <v>0</v>
      </c>
      <c r="AI115">
        <f t="array" ref="AI115">IFERROR(CONCATENATE((INDEX($AL$7:$AL$73,SMALL(IF($AL$7:$AL$73&lt;&gt;"",IF($AI$7:$AI$73&lt;&gt;"",ROW($AI$7:$AI$73)-MIN(ROW($AI$7:$AI$73))+1,""),""),ROW()-ROW(A$75)+1)))," "),"")</f>
        <v>0</v>
      </c>
      <c r="AJ115">
        <f t="array" ref="AJ115">IFERROR(CONCATENATE(TEXT(INDEX($AI$7:$AI$73,SMALL(IF($AL$7:$AL$73&lt;&gt;"",IF($AI$7:$AI$73&lt;&gt;"",ROW($AI$7:$AI$73)-MIN(ROW($AI$7:$AI$73))+1,""),""),ROW()-ROW(A$75)+1)),"##0")," "),"")</f>
        <v>0</v>
      </c>
      <c r="AK115">
        <f t="array" ref="AK115">IFERROR(CONCATENATE((INDEX($A$7:$A$73,SMALL(IF($AL$7:$AL$73&lt;&gt;"",IF($AI$7:$AI$73&lt;&gt;"",ROW($AI$7:$AI$73)-MIN(ROW($AI$7:$AI$73))+1,""),""),ROW()-ROW(A$75)+1))),),"")</f>
        <v>0</v>
      </c>
    </row>
    <row r="116" spans="11:37">
      <c r="K116">
        <f t="array" ref="K116">IFERROR(CONCATENATE(TEXT(INDEX($K$7:$K$73,SMALL(IF($N$7:$N$73&lt;&gt;"",IF($K$7:$K$73&lt;&gt;"",ROW($K$7:$K$73)-MIN(ROW($K$7:$K$73))+1,""),""),ROW()-ROW(A$75)+1)),"##0"),","),"")</f>
        <v>0</v>
      </c>
      <c r="L116">
        <f t="array" ref="L116">IFERROR(CONCATENATE((INDEX($N$7:$N$73,SMALL(IF($N$7:$N$73&lt;&gt;"",IF($K$7:$K$73&lt;&gt;"",ROW($K$7:$K$73)-MIN(ROW($K$7:$K$73))+1,""),""),ROW()-ROW(A$75)+1))),","),"")</f>
        <v>0</v>
      </c>
      <c r="M116">
        <f t="array" ref="M116">IFERROR(CONCATENATE((INDEX($A$7:$A$73,SMALL(IF($N$7:$N$73&lt;&gt;"",IF($K$7:$K$73&lt;&gt;"",ROW($K$7:$K$73)-MIN(ROW($K$7:$K$73))+1,""),""),ROW()-ROW(A$75)+1))),),"")</f>
        <v>0</v>
      </c>
      <c r="Q116">
        <f t="array" ref="Q116">IFERROR(CONCATENATE((INDEX($T$7:$T$73,SMALL(IF($T$7:$T$73&lt;&gt;"",IF($Q$7:$Q$73&lt;&gt;"",ROW($Q$7:$Q$73)-MIN(ROW($Q$7:$Q$73))+1,""),""),ROW()-ROW(A$75)+1)))," "),"")</f>
        <v>0</v>
      </c>
      <c r="R116">
        <f t="array" ref="R116">IFERROR(CONCATENATE(TEXT(INDEX($Q$7:$Q$73,SMALL(IF($T$7:$T$73&lt;&gt;"",IF($Q$7:$Q$73&lt;&gt;"",ROW($Q$7:$Q$73)-MIN(ROW($Q$7:$Q$73))+1,""),""),ROW()-ROW(A$75)+1)),"##0")," "),"")</f>
        <v>0</v>
      </c>
      <c r="S116">
        <f t="array" ref="S116">IFERROR(CONCATENATE((INDEX($A$7:$A$73,SMALL(IF($T$7:$T$73&lt;&gt;"",IF($Q$7:$Q$73&lt;&gt;"",ROW($Q$7:$Q$73)-MIN(ROW($Q$7:$Q$73))+1,""),""),ROW()-ROW(A$75)+1))),),"")</f>
        <v>0</v>
      </c>
      <c r="W116">
        <f t="array" ref="W116">IFERROR(CONCATENATE((INDEX($Z$7:$Z$73,SMALL(IF($Z$7:$Z$73&lt;&gt;"",IF($W$7:$W$73&lt;&gt;"",ROW($W$7:$W$73)-MIN(ROW($W$7:$W$73))+1,""),""),ROW()-ROW(A$75)+1)))," "),"")</f>
        <v>0</v>
      </c>
      <c r="X116">
        <f t="array" ref="X116">IFERROR(CONCATENATE(TEXT(INDEX($W$7:$W$73,SMALL(IF($Z$7:$Z$73&lt;&gt;"",IF($W$7:$W$73&lt;&gt;"",ROW($W$7:$W$73)-MIN(ROW($W$7:$W$73))+1,""),""),ROW()-ROW(A$75)+1)),"##0")," "),"")</f>
        <v>0</v>
      </c>
      <c r="Y116">
        <f t="array" ref="Y116">IFERROR(CONCATENATE((INDEX($A$7:$A$73,SMALL(IF($Z$7:$Z$73&lt;&gt;"",IF($W$7:$W$73&lt;&gt;"",ROW($W$7:$W$73)-MIN(ROW($W$7:$W$73))+1,""),""),ROW()-ROW(A$75)+1))),),"")</f>
        <v>0</v>
      </c>
      <c r="AC116">
        <f t="array" ref="AC116">IFERROR(CONCATENATE((INDEX($AF$7:$AF$73,SMALL(IF($AF$7:$AF$73&lt;&gt;"",IF($AC$7:$AC$73&lt;&gt;"",ROW($AC$7:$AC$73)-MIN(ROW($AC$7:$AC$73))+1,""),""),ROW()-ROW(A$75)+1))),","),"")</f>
        <v>0</v>
      </c>
      <c r="AD116">
        <f t="array" ref="AD116">IFERROR(CONCATENATE(TEXT(INDEX($AC$7:$AC$73,SMALL(IF($AF$7:$AF$73&lt;&gt;"",IF($AC$7:$AC$73&lt;&gt;"",ROW($AC$7:$AC$73)-MIN(ROW($AC$7:$AC$73))+1,""),""),ROW()-ROW(A$75)+1)),"##0"),","),"")</f>
        <v>0</v>
      </c>
      <c r="AE116">
        <f t="array" ref="AE116">IFERROR(CONCATENATE((INDEX($A$7:$A$73,SMALL(IF($AF$7:$AF$73&lt;&gt;"",IF($AC$7:$AC$73&lt;&gt;"",ROW($AC$7:$AC$73)-MIN(ROW($AC$7:$AC$73))+1,""),""),ROW()-ROW(A$75)+1))),),"")</f>
        <v>0</v>
      </c>
      <c r="AI116">
        <f t="array" ref="AI116">IFERROR(CONCATENATE((INDEX($AL$7:$AL$73,SMALL(IF($AL$7:$AL$73&lt;&gt;"",IF($AI$7:$AI$73&lt;&gt;"",ROW($AI$7:$AI$73)-MIN(ROW($AI$7:$AI$73))+1,""),""),ROW()-ROW(A$75)+1)))," "),"")</f>
        <v>0</v>
      </c>
      <c r="AJ116">
        <f t="array" ref="AJ116">IFERROR(CONCATENATE(TEXT(INDEX($AI$7:$AI$73,SMALL(IF($AL$7:$AL$73&lt;&gt;"",IF($AI$7:$AI$73&lt;&gt;"",ROW($AI$7:$AI$73)-MIN(ROW($AI$7:$AI$73))+1,""),""),ROW()-ROW(A$75)+1)),"##0")," "),"")</f>
        <v>0</v>
      </c>
      <c r="AK116">
        <f t="array" ref="AK116">IFERROR(CONCATENATE((INDEX($A$7:$A$73,SMALL(IF($AL$7:$AL$73&lt;&gt;"",IF($AI$7:$AI$73&lt;&gt;"",ROW($AI$7:$AI$73)-MIN(ROW($AI$7:$AI$73))+1,""),""),ROW()-ROW(A$75)+1))),),"")</f>
        <v>0</v>
      </c>
    </row>
    <row r="117" spans="11:37">
      <c r="K117">
        <f t="array" ref="K117">IFERROR(CONCATENATE(TEXT(INDEX($K$7:$K$73,SMALL(IF($N$7:$N$73&lt;&gt;"",IF($K$7:$K$73&lt;&gt;"",ROW($K$7:$K$73)-MIN(ROW($K$7:$K$73))+1,""),""),ROW()-ROW(A$75)+1)),"##0"),","),"")</f>
        <v>0</v>
      </c>
      <c r="L117">
        <f t="array" ref="L117">IFERROR(CONCATENATE((INDEX($N$7:$N$73,SMALL(IF($N$7:$N$73&lt;&gt;"",IF($K$7:$K$73&lt;&gt;"",ROW($K$7:$K$73)-MIN(ROW($K$7:$K$73))+1,""),""),ROW()-ROW(A$75)+1))),","),"")</f>
        <v>0</v>
      </c>
      <c r="M117">
        <f t="array" ref="M117">IFERROR(CONCATENATE((INDEX($A$7:$A$73,SMALL(IF($N$7:$N$73&lt;&gt;"",IF($K$7:$K$73&lt;&gt;"",ROW($K$7:$K$73)-MIN(ROW($K$7:$K$73))+1,""),""),ROW()-ROW(A$75)+1))),),"")</f>
        <v>0</v>
      </c>
      <c r="Q117">
        <f t="array" ref="Q117">IFERROR(CONCATENATE((INDEX($T$7:$T$73,SMALL(IF($T$7:$T$73&lt;&gt;"",IF($Q$7:$Q$73&lt;&gt;"",ROW($Q$7:$Q$73)-MIN(ROW($Q$7:$Q$73))+1,""),""),ROW()-ROW(A$75)+1)))," "),"")</f>
        <v>0</v>
      </c>
      <c r="R117">
        <f t="array" ref="R117">IFERROR(CONCATENATE(TEXT(INDEX($Q$7:$Q$73,SMALL(IF($T$7:$T$73&lt;&gt;"",IF($Q$7:$Q$73&lt;&gt;"",ROW($Q$7:$Q$73)-MIN(ROW($Q$7:$Q$73))+1,""),""),ROW()-ROW(A$75)+1)),"##0")," "),"")</f>
        <v>0</v>
      </c>
      <c r="S117">
        <f t="array" ref="S117">IFERROR(CONCATENATE((INDEX($A$7:$A$73,SMALL(IF($T$7:$T$73&lt;&gt;"",IF($Q$7:$Q$73&lt;&gt;"",ROW($Q$7:$Q$73)-MIN(ROW($Q$7:$Q$73))+1,""),""),ROW()-ROW(A$75)+1))),),"")</f>
        <v>0</v>
      </c>
      <c r="W117">
        <f t="array" ref="W117">IFERROR(CONCATENATE((INDEX($Z$7:$Z$73,SMALL(IF($Z$7:$Z$73&lt;&gt;"",IF($W$7:$W$73&lt;&gt;"",ROW($W$7:$W$73)-MIN(ROW($W$7:$W$73))+1,""),""),ROW()-ROW(A$75)+1)))," "),"")</f>
        <v>0</v>
      </c>
      <c r="X117">
        <f t="array" ref="X117">IFERROR(CONCATENATE(TEXT(INDEX($W$7:$W$73,SMALL(IF($Z$7:$Z$73&lt;&gt;"",IF($W$7:$W$73&lt;&gt;"",ROW($W$7:$W$73)-MIN(ROW($W$7:$W$73))+1,""),""),ROW()-ROW(A$75)+1)),"##0")," "),"")</f>
        <v>0</v>
      </c>
      <c r="Y117">
        <f t="array" ref="Y117">IFERROR(CONCATENATE((INDEX($A$7:$A$73,SMALL(IF($Z$7:$Z$73&lt;&gt;"",IF($W$7:$W$73&lt;&gt;"",ROW($W$7:$W$73)-MIN(ROW($W$7:$W$73))+1,""),""),ROW()-ROW(A$75)+1))),),"")</f>
        <v>0</v>
      </c>
      <c r="AC117">
        <f t="array" ref="AC117">IFERROR(CONCATENATE((INDEX($AF$7:$AF$73,SMALL(IF($AF$7:$AF$73&lt;&gt;"",IF($AC$7:$AC$73&lt;&gt;"",ROW($AC$7:$AC$73)-MIN(ROW($AC$7:$AC$73))+1,""),""),ROW()-ROW(A$75)+1))),","),"")</f>
        <v>0</v>
      </c>
      <c r="AD117">
        <f t="array" ref="AD117">IFERROR(CONCATENATE(TEXT(INDEX($AC$7:$AC$73,SMALL(IF($AF$7:$AF$73&lt;&gt;"",IF($AC$7:$AC$73&lt;&gt;"",ROW($AC$7:$AC$73)-MIN(ROW($AC$7:$AC$73))+1,""),""),ROW()-ROW(A$75)+1)),"##0"),","),"")</f>
        <v>0</v>
      </c>
      <c r="AE117">
        <f t="array" ref="AE117">IFERROR(CONCATENATE((INDEX($A$7:$A$73,SMALL(IF($AF$7:$AF$73&lt;&gt;"",IF($AC$7:$AC$73&lt;&gt;"",ROW($AC$7:$AC$73)-MIN(ROW($AC$7:$AC$73))+1,""),""),ROW()-ROW(A$75)+1))),),"")</f>
        <v>0</v>
      </c>
      <c r="AI117">
        <f t="array" ref="AI117">IFERROR(CONCATENATE((INDEX($AL$7:$AL$73,SMALL(IF($AL$7:$AL$73&lt;&gt;"",IF($AI$7:$AI$73&lt;&gt;"",ROW($AI$7:$AI$73)-MIN(ROW($AI$7:$AI$73))+1,""),""),ROW()-ROW(A$75)+1)))," "),"")</f>
        <v>0</v>
      </c>
      <c r="AJ117">
        <f t="array" ref="AJ117">IFERROR(CONCATENATE(TEXT(INDEX($AI$7:$AI$73,SMALL(IF($AL$7:$AL$73&lt;&gt;"",IF($AI$7:$AI$73&lt;&gt;"",ROW($AI$7:$AI$73)-MIN(ROW($AI$7:$AI$73))+1,""),""),ROW()-ROW(A$75)+1)),"##0")," "),"")</f>
        <v>0</v>
      </c>
      <c r="AK117">
        <f t="array" ref="AK117">IFERROR(CONCATENATE((INDEX($A$7:$A$73,SMALL(IF($AL$7:$AL$73&lt;&gt;"",IF($AI$7:$AI$73&lt;&gt;"",ROW($AI$7:$AI$73)-MIN(ROW($AI$7:$AI$73))+1,""),""),ROW()-ROW(A$75)+1))),),"")</f>
        <v>0</v>
      </c>
    </row>
    <row r="118" spans="11:37">
      <c r="K118">
        <f t="array" ref="K118">IFERROR(CONCATENATE(TEXT(INDEX($K$7:$K$73,SMALL(IF($N$7:$N$73&lt;&gt;"",IF($K$7:$K$73&lt;&gt;"",ROW($K$7:$K$73)-MIN(ROW($K$7:$K$73))+1,""),""),ROW()-ROW(A$75)+1)),"##0"),","),"")</f>
        <v>0</v>
      </c>
      <c r="L118">
        <f t="array" ref="L118">IFERROR(CONCATENATE((INDEX($N$7:$N$73,SMALL(IF($N$7:$N$73&lt;&gt;"",IF($K$7:$K$73&lt;&gt;"",ROW($K$7:$K$73)-MIN(ROW($K$7:$K$73))+1,""),""),ROW()-ROW(A$75)+1))),","),"")</f>
        <v>0</v>
      </c>
      <c r="M118">
        <f t="array" ref="M118">IFERROR(CONCATENATE((INDEX($A$7:$A$73,SMALL(IF($N$7:$N$73&lt;&gt;"",IF($K$7:$K$73&lt;&gt;"",ROW($K$7:$K$73)-MIN(ROW($K$7:$K$73))+1,""),""),ROW()-ROW(A$75)+1))),),"")</f>
        <v>0</v>
      </c>
      <c r="Q118">
        <f t="array" ref="Q118">IFERROR(CONCATENATE((INDEX($T$7:$T$73,SMALL(IF($T$7:$T$73&lt;&gt;"",IF($Q$7:$Q$73&lt;&gt;"",ROW($Q$7:$Q$73)-MIN(ROW($Q$7:$Q$73))+1,""),""),ROW()-ROW(A$75)+1)))," "),"")</f>
        <v>0</v>
      </c>
      <c r="R118">
        <f t="array" ref="R118">IFERROR(CONCATENATE(TEXT(INDEX($Q$7:$Q$73,SMALL(IF($T$7:$T$73&lt;&gt;"",IF($Q$7:$Q$73&lt;&gt;"",ROW($Q$7:$Q$73)-MIN(ROW($Q$7:$Q$73))+1,""),""),ROW()-ROW(A$75)+1)),"##0")," "),"")</f>
        <v>0</v>
      </c>
      <c r="S118">
        <f t="array" ref="S118">IFERROR(CONCATENATE((INDEX($A$7:$A$73,SMALL(IF($T$7:$T$73&lt;&gt;"",IF($Q$7:$Q$73&lt;&gt;"",ROW($Q$7:$Q$73)-MIN(ROW($Q$7:$Q$73))+1,""),""),ROW()-ROW(A$75)+1))),),"")</f>
        <v>0</v>
      </c>
      <c r="W118">
        <f t="array" ref="W118">IFERROR(CONCATENATE((INDEX($Z$7:$Z$73,SMALL(IF($Z$7:$Z$73&lt;&gt;"",IF($W$7:$W$73&lt;&gt;"",ROW($W$7:$W$73)-MIN(ROW($W$7:$W$73))+1,""),""),ROW()-ROW(A$75)+1)))," "),"")</f>
        <v>0</v>
      </c>
      <c r="X118">
        <f t="array" ref="X118">IFERROR(CONCATENATE(TEXT(INDEX($W$7:$W$73,SMALL(IF($Z$7:$Z$73&lt;&gt;"",IF($W$7:$W$73&lt;&gt;"",ROW($W$7:$W$73)-MIN(ROW($W$7:$W$73))+1,""),""),ROW()-ROW(A$75)+1)),"##0")," "),"")</f>
        <v>0</v>
      </c>
      <c r="Y118">
        <f t="array" ref="Y118">IFERROR(CONCATENATE((INDEX($A$7:$A$73,SMALL(IF($Z$7:$Z$73&lt;&gt;"",IF($W$7:$W$73&lt;&gt;"",ROW($W$7:$W$73)-MIN(ROW($W$7:$W$73))+1,""),""),ROW()-ROW(A$75)+1))),),"")</f>
        <v>0</v>
      </c>
      <c r="AC118">
        <f t="array" ref="AC118">IFERROR(CONCATENATE((INDEX($AF$7:$AF$73,SMALL(IF($AF$7:$AF$73&lt;&gt;"",IF($AC$7:$AC$73&lt;&gt;"",ROW($AC$7:$AC$73)-MIN(ROW($AC$7:$AC$73))+1,""),""),ROW()-ROW(A$75)+1))),","),"")</f>
        <v>0</v>
      </c>
      <c r="AD118">
        <f t="array" ref="AD118">IFERROR(CONCATENATE(TEXT(INDEX($AC$7:$AC$73,SMALL(IF($AF$7:$AF$73&lt;&gt;"",IF($AC$7:$AC$73&lt;&gt;"",ROW($AC$7:$AC$73)-MIN(ROW($AC$7:$AC$73))+1,""),""),ROW()-ROW(A$75)+1)),"##0"),","),"")</f>
        <v>0</v>
      </c>
      <c r="AE118">
        <f t="array" ref="AE118">IFERROR(CONCATENATE((INDEX($A$7:$A$73,SMALL(IF($AF$7:$AF$73&lt;&gt;"",IF($AC$7:$AC$73&lt;&gt;"",ROW($AC$7:$AC$73)-MIN(ROW($AC$7:$AC$73))+1,""),""),ROW()-ROW(A$75)+1))),),"")</f>
        <v>0</v>
      </c>
      <c r="AI118">
        <f t="array" ref="AI118">IFERROR(CONCATENATE((INDEX($AL$7:$AL$73,SMALL(IF($AL$7:$AL$73&lt;&gt;"",IF($AI$7:$AI$73&lt;&gt;"",ROW($AI$7:$AI$73)-MIN(ROW($AI$7:$AI$73))+1,""),""),ROW()-ROW(A$75)+1)))," "),"")</f>
        <v>0</v>
      </c>
      <c r="AJ118">
        <f t="array" ref="AJ118">IFERROR(CONCATENATE(TEXT(INDEX($AI$7:$AI$73,SMALL(IF($AL$7:$AL$73&lt;&gt;"",IF($AI$7:$AI$73&lt;&gt;"",ROW($AI$7:$AI$73)-MIN(ROW($AI$7:$AI$73))+1,""),""),ROW()-ROW(A$75)+1)),"##0")," "),"")</f>
        <v>0</v>
      </c>
      <c r="AK118">
        <f t="array" ref="AK118">IFERROR(CONCATENATE((INDEX($A$7:$A$73,SMALL(IF($AL$7:$AL$73&lt;&gt;"",IF($AI$7:$AI$73&lt;&gt;"",ROW($AI$7:$AI$73)-MIN(ROW($AI$7:$AI$73))+1,""),""),ROW()-ROW(A$75)+1))),),"")</f>
        <v>0</v>
      </c>
    </row>
    <row r="119" spans="11:37">
      <c r="K119">
        <f t="array" ref="K119">IFERROR(CONCATENATE(TEXT(INDEX($K$7:$K$73,SMALL(IF($N$7:$N$73&lt;&gt;"",IF($K$7:$K$73&lt;&gt;"",ROW($K$7:$K$73)-MIN(ROW($K$7:$K$73))+1,""),""),ROW()-ROW(A$75)+1)),"##0"),","),"")</f>
        <v>0</v>
      </c>
      <c r="L119">
        <f t="array" ref="L119">IFERROR(CONCATENATE((INDEX($N$7:$N$73,SMALL(IF($N$7:$N$73&lt;&gt;"",IF($K$7:$K$73&lt;&gt;"",ROW($K$7:$K$73)-MIN(ROW($K$7:$K$73))+1,""),""),ROW()-ROW(A$75)+1))),","),"")</f>
        <v>0</v>
      </c>
      <c r="M119">
        <f t="array" ref="M119">IFERROR(CONCATENATE((INDEX($A$7:$A$73,SMALL(IF($N$7:$N$73&lt;&gt;"",IF($K$7:$K$73&lt;&gt;"",ROW($K$7:$K$73)-MIN(ROW($K$7:$K$73))+1,""),""),ROW()-ROW(A$75)+1))),),"")</f>
        <v>0</v>
      </c>
      <c r="Q119">
        <f t="array" ref="Q119">IFERROR(CONCATENATE((INDEX($T$7:$T$73,SMALL(IF($T$7:$T$73&lt;&gt;"",IF($Q$7:$Q$73&lt;&gt;"",ROW($Q$7:$Q$73)-MIN(ROW($Q$7:$Q$73))+1,""),""),ROW()-ROW(A$75)+1)))," "),"")</f>
        <v>0</v>
      </c>
      <c r="R119">
        <f t="array" ref="R119">IFERROR(CONCATENATE(TEXT(INDEX($Q$7:$Q$73,SMALL(IF($T$7:$T$73&lt;&gt;"",IF($Q$7:$Q$73&lt;&gt;"",ROW($Q$7:$Q$73)-MIN(ROW($Q$7:$Q$73))+1,""),""),ROW()-ROW(A$75)+1)),"##0")," "),"")</f>
        <v>0</v>
      </c>
      <c r="S119">
        <f t="array" ref="S119">IFERROR(CONCATENATE((INDEX($A$7:$A$73,SMALL(IF($T$7:$T$73&lt;&gt;"",IF($Q$7:$Q$73&lt;&gt;"",ROW($Q$7:$Q$73)-MIN(ROW($Q$7:$Q$73))+1,""),""),ROW()-ROW(A$75)+1))),),"")</f>
        <v>0</v>
      </c>
      <c r="W119">
        <f t="array" ref="W119">IFERROR(CONCATENATE((INDEX($Z$7:$Z$73,SMALL(IF($Z$7:$Z$73&lt;&gt;"",IF($W$7:$W$73&lt;&gt;"",ROW($W$7:$W$73)-MIN(ROW($W$7:$W$73))+1,""),""),ROW()-ROW(A$75)+1)))," "),"")</f>
        <v>0</v>
      </c>
      <c r="X119">
        <f t="array" ref="X119">IFERROR(CONCATENATE(TEXT(INDEX($W$7:$W$73,SMALL(IF($Z$7:$Z$73&lt;&gt;"",IF($W$7:$W$73&lt;&gt;"",ROW($W$7:$W$73)-MIN(ROW($W$7:$W$73))+1,""),""),ROW()-ROW(A$75)+1)),"##0")," "),"")</f>
        <v>0</v>
      </c>
      <c r="Y119">
        <f t="array" ref="Y119">IFERROR(CONCATENATE((INDEX($A$7:$A$73,SMALL(IF($Z$7:$Z$73&lt;&gt;"",IF($W$7:$W$73&lt;&gt;"",ROW($W$7:$W$73)-MIN(ROW($W$7:$W$73))+1,""),""),ROW()-ROW(A$75)+1))),),"")</f>
        <v>0</v>
      </c>
      <c r="AC119">
        <f t="array" ref="AC119">IFERROR(CONCATENATE((INDEX($AF$7:$AF$73,SMALL(IF($AF$7:$AF$73&lt;&gt;"",IF($AC$7:$AC$73&lt;&gt;"",ROW($AC$7:$AC$73)-MIN(ROW($AC$7:$AC$73))+1,""),""),ROW()-ROW(A$75)+1))),","),"")</f>
        <v>0</v>
      </c>
      <c r="AD119">
        <f t="array" ref="AD119">IFERROR(CONCATENATE(TEXT(INDEX($AC$7:$AC$73,SMALL(IF($AF$7:$AF$73&lt;&gt;"",IF($AC$7:$AC$73&lt;&gt;"",ROW($AC$7:$AC$73)-MIN(ROW($AC$7:$AC$73))+1,""),""),ROW()-ROW(A$75)+1)),"##0"),","),"")</f>
        <v>0</v>
      </c>
      <c r="AE119">
        <f t="array" ref="AE119">IFERROR(CONCATENATE((INDEX($A$7:$A$73,SMALL(IF($AF$7:$AF$73&lt;&gt;"",IF($AC$7:$AC$73&lt;&gt;"",ROW($AC$7:$AC$73)-MIN(ROW($AC$7:$AC$73))+1,""),""),ROW()-ROW(A$75)+1))),),"")</f>
        <v>0</v>
      </c>
      <c r="AI119">
        <f t="array" ref="AI119">IFERROR(CONCATENATE((INDEX($AL$7:$AL$73,SMALL(IF($AL$7:$AL$73&lt;&gt;"",IF($AI$7:$AI$73&lt;&gt;"",ROW($AI$7:$AI$73)-MIN(ROW($AI$7:$AI$73))+1,""),""),ROW()-ROW(A$75)+1)))," "),"")</f>
        <v>0</v>
      </c>
      <c r="AJ119">
        <f t="array" ref="AJ119">IFERROR(CONCATENATE(TEXT(INDEX($AI$7:$AI$73,SMALL(IF($AL$7:$AL$73&lt;&gt;"",IF($AI$7:$AI$73&lt;&gt;"",ROW($AI$7:$AI$73)-MIN(ROW($AI$7:$AI$73))+1,""),""),ROW()-ROW(A$75)+1)),"##0")," "),"")</f>
        <v>0</v>
      </c>
      <c r="AK119">
        <f t="array" ref="AK119">IFERROR(CONCATENATE((INDEX($A$7:$A$73,SMALL(IF($AL$7:$AL$73&lt;&gt;"",IF($AI$7:$AI$73&lt;&gt;"",ROW($AI$7:$AI$73)-MIN(ROW($AI$7:$AI$73))+1,""),""),ROW()-ROW(A$75)+1))),),"")</f>
        <v>0</v>
      </c>
    </row>
    <row r="120" spans="11:37">
      <c r="K120">
        <f t="array" ref="K120">IFERROR(CONCATENATE(TEXT(INDEX($K$7:$K$73,SMALL(IF($N$7:$N$73&lt;&gt;"",IF($K$7:$K$73&lt;&gt;"",ROW($K$7:$K$73)-MIN(ROW($K$7:$K$73))+1,""),""),ROW()-ROW(A$75)+1)),"##0"),","),"")</f>
        <v>0</v>
      </c>
      <c r="L120">
        <f t="array" ref="L120">IFERROR(CONCATENATE((INDEX($N$7:$N$73,SMALL(IF($N$7:$N$73&lt;&gt;"",IF($K$7:$K$73&lt;&gt;"",ROW($K$7:$K$73)-MIN(ROW($K$7:$K$73))+1,""),""),ROW()-ROW(A$75)+1))),","),"")</f>
        <v>0</v>
      </c>
      <c r="M120">
        <f t="array" ref="M120">IFERROR(CONCATENATE((INDEX($A$7:$A$73,SMALL(IF($N$7:$N$73&lt;&gt;"",IF($K$7:$K$73&lt;&gt;"",ROW($K$7:$K$73)-MIN(ROW($K$7:$K$73))+1,""),""),ROW()-ROW(A$75)+1))),),"")</f>
        <v>0</v>
      </c>
      <c r="Q120">
        <f t="array" ref="Q120">IFERROR(CONCATENATE((INDEX($T$7:$T$73,SMALL(IF($T$7:$T$73&lt;&gt;"",IF($Q$7:$Q$73&lt;&gt;"",ROW($Q$7:$Q$73)-MIN(ROW($Q$7:$Q$73))+1,""),""),ROW()-ROW(A$75)+1)))," "),"")</f>
        <v>0</v>
      </c>
      <c r="R120">
        <f t="array" ref="R120">IFERROR(CONCATENATE(TEXT(INDEX($Q$7:$Q$73,SMALL(IF($T$7:$T$73&lt;&gt;"",IF($Q$7:$Q$73&lt;&gt;"",ROW($Q$7:$Q$73)-MIN(ROW($Q$7:$Q$73))+1,""),""),ROW()-ROW(A$75)+1)),"##0")," "),"")</f>
        <v>0</v>
      </c>
      <c r="S120">
        <f t="array" ref="S120">IFERROR(CONCATENATE((INDEX($A$7:$A$73,SMALL(IF($T$7:$T$73&lt;&gt;"",IF($Q$7:$Q$73&lt;&gt;"",ROW($Q$7:$Q$73)-MIN(ROW($Q$7:$Q$73))+1,""),""),ROW()-ROW(A$75)+1))),),"")</f>
        <v>0</v>
      </c>
      <c r="W120">
        <f t="array" ref="W120">IFERROR(CONCATENATE((INDEX($Z$7:$Z$73,SMALL(IF($Z$7:$Z$73&lt;&gt;"",IF($W$7:$W$73&lt;&gt;"",ROW($W$7:$W$73)-MIN(ROW($W$7:$W$73))+1,""),""),ROW()-ROW(A$75)+1)))," "),"")</f>
        <v>0</v>
      </c>
      <c r="X120">
        <f t="array" ref="X120">IFERROR(CONCATENATE(TEXT(INDEX($W$7:$W$73,SMALL(IF($Z$7:$Z$73&lt;&gt;"",IF($W$7:$W$73&lt;&gt;"",ROW($W$7:$W$73)-MIN(ROW($W$7:$W$73))+1,""),""),ROW()-ROW(A$75)+1)),"##0")," "),"")</f>
        <v>0</v>
      </c>
      <c r="Y120">
        <f t="array" ref="Y120">IFERROR(CONCATENATE((INDEX($A$7:$A$73,SMALL(IF($Z$7:$Z$73&lt;&gt;"",IF($W$7:$W$73&lt;&gt;"",ROW($W$7:$W$73)-MIN(ROW($W$7:$W$73))+1,""),""),ROW()-ROW(A$75)+1))),),"")</f>
        <v>0</v>
      </c>
      <c r="AC120">
        <f t="array" ref="AC120">IFERROR(CONCATENATE((INDEX($AF$7:$AF$73,SMALL(IF($AF$7:$AF$73&lt;&gt;"",IF($AC$7:$AC$73&lt;&gt;"",ROW($AC$7:$AC$73)-MIN(ROW($AC$7:$AC$73))+1,""),""),ROW()-ROW(A$75)+1))),","),"")</f>
        <v>0</v>
      </c>
      <c r="AD120">
        <f t="array" ref="AD120">IFERROR(CONCATENATE(TEXT(INDEX($AC$7:$AC$73,SMALL(IF($AF$7:$AF$73&lt;&gt;"",IF($AC$7:$AC$73&lt;&gt;"",ROW($AC$7:$AC$73)-MIN(ROW($AC$7:$AC$73))+1,""),""),ROW()-ROW(A$75)+1)),"##0"),","),"")</f>
        <v>0</v>
      </c>
      <c r="AE120">
        <f t="array" ref="AE120">IFERROR(CONCATENATE((INDEX($A$7:$A$73,SMALL(IF($AF$7:$AF$73&lt;&gt;"",IF($AC$7:$AC$73&lt;&gt;"",ROW($AC$7:$AC$73)-MIN(ROW($AC$7:$AC$73))+1,""),""),ROW()-ROW(A$75)+1))),),"")</f>
        <v>0</v>
      </c>
      <c r="AI120">
        <f t="array" ref="AI120">IFERROR(CONCATENATE((INDEX($AL$7:$AL$73,SMALL(IF($AL$7:$AL$73&lt;&gt;"",IF($AI$7:$AI$73&lt;&gt;"",ROW($AI$7:$AI$73)-MIN(ROW($AI$7:$AI$73))+1,""),""),ROW()-ROW(A$75)+1)))," "),"")</f>
        <v>0</v>
      </c>
      <c r="AJ120">
        <f t="array" ref="AJ120">IFERROR(CONCATENATE(TEXT(INDEX($AI$7:$AI$73,SMALL(IF($AL$7:$AL$73&lt;&gt;"",IF($AI$7:$AI$73&lt;&gt;"",ROW($AI$7:$AI$73)-MIN(ROW($AI$7:$AI$73))+1,""),""),ROW()-ROW(A$75)+1)),"##0")," "),"")</f>
        <v>0</v>
      </c>
      <c r="AK120">
        <f t="array" ref="AK120">IFERROR(CONCATENATE((INDEX($A$7:$A$73,SMALL(IF($AL$7:$AL$73&lt;&gt;"",IF($AI$7:$AI$73&lt;&gt;"",ROW($AI$7:$AI$73)-MIN(ROW($AI$7:$AI$73))+1,""),""),ROW()-ROW(A$75)+1))),),"")</f>
        <v>0</v>
      </c>
    </row>
    <row r="121" spans="11:37">
      <c r="K121">
        <f t="array" ref="K121">IFERROR(CONCATENATE(TEXT(INDEX($K$7:$K$73,SMALL(IF($N$7:$N$73&lt;&gt;"",IF($K$7:$K$73&lt;&gt;"",ROW($K$7:$K$73)-MIN(ROW($K$7:$K$73))+1,""),""),ROW()-ROW(A$75)+1)),"##0"),","),"")</f>
        <v>0</v>
      </c>
      <c r="L121">
        <f t="array" ref="L121">IFERROR(CONCATENATE((INDEX($N$7:$N$73,SMALL(IF($N$7:$N$73&lt;&gt;"",IF($K$7:$K$73&lt;&gt;"",ROW($K$7:$K$73)-MIN(ROW($K$7:$K$73))+1,""),""),ROW()-ROW(A$75)+1))),","),"")</f>
        <v>0</v>
      </c>
      <c r="M121">
        <f t="array" ref="M121">IFERROR(CONCATENATE((INDEX($A$7:$A$73,SMALL(IF($N$7:$N$73&lt;&gt;"",IF($K$7:$K$73&lt;&gt;"",ROW($K$7:$K$73)-MIN(ROW($K$7:$K$73))+1,""),""),ROW()-ROW(A$75)+1))),),"")</f>
        <v>0</v>
      </c>
      <c r="Q121">
        <f t="array" ref="Q121">IFERROR(CONCATENATE((INDEX($T$7:$T$73,SMALL(IF($T$7:$T$73&lt;&gt;"",IF($Q$7:$Q$73&lt;&gt;"",ROW($Q$7:$Q$73)-MIN(ROW($Q$7:$Q$73))+1,""),""),ROW()-ROW(A$75)+1)))," "),"")</f>
        <v>0</v>
      </c>
      <c r="R121">
        <f t="array" ref="R121">IFERROR(CONCATENATE(TEXT(INDEX($Q$7:$Q$73,SMALL(IF($T$7:$T$73&lt;&gt;"",IF($Q$7:$Q$73&lt;&gt;"",ROW($Q$7:$Q$73)-MIN(ROW($Q$7:$Q$73))+1,""),""),ROW()-ROW(A$75)+1)),"##0")," "),"")</f>
        <v>0</v>
      </c>
      <c r="S121">
        <f t="array" ref="S121">IFERROR(CONCATENATE((INDEX($A$7:$A$73,SMALL(IF($T$7:$T$73&lt;&gt;"",IF($Q$7:$Q$73&lt;&gt;"",ROW($Q$7:$Q$73)-MIN(ROW($Q$7:$Q$73))+1,""),""),ROW()-ROW(A$75)+1))),),"")</f>
        <v>0</v>
      </c>
      <c r="W121">
        <f t="array" ref="W121">IFERROR(CONCATENATE((INDEX($Z$7:$Z$73,SMALL(IF($Z$7:$Z$73&lt;&gt;"",IF($W$7:$W$73&lt;&gt;"",ROW($W$7:$W$73)-MIN(ROW($W$7:$W$73))+1,""),""),ROW()-ROW(A$75)+1)))," "),"")</f>
        <v>0</v>
      </c>
      <c r="X121">
        <f t="array" ref="X121">IFERROR(CONCATENATE(TEXT(INDEX($W$7:$W$73,SMALL(IF($Z$7:$Z$73&lt;&gt;"",IF($W$7:$W$73&lt;&gt;"",ROW($W$7:$W$73)-MIN(ROW($W$7:$W$73))+1,""),""),ROW()-ROW(A$75)+1)),"##0")," "),"")</f>
        <v>0</v>
      </c>
      <c r="Y121">
        <f t="array" ref="Y121">IFERROR(CONCATENATE((INDEX($A$7:$A$73,SMALL(IF($Z$7:$Z$73&lt;&gt;"",IF($W$7:$W$73&lt;&gt;"",ROW($W$7:$W$73)-MIN(ROW($W$7:$W$73))+1,""),""),ROW()-ROW(A$75)+1))),),"")</f>
        <v>0</v>
      </c>
      <c r="AC121">
        <f t="array" ref="AC121">IFERROR(CONCATENATE((INDEX($AF$7:$AF$73,SMALL(IF($AF$7:$AF$73&lt;&gt;"",IF($AC$7:$AC$73&lt;&gt;"",ROW($AC$7:$AC$73)-MIN(ROW($AC$7:$AC$73))+1,""),""),ROW()-ROW(A$75)+1))),","),"")</f>
        <v>0</v>
      </c>
      <c r="AD121">
        <f t="array" ref="AD121">IFERROR(CONCATENATE(TEXT(INDEX($AC$7:$AC$73,SMALL(IF($AF$7:$AF$73&lt;&gt;"",IF($AC$7:$AC$73&lt;&gt;"",ROW($AC$7:$AC$73)-MIN(ROW($AC$7:$AC$73))+1,""),""),ROW()-ROW(A$75)+1)),"##0"),","),"")</f>
        <v>0</v>
      </c>
      <c r="AE121">
        <f t="array" ref="AE121">IFERROR(CONCATENATE((INDEX($A$7:$A$73,SMALL(IF($AF$7:$AF$73&lt;&gt;"",IF($AC$7:$AC$73&lt;&gt;"",ROW($AC$7:$AC$73)-MIN(ROW($AC$7:$AC$73))+1,""),""),ROW()-ROW(A$75)+1))),),"")</f>
        <v>0</v>
      </c>
      <c r="AI121">
        <f t="array" ref="AI121">IFERROR(CONCATENATE((INDEX($AL$7:$AL$73,SMALL(IF($AL$7:$AL$73&lt;&gt;"",IF($AI$7:$AI$73&lt;&gt;"",ROW($AI$7:$AI$73)-MIN(ROW($AI$7:$AI$73))+1,""),""),ROW()-ROW(A$75)+1)))," "),"")</f>
        <v>0</v>
      </c>
      <c r="AJ121">
        <f t="array" ref="AJ121">IFERROR(CONCATENATE(TEXT(INDEX($AI$7:$AI$73,SMALL(IF($AL$7:$AL$73&lt;&gt;"",IF($AI$7:$AI$73&lt;&gt;"",ROW($AI$7:$AI$73)-MIN(ROW($AI$7:$AI$73))+1,""),""),ROW()-ROW(A$75)+1)),"##0")," "),"")</f>
        <v>0</v>
      </c>
      <c r="AK121">
        <f t="array" ref="AK121">IFERROR(CONCATENATE((INDEX($A$7:$A$73,SMALL(IF($AL$7:$AL$73&lt;&gt;"",IF($AI$7:$AI$73&lt;&gt;"",ROW($AI$7:$AI$73)-MIN(ROW($AI$7:$AI$73))+1,""),""),ROW()-ROW(A$75)+1))),),"")</f>
        <v>0</v>
      </c>
    </row>
    <row r="122" spans="11:37">
      <c r="K122">
        <f t="array" ref="K122">IFERROR(CONCATENATE(TEXT(INDEX($K$7:$K$73,SMALL(IF($N$7:$N$73&lt;&gt;"",IF($K$7:$K$73&lt;&gt;"",ROW($K$7:$K$73)-MIN(ROW($K$7:$K$73))+1,""),""),ROW()-ROW(A$75)+1)),"##0"),","),"")</f>
        <v>0</v>
      </c>
      <c r="L122">
        <f t="array" ref="L122">IFERROR(CONCATENATE((INDEX($N$7:$N$73,SMALL(IF($N$7:$N$73&lt;&gt;"",IF($K$7:$K$73&lt;&gt;"",ROW($K$7:$K$73)-MIN(ROW($K$7:$K$73))+1,""),""),ROW()-ROW(A$75)+1))),","),"")</f>
        <v>0</v>
      </c>
      <c r="M122">
        <f t="array" ref="M122">IFERROR(CONCATENATE((INDEX($A$7:$A$73,SMALL(IF($N$7:$N$73&lt;&gt;"",IF($K$7:$K$73&lt;&gt;"",ROW($K$7:$K$73)-MIN(ROW($K$7:$K$73))+1,""),""),ROW()-ROW(A$75)+1))),),"")</f>
        <v>0</v>
      </c>
      <c r="Q122">
        <f t="array" ref="Q122">IFERROR(CONCATENATE((INDEX($T$7:$T$73,SMALL(IF($T$7:$T$73&lt;&gt;"",IF($Q$7:$Q$73&lt;&gt;"",ROW($Q$7:$Q$73)-MIN(ROW($Q$7:$Q$73))+1,""),""),ROW()-ROW(A$75)+1)))," "),"")</f>
        <v>0</v>
      </c>
      <c r="R122">
        <f t="array" ref="R122">IFERROR(CONCATENATE(TEXT(INDEX($Q$7:$Q$73,SMALL(IF($T$7:$T$73&lt;&gt;"",IF($Q$7:$Q$73&lt;&gt;"",ROW($Q$7:$Q$73)-MIN(ROW($Q$7:$Q$73))+1,""),""),ROW()-ROW(A$75)+1)),"##0")," "),"")</f>
        <v>0</v>
      </c>
      <c r="S122">
        <f t="array" ref="S122">IFERROR(CONCATENATE((INDEX($A$7:$A$73,SMALL(IF($T$7:$T$73&lt;&gt;"",IF($Q$7:$Q$73&lt;&gt;"",ROW($Q$7:$Q$73)-MIN(ROW($Q$7:$Q$73))+1,""),""),ROW()-ROW(A$75)+1))),),"")</f>
        <v>0</v>
      </c>
      <c r="W122">
        <f t="array" ref="W122">IFERROR(CONCATENATE((INDEX($Z$7:$Z$73,SMALL(IF($Z$7:$Z$73&lt;&gt;"",IF($W$7:$W$73&lt;&gt;"",ROW($W$7:$W$73)-MIN(ROW($W$7:$W$73))+1,""),""),ROW()-ROW(A$75)+1)))," "),"")</f>
        <v>0</v>
      </c>
      <c r="X122">
        <f t="array" ref="X122">IFERROR(CONCATENATE(TEXT(INDEX($W$7:$W$73,SMALL(IF($Z$7:$Z$73&lt;&gt;"",IF($W$7:$W$73&lt;&gt;"",ROW($W$7:$W$73)-MIN(ROW($W$7:$W$73))+1,""),""),ROW()-ROW(A$75)+1)),"##0")," "),"")</f>
        <v>0</v>
      </c>
      <c r="Y122">
        <f t="array" ref="Y122">IFERROR(CONCATENATE((INDEX($A$7:$A$73,SMALL(IF($Z$7:$Z$73&lt;&gt;"",IF($W$7:$W$73&lt;&gt;"",ROW($W$7:$W$73)-MIN(ROW($W$7:$W$73))+1,""),""),ROW()-ROW(A$75)+1))),),"")</f>
        <v>0</v>
      </c>
      <c r="AC122">
        <f t="array" ref="AC122">IFERROR(CONCATENATE((INDEX($AF$7:$AF$73,SMALL(IF($AF$7:$AF$73&lt;&gt;"",IF($AC$7:$AC$73&lt;&gt;"",ROW($AC$7:$AC$73)-MIN(ROW($AC$7:$AC$73))+1,""),""),ROW()-ROW(A$75)+1))),","),"")</f>
        <v>0</v>
      </c>
      <c r="AD122">
        <f t="array" ref="AD122">IFERROR(CONCATENATE(TEXT(INDEX($AC$7:$AC$73,SMALL(IF($AF$7:$AF$73&lt;&gt;"",IF($AC$7:$AC$73&lt;&gt;"",ROW($AC$7:$AC$73)-MIN(ROW($AC$7:$AC$73))+1,""),""),ROW()-ROW(A$75)+1)),"##0"),","),"")</f>
        <v>0</v>
      </c>
      <c r="AE122">
        <f t="array" ref="AE122">IFERROR(CONCATENATE((INDEX($A$7:$A$73,SMALL(IF($AF$7:$AF$73&lt;&gt;"",IF($AC$7:$AC$73&lt;&gt;"",ROW($AC$7:$AC$73)-MIN(ROW($AC$7:$AC$73))+1,""),""),ROW()-ROW(A$75)+1))),),"")</f>
        <v>0</v>
      </c>
      <c r="AI122">
        <f t="array" ref="AI122">IFERROR(CONCATENATE((INDEX($AL$7:$AL$73,SMALL(IF($AL$7:$AL$73&lt;&gt;"",IF($AI$7:$AI$73&lt;&gt;"",ROW($AI$7:$AI$73)-MIN(ROW($AI$7:$AI$73))+1,""),""),ROW()-ROW(A$75)+1)))," "),"")</f>
        <v>0</v>
      </c>
      <c r="AJ122">
        <f t="array" ref="AJ122">IFERROR(CONCATENATE(TEXT(INDEX($AI$7:$AI$73,SMALL(IF($AL$7:$AL$73&lt;&gt;"",IF($AI$7:$AI$73&lt;&gt;"",ROW($AI$7:$AI$73)-MIN(ROW($AI$7:$AI$73))+1,""),""),ROW()-ROW(A$75)+1)),"##0")," "),"")</f>
        <v>0</v>
      </c>
      <c r="AK122">
        <f t="array" ref="AK122">IFERROR(CONCATENATE((INDEX($A$7:$A$73,SMALL(IF($AL$7:$AL$73&lt;&gt;"",IF($AI$7:$AI$73&lt;&gt;"",ROW($AI$7:$AI$73)-MIN(ROW($AI$7:$AI$73))+1,""),""),ROW()-ROW(A$75)+1))),),"")</f>
        <v>0</v>
      </c>
    </row>
    <row r="123" spans="11:37">
      <c r="K123">
        <f t="array" ref="K123">IFERROR(CONCATENATE(TEXT(INDEX($K$7:$K$73,SMALL(IF($N$7:$N$73&lt;&gt;"",IF($K$7:$K$73&lt;&gt;"",ROW($K$7:$K$73)-MIN(ROW($K$7:$K$73))+1,""),""),ROW()-ROW(A$75)+1)),"##0"),","),"")</f>
        <v>0</v>
      </c>
      <c r="L123">
        <f t="array" ref="L123">IFERROR(CONCATENATE((INDEX($N$7:$N$73,SMALL(IF($N$7:$N$73&lt;&gt;"",IF($K$7:$K$73&lt;&gt;"",ROW($K$7:$K$73)-MIN(ROW($K$7:$K$73))+1,""),""),ROW()-ROW(A$75)+1))),","),"")</f>
        <v>0</v>
      </c>
      <c r="M123">
        <f t="array" ref="M123">IFERROR(CONCATENATE((INDEX($A$7:$A$73,SMALL(IF($N$7:$N$73&lt;&gt;"",IF($K$7:$K$73&lt;&gt;"",ROW($K$7:$K$73)-MIN(ROW($K$7:$K$73))+1,""),""),ROW()-ROW(A$75)+1))),),"")</f>
        <v>0</v>
      </c>
      <c r="Q123">
        <f t="array" ref="Q123">IFERROR(CONCATENATE((INDEX($T$7:$T$73,SMALL(IF($T$7:$T$73&lt;&gt;"",IF($Q$7:$Q$73&lt;&gt;"",ROW($Q$7:$Q$73)-MIN(ROW($Q$7:$Q$73))+1,""),""),ROW()-ROW(A$75)+1)))," "),"")</f>
        <v>0</v>
      </c>
      <c r="R123">
        <f t="array" ref="R123">IFERROR(CONCATENATE(TEXT(INDEX($Q$7:$Q$73,SMALL(IF($T$7:$T$73&lt;&gt;"",IF($Q$7:$Q$73&lt;&gt;"",ROW($Q$7:$Q$73)-MIN(ROW($Q$7:$Q$73))+1,""),""),ROW()-ROW(A$75)+1)),"##0")," "),"")</f>
        <v>0</v>
      </c>
      <c r="S123">
        <f t="array" ref="S123">IFERROR(CONCATENATE((INDEX($A$7:$A$73,SMALL(IF($T$7:$T$73&lt;&gt;"",IF($Q$7:$Q$73&lt;&gt;"",ROW($Q$7:$Q$73)-MIN(ROW($Q$7:$Q$73))+1,""),""),ROW()-ROW(A$75)+1))),),"")</f>
        <v>0</v>
      </c>
      <c r="W123">
        <f t="array" ref="W123">IFERROR(CONCATENATE((INDEX($Z$7:$Z$73,SMALL(IF($Z$7:$Z$73&lt;&gt;"",IF($W$7:$W$73&lt;&gt;"",ROW($W$7:$W$73)-MIN(ROW($W$7:$W$73))+1,""),""),ROW()-ROW(A$75)+1)))," "),"")</f>
        <v>0</v>
      </c>
      <c r="X123">
        <f t="array" ref="X123">IFERROR(CONCATENATE(TEXT(INDEX($W$7:$W$73,SMALL(IF($Z$7:$Z$73&lt;&gt;"",IF($W$7:$W$73&lt;&gt;"",ROW($W$7:$W$73)-MIN(ROW($W$7:$W$73))+1,""),""),ROW()-ROW(A$75)+1)),"##0")," "),"")</f>
        <v>0</v>
      </c>
      <c r="Y123">
        <f t="array" ref="Y123">IFERROR(CONCATENATE((INDEX($A$7:$A$73,SMALL(IF($Z$7:$Z$73&lt;&gt;"",IF($W$7:$W$73&lt;&gt;"",ROW($W$7:$W$73)-MIN(ROW($W$7:$W$73))+1,""),""),ROW()-ROW(A$75)+1))),),"")</f>
        <v>0</v>
      </c>
      <c r="AC123">
        <f t="array" ref="AC123">IFERROR(CONCATENATE((INDEX($AF$7:$AF$73,SMALL(IF($AF$7:$AF$73&lt;&gt;"",IF($AC$7:$AC$73&lt;&gt;"",ROW($AC$7:$AC$73)-MIN(ROW($AC$7:$AC$73))+1,""),""),ROW()-ROW(A$75)+1))),","),"")</f>
        <v>0</v>
      </c>
      <c r="AD123">
        <f t="array" ref="AD123">IFERROR(CONCATENATE(TEXT(INDEX($AC$7:$AC$73,SMALL(IF($AF$7:$AF$73&lt;&gt;"",IF($AC$7:$AC$73&lt;&gt;"",ROW($AC$7:$AC$73)-MIN(ROW($AC$7:$AC$73))+1,""),""),ROW()-ROW(A$75)+1)),"##0"),","),"")</f>
        <v>0</v>
      </c>
      <c r="AE123">
        <f t="array" ref="AE123">IFERROR(CONCATENATE((INDEX($A$7:$A$73,SMALL(IF($AF$7:$AF$73&lt;&gt;"",IF($AC$7:$AC$73&lt;&gt;"",ROW($AC$7:$AC$73)-MIN(ROW($AC$7:$AC$73))+1,""),""),ROW()-ROW(A$75)+1))),),"")</f>
        <v>0</v>
      </c>
      <c r="AI123">
        <f t="array" ref="AI123">IFERROR(CONCATENATE((INDEX($AL$7:$AL$73,SMALL(IF($AL$7:$AL$73&lt;&gt;"",IF($AI$7:$AI$73&lt;&gt;"",ROW($AI$7:$AI$73)-MIN(ROW($AI$7:$AI$73))+1,""),""),ROW()-ROW(A$75)+1)))," "),"")</f>
        <v>0</v>
      </c>
      <c r="AJ123">
        <f t="array" ref="AJ123">IFERROR(CONCATENATE(TEXT(INDEX($AI$7:$AI$73,SMALL(IF($AL$7:$AL$73&lt;&gt;"",IF($AI$7:$AI$73&lt;&gt;"",ROW($AI$7:$AI$73)-MIN(ROW($AI$7:$AI$73))+1,""),""),ROW()-ROW(A$75)+1)),"##0")," "),"")</f>
        <v>0</v>
      </c>
      <c r="AK123">
        <f t="array" ref="AK123">IFERROR(CONCATENATE((INDEX($A$7:$A$73,SMALL(IF($AL$7:$AL$73&lt;&gt;"",IF($AI$7:$AI$73&lt;&gt;"",ROW($AI$7:$AI$73)-MIN(ROW($AI$7:$AI$73))+1,""),""),ROW()-ROW(A$75)+1))),),"")</f>
        <v>0</v>
      </c>
    </row>
    <row r="124" spans="11:37">
      <c r="K124">
        <f t="array" ref="K124">IFERROR(CONCATENATE(TEXT(INDEX($K$7:$K$73,SMALL(IF($N$7:$N$73&lt;&gt;"",IF($K$7:$K$73&lt;&gt;"",ROW($K$7:$K$73)-MIN(ROW($K$7:$K$73))+1,""),""),ROW()-ROW(A$75)+1)),"##0"),","),"")</f>
        <v>0</v>
      </c>
      <c r="L124">
        <f t="array" ref="L124">IFERROR(CONCATENATE((INDEX($N$7:$N$73,SMALL(IF($N$7:$N$73&lt;&gt;"",IF($K$7:$K$73&lt;&gt;"",ROW($K$7:$K$73)-MIN(ROW($K$7:$K$73))+1,""),""),ROW()-ROW(A$75)+1))),","),"")</f>
        <v>0</v>
      </c>
      <c r="M124">
        <f t="array" ref="M124">IFERROR(CONCATENATE((INDEX($A$7:$A$73,SMALL(IF($N$7:$N$73&lt;&gt;"",IF($K$7:$K$73&lt;&gt;"",ROW($K$7:$K$73)-MIN(ROW($K$7:$K$73))+1,""),""),ROW()-ROW(A$75)+1))),),"")</f>
        <v>0</v>
      </c>
      <c r="Q124">
        <f t="array" ref="Q124">IFERROR(CONCATENATE((INDEX($T$7:$T$73,SMALL(IF($T$7:$T$73&lt;&gt;"",IF($Q$7:$Q$73&lt;&gt;"",ROW($Q$7:$Q$73)-MIN(ROW($Q$7:$Q$73))+1,""),""),ROW()-ROW(A$75)+1)))," "),"")</f>
        <v>0</v>
      </c>
      <c r="R124">
        <f t="array" ref="R124">IFERROR(CONCATENATE(TEXT(INDEX($Q$7:$Q$73,SMALL(IF($T$7:$T$73&lt;&gt;"",IF($Q$7:$Q$73&lt;&gt;"",ROW($Q$7:$Q$73)-MIN(ROW($Q$7:$Q$73))+1,""),""),ROW()-ROW(A$75)+1)),"##0")," "),"")</f>
        <v>0</v>
      </c>
      <c r="S124">
        <f t="array" ref="S124">IFERROR(CONCATENATE((INDEX($A$7:$A$73,SMALL(IF($T$7:$T$73&lt;&gt;"",IF($Q$7:$Q$73&lt;&gt;"",ROW($Q$7:$Q$73)-MIN(ROW($Q$7:$Q$73))+1,""),""),ROW()-ROW(A$75)+1))),),"")</f>
        <v>0</v>
      </c>
      <c r="W124">
        <f t="array" ref="W124">IFERROR(CONCATENATE((INDEX($Z$7:$Z$73,SMALL(IF($Z$7:$Z$73&lt;&gt;"",IF($W$7:$W$73&lt;&gt;"",ROW($W$7:$W$73)-MIN(ROW($W$7:$W$73))+1,""),""),ROW()-ROW(A$75)+1)))," "),"")</f>
        <v>0</v>
      </c>
      <c r="X124">
        <f t="array" ref="X124">IFERROR(CONCATENATE(TEXT(INDEX($W$7:$W$73,SMALL(IF($Z$7:$Z$73&lt;&gt;"",IF($W$7:$W$73&lt;&gt;"",ROW($W$7:$W$73)-MIN(ROW($W$7:$W$73))+1,""),""),ROW()-ROW(A$75)+1)),"##0")," "),"")</f>
        <v>0</v>
      </c>
      <c r="Y124">
        <f t="array" ref="Y124">IFERROR(CONCATENATE((INDEX($A$7:$A$73,SMALL(IF($Z$7:$Z$73&lt;&gt;"",IF($W$7:$W$73&lt;&gt;"",ROW($W$7:$W$73)-MIN(ROW($W$7:$W$73))+1,""),""),ROW()-ROW(A$75)+1))),),"")</f>
        <v>0</v>
      </c>
      <c r="AC124">
        <f t="array" ref="AC124">IFERROR(CONCATENATE((INDEX($AF$7:$AF$73,SMALL(IF($AF$7:$AF$73&lt;&gt;"",IF($AC$7:$AC$73&lt;&gt;"",ROW($AC$7:$AC$73)-MIN(ROW($AC$7:$AC$73))+1,""),""),ROW()-ROW(A$75)+1))),","),"")</f>
        <v>0</v>
      </c>
      <c r="AD124">
        <f t="array" ref="AD124">IFERROR(CONCATENATE(TEXT(INDEX($AC$7:$AC$73,SMALL(IF($AF$7:$AF$73&lt;&gt;"",IF($AC$7:$AC$73&lt;&gt;"",ROW($AC$7:$AC$73)-MIN(ROW($AC$7:$AC$73))+1,""),""),ROW()-ROW(A$75)+1)),"##0"),","),"")</f>
        <v>0</v>
      </c>
      <c r="AE124">
        <f t="array" ref="AE124">IFERROR(CONCATENATE((INDEX($A$7:$A$73,SMALL(IF($AF$7:$AF$73&lt;&gt;"",IF($AC$7:$AC$73&lt;&gt;"",ROW($AC$7:$AC$73)-MIN(ROW($AC$7:$AC$73))+1,""),""),ROW()-ROW(A$75)+1))),),"")</f>
        <v>0</v>
      </c>
      <c r="AI124">
        <f t="array" ref="AI124">IFERROR(CONCATENATE((INDEX($AL$7:$AL$73,SMALL(IF($AL$7:$AL$73&lt;&gt;"",IF($AI$7:$AI$73&lt;&gt;"",ROW($AI$7:$AI$73)-MIN(ROW($AI$7:$AI$73))+1,""),""),ROW()-ROW(A$75)+1)))," "),"")</f>
        <v>0</v>
      </c>
      <c r="AJ124">
        <f t="array" ref="AJ124">IFERROR(CONCATENATE(TEXT(INDEX($AI$7:$AI$73,SMALL(IF($AL$7:$AL$73&lt;&gt;"",IF($AI$7:$AI$73&lt;&gt;"",ROW($AI$7:$AI$73)-MIN(ROW($AI$7:$AI$73))+1,""),""),ROW()-ROW(A$75)+1)),"##0")," "),"")</f>
        <v>0</v>
      </c>
      <c r="AK124">
        <f t="array" ref="AK124">IFERROR(CONCATENATE((INDEX($A$7:$A$73,SMALL(IF($AL$7:$AL$73&lt;&gt;"",IF($AI$7:$AI$73&lt;&gt;"",ROW($AI$7:$AI$73)-MIN(ROW($AI$7:$AI$73))+1,""),""),ROW()-ROW(A$75)+1))),),"")</f>
        <v>0</v>
      </c>
    </row>
    <row r="125" spans="11:37">
      <c r="K125">
        <f t="array" ref="K125">IFERROR(CONCATENATE(TEXT(INDEX($K$7:$K$73,SMALL(IF($N$7:$N$73&lt;&gt;"",IF($K$7:$K$73&lt;&gt;"",ROW($K$7:$K$73)-MIN(ROW($K$7:$K$73))+1,""),""),ROW()-ROW(A$75)+1)),"##0"),","),"")</f>
        <v>0</v>
      </c>
      <c r="L125">
        <f t="array" ref="L125">IFERROR(CONCATENATE((INDEX($N$7:$N$73,SMALL(IF($N$7:$N$73&lt;&gt;"",IF($K$7:$K$73&lt;&gt;"",ROW($K$7:$K$73)-MIN(ROW($K$7:$K$73))+1,""),""),ROW()-ROW(A$75)+1))),","),"")</f>
        <v>0</v>
      </c>
      <c r="M125">
        <f t="array" ref="M125">IFERROR(CONCATENATE((INDEX($A$7:$A$73,SMALL(IF($N$7:$N$73&lt;&gt;"",IF($K$7:$K$73&lt;&gt;"",ROW($K$7:$K$73)-MIN(ROW($K$7:$K$73))+1,""),""),ROW()-ROW(A$75)+1))),),"")</f>
        <v>0</v>
      </c>
      <c r="Q125">
        <f t="array" ref="Q125">IFERROR(CONCATENATE((INDEX($T$7:$T$73,SMALL(IF($T$7:$T$73&lt;&gt;"",IF($Q$7:$Q$73&lt;&gt;"",ROW($Q$7:$Q$73)-MIN(ROW($Q$7:$Q$73))+1,""),""),ROW()-ROW(A$75)+1)))," "),"")</f>
        <v>0</v>
      </c>
      <c r="R125">
        <f t="array" ref="R125">IFERROR(CONCATENATE(TEXT(INDEX($Q$7:$Q$73,SMALL(IF($T$7:$T$73&lt;&gt;"",IF($Q$7:$Q$73&lt;&gt;"",ROW($Q$7:$Q$73)-MIN(ROW($Q$7:$Q$73))+1,""),""),ROW()-ROW(A$75)+1)),"##0")," "),"")</f>
        <v>0</v>
      </c>
      <c r="S125">
        <f t="array" ref="S125">IFERROR(CONCATENATE((INDEX($A$7:$A$73,SMALL(IF($T$7:$T$73&lt;&gt;"",IF($Q$7:$Q$73&lt;&gt;"",ROW($Q$7:$Q$73)-MIN(ROW($Q$7:$Q$73))+1,""),""),ROW()-ROW(A$75)+1))),),"")</f>
        <v>0</v>
      </c>
      <c r="W125">
        <f t="array" ref="W125">IFERROR(CONCATENATE((INDEX($Z$7:$Z$73,SMALL(IF($Z$7:$Z$73&lt;&gt;"",IF($W$7:$W$73&lt;&gt;"",ROW($W$7:$W$73)-MIN(ROW($W$7:$W$73))+1,""),""),ROW()-ROW(A$75)+1)))," "),"")</f>
        <v>0</v>
      </c>
      <c r="X125">
        <f t="array" ref="X125">IFERROR(CONCATENATE(TEXT(INDEX($W$7:$W$73,SMALL(IF($Z$7:$Z$73&lt;&gt;"",IF($W$7:$W$73&lt;&gt;"",ROW($W$7:$W$73)-MIN(ROW($W$7:$W$73))+1,""),""),ROW()-ROW(A$75)+1)),"##0")," "),"")</f>
        <v>0</v>
      </c>
      <c r="Y125">
        <f t="array" ref="Y125">IFERROR(CONCATENATE((INDEX($A$7:$A$73,SMALL(IF($Z$7:$Z$73&lt;&gt;"",IF($W$7:$W$73&lt;&gt;"",ROW($W$7:$W$73)-MIN(ROW($W$7:$W$73))+1,""),""),ROW()-ROW(A$75)+1))),),"")</f>
        <v>0</v>
      </c>
      <c r="AC125">
        <f t="array" ref="AC125">IFERROR(CONCATENATE((INDEX($AF$7:$AF$73,SMALL(IF($AF$7:$AF$73&lt;&gt;"",IF($AC$7:$AC$73&lt;&gt;"",ROW($AC$7:$AC$73)-MIN(ROW($AC$7:$AC$73))+1,""),""),ROW()-ROW(A$75)+1))),","),"")</f>
        <v>0</v>
      </c>
      <c r="AD125">
        <f t="array" ref="AD125">IFERROR(CONCATENATE(TEXT(INDEX($AC$7:$AC$73,SMALL(IF($AF$7:$AF$73&lt;&gt;"",IF($AC$7:$AC$73&lt;&gt;"",ROW($AC$7:$AC$73)-MIN(ROW($AC$7:$AC$73))+1,""),""),ROW()-ROW(A$75)+1)),"##0"),","),"")</f>
        <v>0</v>
      </c>
      <c r="AE125">
        <f t="array" ref="AE125">IFERROR(CONCATENATE((INDEX($A$7:$A$73,SMALL(IF($AF$7:$AF$73&lt;&gt;"",IF($AC$7:$AC$73&lt;&gt;"",ROW($AC$7:$AC$73)-MIN(ROW($AC$7:$AC$73))+1,""),""),ROW()-ROW(A$75)+1))),),"")</f>
        <v>0</v>
      </c>
      <c r="AI125">
        <f t="array" ref="AI125">IFERROR(CONCATENATE((INDEX($AL$7:$AL$73,SMALL(IF($AL$7:$AL$73&lt;&gt;"",IF($AI$7:$AI$73&lt;&gt;"",ROW($AI$7:$AI$73)-MIN(ROW($AI$7:$AI$73))+1,""),""),ROW()-ROW(A$75)+1)))," "),"")</f>
        <v>0</v>
      </c>
      <c r="AJ125">
        <f t="array" ref="AJ125">IFERROR(CONCATENATE(TEXT(INDEX($AI$7:$AI$73,SMALL(IF($AL$7:$AL$73&lt;&gt;"",IF($AI$7:$AI$73&lt;&gt;"",ROW($AI$7:$AI$73)-MIN(ROW($AI$7:$AI$73))+1,""),""),ROW()-ROW(A$75)+1)),"##0")," "),"")</f>
        <v>0</v>
      </c>
      <c r="AK125">
        <f t="array" ref="AK125">IFERROR(CONCATENATE((INDEX($A$7:$A$73,SMALL(IF($AL$7:$AL$73&lt;&gt;"",IF($AI$7:$AI$73&lt;&gt;"",ROW($AI$7:$AI$73)-MIN(ROW($AI$7:$AI$73))+1,""),""),ROW()-ROW(A$75)+1))),),"")</f>
        <v>0</v>
      </c>
    </row>
    <row r="126" spans="11:37">
      <c r="K126">
        <f t="array" ref="K126">IFERROR(CONCATENATE(TEXT(INDEX($K$7:$K$73,SMALL(IF($N$7:$N$73&lt;&gt;"",IF($K$7:$K$73&lt;&gt;"",ROW($K$7:$K$73)-MIN(ROW($K$7:$K$73))+1,""),""),ROW()-ROW(A$75)+1)),"##0"),","),"")</f>
        <v>0</v>
      </c>
      <c r="L126">
        <f t="array" ref="L126">IFERROR(CONCATENATE((INDEX($N$7:$N$73,SMALL(IF($N$7:$N$73&lt;&gt;"",IF($K$7:$K$73&lt;&gt;"",ROW($K$7:$K$73)-MIN(ROW($K$7:$K$73))+1,""),""),ROW()-ROW(A$75)+1))),","),"")</f>
        <v>0</v>
      </c>
      <c r="M126">
        <f t="array" ref="M126">IFERROR(CONCATENATE((INDEX($A$7:$A$73,SMALL(IF($N$7:$N$73&lt;&gt;"",IF($K$7:$K$73&lt;&gt;"",ROW($K$7:$K$73)-MIN(ROW($K$7:$K$73))+1,""),""),ROW()-ROW(A$75)+1))),),"")</f>
        <v>0</v>
      </c>
      <c r="Q126">
        <f t="array" ref="Q126">IFERROR(CONCATENATE((INDEX($T$7:$T$73,SMALL(IF($T$7:$T$73&lt;&gt;"",IF($Q$7:$Q$73&lt;&gt;"",ROW($Q$7:$Q$73)-MIN(ROW($Q$7:$Q$73))+1,""),""),ROW()-ROW(A$75)+1)))," "),"")</f>
        <v>0</v>
      </c>
      <c r="R126">
        <f t="array" ref="R126">IFERROR(CONCATENATE(TEXT(INDEX($Q$7:$Q$73,SMALL(IF($T$7:$T$73&lt;&gt;"",IF($Q$7:$Q$73&lt;&gt;"",ROW($Q$7:$Q$73)-MIN(ROW($Q$7:$Q$73))+1,""),""),ROW()-ROW(A$75)+1)),"##0")," "),"")</f>
        <v>0</v>
      </c>
      <c r="S126">
        <f t="array" ref="S126">IFERROR(CONCATENATE((INDEX($A$7:$A$73,SMALL(IF($T$7:$T$73&lt;&gt;"",IF($Q$7:$Q$73&lt;&gt;"",ROW($Q$7:$Q$73)-MIN(ROW($Q$7:$Q$73))+1,""),""),ROW()-ROW(A$75)+1))),),"")</f>
        <v>0</v>
      </c>
      <c r="W126">
        <f t="array" ref="W126">IFERROR(CONCATENATE((INDEX($Z$7:$Z$73,SMALL(IF($Z$7:$Z$73&lt;&gt;"",IF($W$7:$W$73&lt;&gt;"",ROW($W$7:$W$73)-MIN(ROW($W$7:$W$73))+1,""),""),ROW()-ROW(A$75)+1)))," "),"")</f>
        <v>0</v>
      </c>
      <c r="X126">
        <f t="array" ref="X126">IFERROR(CONCATENATE(TEXT(INDEX($W$7:$W$73,SMALL(IF($Z$7:$Z$73&lt;&gt;"",IF($W$7:$W$73&lt;&gt;"",ROW($W$7:$W$73)-MIN(ROW($W$7:$W$73))+1,""),""),ROW()-ROW(A$75)+1)),"##0")," "),"")</f>
        <v>0</v>
      </c>
      <c r="Y126">
        <f t="array" ref="Y126">IFERROR(CONCATENATE((INDEX($A$7:$A$73,SMALL(IF($Z$7:$Z$73&lt;&gt;"",IF($W$7:$W$73&lt;&gt;"",ROW($W$7:$W$73)-MIN(ROW($W$7:$W$73))+1,""),""),ROW()-ROW(A$75)+1))),),"")</f>
        <v>0</v>
      </c>
      <c r="AC126">
        <f t="array" ref="AC126">IFERROR(CONCATENATE((INDEX($AF$7:$AF$73,SMALL(IF($AF$7:$AF$73&lt;&gt;"",IF($AC$7:$AC$73&lt;&gt;"",ROW($AC$7:$AC$73)-MIN(ROW($AC$7:$AC$73))+1,""),""),ROW()-ROW(A$75)+1))),","),"")</f>
        <v>0</v>
      </c>
      <c r="AD126">
        <f t="array" ref="AD126">IFERROR(CONCATENATE(TEXT(INDEX($AC$7:$AC$73,SMALL(IF($AF$7:$AF$73&lt;&gt;"",IF($AC$7:$AC$73&lt;&gt;"",ROW($AC$7:$AC$73)-MIN(ROW($AC$7:$AC$73))+1,""),""),ROW()-ROW(A$75)+1)),"##0"),","),"")</f>
        <v>0</v>
      </c>
      <c r="AE126">
        <f t="array" ref="AE126">IFERROR(CONCATENATE((INDEX($A$7:$A$73,SMALL(IF($AF$7:$AF$73&lt;&gt;"",IF($AC$7:$AC$73&lt;&gt;"",ROW($AC$7:$AC$73)-MIN(ROW($AC$7:$AC$73))+1,""),""),ROW()-ROW(A$75)+1))),),"")</f>
        <v>0</v>
      </c>
      <c r="AI126">
        <f t="array" ref="AI126">IFERROR(CONCATENATE((INDEX($AL$7:$AL$73,SMALL(IF($AL$7:$AL$73&lt;&gt;"",IF($AI$7:$AI$73&lt;&gt;"",ROW($AI$7:$AI$73)-MIN(ROW($AI$7:$AI$73))+1,""),""),ROW()-ROW(A$75)+1)))," "),"")</f>
        <v>0</v>
      </c>
      <c r="AJ126">
        <f t="array" ref="AJ126">IFERROR(CONCATENATE(TEXT(INDEX($AI$7:$AI$73,SMALL(IF($AL$7:$AL$73&lt;&gt;"",IF($AI$7:$AI$73&lt;&gt;"",ROW($AI$7:$AI$73)-MIN(ROW($AI$7:$AI$73))+1,""),""),ROW()-ROW(A$75)+1)),"##0")," "),"")</f>
        <v>0</v>
      </c>
      <c r="AK126">
        <f t="array" ref="AK126">IFERROR(CONCATENATE((INDEX($A$7:$A$73,SMALL(IF($AL$7:$AL$73&lt;&gt;"",IF($AI$7:$AI$73&lt;&gt;"",ROW($AI$7:$AI$73)-MIN(ROW($AI$7:$AI$73))+1,""),""),ROW()-ROW(A$75)+1))),),"")</f>
        <v>0</v>
      </c>
    </row>
    <row r="127" spans="11:37">
      <c r="K127">
        <f t="array" ref="K127">IFERROR(CONCATENATE(TEXT(INDEX($K$7:$K$73,SMALL(IF($N$7:$N$73&lt;&gt;"",IF($K$7:$K$73&lt;&gt;"",ROW($K$7:$K$73)-MIN(ROW($K$7:$K$73))+1,""),""),ROW()-ROW(A$75)+1)),"##0"),","),"")</f>
        <v>0</v>
      </c>
      <c r="L127">
        <f t="array" ref="L127">IFERROR(CONCATENATE((INDEX($N$7:$N$73,SMALL(IF($N$7:$N$73&lt;&gt;"",IF($K$7:$K$73&lt;&gt;"",ROW($K$7:$K$73)-MIN(ROW($K$7:$K$73))+1,""),""),ROW()-ROW(A$75)+1))),","),"")</f>
        <v>0</v>
      </c>
      <c r="M127">
        <f t="array" ref="M127">IFERROR(CONCATENATE((INDEX($A$7:$A$73,SMALL(IF($N$7:$N$73&lt;&gt;"",IF($K$7:$K$73&lt;&gt;"",ROW($K$7:$K$73)-MIN(ROW($K$7:$K$73))+1,""),""),ROW()-ROW(A$75)+1))),),"")</f>
        <v>0</v>
      </c>
      <c r="Q127">
        <f t="array" ref="Q127">IFERROR(CONCATENATE((INDEX($T$7:$T$73,SMALL(IF($T$7:$T$73&lt;&gt;"",IF($Q$7:$Q$73&lt;&gt;"",ROW($Q$7:$Q$73)-MIN(ROW($Q$7:$Q$73))+1,""),""),ROW()-ROW(A$75)+1)))," "),"")</f>
        <v>0</v>
      </c>
      <c r="R127">
        <f t="array" ref="R127">IFERROR(CONCATENATE(TEXT(INDEX($Q$7:$Q$73,SMALL(IF($T$7:$T$73&lt;&gt;"",IF($Q$7:$Q$73&lt;&gt;"",ROW($Q$7:$Q$73)-MIN(ROW($Q$7:$Q$73))+1,""),""),ROW()-ROW(A$75)+1)),"##0")," "),"")</f>
        <v>0</v>
      </c>
      <c r="S127">
        <f t="array" ref="S127">IFERROR(CONCATENATE((INDEX($A$7:$A$73,SMALL(IF($T$7:$T$73&lt;&gt;"",IF($Q$7:$Q$73&lt;&gt;"",ROW($Q$7:$Q$73)-MIN(ROW($Q$7:$Q$73))+1,""),""),ROW()-ROW(A$75)+1))),),"")</f>
        <v>0</v>
      </c>
      <c r="W127">
        <f t="array" ref="W127">IFERROR(CONCATENATE((INDEX($Z$7:$Z$73,SMALL(IF($Z$7:$Z$73&lt;&gt;"",IF($W$7:$W$73&lt;&gt;"",ROW($W$7:$W$73)-MIN(ROW($W$7:$W$73))+1,""),""),ROW()-ROW(A$75)+1)))," "),"")</f>
        <v>0</v>
      </c>
      <c r="X127">
        <f t="array" ref="X127">IFERROR(CONCATENATE(TEXT(INDEX($W$7:$W$73,SMALL(IF($Z$7:$Z$73&lt;&gt;"",IF($W$7:$W$73&lt;&gt;"",ROW($W$7:$W$73)-MIN(ROW($W$7:$W$73))+1,""),""),ROW()-ROW(A$75)+1)),"##0")," "),"")</f>
        <v>0</v>
      </c>
      <c r="Y127">
        <f t="array" ref="Y127">IFERROR(CONCATENATE((INDEX($A$7:$A$73,SMALL(IF($Z$7:$Z$73&lt;&gt;"",IF($W$7:$W$73&lt;&gt;"",ROW($W$7:$W$73)-MIN(ROW($W$7:$W$73))+1,""),""),ROW()-ROW(A$75)+1))),),"")</f>
        <v>0</v>
      </c>
      <c r="AC127">
        <f t="array" ref="AC127">IFERROR(CONCATENATE((INDEX($AF$7:$AF$73,SMALL(IF($AF$7:$AF$73&lt;&gt;"",IF($AC$7:$AC$73&lt;&gt;"",ROW($AC$7:$AC$73)-MIN(ROW($AC$7:$AC$73))+1,""),""),ROW()-ROW(A$75)+1))),","),"")</f>
        <v>0</v>
      </c>
      <c r="AD127">
        <f t="array" ref="AD127">IFERROR(CONCATENATE(TEXT(INDEX($AC$7:$AC$73,SMALL(IF($AF$7:$AF$73&lt;&gt;"",IF($AC$7:$AC$73&lt;&gt;"",ROW($AC$7:$AC$73)-MIN(ROW($AC$7:$AC$73))+1,""),""),ROW()-ROW(A$75)+1)),"##0"),","),"")</f>
        <v>0</v>
      </c>
      <c r="AE127">
        <f t="array" ref="AE127">IFERROR(CONCATENATE((INDEX($A$7:$A$73,SMALL(IF($AF$7:$AF$73&lt;&gt;"",IF($AC$7:$AC$73&lt;&gt;"",ROW($AC$7:$AC$73)-MIN(ROW($AC$7:$AC$73))+1,""),""),ROW()-ROW(A$75)+1))),),"")</f>
        <v>0</v>
      </c>
      <c r="AI127">
        <f t="array" ref="AI127">IFERROR(CONCATENATE((INDEX($AL$7:$AL$73,SMALL(IF($AL$7:$AL$73&lt;&gt;"",IF($AI$7:$AI$73&lt;&gt;"",ROW($AI$7:$AI$73)-MIN(ROW($AI$7:$AI$73))+1,""),""),ROW()-ROW(A$75)+1)))," "),"")</f>
        <v>0</v>
      </c>
      <c r="AJ127">
        <f t="array" ref="AJ127">IFERROR(CONCATENATE(TEXT(INDEX($AI$7:$AI$73,SMALL(IF($AL$7:$AL$73&lt;&gt;"",IF($AI$7:$AI$73&lt;&gt;"",ROW($AI$7:$AI$73)-MIN(ROW($AI$7:$AI$73))+1,""),""),ROW()-ROW(A$75)+1)),"##0")," "),"")</f>
        <v>0</v>
      </c>
      <c r="AK127">
        <f t="array" ref="AK127">IFERROR(CONCATENATE((INDEX($A$7:$A$73,SMALL(IF($AL$7:$AL$73&lt;&gt;"",IF($AI$7:$AI$73&lt;&gt;"",ROW($AI$7:$AI$73)-MIN(ROW($AI$7:$AI$73))+1,""),""),ROW()-ROW(A$75)+1))),),"")</f>
        <v>0</v>
      </c>
    </row>
    <row r="128" spans="11:37">
      <c r="K128">
        <f t="array" ref="K128">IFERROR(CONCATENATE(TEXT(INDEX($K$7:$K$73,SMALL(IF($N$7:$N$73&lt;&gt;"",IF($K$7:$K$73&lt;&gt;"",ROW($K$7:$K$73)-MIN(ROW($K$7:$K$73))+1,""),""),ROW()-ROW(A$75)+1)),"##0"),","),"")</f>
        <v>0</v>
      </c>
      <c r="L128">
        <f t="array" ref="L128">IFERROR(CONCATENATE((INDEX($N$7:$N$73,SMALL(IF($N$7:$N$73&lt;&gt;"",IF($K$7:$K$73&lt;&gt;"",ROW($K$7:$K$73)-MIN(ROW($K$7:$K$73))+1,""),""),ROW()-ROW(A$75)+1))),","),"")</f>
        <v>0</v>
      </c>
      <c r="M128">
        <f t="array" ref="M128">IFERROR(CONCATENATE((INDEX($A$7:$A$73,SMALL(IF($N$7:$N$73&lt;&gt;"",IF($K$7:$K$73&lt;&gt;"",ROW($K$7:$K$73)-MIN(ROW($K$7:$K$73))+1,""),""),ROW()-ROW(A$75)+1))),),"")</f>
        <v>0</v>
      </c>
      <c r="Q128">
        <f t="array" ref="Q128">IFERROR(CONCATENATE((INDEX($T$7:$T$73,SMALL(IF($T$7:$T$73&lt;&gt;"",IF($Q$7:$Q$73&lt;&gt;"",ROW($Q$7:$Q$73)-MIN(ROW($Q$7:$Q$73))+1,""),""),ROW()-ROW(A$75)+1)))," "),"")</f>
        <v>0</v>
      </c>
      <c r="R128">
        <f t="array" ref="R128">IFERROR(CONCATENATE(TEXT(INDEX($Q$7:$Q$73,SMALL(IF($T$7:$T$73&lt;&gt;"",IF($Q$7:$Q$73&lt;&gt;"",ROW($Q$7:$Q$73)-MIN(ROW($Q$7:$Q$73))+1,""),""),ROW()-ROW(A$75)+1)),"##0")," "),"")</f>
        <v>0</v>
      </c>
      <c r="S128">
        <f t="array" ref="S128">IFERROR(CONCATENATE((INDEX($A$7:$A$73,SMALL(IF($T$7:$T$73&lt;&gt;"",IF($Q$7:$Q$73&lt;&gt;"",ROW($Q$7:$Q$73)-MIN(ROW($Q$7:$Q$73))+1,""),""),ROW()-ROW(A$75)+1))),),"")</f>
        <v>0</v>
      </c>
      <c r="W128">
        <f t="array" ref="W128">IFERROR(CONCATENATE((INDEX($Z$7:$Z$73,SMALL(IF($Z$7:$Z$73&lt;&gt;"",IF($W$7:$W$73&lt;&gt;"",ROW($W$7:$W$73)-MIN(ROW($W$7:$W$73))+1,""),""),ROW()-ROW(A$75)+1)))," "),"")</f>
        <v>0</v>
      </c>
      <c r="X128">
        <f t="array" ref="X128">IFERROR(CONCATENATE(TEXT(INDEX($W$7:$W$73,SMALL(IF($Z$7:$Z$73&lt;&gt;"",IF($W$7:$W$73&lt;&gt;"",ROW($W$7:$W$73)-MIN(ROW($W$7:$W$73))+1,""),""),ROW()-ROW(A$75)+1)),"##0")," "),"")</f>
        <v>0</v>
      </c>
      <c r="Y128">
        <f t="array" ref="Y128">IFERROR(CONCATENATE((INDEX($A$7:$A$73,SMALL(IF($Z$7:$Z$73&lt;&gt;"",IF($W$7:$W$73&lt;&gt;"",ROW($W$7:$W$73)-MIN(ROW($W$7:$W$73))+1,""),""),ROW()-ROW(A$75)+1))),),"")</f>
        <v>0</v>
      </c>
      <c r="AC128">
        <f t="array" ref="AC128">IFERROR(CONCATENATE((INDEX($AF$7:$AF$73,SMALL(IF($AF$7:$AF$73&lt;&gt;"",IF($AC$7:$AC$73&lt;&gt;"",ROW($AC$7:$AC$73)-MIN(ROW($AC$7:$AC$73))+1,""),""),ROW()-ROW(A$75)+1))),","),"")</f>
        <v>0</v>
      </c>
      <c r="AD128">
        <f t="array" ref="AD128">IFERROR(CONCATENATE(TEXT(INDEX($AC$7:$AC$73,SMALL(IF($AF$7:$AF$73&lt;&gt;"",IF($AC$7:$AC$73&lt;&gt;"",ROW($AC$7:$AC$73)-MIN(ROW($AC$7:$AC$73))+1,""),""),ROW()-ROW(A$75)+1)),"##0"),","),"")</f>
        <v>0</v>
      </c>
      <c r="AE128">
        <f t="array" ref="AE128">IFERROR(CONCATENATE((INDEX($A$7:$A$73,SMALL(IF($AF$7:$AF$73&lt;&gt;"",IF($AC$7:$AC$73&lt;&gt;"",ROW($AC$7:$AC$73)-MIN(ROW($AC$7:$AC$73))+1,""),""),ROW()-ROW(A$75)+1))),),"")</f>
        <v>0</v>
      </c>
      <c r="AI128">
        <f t="array" ref="AI128">IFERROR(CONCATENATE((INDEX($AL$7:$AL$73,SMALL(IF($AL$7:$AL$73&lt;&gt;"",IF($AI$7:$AI$73&lt;&gt;"",ROW($AI$7:$AI$73)-MIN(ROW($AI$7:$AI$73))+1,""),""),ROW()-ROW(A$75)+1)))," "),"")</f>
        <v>0</v>
      </c>
      <c r="AJ128">
        <f t="array" ref="AJ128">IFERROR(CONCATENATE(TEXT(INDEX($AI$7:$AI$73,SMALL(IF($AL$7:$AL$73&lt;&gt;"",IF($AI$7:$AI$73&lt;&gt;"",ROW($AI$7:$AI$73)-MIN(ROW($AI$7:$AI$73))+1,""),""),ROW()-ROW(A$75)+1)),"##0")," "),"")</f>
        <v>0</v>
      </c>
      <c r="AK128">
        <f t="array" ref="AK128">IFERROR(CONCATENATE((INDEX($A$7:$A$73,SMALL(IF($AL$7:$AL$73&lt;&gt;"",IF($AI$7:$AI$73&lt;&gt;"",ROW($AI$7:$AI$73)-MIN(ROW($AI$7:$AI$73))+1,""),""),ROW()-ROW(A$75)+1))),),"")</f>
        <v>0</v>
      </c>
    </row>
    <row r="129" spans="11:37">
      <c r="K129">
        <f t="array" ref="K129">IFERROR(CONCATENATE(TEXT(INDEX($K$7:$K$73,SMALL(IF($N$7:$N$73&lt;&gt;"",IF($K$7:$K$73&lt;&gt;"",ROW($K$7:$K$73)-MIN(ROW($K$7:$K$73))+1,""),""),ROW()-ROW(A$75)+1)),"##0"),","),"")</f>
        <v>0</v>
      </c>
      <c r="L129">
        <f t="array" ref="L129">IFERROR(CONCATENATE((INDEX($N$7:$N$73,SMALL(IF($N$7:$N$73&lt;&gt;"",IF($K$7:$K$73&lt;&gt;"",ROW($K$7:$K$73)-MIN(ROW($K$7:$K$73))+1,""),""),ROW()-ROW(A$75)+1))),","),"")</f>
        <v>0</v>
      </c>
      <c r="M129">
        <f t="array" ref="M129">IFERROR(CONCATENATE((INDEX($A$7:$A$73,SMALL(IF($N$7:$N$73&lt;&gt;"",IF($K$7:$K$73&lt;&gt;"",ROW($K$7:$K$73)-MIN(ROW($K$7:$K$73))+1,""),""),ROW()-ROW(A$75)+1))),),"")</f>
        <v>0</v>
      </c>
      <c r="Q129">
        <f t="array" ref="Q129">IFERROR(CONCATENATE((INDEX($T$7:$T$73,SMALL(IF($T$7:$T$73&lt;&gt;"",IF($Q$7:$Q$73&lt;&gt;"",ROW($Q$7:$Q$73)-MIN(ROW($Q$7:$Q$73))+1,""),""),ROW()-ROW(A$75)+1)))," "),"")</f>
        <v>0</v>
      </c>
      <c r="R129">
        <f t="array" ref="R129">IFERROR(CONCATENATE(TEXT(INDEX($Q$7:$Q$73,SMALL(IF($T$7:$T$73&lt;&gt;"",IF($Q$7:$Q$73&lt;&gt;"",ROW($Q$7:$Q$73)-MIN(ROW($Q$7:$Q$73))+1,""),""),ROW()-ROW(A$75)+1)),"##0")," "),"")</f>
        <v>0</v>
      </c>
      <c r="S129">
        <f t="array" ref="S129">IFERROR(CONCATENATE((INDEX($A$7:$A$73,SMALL(IF($T$7:$T$73&lt;&gt;"",IF($Q$7:$Q$73&lt;&gt;"",ROW($Q$7:$Q$73)-MIN(ROW($Q$7:$Q$73))+1,""),""),ROW()-ROW(A$75)+1))),),"")</f>
        <v>0</v>
      </c>
      <c r="W129">
        <f t="array" ref="W129">IFERROR(CONCATENATE((INDEX($Z$7:$Z$73,SMALL(IF($Z$7:$Z$73&lt;&gt;"",IF($W$7:$W$73&lt;&gt;"",ROW($W$7:$W$73)-MIN(ROW($W$7:$W$73))+1,""),""),ROW()-ROW(A$75)+1)))," "),"")</f>
        <v>0</v>
      </c>
      <c r="X129">
        <f t="array" ref="X129">IFERROR(CONCATENATE(TEXT(INDEX($W$7:$W$73,SMALL(IF($Z$7:$Z$73&lt;&gt;"",IF($W$7:$W$73&lt;&gt;"",ROW($W$7:$W$73)-MIN(ROW($W$7:$W$73))+1,""),""),ROW()-ROW(A$75)+1)),"##0")," "),"")</f>
        <v>0</v>
      </c>
      <c r="Y129">
        <f t="array" ref="Y129">IFERROR(CONCATENATE((INDEX($A$7:$A$73,SMALL(IF($Z$7:$Z$73&lt;&gt;"",IF($W$7:$W$73&lt;&gt;"",ROW($W$7:$W$73)-MIN(ROW($W$7:$W$73))+1,""),""),ROW()-ROW(A$75)+1))),),"")</f>
        <v>0</v>
      </c>
      <c r="AC129">
        <f t="array" ref="AC129">IFERROR(CONCATENATE((INDEX($AF$7:$AF$73,SMALL(IF($AF$7:$AF$73&lt;&gt;"",IF($AC$7:$AC$73&lt;&gt;"",ROW($AC$7:$AC$73)-MIN(ROW($AC$7:$AC$73))+1,""),""),ROW()-ROW(A$75)+1))),","),"")</f>
        <v>0</v>
      </c>
      <c r="AD129">
        <f t="array" ref="AD129">IFERROR(CONCATENATE(TEXT(INDEX($AC$7:$AC$73,SMALL(IF($AF$7:$AF$73&lt;&gt;"",IF($AC$7:$AC$73&lt;&gt;"",ROW($AC$7:$AC$73)-MIN(ROW($AC$7:$AC$73))+1,""),""),ROW()-ROW(A$75)+1)),"##0"),","),"")</f>
        <v>0</v>
      </c>
      <c r="AE129">
        <f t="array" ref="AE129">IFERROR(CONCATENATE((INDEX($A$7:$A$73,SMALL(IF($AF$7:$AF$73&lt;&gt;"",IF($AC$7:$AC$73&lt;&gt;"",ROW($AC$7:$AC$73)-MIN(ROW($AC$7:$AC$73))+1,""),""),ROW()-ROW(A$75)+1))),),"")</f>
        <v>0</v>
      </c>
      <c r="AI129">
        <f t="array" ref="AI129">IFERROR(CONCATENATE((INDEX($AL$7:$AL$73,SMALL(IF($AL$7:$AL$73&lt;&gt;"",IF($AI$7:$AI$73&lt;&gt;"",ROW($AI$7:$AI$73)-MIN(ROW($AI$7:$AI$73))+1,""),""),ROW()-ROW(A$75)+1)))," "),"")</f>
        <v>0</v>
      </c>
      <c r="AJ129">
        <f t="array" ref="AJ129">IFERROR(CONCATENATE(TEXT(INDEX($AI$7:$AI$73,SMALL(IF($AL$7:$AL$73&lt;&gt;"",IF($AI$7:$AI$73&lt;&gt;"",ROW($AI$7:$AI$73)-MIN(ROW($AI$7:$AI$73))+1,""),""),ROW()-ROW(A$75)+1)),"##0")," "),"")</f>
        <v>0</v>
      </c>
      <c r="AK129">
        <f t="array" ref="AK129">IFERROR(CONCATENATE((INDEX($A$7:$A$73,SMALL(IF($AL$7:$AL$73&lt;&gt;"",IF($AI$7:$AI$73&lt;&gt;"",ROW($AI$7:$AI$73)-MIN(ROW($AI$7:$AI$73))+1,""),""),ROW()-ROW(A$75)+1))),),"")</f>
        <v>0</v>
      </c>
    </row>
    <row r="130" spans="11:37">
      <c r="K130">
        <f t="array" ref="K130">IFERROR(CONCATENATE(TEXT(INDEX($K$7:$K$73,SMALL(IF($N$7:$N$73&lt;&gt;"",IF($K$7:$K$73&lt;&gt;"",ROW($K$7:$K$73)-MIN(ROW($K$7:$K$73))+1,""),""),ROW()-ROW(A$75)+1)),"##0"),","),"")</f>
        <v>0</v>
      </c>
      <c r="L130">
        <f t="array" ref="L130">IFERROR(CONCATENATE((INDEX($N$7:$N$73,SMALL(IF($N$7:$N$73&lt;&gt;"",IF($K$7:$K$73&lt;&gt;"",ROW($K$7:$K$73)-MIN(ROW($K$7:$K$73))+1,""),""),ROW()-ROW(A$75)+1))),","),"")</f>
        <v>0</v>
      </c>
      <c r="M130">
        <f t="array" ref="M130">IFERROR(CONCATENATE((INDEX($A$7:$A$73,SMALL(IF($N$7:$N$73&lt;&gt;"",IF($K$7:$K$73&lt;&gt;"",ROW($K$7:$K$73)-MIN(ROW($K$7:$K$73))+1,""),""),ROW()-ROW(A$75)+1))),),"")</f>
        <v>0</v>
      </c>
      <c r="Q130">
        <f t="array" ref="Q130">IFERROR(CONCATENATE((INDEX($T$7:$T$73,SMALL(IF($T$7:$T$73&lt;&gt;"",IF($Q$7:$Q$73&lt;&gt;"",ROW($Q$7:$Q$73)-MIN(ROW($Q$7:$Q$73))+1,""),""),ROW()-ROW(A$75)+1)))," "),"")</f>
        <v>0</v>
      </c>
      <c r="R130">
        <f t="array" ref="R130">IFERROR(CONCATENATE(TEXT(INDEX($Q$7:$Q$73,SMALL(IF($T$7:$T$73&lt;&gt;"",IF($Q$7:$Q$73&lt;&gt;"",ROW($Q$7:$Q$73)-MIN(ROW($Q$7:$Q$73))+1,""),""),ROW()-ROW(A$75)+1)),"##0")," "),"")</f>
        <v>0</v>
      </c>
      <c r="S130">
        <f t="array" ref="S130">IFERROR(CONCATENATE((INDEX($A$7:$A$73,SMALL(IF($T$7:$T$73&lt;&gt;"",IF($Q$7:$Q$73&lt;&gt;"",ROW($Q$7:$Q$73)-MIN(ROW($Q$7:$Q$73))+1,""),""),ROW()-ROW(A$75)+1))),),"")</f>
        <v>0</v>
      </c>
      <c r="W130">
        <f t="array" ref="W130">IFERROR(CONCATENATE((INDEX($Z$7:$Z$73,SMALL(IF($Z$7:$Z$73&lt;&gt;"",IF($W$7:$W$73&lt;&gt;"",ROW($W$7:$W$73)-MIN(ROW($W$7:$W$73))+1,""),""),ROW()-ROW(A$75)+1)))," "),"")</f>
        <v>0</v>
      </c>
      <c r="X130">
        <f t="array" ref="X130">IFERROR(CONCATENATE(TEXT(INDEX($W$7:$W$73,SMALL(IF($Z$7:$Z$73&lt;&gt;"",IF($W$7:$W$73&lt;&gt;"",ROW($W$7:$W$73)-MIN(ROW($W$7:$W$73))+1,""),""),ROW()-ROW(A$75)+1)),"##0")," "),"")</f>
        <v>0</v>
      </c>
      <c r="Y130">
        <f t="array" ref="Y130">IFERROR(CONCATENATE((INDEX($A$7:$A$73,SMALL(IF($Z$7:$Z$73&lt;&gt;"",IF($W$7:$W$73&lt;&gt;"",ROW($W$7:$W$73)-MIN(ROW($W$7:$W$73))+1,""),""),ROW()-ROW(A$75)+1))),),"")</f>
        <v>0</v>
      </c>
      <c r="AC130">
        <f t="array" ref="AC130">IFERROR(CONCATENATE((INDEX($AF$7:$AF$73,SMALL(IF($AF$7:$AF$73&lt;&gt;"",IF($AC$7:$AC$73&lt;&gt;"",ROW($AC$7:$AC$73)-MIN(ROW($AC$7:$AC$73))+1,""),""),ROW()-ROW(A$75)+1))),","),"")</f>
        <v>0</v>
      </c>
      <c r="AD130">
        <f t="array" ref="AD130">IFERROR(CONCATENATE(TEXT(INDEX($AC$7:$AC$73,SMALL(IF($AF$7:$AF$73&lt;&gt;"",IF($AC$7:$AC$73&lt;&gt;"",ROW($AC$7:$AC$73)-MIN(ROW($AC$7:$AC$73))+1,""),""),ROW()-ROW(A$75)+1)),"##0"),","),"")</f>
        <v>0</v>
      </c>
      <c r="AE130">
        <f t="array" ref="AE130">IFERROR(CONCATENATE((INDEX($A$7:$A$73,SMALL(IF($AF$7:$AF$73&lt;&gt;"",IF($AC$7:$AC$73&lt;&gt;"",ROW($AC$7:$AC$73)-MIN(ROW($AC$7:$AC$73))+1,""),""),ROW()-ROW(A$75)+1))),),"")</f>
        <v>0</v>
      </c>
      <c r="AI130">
        <f t="array" ref="AI130">IFERROR(CONCATENATE((INDEX($AL$7:$AL$73,SMALL(IF($AL$7:$AL$73&lt;&gt;"",IF($AI$7:$AI$73&lt;&gt;"",ROW($AI$7:$AI$73)-MIN(ROW($AI$7:$AI$73))+1,""),""),ROW()-ROW(A$75)+1)))," "),"")</f>
        <v>0</v>
      </c>
      <c r="AJ130">
        <f t="array" ref="AJ130">IFERROR(CONCATENATE(TEXT(INDEX($AI$7:$AI$73,SMALL(IF($AL$7:$AL$73&lt;&gt;"",IF($AI$7:$AI$73&lt;&gt;"",ROW($AI$7:$AI$73)-MIN(ROW($AI$7:$AI$73))+1,""),""),ROW()-ROW(A$75)+1)),"##0")," "),"")</f>
        <v>0</v>
      </c>
      <c r="AK130">
        <f t="array" ref="AK130">IFERROR(CONCATENATE((INDEX($A$7:$A$73,SMALL(IF($AL$7:$AL$73&lt;&gt;"",IF($AI$7:$AI$73&lt;&gt;"",ROW($AI$7:$AI$73)-MIN(ROW($AI$7:$AI$73))+1,""),""),ROW()-ROW(A$75)+1))),),"")</f>
        <v>0</v>
      </c>
    </row>
    <row r="131" spans="11:37">
      <c r="K131">
        <f t="array" ref="K131">IFERROR(CONCATENATE(TEXT(INDEX($K$7:$K$73,SMALL(IF($N$7:$N$73&lt;&gt;"",IF($K$7:$K$73&lt;&gt;"",ROW($K$7:$K$73)-MIN(ROW($K$7:$K$73))+1,""),""),ROW()-ROW(A$75)+1)),"##0"),","),"")</f>
        <v>0</v>
      </c>
      <c r="L131">
        <f t="array" ref="L131">IFERROR(CONCATENATE((INDEX($N$7:$N$73,SMALL(IF($N$7:$N$73&lt;&gt;"",IF($K$7:$K$73&lt;&gt;"",ROW($K$7:$K$73)-MIN(ROW($K$7:$K$73))+1,""),""),ROW()-ROW(A$75)+1))),","),"")</f>
        <v>0</v>
      </c>
      <c r="M131">
        <f t="array" ref="M131">IFERROR(CONCATENATE((INDEX($A$7:$A$73,SMALL(IF($N$7:$N$73&lt;&gt;"",IF($K$7:$K$73&lt;&gt;"",ROW($K$7:$K$73)-MIN(ROW($K$7:$K$73))+1,""),""),ROW()-ROW(A$75)+1))),),"")</f>
        <v>0</v>
      </c>
      <c r="Q131">
        <f t="array" ref="Q131">IFERROR(CONCATENATE((INDEX($T$7:$T$73,SMALL(IF($T$7:$T$73&lt;&gt;"",IF($Q$7:$Q$73&lt;&gt;"",ROW($Q$7:$Q$73)-MIN(ROW($Q$7:$Q$73))+1,""),""),ROW()-ROW(A$75)+1)))," "),"")</f>
        <v>0</v>
      </c>
      <c r="R131">
        <f t="array" ref="R131">IFERROR(CONCATENATE(TEXT(INDEX($Q$7:$Q$73,SMALL(IF($T$7:$T$73&lt;&gt;"",IF($Q$7:$Q$73&lt;&gt;"",ROW($Q$7:$Q$73)-MIN(ROW($Q$7:$Q$73))+1,""),""),ROW()-ROW(A$75)+1)),"##0")," "),"")</f>
        <v>0</v>
      </c>
      <c r="S131">
        <f t="array" ref="S131">IFERROR(CONCATENATE((INDEX($A$7:$A$73,SMALL(IF($T$7:$T$73&lt;&gt;"",IF($Q$7:$Q$73&lt;&gt;"",ROW($Q$7:$Q$73)-MIN(ROW($Q$7:$Q$73))+1,""),""),ROW()-ROW(A$75)+1))),),"")</f>
        <v>0</v>
      </c>
      <c r="W131">
        <f t="array" ref="W131">IFERROR(CONCATENATE((INDEX($Z$7:$Z$73,SMALL(IF($Z$7:$Z$73&lt;&gt;"",IF($W$7:$W$73&lt;&gt;"",ROW($W$7:$W$73)-MIN(ROW($W$7:$W$73))+1,""),""),ROW()-ROW(A$75)+1)))," "),"")</f>
        <v>0</v>
      </c>
      <c r="X131">
        <f t="array" ref="X131">IFERROR(CONCATENATE(TEXT(INDEX($W$7:$W$73,SMALL(IF($Z$7:$Z$73&lt;&gt;"",IF($W$7:$W$73&lt;&gt;"",ROW($W$7:$W$73)-MIN(ROW($W$7:$W$73))+1,""),""),ROW()-ROW(A$75)+1)),"##0")," "),"")</f>
        <v>0</v>
      </c>
      <c r="Y131">
        <f t="array" ref="Y131">IFERROR(CONCATENATE((INDEX($A$7:$A$73,SMALL(IF($Z$7:$Z$73&lt;&gt;"",IF($W$7:$W$73&lt;&gt;"",ROW($W$7:$W$73)-MIN(ROW($W$7:$W$73))+1,""),""),ROW()-ROW(A$75)+1))),),"")</f>
        <v>0</v>
      </c>
      <c r="AC131">
        <f t="array" ref="AC131">IFERROR(CONCATENATE((INDEX($AF$7:$AF$73,SMALL(IF($AF$7:$AF$73&lt;&gt;"",IF($AC$7:$AC$73&lt;&gt;"",ROW($AC$7:$AC$73)-MIN(ROW($AC$7:$AC$73))+1,""),""),ROW()-ROW(A$75)+1))),","),"")</f>
        <v>0</v>
      </c>
      <c r="AD131">
        <f t="array" ref="AD131">IFERROR(CONCATENATE(TEXT(INDEX($AC$7:$AC$73,SMALL(IF($AF$7:$AF$73&lt;&gt;"",IF($AC$7:$AC$73&lt;&gt;"",ROW($AC$7:$AC$73)-MIN(ROW($AC$7:$AC$73))+1,""),""),ROW()-ROW(A$75)+1)),"##0"),","),"")</f>
        <v>0</v>
      </c>
      <c r="AE131">
        <f t="array" ref="AE131">IFERROR(CONCATENATE((INDEX($A$7:$A$73,SMALL(IF($AF$7:$AF$73&lt;&gt;"",IF($AC$7:$AC$73&lt;&gt;"",ROW($AC$7:$AC$73)-MIN(ROW($AC$7:$AC$73))+1,""),""),ROW()-ROW(A$75)+1))),),"")</f>
        <v>0</v>
      </c>
      <c r="AI131">
        <f t="array" ref="AI131">IFERROR(CONCATENATE((INDEX($AL$7:$AL$73,SMALL(IF($AL$7:$AL$73&lt;&gt;"",IF($AI$7:$AI$73&lt;&gt;"",ROW($AI$7:$AI$73)-MIN(ROW($AI$7:$AI$73))+1,""),""),ROW()-ROW(A$75)+1)))," "),"")</f>
        <v>0</v>
      </c>
      <c r="AJ131">
        <f t="array" ref="AJ131">IFERROR(CONCATENATE(TEXT(INDEX($AI$7:$AI$73,SMALL(IF($AL$7:$AL$73&lt;&gt;"",IF($AI$7:$AI$73&lt;&gt;"",ROW($AI$7:$AI$73)-MIN(ROW($AI$7:$AI$73))+1,""),""),ROW()-ROW(A$75)+1)),"##0")," "),"")</f>
        <v>0</v>
      </c>
      <c r="AK131">
        <f t="array" ref="AK131">IFERROR(CONCATENATE((INDEX($A$7:$A$73,SMALL(IF($AL$7:$AL$73&lt;&gt;"",IF($AI$7:$AI$73&lt;&gt;"",ROW($AI$7:$AI$73)-MIN(ROW($AI$7:$AI$73))+1,""),""),ROW()-ROW(A$75)+1))),),"")</f>
        <v>0</v>
      </c>
    </row>
    <row r="132" spans="11:37">
      <c r="K132">
        <f t="array" ref="K132">IFERROR(CONCATENATE(TEXT(INDEX($K$7:$K$73,SMALL(IF($N$7:$N$73&lt;&gt;"",IF($K$7:$K$73&lt;&gt;"",ROW($K$7:$K$73)-MIN(ROW($K$7:$K$73))+1,""),""),ROW()-ROW(A$75)+1)),"##0"),","),"")</f>
        <v>0</v>
      </c>
      <c r="L132">
        <f t="array" ref="L132">IFERROR(CONCATENATE((INDEX($N$7:$N$73,SMALL(IF($N$7:$N$73&lt;&gt;"",IF($K$7:$K$73&lt;&gt;"",ROW($K$7:$K$73)-MIN(ROW($K$7:$K$73))+1,""),""),ROW()-ROW(A$75)+1))),","),"")</f>
        <v>0</v>
      </c>
      <c r="M132">
        <f t="array" ref="M132">IFERROR(CONCATENATE((INDEX($A$7:$A$73,SMALL(IF($N$7:$N$73&lt;&gt;"",IF($K$7:$K$73&lt;&gt;"",ROW($K$7:$K$73)-MIN(ROW($K$7:$K$73))+1,""),""),ROW()-ROW(A$75)+1))),),"")</f>
        <v>0</v>
      </c>
      <c r="Q132">
        <f t="array" ref="Q132">IFERROR(CONCATENATE((INDEX($T$7:$T$73,SMALL(IF($T$7:$T$73&lt;&gt;"",IF($Q$7:$Q$73&lt;&gt;"",ROW($Q$7:$Q$73)-MIN(ROW($Q$7:$Q$73))+1,""),""),ROW()-ROW(A$75)+1)))," "),"")</f>
        <v>0</v>
      </c>
      <c r="R132">
        <f t="array" ref="R132">IFERROR(CONCATENATE(TEXT(INDEX($Q$7:$Q$73,SMALL(IF($T$7:$T$73&lt;&gt;"",IF($Q$7:$Q$73&lt;&gt;"",ROW($Q$7:$Q$73)-MIN(ROW($Q$7:$Q$73))+1,""),""),ROW()-ROW(A$75)+1)),"##0")," "),"")</f>
        <v>0</v>
      </c>
      <c r="S132">
        <f t="array" ref="S132">IFERROR(CONCATENATE((INDEX($A$7:$A$73,SMALL(IF($T$7:$T$73&lt;&gt;"",IF($Q$7:$Q$73&lt;&gt;"",ROW($Q$7:$Q$73)-MIN(ROW($Q$7:$Q$73))+1,""),""),ROW()-ROW(A$75)+1))),),"")</f>
        <v>0</v>
      </c>
      <c r="W132">
        <f t="array" ref="W132">IFERROR(CONCATENATE((INDEX($Z$7:$Z$73,SMALL(IF($Z$7:$Z$73&lt;&gt;"",IF($W$7:$W$73&lt;&gt;"",ROW($W$7:$W$73)-MIN(ROW($W$7:$W$73))+1,""),""),ROW()-ROW(A$75)+1)))," "),"")</f>
        <v>0</v>
      </c>
      <c r="X132">
        <f t="array" ref="X132">IFERROR(CONCATENATE(TEXT(INDEX($W$7:$W$73,SMALL(IF($Z$7:$Z$73&lt;&gt;"",IF($W$7:$W$73&lt;&gt;"",ROW($W$7:$W$73)-MIN(ROW($W$7:$W$73))+1,""),""),ROW()-ROW(A$75)+1)),"##0")," "),"")</f>
        <v>0</v>
      </c>
      <c r="Y132">
        <f t="array" ref="Y132">IFERROR(CONCATENATE((INDEX($A$7:$A$73,SMALL(IF($Z$7:$Z$73&lt;&gt;"",IF($W$7:$W$73&lt;&gt;"",ROW($W$7:$W$73)-MIN(ROW($W$7:$W$73))+1,""),""),ROW()-ROW(A$75)+1))),),"")</f>
        <v>0</v>
      </c>
      <c r="AC132">
        <f t="array" ref="AC132">IFERROR(CONCATENATE((INDEX($AF$7:$AF$73,SMALL(IF($AF$7:$AF$73&lt;&gt;"",IF($AC$7:$AC$73&lt;&gt;"",ROW($AC$7:$AC$73)-MIN(ROW($AC$7:$AC$73))+1,""),""),ROW()-ROW(A$75)+1))),","),"")</f>
        <v>0</v>
      </c>
      <c r="AD132">
        <f t="array" ref="AD132">IFERROR(CONCATENATE(TEXT(INDEX($AC$7:$AC$73,SMALL(IF($AF$7:$AF$73&lt;&gt;"",IF($AC$7:$AC$73&lt;&gt;"",ROW($AC$7:$AC$73)-MIN(ROW($AC$7:$AC$73))+1,""),""),ROW()-ROW(A$75)+1)),"##0"),","),"")</f>
        <v>0</v>
      </c>
      <c r="AE132">
        <f t="array" ref="AE132">IFERROR(CONCATENATE((INDEX($A$7:$A$73,SMALL(IF($AF$7:$AF$73&lt;&gt;"",IF($AC$7:$AC$73&lt;&gt;"",ROW($AC$7:$AC$73)-MIN(ROW($AC$7:$AC$73))+1,""),""),ROW()-ROW(A$75)+1))),),"")</f>
        <v>0</v>
      </c>
      <c r="AI132">
        <f t="array" ref="AI132">IFERROR(CONCATENATE((INDEX($AL$7:$AL$73,SMALL(IF($AL$7:$AL$73&lt;&gt;"",IF($AI$7:$AI$73&lt;&gt;"",ROW($AI$7:$AI$73)-MIN(ROW($AI$7:$AI$73))+1,""),""),ROW()-ROW(A$75)+1)))," "),"")</f>
        <v>0</v>
      </c>
      <c r="AJ132">
        <f t="array" ref="AJ132">IFERROR(CONCATENATE(TEXT(INDEX($AI$7:$AI$73,SMALL(IF($AL$7:$AL$73&lt;&gt;"",IF($AI$7:$AI$73&lt;&gt;"",ROW($AI$7:$AI$73)-MIN(ROW($AI$7:$AI$73))+1,""),""),ROW()-ROW(A$75)+1)),"##0")," "),"")</f>
        <v>0</v>
      </c>
      <c r="AK132">
        <f t="array" ref="AK132">IFERROR(CONCATENATE((INDEX($A$7:$A$73,SMALL(IF($AL$7:$AL$73&lt;&gt;"",IF($AI$7:$AI$73&lt;&gt;"",ROW($AI$7:$AI$73)-MIN(ROW($AI$7:$AI$73))+1,""),""),ROW()-ROW(A$75)+1))),),"")</f>
        <v>0</v>
      </c>
    </row>
    <row r="133" spans="11:37">
      <c r="K133">
        <f t="array" ref="K133">IFERROR(CONCATENATE(TEXT(INDEX($K$7:$K$73,SMALL(IF($N$7:$N$73&lt;&gt;"",IF($K$7:$K$73&lt;&gt;"",ROW($K$7:$K$73)-MIN(ROW($K$7:$K$73))+1,""),""),ROW()-ROW(A$75)+1)),"##0"),","),"")</f>
        <v>0</v>
      </c>
      <c r="L133">
        <f t="array" ref="L133">IFERROR(CONCATENATE((INDEX($N$7:$N$73,SMALL(IF($N$7:$N$73&lt;&gt;"",IF($K$7:$K$73&lt;&gt;"",ROW($K$7:$K$73)-MIN(ROW($K$7:$K$73))+1,""),""),ROW()-ROW(A$75)+1))),","),"")</f>
        <v>0</v>
      </c>
      <c r="M133">
        <f t="array" ref="M133">IFERROR(CONCATENATE((INDEX($A$7:$A$73,SMALL(IF($N$7:$N$73&lt;&gt;"",IF($K$7:$K$73&lt;&gt;"",ROW($K$7:$K$73)-MIN(ROW($K$7:$K$73))+1,""),""),ROW()-ROW(A$75)+1))),),"")</f>
        <v>0</v>
      </c>
      <c r="Q133">
        <f t="array" ref="Q133">IFERROR(CONCATENATE((INDEX($T$7:$T$73,SMALL(IF($T$7:$T$73&lt;&gt;"",IF($Q$7:$Q$73&lt;&gt;"",ROW($Q$7:$Q$73)-MIN(ROW($Q$7:$Q$73))+1,""),""),ROW()-ROW(A$75)+1)))," "),"")</f>
        <v>0</v>
      </c>
      <c r="R133">
        <f t="array" ref="R133">IFERROR(CONCATENATE(TEXT(INDEX($Q$7:$Q$73,SMALL(IF($T$7:$T$73&lt;&gt;"",IF($Q$7:$Q$73&lt;&gt;"",ROW($Q$7:$Q$73)-MIN(ROW($Q$7:$Q$73))+1,""),""),ROW()-ROW(A$75)+1)),"##0")," "),"")</f>
        <v>0</v>
      </c>
      <c r="S133">
        <f t="array" ref="S133">IFERROR(CONCATENATE((INDEX($A$7:$A$73,SMALL(IF($T$7:$T$73&lt;&gt;"",IF($Q$7:$Q$73&lt;&gt;"",ROW($Q$7:$Q$73)-MIN(ROW($Q$7:$Q$73))+1,""),""),ROW()-ROW(A$75)+1))),),"")</f>
        <v>0</v>
      </c>
      <c r="W133">
        <f t="array" ref="W133">IFERROR(CONCATENATE((INDEX($Z$7:$Z$73,SMALL(IF($Z$7:$Z$73&lt;&gt;"",IF($W$7:$W$73&lt;&gt;"",ROW($W$7:$W$73)-MIN(ROW($W$7:$W$73))+1,""),""),ROW()-ROW(A$75)+1)))," "),"")</f>
        <v>0</v>
      </c>
      <c r="X133">
        <f t="array" ref="X133">IFERROR(CONCATENATE(TEXT(INDEX($W$7:$W$73,SMALL(IF($Z$7:$Z$73&lt;&gt;"",IF($W$7:$W$73&lt;&gt;"",ROW($W$7:$W$73)-MIN(ROW($W$7:$W$73))+1,""),""),ROW()-ROW(A$75)+1)),"##0")," "),"")</f>
        <v>0</v>
      </c>
      <c r="Y133">
        <f t="array" ref="Y133">IFERROR(CONCATENATE((INDEX($A$7:$A$73,SMALL(IF($Z$7:$Z$73&lt;&gt;"",IF($W$7:$W$73&lt;&gt;"",ROW($W$7:$W$73)-MIN(ROW($W$7:$W$73))+1,""),""),ROW()-ROW(A$75)+1))),),"")</f>
        <v>0</v>
      </c>
      <c r="AC133">
        <f t="array" ref="AC133">IFERROR(CONCATENATE((INDEX($AF$7:$AF$73,SMALL(IF($AF$7:$AF$73&lt;&gt;"",IF($AC$7:$AC$73&lt;&gt;"",ROW($AC$7:$AC$73)-MIN(ROW($AC$7:$AC$73))+1,""),""),ROW()-ROW(A$75)+1))),","),"")</f>
        <v>0</v>
      </c>
      <c r="AD133">
        <f t="array" ref="AD133">IFERROR(CONCATENATE(TEXT(INDEX($AC$7:$AC$73,SMALL(IF($AF$7:$AF$73&lt;&gt;"",IF($AC$7:$AC$73&lt;&gt;"",ROW($AC$7:$AC$73)-MIN(ROW($AC$7:$AC$73))+1,""),""),ROW()-ROW(A$75)+1)),"##0"),","),"")</f>
        <v>0</v>
      </c>
      <c r="AE133">
        <f t="array" ref="AE133">IFERROR(CONCATENATE((INDEX($A$7:$A$73,SMALL(IF($AF$7:$AF$73&lt;&gt;"",IF($AC$7:$AC$73&lt;&gt;"",ROW($AC$7:$AC$73)-MIN(ROW($AC$7:$AC$73))+1,""),""),ROW()-ROW(A$75)+1))),),"")</f>
        <v>0</v>
      </c>
      <c r="AI133">
        <f t="array" ref="AI133">IFERROR(CONCATENATE((INDEX($AL$7:$AL$73,SMALL(IF($AL$7:$AL$73&lt;&gt;"",IF($AI$7:$AI$73&lt;&gt;"",ROW($AI$7:$AI$73)-MIN(ROW($AI$7:$AI$73))+1,""),""),ROW()-ROW(A$75)+1)))," "),"")</f>
        <v>0</v>
      </c>
      <c r="AJ133">
        <f t="array" ref="AJ133">IFERROR(CONCATENATE(TEXT(INDEX($AI$7:$AI$73,SMALL(IF($AL$7:$AL$73&lt;&gt;"",IF($AI$7:$AI$73&lt;&gt;"",ROW($AI$7:$AI$73)-MIN(ROW($AI$7:$AI$73))+1,""),""),ROW()-ROW(A$75)+1)),"##0")," "),"")</f>
        <v>0</v>
      </c>
      <c r="AK133">
        <f t="array" ref="AK133">IFERROR(CONCATENATE((INDEX($A$7:$A$73,SMALL(IF($AL$7:$AL$73&lt;&gt;"",IF($AI$7:$AI$73&lt;&gt;"",ROW($AI$7:$AI$73)-MIN(ROW($AI$7:$AI$73))+1,""),""),ROW()-ROW(A$75)+1))),),"")</f>
        <v>0</v>
      </c>
    </row>
    <row r="134" spans="11:37">
      <c r="K134">
        <f t="array" ref="K134">IFERROR(CONCATENATE(TEXT(INDEX($K$7:$K$73,SMALL(IF($N$7:$N$73&lt;&gt;"",IF($K$7:$K$73&lt;&gt;"",ROW($K$7:$K$73)-MIN(ROW($K$7:$K$73))+1,""),""),ROW()-ROW(A$75)+1)),"##0"),","),"")</f>
        <v>0</v>
      </c>
      <c r="L134">
        <f t="array" ref="L134">IFERROR(CONCATENATE((INDEX($N$7:$N$73,SMALL(IF($N$7:$N$73&lt;&gt;"",IF($K$7:$K$73&lt;&gt;"",ROW($K$7:$K$73)-MIN(ROW($K$7:$K$73))+1,""),""),ROW()-ROW(A$75)+1))),","),"")</f>
        <v>0</v>
      </c>
      <c r="M134">
        <f t="array" ref="M134">IFERROR(CONCATENATE((INDEX($A$7:$A$73,SMALL(IF($N$7:$N$73&lt;&gt;"",IF($K$7:$K$73&lt;&gt;"",ROW($K$7:$K$73)-MIN(ROW($K$7:$K$73))+1,""),""),ROW()-ROW(A$75)+1))),),"")</f>
        <v>0</v>
      </c>
      <c r="Q134">
        <f t="array" ref="Q134">IFERROR(CONCATENATE((INDEX($T$7:$T$73,SMALL(IF($T$7:$T$73&lt;&gt;"",IF($Q$7:$Q$73&lt;&gt;"",ROW($Q$7:$Q$73)-MIN(ROW($Q$7:$Q$73))+1,""),""),ROW()-ROW(A$75)+1)))," "),"")</f>
        <v>0</v>
      </c>
      <c r="R134">
        <f t="array" ref="R134">IFERROR(CONCATENATE(TEXT(INDEX($Q$7:$Q$73,SMALL(IF($T$7:$T$73&lt;&gt;"",IF($Q$7:$Q$73&lt;&gt;"",ROW($Q$7:$Q$73)-MIN(ROW($Q$7:$Q$73))+1,""),""),ROW()-ROW(A$75)+1)),"##0")," "),"")</f>
        <v>0</v>
      </c>
      <c r="S134">
        <f t="array" ref="S134">IFERROR(CONCATENATE((INDEX($A$7:$A$73,SMALL(IF($T$7:$T$73&lt;&gt;"",IF($Q$7:$Q$73&lt;&gt;"",ROW($Q$7:$Q$73)-MIN(ROW($Q$7:$Q$73))+1,""),""),ROW()-ROW(A$75)+1))),),"")</f>
        <v>0</v>
      </c>
      <c r="W134">
        <f t="array" ref="W134">IFERROR(CONCATENATE((INDEX($Z$7:$Z$73,SMALL(IF($Z$7:$Z$73&lt;&gt;"",IF($W$7:$W$73&lt;&gt;"",ROW($W$7:$W$73)-MIN(ROW($W$7:$W$73))+1,""),""),ROW()-ROW(A$75)+1)))," "),"")</f>
        <v>0</v>
      </c>
      <c r="X134">
        <f t="array" ref="X134">IFERROR(CONCATENATE(TEXT(INDEX($W$7:$W$73,SMALL(IF($Z$7:$Z$73&lt;&gt;"",IF($W$7:$W$73&lt;&gt;"",ROW($W$7:$W$73)-MIN(ROW($W$7:$W$73))+1,""),""),ROW()-ROW(A$75)+1)),"##0")," "),"")</f>
        <v>0</v>
      </c>
      <c r="Y134">
        <f t="array" ref="Y134">IFERROR(CONCATENATE((INDEX($A$7:$A$73,SMALL(IF($Z$7:$Z$73&lt;&gt;"",IF($W$7:$W$73&lt;&gt;"",ROW($W$7:$W$73)-MIN(ROW($W$7:$W$73))+1,""),""),ROW()-ROW(A$75)+1))),),"")</f>
        <v>0</v>
      </c>
      <c r="AC134">
        <f t="array" ref="AC134">IFERROR(CONCATENATE((INDEX($AF$7:$AF$73,SMALL(IF($AF$7:$AF$73&lt;&gt;"",IF($AC$7:$AC$73&lt;&gt;"",ROW($AC$7:$AC$73)-MIN(ROW($AC$7:$AC$73))+1,""),""),ROW()-ROW(A$75)+1))),","),"")</f>
        <v>0</v>
      </c>
      <c r="AD134">
        <f t="array" ref="AD134">IFERROR(CONCATENATE(TEXT(INDEX($AC$7:$AC$73,SMALL(IF($AF$7:$AF$73&lt;&gt;"",IF($AC$7:$AC$73&lt;&gt;"",ROW($AC$7:$AC$73)-MIN(ROW($AC$7:$AC$73))+1,""),""),ROW()-ROW(A$75)+1)),"##0"),","),"")</f>
        <v>0</v>
      </c>
      <c r="AE134">
        <f t="array" ref="AE134">IFERROR(CONCATENATE((INDEX($A$7:$A$73,SMALL(IF($AF$7:$AF$73&lt;&gt;"",IF($AC$7:$AC$73&lt;&gt;"",ROW($AC$7:$AC$73)-MIN(ROW($AC$7:$AC$73))+1,""),""),ROW()-ROW(A$75)+1))),),"")</f>
        <v>0</v>
      </c>
      <c r="AI134">
        <f t="array" ref="AI134">IFERROR(CONCATENATE((INDEX($AL$7:$AL$73,SMALL(IF($AL$7:$AL$73&lt;&gt;"",IF($AI$7:$AI$73&lt;&gt;"",ROW($AI$7:$AI$73)-MIN(ROW($AI$7:$AI$73))+1,""),""),ROW()-ROW(A$75)+1)))," "),"")</f>
        <v>0</v>
      </c>
      <c r="AJ134">
        <f t="array" ref="AJ134">IFERROR(CONCATENATE(TEXT(INDEX($AI$7:$AI$73,SMALL(IF($AL$7:$AL$73&lt;&gt;"",IF($AI$7:$AI$73&lt;&gt;"",ROW($AI$7:$AI$73)-MIN(ROW($AI$7:$AI$73))+1,""),""),ROW()-ROW(A$75)+1)),"##0")," "),"")</f>
        <v>0</v>
      </c>
      <c r="AK134">
        <f t="array" ref="AK134">IFERROR(CONCATENATE((INDEX($A$7:$A$73,SMALL(IF($AL$7:$AL$73&lt;&gt;"",IF($AI$7:$AI$73&lt;&gt;"",ROW($AI$7:$AI$73)-MIN(ROW($AI$7:$AI$73))+1,""),""),ROW()-ROW(A$75)+1))),),"")</f>
        <v>0</v>
      </c>
    </row>
    <row r="135" spans="11:37">
      <c r="K135">
        <f t="array" ref="K135">IFERROR(CONCATENATE(TEXT(INDEX($K$7:$K$73,SMALL(IF($N$7:$N$73&lt;&gt;"",IF($K$7:$K$73&lt;&gt;"",ROW($K$7:$K$73)-MIN(ROW($K$7:$K$73))+1,""),""),ROW()-ROW(A$75)+1)),"##0"),","),"")</f>
        <v>0</v>
      </c>
      <c r="L135">
        <f t="array" ref="L135">IFERROR(CONCATENATE((INDEX($N$7:$N$73,SMALL(IF($N$7:$N$73&lt;&gt;"",IF($K$7:$K$73&lt;&gt;"",ROW($K$7:$K$73)-MIN(ROW($K$7:$K$73))+1,""),""),ROW()-ROW(A$75)+1))),","),"")</f>
        <v>0</v>
      </c>
      <c r="M135">
        <f t="array" ref="M135">IFERROR(CONCATENATE((INDEX($A$7:$A$73,SMALL(IF($N$7:$N$73&lt;&gt;"",IF($K$7:$K$73&lt;&gt;"",ROW($K$7:$K$73)-MIN(ROW($K$7:$K$73))+1,""),""),ROW()-ROW(A$75)+1))),),"")</f>
        <v>0</v>
      </c>
      <c r="Q135">
        <f t="array" ref="Q135">IFERROR(CONCATENATE((INDEX($T$7:$T$73,SMALL(IF($T$7:$T$73&lt;&gt;"",IF($Q$7:$Q$73&lt;&gt;"",ROW($Q$7:$Q$73)-MIN(ROW($Q$7:$Q$73))+1,""),""),ROW()-ROW(A$75)+1)))," "),"")</f>
        <v>0</v>
      </c>
      <c r="R135">
        <f t="array" ref="R135">IFERROR(CONCATENATE(TEXT(INDEX($Q$7:$Q$73,SMALL(IF($T$7:$T$73&lt;&gt;"",IF($Q$7:$Q$73&lt;&gt;"",ROW($Q$7:$Q$73)-MIN(ROW($Q$7:$Q$73))+1,""),""),ROW()-ROW(A$75)+1)),"##0")," "),"")</f>
        <v>0</v>
      </c>
      <c r="S135">
        <f t="array" ref="S135">IFERROR(CONCATENATE((INDEX($A$7:$A$73,SMALL(IF($T$7:$T$73&lt;&gt;"",IF($Q$7:$Q$73&lt;&gt;"",ROW($Q$7:$Q$73)-MIN(ROW($Q$7:$Q$73))+1,""),""),ROW()-ROW(A$75)+1))),),"")</f>
        <v>0</v>
      </c>
      <c r="W135">
        <f t="array" ref="W135">IFERROR(CONCATENATE((INDEX($Z$7:$Z$73,SMALL(IF($Z$7:$Z$73&lt;&gt;"",IF($W$7:$W$73&lt;&gt;"",ROW($W$7:$W$73)-MIN(ROW($W$7:$W$73))+1,""),""),ROW()-ROW(A$75)+1)))," "),"")</f>
        <v>0</v>
      </c>
      <c r="X135">
        <f t="array" ref="X135">IFERROR(CONCATENATE(TEXT(INDEX($W$7:$W$73,SMALL(IF($Z$7:$Z$73&lt;&gt;"",IF($W$7:$W$73&lt;&gt;"",ROW($W$7:$W$73)-MIN(ROW($W$7:$W$73))+1,""),""),ROW()-ROW(A$75)+1)),"##0")," "),"")</f>
        <v>0</v>
      </c>
      <c r="Y135">
        <f t="array" ref="Y135">IFERROR(CONCATENATE((INDEX($A$7:$A$73,SMALL(IF($Z$7:$Z$73&lt;&gt;"",IF($W$7:$W$73&lt;&gt;"",ROW($W$7:$W$73)-MIN(ROW($W$7:$W$73))+1,""),""),ROW()-ROW(A$75)+1))),),"")</f>
        <v>0</v>
      </c>
      <c r="AC135">
        <f t="array" ref="AC135">IFERROR(CONCATENATE((INDEX($AF$7:$AF$73,SMALL(IF($AF$7:$AF$73&lt;&gt;"",IF($AC$7:$AC$73&lt;&gt;"",ROW($AC$7:$AC$73)-MIN(ROW($AC$7:$AC$73))+1,""),""),ROW()-ROW(A$75)+1))),","),"")</f>
        <v>0</v>
      </c>
      <c r="AD135">
        <f t="array" ref="AD135">IFERROR(CONCATENATE(TEXT(INDEX($AC$7:$AC$73,SMALL(IF($AF$7:$AF$73&lt;&gt;"",IF($AC$7:$AC$73&lt;&gt;"",ROW($AC$7:$AC$73)-MIN(ROW($AC$7:$AC$73))+1,""),""),ROW()-ROW(A$75)+1)),"##0"),","),"")</f>
        <v>0</v>
      </c>
      <c r="AE135">
        <f t="array" ref="AE135">IFERROR(CONCATENATE((INDEX($A$7:$A$73,SMALL(IF($AF$7:$AF$73&lt;&gt;"",IF($AC$7:$AC$73&lt;&gt;"",ROW($AC$7:$AC$73)-MIN(ROW($AC$7:$AC$73))+1,""),""),ROW()-ROW(A$75)+1))),),"")</f>
        <v>0</v>
      </c>
      <c r="AI135">
        <f t="array" ref="AI135">IFERROR(CONCATENATE((INDEX($AL$7:$AL$73,SMALL(IF($AL$7:$AL$73&lt;&gt;"",IF($AI$7:$AI$73&lt;&gt;"",ROW($AI$7:$AI$73)-MIN(ROW($AI$7:$AI$73))+1,""),""),ROW()-ROW(A$75)+1)))," "),"")</f>
        <v>0</v>
      </c>
      <c r="AJ135">
        <f t="array" ref="AJ135">IFERROR(CONCATENATE(TEXT(INDEX($AI$7:$AI$73,SMALL(IF($AL$7:$AL$73&lt;&gt;"",IF($AI$7:$AI$73&lt;&gt;"",ROW($AI$7:$AI$73)-MIN(ROW($AI$7:$AI$73))+1,""),""),ROW()-ROW(A$75)+1)),"##0")," "),"")</f>
        <v>0</v>
      </c>
      <c r="AK135">
        <f t="array" ref="AK135">IFERROR(CONCATENATE((INDEX($A$7:$A$73,SMALL(IF($AL$7:$AL$73&lt;&gt;"",IF($AI$7:$AI$73&lt;&gt;"",ROW($AI$7:$AI$73)-MIN(ROW($AI$7:$AI$73))+1,""),""),ROW()-ROW(A$75)+1))),),"")</f>
        <v>0</v>
      </c>
    </row>
    <row r="136" spans="11:37">
      <c r="K136">
        <f t="array" ref="K136">IFERROR(CONCATENATE(TEXT(INDEX($K$7:$K$73,SMALL(IF($N$7:$N$73&lt;&gt;"",IF($K$7:$K$73&lt;&gt;"",ROW($K$7:$K$73)-MIN(ROW($K$7:$K$73))+1,""),""),ROW()-ROW(A$75)+1)),"##0"),","),"")</f>
        <v>0</v>
      </c>
      <c r="L136">
        <f t="array" ref="L136">IFERROR(CONCATENATE((INDEX($N$7:$N$73,SMALL(IF($N$7:$N$73&lt;&gt;"",IF($K$7:$K$73&lt;&gt;"",ROW($K$7:$K$73)-MIN(ROW($K$7:$K$73))+1,""),""),ROW()-ROW(A$75)+1))),","),"")</f>
        <v>0</v>
      </c>
      <c r="M136">
        <f t="array" ref="M136">IFERROR(CONCATENATE((INDEX($A$7:$A$73,SMALL(IF($N$7:$N$73&lt;&gt;"",IF($K$7:$K$73&lt;&gt;"",ROW($K$7:$K$73)-MIN(ROW($K$7:$K$73))+1,""),""),ROW()-ROW(A$75)+1))),),"")</f>
        <v>0</v>
      </c>
      <c r="Q136">
        <f t="array" ref="Q136">IFERROR(CONCATENATE((INDEX($T$7:$T$73,SMALL(IF($T$7:$T$73&lt;&gt;"",IF($Q$7:$Q$73&lt;&gt;"",ROW($Q$7:$Q$73)-MIN(ROW($Q$7:$Q$73))+1,""),""),ROW()-ROW(A$75)+1)))," "),"")</f>
        <v>0</v>
      </c>
      <c r="R136">
        <f t="array" ref="R136">IFERROR(CONCATENATE(TEXT(INDEX($Q$7:$Q$73,SMALL(IF($T$7:$T$73&lt;&gt;"",IF($Q$7:$Q$73&lt;&gt;"",ROW($Q$7:$Q$73)-MIN(ROW($Q$7:$Q$73))+1,""),""),ROW()-ROW(A$75)+1)),"##0")," "),"")</f>
        <v>0</v>
      </c>
      <c r="S136">
        <f t="array" ref="S136">IFERROR(CONCATENATE((INDEX($A$7:$A$73,SMALL(IF($T$7:$T$73&lt;&gt;"",IF($Q$7:$Q$73&lt;&gt;"",ROW($Q$7:$Q$73)-MIN(ROW($Q$7:$Q$73))+1,""),""),ROW()-ROW(A$75)+1))),),"")</f>
        <v>0</v>
      </c>
      <c r="W136">
        <f t="array" ref="W136">IFERROR(CONCATENATE((INDEX($Z$7:$Z$73,SMALL(IF($Z$7:$Z$73&lt;&gt;"",IF($W$7:$W$73&lt;&gt;"",ROW($W$7:$W$73)-MIN(ROW($W$7:$W$73))+1,""),""),ROW()-ROW(A$75)+1)))," "),"")</f>
        <v>0</v>
      </c>
      <c r="X136">
        <f t="array" ref="X136">IFERROR(CONCATENATE(TEXT(INDEX($W$7:$W$73,SMALL(IF($Z$7:$Z$73&lt;&gt;"",IF($W$7:$W$73&lt;&gt;"",ROW($W$7:$W$73)-MIN(ROW($W$7:$W$73))+1,""),""),ROW()-ROW(A$75)+1)),"##0")," "),"")</f>
        <v>0</v>
      </c>
      <c r="Y136">
        <f t="array" ref="Y136">IFERROR(CONCATENATE((INDEX($A$7:$A$73,SMALL(IF($Z$7:$Z$73&lt;&gt;"",IF($W$7:$W$73&lt;&gt;"",ROW($W$7:$W$73)-MIN(ROW($W$7:$W$73))+1,""),""),ROW()-ROW(A$75)+1))),),"")</f>
        <v>0</v>
      </c>
      <c r="AC136">
        <f t="array" ref="AC136">IFERROR(CONCATENATE((INDEX($AF$7:$AF$73,SMALL(IF($AF$7:$AF$73&lt;&gt;"",IF($AC$7:$AC$73&lt;&gt;"",ROW($AC$7:$AC$73)-MIN(ROW($AC$7:$AC$73))+1,""),""),ROW()-ROW(A$75)+1))),","),"")</f>
        <v>0</v>
      </c>
      <c r="AD136">
        <f t="array" ref="AD136">IFERROR(CONCATENATE(TEXT(INDEX($AC$7:$AC$73,SMALL(IF($AF$7:$AF$73&lt;&gt;"",IF($AC$7:$AC$73&lt;&gt;"",ROW($AC$7:$AC$73)-MIN(ROW($AC$7:$AC$73))+1,""),""),ROW()-ROW(A$75)+1)),"##0"),","),"")</f>
        <v>0</v>
      </c>
      <c r="AE136">
        <f t="array" ref="AE136">IFERROR(CONCATENATE((INDEX($A$7:$A$73,SMALL(IF($AF$7:$AF$73&lt;&gt;"",IF($AC$7:$AC$73&lt;&gt;"",ROW($AC$7:$AC$73)-MIN(ROW($AC$7:$AC$73))+1,""),""),ROW()-ROW(A$75)+1))),),"")</f>
        <v>0</v>
      </c>
      <c r="AI136">
        <f t="array" ref="AI136">IFERROR(CONCATENATE((INDEX($AL$7:$AL$73,SMALL(IF($AL$7:$AL$73&lt;&gt;"",IF($AI$7:$AI$73&lt;&gt;"",ROW($AI$7:$AI$73)-MIN(ROW($AI$7:$AI$73))+1,""),""),ROW()-ROW(A$75)+1)))," "),"")</f>
        <v>0</v>
      </c>
      <c r="AJ136">
        <f t="array" ref="AJ136">IFERROR(CONCATENATE(TEXT(INDEX($AI$7:$AI$73,SMALL(IF($AL$7:$AL$73&lt;&gt;"",IF($AI$7:$AI$73&lt;&gt;"",ROW($AI$7:$AI$73)-MIN(ROW($AI$7:$AI$73))+1,""),""),ROW()-ROW(A$75)+1)),"##0")," "),"")</f>
        <v>0</v>
      </c>
      <c r="AK136">
        <f t="array" ref="AK136">IFERROR(CONCATENATE((INDEX($A$7:$A$73,SMALL(IF($AL$7:$AL$73&lt;&gt;"",IF($AI$7:$AI$73&lt;&gt;"",ROW($AI$7:$AI$73)-MIN(ROW($AI$7:$AI$73))+1,""),""),ROW()-ROW(A$75)+1))),),"")</f>
        <v>0</v>
      </c>
    </row>
    <row r="137" spans="11:37">
      <c r="K137">
        <f t="array" ref="K137">IFERROR(CONCATENATE(TEXT(INDEX($K$7:$K$73,SMALL(IF($N$7:$N$73&lt;&gt;"",IF($K$7:$K$73&lt;&gt;"",ROW($K$7:$K$73)-MIN(ROW($K$7:$K$73))+1,""),""),ROW()-ROW(A$75)+1)),"##0"),","),"")</f>
        <v>0</v>
      </c>
      <c r="L137">
        <f t="array" ref="L137">IFERROR(CONCATENATE((INDEX($N$7:$N$73,SMALL(IF($N$7:$N$73&lt;&gt;"",IF($K$7:$K$73&lt;&gt;"",ROW($K$7:$K$73)-MIN(ROW($K$7:$K$73))+1,""),""),ROW()-ROW(A$75)+1))),","),"")</f>
        <v>0</v>
      </c>
      <c r="M137">
        <f t="array" ref="M137">IFERROR(CONCATENATE((INDEX($A$7:$A$73,SMALL(IF($N$7:$N$73&lt;&gt;"",IF($K$7:$K$73&lt;&gt;"",ROW($K$7:$K$73)-MIN(ROW($K$7:$K$73))+1,""),""),ROW()-ROW(A$75)+1))),),"")</f>
        <v>0</v>
      </c>
      <c r="Q137">
        <f t="array" ref="Q137">IFERROR(CONCATENATE((INDEX($T$7:$T$73,SMALL(IF($T$7:$T$73&lt;&gt;"",IF($Q$7:$Q$73&lt;&gt;"",ROW($Q$7:$Q$73)-MIN(ROW($Q$7:$Q$73))+1,""),""),ROW()-ROW(A$75)+1)))," "),"")</f>
        <v>0</v>
      </c>
      <c r="R137">
        <f t="array" ref="R137">IFERROR(CONCATENATE(TEXT(INDEX($Q$7:$Q$73,SMALL(IF($T$7:$T$73&lt;&gt;"",IF($Q$7:$Q$73&lt;&gt;"",ROW($Q$7:$Q$73)-MIN(ROW($Q$7:$Q$73))+1,""),""),ROW()-ROW(A$75)+1)),"##0")," "),"")</f>
        <v>0</v>
      </c>
      <c r="S137">
        <f t="array" ref="S137">IFERROR(CONCATENATE((INDEX($A$7:$A$73,SMALL(IF($T$7:$T$73&lt;&gt;"",IF($Q$7:$Q$73&lt;&gt;"",ROW($Q$7:$Q$73)-MIN(ROW($Q$7:$Q$73))+1,""),""),ROW()-ROW(A$75)+1))),),"")</f>
        <v>0</v>
      </c>
      <c r="W137">
        <f t="array" ref="W137">IFERROR(CONCATENATE((INDEX($Z$7:$Z$73,SMALL(IF($Z$7:$Z$73&lt;&gt;"",IF($W$7:$W$73&lt;&gt;"",ROW($W$7:$W$73)-MIN(ROW($W$7:$W$73))+1,""),""),ROW()-ROW(A$75)+1)))," "),"")</f>
        <v>0</v>
      </c>
      <c r="X137">
        <f t="array" ref="X137">IFERROR(CONCATENATE(TEXT(INDEX($W$7:$W$73,SMALL(IF($Z$7:$Z$73&lt;&gt;"",IF($W$7:$W$73&lt;&gt;"",ROW($W$7:$W$73)-MIN(ROW($W$7:$W$73))+1,""),""),ROW()-ROW(A$75)+1)),"##0")," "),"")</f>
        <v>0</v>
      </c>
      <c r="Y137">
        <f t="array" ref="Y137">IFERROR(CONCATENATE((INDEX($A$7:$A$73,SMALL(IF($Z$7:$Z$73&lt;&gt;"",IF($W$7:$W$73&lt;&gt;"",ROW($W$7:$W$73)-MIN(ROW($W$7:$W$73))+1,""),""),ROW()-ROW(A$75)+1))),),"")</f>
        <v>0</v>
      </c>
      <c r="AC137">
        <f t="array" ref="AC137">IFERROR(CONCATENATE((INDEX($AF$7:$AF$73,SMALL(IF($AF$7:$AF$73&lt;&gt;"",IF($AC$7:$AC$73&lt;&gt;"",ROW($AC$7:$AC$73)-MIN(ROW($AC$7:$AC$73))+1,""),""),ROW()-ROW(A$75)+1))),","),"")</f>
        <v>0</v>
      </c>
      <c r="AD137">
        <f t="array" ref="AD137">IFERROR(CONCATENATE(TEXT(INDEX($AC$7:$AC$73,SMALL(IF($AF$7:$AF$73&lt;&gt;"",IF($AC$7:$AC$73&lt;&gt;"",ROW($AC$7:$AC$73)-MIN(ROW($AC$7:$AC$73))+1,""),""),ROW()-ROW(A$75)+1)),"##0"),","),"")</f>
        <v>0</v>
      </c>
      <c r="AE137">
        <f t="array" ref="AE137">IFERROR(CONCATENATE((INDEX($A$7:$A$73,SMALL(IF($AF$7:$AF$73&lt;&gt;"",IF($AC$7:$AC$73&lt;&gt;"",ROW($AC$7:$AC$73)-MIN(ROW($AC$7:$AC$73))+1,""),""),ROW()-ROW(A$75)+1))),),"")</f>
        <v>0</v>
      </c>
      <c r="AI137">
        <f t="array" ref="AI137">IFERROR(CONCATENATE((INDEX($AL$7:$AL$73,SMALL(IF($AL$7:$AL$73&lt;&gt;"",IF($AI$7:$AI$73&lt;&gt;"",ROW($AI$7:$AI$73)-MIN(ROW($AI$7:$AI$73))+1,""),""),ROW()-ROW(A$75)+1)))," "),"")</f>
        <v>0</v>
      </c>
      <c r="AJ137">
        <f t="array" ref="AJ137">IFERROR(CONCATENATE(TEXT(INDEX($AI$7:$AI$73,SMALL(IF($AL$7:$AL$73&lt;&gt;"",IF($AI$7:$AI$73&lt;&gt;"",ROW($AI$7:$AI$73)-MIN(ROW($AI$7:$AI$73))+1,""),""),ROW()-ROW(A$75)+1)),"##0")," "),"")</f>
        <v>0</v>
      </c>
      <c r="AK137">
        <f t="array" ref="AK137">IFERROR(CONCATENATE((INDEX($A$7:$A$73,SMALL(IF($AL$7:$AL$73&lt;&gt;"",IF($AI$7:$AI$73&lt;&gt;"",ROW($AI$7:$AI$73)-MIN(ROW($AI$7:$AI$73))+1,""),""),ROW()-ROW(A$75)+1))),),"")</f>
        <v>0</v>
      </c>
    </row>
    <row r="138" spans="11:37">
      <c r="K138">
        <f t="array" ref="K138">IFERROR(CONCATENATE(TEXT(INDEX($K$7:$K$73,SMALL(IF($N$7:$N$73&lt;&gt;"",IF($K$7:$K$73&lt;&gt;"",ROW($K$7:$K$73)-MIN(ROW($K$7:$K$73))+1,""),""),ROW()-ROW(A$75)+1)),"##0"),","),"")</f>
        <v>0</v>
      </c>
      <c r="L138">
        <f t="array" ref="L138">IFERROR(CONCATENATE((INDEX($N$7:$N$73,SMALL(IF($N$7:$N$73&lt;&gt;"",IF($K$7:$K$73&lt;&gt;"",ROW($K$7:$K$73)-MIN(ROW($K$7:$K$73))+1,""),""),ROW()-ROW(A$75)+1))),","),"")</f>
        <v>0</v>
      </c>
      <c r="M138">
        <f t="array" ref="M138">IFERROR(CONCATENATE((INDEX($A$7:$A$73,SMALL(IF($N$7:$N$73&lt;&gt;"",IF($K$7:$K$73&lt;&gt;"",ROW($K$7:$K$73)-MIN(ROW($K$7:$K$73))+1,""),""),ROW()-ROW(A$75)+1))),),"")</f>
        <v>0</v>
      </c>
      <c r="Q138">
        <f t="array" ref="Q138">IFERROR(CONCATENATE((INDEX($T$7:$T$73,SMALL(IF($T$7:$T$73&lt;&gt;"",IF($Q$7:$Q$73&lt;&gt;"",ROW($Q$7:$Q$73)-MIN(ROW($Q$7:$Q$73))+1,""),""),ROW()-ROW(A$75)+1)))," "),"")</f>
        <v>0</v>
      </c>
      <c r="R138">
        <f t="array" ref="R138">IFERROR(CONCATENATE(TEXT(INDEX($Q$7:$Q$73,SMALL(IF($T$7:$T$73&lt;&gt;"",IF($Q$7:$Q$73&lt;&gt;"",ROW($Q$7:$Q$73)-MIN(ROW($Q$7:$Q$73))+1,""),""),ROW()-ROW(A$75)+1)),"##0")," "),"")</f>
        <v>0</v>
      </c>
      <c r="S138">
        <f t="array" ref="S138">IFERROR(CONCATENATE((INDEX($A$7:$A$73,SMALL(IF($T$7:$T$73&lt;&gt;"",IF($Q$7:$Q$73&lt;&gt;"",ROW($Q$7:$Q$73)-MIN(ROW($Q$7:$Q$73))+1,""),""),ROW()-ROW(A$75)+1))),),"")</f>
        <v>0</v>
      </c>
      <c r="W138">
        <f t="array" ref="W138">IFERROR(CONCATENATE((INDEX($Z$7:$Z$73,SMALL(IF($Z$7:$Z$73&lt;&gt;"",IF($W$7:$W$73&lt;&gt;"",ROW($W$7:$W$73)-MIN(ROW($W$7:$W$73))+1,""),""),ROW()-ROW(A$75)+1)))," "),"")</f>
        <v>0</v>
      </c>
      <c r="X138">
        <f t="array" ref="X138">IFERROR(CONCATENATE(TEXT(INDEX($W$7:$W$73,SMALL(IF($Z$7:$Z$73&lt;&gt;"",IF($W$7:$W$73&lt;&gt;"",ROW($W$7:$W$73)-MIN(ROW($W$7:$W$73))+1,""),""),ROW()-ROW(A$75)+1)),"##0")," "),"")</f>
        <v>0</v>
      </c>
      <c r="Y138">
        <f t="array" ref="Y138">IFERROR(CONCATENATE((INDEX($A$7:$A$73,SMALL(IF($Z$7:$Z$73&lt;&gt;"",IF($W$7:$W$73&lt;&gt;"",ROW($W$7:$W$73)-MIN(ROW($W$7:$W$73))+1,""),""),ROW()-ROW(A$75)+1))),),"")</f>
        <v>0</v>
      </c>
      <c r="AC138">
        <f t="array" ref="AC138">IFERROR(CONCATENATE((INDEX($AF$7:$AF$73,SMALL(IF($AF$7:$AF$73&lt;&gt;"",IF($AC$7:$AC$73&lt;&gt;"",ROW($AC$7:$AC$73)-MIN(ROW($AC$7:$AC$73))+1,""),""),ROW()-ROW(A$75)+1))),","),"")</f>
        <v>0</v>
      </c>
      <c r="AD138">
        <f t="array" ref="AD138">IFERROR(CONCATENATE(TEXT(INDEX($AC$7:$AC$73,SMALL(IF($AF$7:$AF$73&lt;&gt;"",IF($AC$7:$AC$73&lt;&gt;"",ROW($AC$7:$AC$73)-MIN(ROW($AC$7:$AC$73))+1,""),""),ROW()-ROW(A$75)+1)),"##0"),","),"")</f>
        <v>0</v>
      </c>
      <c r="AE138">
        <f t="array" ref="AE138">IFERROR(CONCATENATE((INDEX($A$7:$A$73,SMALL(IF($AF$7:$AF$73&lt;&gt;"",IF($AC$7:$AC$73&lt;&gt;"",ROW($AC$7:$AC$73)-MIN(ROW($AC$7:$AC$73))+1,""),""),ROW()-ROW(A$75)+1))),),"")</f>
        <v>0</v>
      </c>
      <c r="AI138">
        <f t="array" ref="AI138">IFERROR(CONCATENATE((INDEX($AL$7:$AL$73,SMALL(IF($AL$7:$AL$73&lt;&gt;"",IF($AI$7:$AI$73&lt;&gt;"",ROW($AI$7:$AI$73)-MIN(ROW($AI$7:$AI$73))+1,""),""),ROW()-ROW(A$75)+1)))," "),"")</f>
        <v>0</v>
      </c>
      <c r="AJ138">
        <f t="array" ref="AJ138">IFERROR(CONCATENATE(TEXT(INDEX($AI$7:$AI$73,SMALL(IF($AL$7:$AL$73&lt;&gt;"",IF($AI$7:$AI$73&lt;&gt;"",ROW($AI$7:$AI$73)-MIN(ROW($AI$7:$AI$73))+1,""),""),ROW()-ROW(A$75)+1)),"##0")," "),"")</f>
        <v>0</v>
      </c>
      <c r="AK138">
        <f t="array" ref="AK138">IFERROR(CONCATENATE((INDEX($A$7:$A$73,SMALL(IF($AL$7:$AL$73&lt;&gt;"",IF($AI$7:$AI$73&lt;&gt;"",ROW($AI$7:$AI$73)-MIN(ROW($AI$7:$AI$73))+1,""),""),ROW()-ROW(A$75)+1))),),"")</f>
        <v>0</v>
      </c>
    </row>
    <row r="139" spans="11:37">
      <c r="K139">
        <f t="array" ref="K139">IFERROR(CONCATENATE(TEXT(INDEX($K$7:$K$73,SMALL(IF($N$7:$N$73&lt;&gt;"",IF($K$7:$K$73&lt;&gt;"",ROW($K$7:$K$73)-MIN(ROW($K$7:$K$73))+1,""),""),ROW()-ROW(A$75)+1)),"##0"),","),"")</f>
        <v>0</v>
      </c>
      <c r="L139">
        <f t="array" ref="L139">IFERROR(CONCATENATE((INDEX($N$7:$N$73,SMALL(IF($N$7:$N$73&lt;&gt;"",IF($K$7:$K$73&lt;&gt;"",ROW($K$7:$K$73)-MIN(ROW($K$7:$K$73))+1,""),""),ROW()-ROW(A$75)+1))),","),"")</f>
        <v>0</v>
      </c>
      <c r="M139">
        <f t="array" ref="M139">IFERROR(CONCATENATE((INDEX($A$7:$A$73,SMALL(IF($N$7:$N$73&lt;&gt;"",IF($K$7:$K$73&lt;&gt;"",ROW($K$7:$K$73)-MIN(ROW($K$7:$K$73))+1,""),""),ROW()-ROW(A$75)+1))),),"")</f>
        <v>0</v>
      </c>
      <c r="Q139">
        <f t="array" ref="Q139">IFERROR(CONCATENATE((INDEX($T$7:$T$73,SMALL(IF($T$7:$T$73&lt;&gt;"",IF($Q$7:$Q$73&lt;&gt;"",ROW($Q$7:$Q$73)-MIN(ROW($Q$7:$Q$73))+1,""),""),ROW()-ROW(A$75)+1)))," "),"")</f>
        <v>0</v>
      </c>
      <c r="R139">
        <f t="array" ref="R139">IFERROR(CONCATENATE(TEXT(INDEX($Q$7:$Q$73,SMALL(IF($T$7:$T$73&lt;&gt;"",IF($Q$7:$Q$73&lt;&gt;"",ROW($Q$7:$Q$73)-MIN(ROW($Q$7:$Q$73))+1,""),""),ROW()-ROW(A$75)+1)),"##0")," "),"")</f>
        <v>0</v>
      </c>
      <c r="S139">
        <f t="array" ref="S139">IFERROR(CONCATENATE((INDEX($A$7:$A$73,SMALL(IF($T$7:$T$73&lt;&gt;"",IF($Q$7:$Q$73&lt;&gt;"",ROW($Q$7:$Q$73)-MIN(ROW($Q$7:$Q$73))+1,""),""),ROW()-ROW(A$75)+1))),),"")</f>
        <v>0</v>
      </c>
      <c r="W139">
        <f t="array" ref="W139">IFERROR(CONCATENATE((INDEX($Z$7:$Z$73,SMALL(IF($Z$7:$Z$73&lt;&gt;"",IF($W$7:$W$73&lt;&gt;"",ROW($W$7:$W$73)-MIN(ROW($W$7:$W$73))+1,""),""),ROW()-ROW(A$75)+1)))," "),"")</f>
        <v>0</v>
      </c>
      <c r="X139">
        <f t="array" ref="X139">IFERROR(CONCATENATE(TEXT(INDEX($W$7:$W$73,SMALL(IF($Z$7:$Z$73&lt;&gt;"",IF($W$7:$W$73&lt;&gt;"",ROW($W$7:$W$73)-MIN(ROW($W$7:$W$73))+1,""),""),ROW()-ROW(A$75)+1)),"##0")," "),"")</f>
        <v>0</v>
      </c>
      <c r="Y139">
        <f t="array" ref="Y139">IFERROR(CONCATENATE((INDEX($A$7:$A$73,SMALL(IF($Z$7:$Z$73&lt;&gt;"",IF($W$7:$W$73&lt;&gt;"",ROW($W$7:$W$73)-MIN(ROW($W$7:$W$73))+1,""),""),ROW()-ROW(A$75)+1))),),"")</f>
        <v>0</v>
      </c>
      <c r="AC139">
        <f t="array" ref="AC139">IFERROR(CONCATENATE((INDEX($AF$7:$AF$73,SMALL(IF($AF$7:$AF$73&lt;&gt;"",IF($AC$7:$AC$73&lt;&gt;"",ROW($AC$7:$AC$73)-MIN(ROW($AC$7:$AC$73))+1,""),""),ROW()-ROW(A$75)+1))),","),"")</f>
        <v>0</v>
      </c>
      <c r="AD139">
        <f t="array" ref="AD139">IFERROR(CONCATENATE(TEXT(INDEX($AC$7:$AC$73,SMALL(IF($AF$7:$AF$73&lt;&gt;"",IF($AC$7:$AC$73&lt;&gt;"",ROW($AC$7:$AC$73)-MIN(ROW($AC$7:$AC$73))+1,""),""),ROW()-ROW(A$75)+1)),"##0"),","),"")</f>
        <v>0</v>
      </c>
      <c r="AE139">
        <f t="array" ref="AE139">IFERROR(CONCATENATE((INDEX($A$7:$A$73,SMALL(IF($AF$7:$AF$73&lt;&gt;"",IF($AC$7:$AC$73&lt;&gt;"",ROW($AC$7:$AC$73)-MIN(ROW($AC$7:$AC$73))+1,""),""),ROW()-ROW(A$75)+1))),),"")</f>
        <v>0</v>
      </c>
      <c r="AI139">
        <f t="array" ref="AI139">IFERROR(CONCATENATE((INDEX($AL$7:$AL$73,SMALL(IF($AL$7:$AL$73&lt;&gt;"",IF($AI$7:$AI$73&lt;&gt;"",ROW($AI$7:$AI$73)-MIN(ROW($AI$7:$AI$73))+1,""),""),ROW()-ROW(A$75)+1)))," "),"")</f>
        <v>0</v>
      </c>
      <c r="AJ139">
        <f t="array" ref="AJ139">IFERROR(CONCATENATE(TEXT(INDEX($AI$7:$AI$73,SMALL(IF($AL$7:$AL$73&lt;&gt;"",IF($AI$7:$AI$73&lt;&gt;"",ROW($AI$7:$AI$73)-MIN(ROW($AI$7:$AI$73))+1,""),""),ROW()-ROW(A$75)+1)),"##0")," "),"")</f>
        <v>0</v>
      </c>
      <c r="AK139">
        <f t="array" ref="AK139">IFERROR(CONCATENATE((INDEX($A$7:$A$73,SMALL(IF($AL$7:$AL$73&lt;&gt;"",IF($AI$7:$AI$73&lt;&gt;"",ROW($AI$7:$AI$73)-MIN(ROW($AI$7:$AI$73))+1,""),""),ROW()-ROW(A$75)+1))),),"")</f>
        <v>0</v>
      </c>
    </row>
    <row r="140" spans="11:37">
      <c r="K140">
        <f t="array" ref="K140">IFERROR(CONCATENATE(TEXT(INDEX($K$7:$K$73,SMALL(IF($N$7:$N$73&lt;&gt;"",IF($K$7:$K$73&lt;&gt;"",ROW($K$7:$K$73)-MIN(ROW($K$7:$K$73))+1,""),""),ROW()-ROW(A$75)+1)),"##0"),","),"")</f>
        <v>0</v>
      </c>
      <c r="L140">
        <f t="array" ref="L140">IFERROR(CONCATENATE((INDEX($N$7:$N$73,SMALL(IF($N$7:$N$73&lt;&gt;"",IF($K$7:$K$73&lt;&gt;"",ROW($K$7:$K$73)-MIN(ROW($K$7:$K$73))+1,""),""),ROW()-ROW(A$75)+1))),","),"")</f>
        <v>0</v>
      </c>
      <c r="M140">
        <f t="array" ref="M140">IFERROR(CONCATENATE((INDEX($A$7:$A$73,SMALL(IF($N$7:$N$73&lt;&gt;"",IF($K$7:$K$73&lt;&gt;"",ROW($K$7:$K$73)-MIN(ROW($K$7:$K$73))+1,""),""),ROW()-ROW(A$75)+1))),),"")</f>
        <v>0</v>
      </c>
      <c r="Q140">
        <f t="array" ref="Q140">IFERROR(CONCATENATE((INDEX($T$7:$T$73,SMALL(IF($T$7:$T$73&lt;&gt;"",IF($Q$7:$Q$73&lt;&gt;"",ROW($Q$7:$Q$73)-MIN(ROW($Q$7:$Q$73))+1,""),""),ROW()-ROW(A$75)+1)))," "),"")</f>
        <v>0</v>
      </c>
      <c r="R140">
        <f t="array" ref="R140">IFERROR(CONCATENATE(TEXT(INDEX($Q$7:$Q$73,SMALL(IF($T$7:$T$73&lt;&gt;"",IF($Q$7:$Q$73&lt;&gt;"",ROW($Q$7:$Q$73)-MIN(ROW($Q$7:$Q$73))+1,""),""),ROW()-ROW(A$75)+1)),"##0")," "),"")</f>
        <v>0</v>
      </c>
      <c r="S140">
        <f t="array" ref="S140">IFERROR(CONCATENATE((INDEX($A$7:$A$73,SMALL(IF($T$7:$T$73&lt;&gt;"",IF($Q$7:$Q$73&lt;&gt;"",ROW($Q$7:$Q$73)-MIN(ROW($Q$7:$Q$73))+1,""),""),ROW()-ROW(A$75)+1))),),"")</f>
        <v>0</v>
      </c>
      <c r="W140">
        <f t="array" ref="W140">IFERROR(CONCATENATE((INDEX($Z$7:$Z$73,SMALL(IF($Z$7:$Z$73&lt;&gt;"",IF($W$7:$W$73&lt;&gt;"",ROW($W$7:$W$73)-MIN(ROW($W$7:$W$73))+1,""),""),ROW()-ROW(A$75)+1)))," "),"")</f>
        <v>0</v>
      </c>
      <c r="X140">
        <f t="array" ref="X140">IFERROR(CONCATENATE(TEXT(INDEX($W$7:$W$73,SMALL(IF($Z$7:$Z$73&lt;&gt;"",IF($W$7:$W$73&lt;&gt;"",ROW($W$7:$W$73)-MIN(ROW($W$7:$W$73))+1,""),""),ROW()-ROW(A$75)+1)),"##0")," "),"")</f>
        <v>0</v>
      </c>
      <c r="Y140">
        <f t="array" ref="Y140">IFERROR(CONCATENATE((INDEX($A$7:$A$73,SMALL(IF($Z$7:$Z$73&lt;&gt;"",IF($W$7:$W$73&lt;&gt;"",ROW($W$7:$W$73)-MIN(ROW($W$7:$W$73))+1,""),""),ROW()-ROW(A$75)+1))),),"")</f>
        <v>0</v>
      </c>
      <c r="AC140">
        <f t="array" ref="AC140">IFERROR(CONCATENATE((INDEX($AF$7:$AF$73,SMALL(IF($AF$7:$AF$73&lt;&gt;"",IF($AC$7:$AC$73&lt;&gt;"",ROW($AC$7:$AC$73)-MIN(ROW($AC$7:$AC$73))+1,""),""),ROW()-ROW(A$75)+1))),","),"")</f>
        <v>0</v>
      </c>
      <c r="AD140">
        <f t="array" ref="AD140">IFERROR(CONCATENATE(TEXT(INDEX($AC$7:$AC$73,SMALL(IF($AF$7:$AF$73&lt;&gt;"",IF($AC$7:$AC$73&lt;&gt;"",ROW($AC$7:$AC$73)-MIN(ROW($AC$7:$AC$73))+1,""),""),ROW()-ROW(A$75)+1)),"##0"),","),"")</f>
        <v>0</v>
      </c>
      <c r="AE140">
        <f t="array" ref="AE140">IFERROR(CONCATENATE((INDEX($A$7:$A$73,SMALL(IF($AF$7:$AF$73&lt;&gt;"",IF($AC$7:$AC$73&lt;&gt;"",ROW($AC$7:$AC$73)-MIN(ROW($AC$7:$AC$73))+1,""),""),ROW()-ROW(A$75)+1))),),"")</f>
        <v>0</v>
      </c>
      <c r="AI140">
        <f t="array" ref="AI140">IFERROR(CONCATENATE((INDEX($AL$7:$AL$73,SMALL(IF($AL$7:$AL$73&lt;&gt;"",IF($AI$7:$AI$73&lt;&gt;"",ROW($AI$7:$AI$73)-MIN(ROW($AI$7:$AI$73))+1,""),""),ROW()-ROW(A$75)+1)))," "),"")</f>
        <v>0</v>
      </c>
      <c r="AJ140">
        <f t="array" ref="AJ140">IFERROR(CONCATENATE(TEXT(INDEX($AI$7:$AI$73,SMALL(IF($AL$7:$AL$73&lt;&gt;"",IF($AI$7:$AI$73&lt;&gt;"",ROW($AI$7:$AI$73)-MIN(ROW($AI$7:$AI$73))+1,""),""),ROW()-ROW(A$75)+1)),"##0")," "),"")</f>
        <v>0</v>
      </c>
      <c r="AK140">
        <f t="array" ref="AK140">IFERROR(CONCATENATE((INDEX($A$7:$A$73,SMALL(IF($AL$7:$AL$73&lt;&gt;"",IF($AI$7:$AI$73&lt;&gt;"",ROW($AI$7:$AI$73)-MIN(ROW($AI$7:$AI$73))+1,""),""),ROW()-ROW(A$75)+1))),),"")</f>
        <v>0</v>
      </c>
    </row>
    <row r="141" spans="11:37">
      <c r="K141">
        <f t="array" ref="K141">IFERROR(CONCATENATE(TEXT(INDEX($K$7:$K$73,SMALL(IF($N$7:$N$73&lt;&gt;"",IF($K$7:$K$73&lt;&gt;"",ROW($K$7:$K$73)-MIN(ROW($K$7:$K$73))+1,""),""),ROW()-ROW(A$75)+1)),"##0"),","),"")</f>
        <v>0</v>
      </c>
      <c r="L141">
        <f t="array" ref="L141">IFERROR(CONCATENATE((INDEX($N$7:$N$73,SMALL(IF($N$7:$N$73&lt;&gt;"",IF($K$7:$K$73&lt;&gt;"",ROW($K$7:$K$73)-MIN(ROW($K$7:$K$73))+1,""),""),ROW()-ROW(A$75)+1))),","),"")</f>
        <v>0</v>
      </c>
      <c r="M141">
        <f t="array" ref="M141">IFERROR(CONCATENATE((INDEX($A$7:$A$73,SMALL(IF($N$7:$N$73&lt;&gt;"",IF($K$7:$K$73&lt;&gt;"",ROW($K$7:$K$73)-MIN(ROW($K$7:$K$73))+1,""),""),ROW()-ROW(A$75)+1))),),"")</f>
        <v>0</v>
      </c>
      <c r="Q141">
        <f t="array" ref="Q141">IFERROR(CONCATENATE((INDEX($T$7:$T$73,SMALL(IF($T$7:$T$73&lt;&gt;"",IF($Q$7:$Q$73&lt;&gt;"",ROW($Q$7:$Q$73)-MIN(ROW($Q$7:$Q$73))+1,""),""),ROW()-ROW(A$75)+1)))," "),"")</f>
        <v>0</v>
      </c>
      <c r="R141">
        <f t="array" ref="R141">IFERROR(CONCATENATE(TEXT(INDEX($Q$7:$Q$73,SMALL(IF($T$7:$T$73&lt;&gt;"",IF($Q$7:$Q$73&lt;&gt;"",ROW($Q$7:$Q$73)-MIN(ROW($Q$7:$Q$73))+1,""),""),ROW()-ROW(A$75)+1)),"##0")," "),"")</f>
        <v>0</v>
      </c>
      <c r="S141">
        <f t="array" ref="S141">IFERROR(CONCATENATE((INDEX($A$7:$A$73,SMALL(IF($T$7:$T$73&lt;&gt;"",IF($Q$7:$Q$73&lt;&gt;"",ROW($Q$7:$Q$73)-MIN(ROW($Q$7:$Q$73))+1,""),""),ROW()-ROW(A$75)+1))),),"")</f>
        <v>0</v>
      </c>
      <c r="W141">
        <f t="array" ref="W141">IFERROR(CONCATENATE((INDEX($Z$7:$Z$73,SMALL(IF($Z$7:$Z$73&lt;&gt;"",IF($W$7:$W$73&lt;&gt;"",ROW($W$7:$W$73)-MIN(ROW($W$7:$W$73))+1,""),""),ROW()-ROW(A$75)+1)))," "),"")</f>
        <v>0</v>
      </c>
      <c r="X141">
        <f t="array" ref="X141">IFERROR(CONCATENATE(TEXT(INDEX($W$7:$W$73,SMALL(IF($Z$7:$Z$73&lt;&gt;"",IF($W$7:$W$73&lt;&gt;"",ROW($W$7:$W$73)-MIN(ROW($W$7:$W$73))+1,""),""),ROW()-ROW(A$75)+1)),"##0")," "),"")</f>
        <v>0</v>
      </c>
      <c r="Y141">
        <f t="array" ref="Y141">IFERROR(CONCATENATE((INDEX($A$7:$A$73,SMALL(IF($Z$7:$Z$73&lt;&gt;"",IF($W$7:$W$73&lt;&gt;"",ROW($W$7:$W$73)-MIN(ROW($W$7:$W$73))+1,""),""),ROW()-ROW(A$75)+1))),),"")</f>
        <v>0</v>
      </c>
      <c r="AC141">
        <f t="array" ref="AC141">IFERROR(CONCATENATE((INDEX($AF$7:$AF$73,SMALL(IF($AF$7:$AF$73&lt;&gt;"",IF($AC$7:$AC$73&lt;&gt;"",ROW($AC$7:$AC$73)-MIN(ROW($AC$7:$AC$73))+1,""),""),ROW()-ROW(A$75)+1))),","),"")</f>
        <v>0</v>
      </c>
      <c r="AD141">
        <f t="array" ref="AD141">IFERROR(CONCATENATE(TEXT(INDEX($AC$7:$AC$73,SMALL(IF($AF$7:$AF$73&lt;&gt;"",IF($AC$7:$AC$73&lt;&gt;"",ROW($AC$7:$AC$73)-MIN(ROW($AC$7:$AC$73))+1,""),""),ROW()-ROW(A$75)+1)),"##0"),","),"")</f>
        <v>0</v>
      </c>
      <c r="AE141">
        <f t="array" ref="AE141">IFERROR(CONCATENATE((INDEX($A$7:$A$73,SMALL(IF($AF$7:$AF$73&lt;&gt;"",IF($AC$7:$AC$73&lt;&gt;"",ROW($AC$7:$AC$73)-MIN(ROW($AC$7:$AC$73))+1,""),""),ROW()-ROW(A$75)+1))),),"")</f>
        <v>0</v>
      </c>
      <c r="AI141">
        <f t="array" ref="AI141">IFERROR(CONCATENATE((INDEX($AL$7:$AL$73,SMALL(IF($AL$7:$AL$73&lt;&gt;"",IF($AI$7:$AI$73&lt;&gt;"",ROW($AI$7:$AI$73)-MIN(ROW($AI$7:$AI$73))+1,""),""),ROW()-ROW(A$75)+1)))," "),"")</f>
        <v>0</v>
      </c>
      <c r="AJ141">
        <f t="array" ref="AJ141">IFERROR(CONCATENATE(TEXT(INDEX($AI$7:$AI$73,SMALL(IF($AL$7:$AL$73&lt;&gt;"",IF($AI$7:$AI$73&lt;&gt;"",ROW($AI$7:$AI$73)-MIN(ROW($AI$7:$AI$73))+1,""),""),ROW()-ROW(A$75)+1)),"##0")," "),"")</f>
        <v>0</v>
      </c>
      <c r="AK141">
        <f t="array" ref="AK141">IFERROR(CONCATENATE((INDEX($A$7:$A$73,SMALL(IF($AL$7:$AL$73&lt;&gt;"",IF($AI$7:$AI$73&lt;&gt;"",ROW($AI$7:$AI$73)-MIN(ROW($AI$7:$AI$73))+1,""),""),ROW()-ROW(A$75)+1))),),"")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283" operator="lessThanOrEqual">
      <formula>H10</formula>
    </cfRule>
  </conditionalFormatting>
  <conditionalFormatting sqref="AD11">
    <cfRule type="cellIs" dxfId="0" priority="285" operator="lessThanOrEqual">
      <formula>H11</formula>
    </cfRule>
  </conditionalFormatting>
  <conditionalFormatting sqref="AD12">
    <cfRule type="cellIs" dxfId="0" priority="287" operator="lessThanOrEqual">
      <formula>H12</formula>
    </cfRule>
  </conditionalFormatting>
  <conditionalFormatting sqref="AD13">
    <cfRule type="cellIs" dxfId="0" priority="289" operator="lessThanOrEqual">
      <formula>H13</formula>
    </cfRule>
  </conditionalFormatting>
  <conditionalFormatting sqref="AD14">
    <cfRule type="cellIs" dxfId="0" priority="291" operator="lessThanOrEqual">
      <formula>H14</formula>
    </cfRule>
  </conditionalFormatting>
  <conditionalFormatting sqref="AD15">
    <cfRule type="cellIs" dxfId="0" priority="293" operator="lessThanOrEqual">
      <formula>H15</formula>
    </cfRule>
  </conditionalFormatting>
  <conditionalFormatting sqref="AD16">
    <cfRule type="cellIs" dxfId="0" priority="295" operator="lessThanOrEqual">
      <formula>H16</formula>
    </cfRule>
  </conditionalFormatting>
  <conditionalFormatting sqref="AD17">
    <cfRule type="cellIs" dxfId="0" priority="297" operator="lessThanOrEqual">
      <formula>H17</formula>
    </cfRule>
  </conditionalFormatting>
  <conditionalFormatting sqref="AD18">
    <cfRule type="cellIs" dxfId="0" priority="299" operator="lessThanOrEqual">
      <formula>H18</formula>
    </cfRule>
  </conditionalFormatting>
  <conditionalFormatting sqref="AD19">
    <cfRule type="cellIs" dxfId="0" priority="301" operator="lessThanOrEqual">
      <formula>H19</formula>
    </cfRule>
  </conditionalFormatting>
  <conditionalFormatting sqref="AD21">
    <cfRule type="cellIs" dxfId="0" priority="303" operator="lessThanOrEqual">
      <formula>H21</formula>
    </cfRule>
  </conditionalFormatting>
  <conditionalFormatting sqref="AD25">
    <cfRule type="cellIs" dxfId="0" priority="305" operator="lessThanOrEqual">
      <formula>H25</formula>
    </cfRule>
  </conditionalFormatting>
  <conditionalFormatting sqref="AD27">
    <cfRule type="cellIs" dxfId="0" priority="307" operator="lessThanOrEqual">
      <formula>H27</formula>
    </cfRule>
  </conditionalFormatting>
  <conditionalFormatting sqref="AD29">
    <cfRule type="cellIs" dxfId="0" priority="309" operator="lessThanOrEqual">
      <formula>H29</formula>
    </cfRule>
  </conditionalFormatting>
  <conditionalFormatting sqref="AD30">
    <cfRule type="cellIs" dxfId="0" priority="311" operator="lessThanOrEqual">
      <formula>H30</formula>
    </cfRule>
  </conditionalFormatting>
  <conditionalFormatting sqref="AD31">
    <cfRule type="cellIs" dxfId="0" priority="313" operator="lessThanOrEqual">
      <formula>H31</formula>
    </cfRule>
  </conditionalFormatting>
  <conditionalFormatting sqref="AD33">
    <cfRule type="cellIs" dxfId="0" priority="315" operator="lessThanOrEqual">
      <formula>H33</formula>
    </cfRule>
  </conditionalFormatting>
  <conditionalFormatting sqref="AD34">
    <cfRule type="cellIs" dxfId="0" priority="317" operator="lessThanOrEqual">
      <formula>H34</formula>
    </cfRule>
  </conditionalFormatting>
  <conditionalFormatting sqref="AD36">
    <cfRule type="cellIs" dxfId="0" priority="319" operator="lessThanOrEqual">
      <formula>H36</formula>
    </cfRule>
  </conditionalFormatting>
  <conditionalFormatting sqref="AD37">
    <cfRule type="cellIs" dxfId="0" priority="321" operator="lessThanOrEqual">
      <formula>H37</formula>
    </cfRule>
  </conditionalFormatting>
  <conditionalFormatting sqref="AD41">
    <cfRule type="cellIs" dxfId="0" priority="323" operator="lessThanOrEqual">
      <formula>H41</formula>
    </cfRule>
  </conditionalFormatting>
  <conditionalFormatting sqref="AD42">
    <cfRule type="cellIs" dxfId="0" priority="325" operator="lessThanOrEqual">
      <formula>H42</formula>
    </cfRule>
  </conditionalFormatting>
  <conditionalFormatting sqref="AD43">
    <cfRule type="cellIs" dxfId="0" priority="327" operator="lessThanOrEqual">
      <formula>H43</formula>
    </cfRule>
  </conditionalFormatting>
  <conditionalFormatting sqref="AD44">
    <cfRule type="cellIs" dxfId="0" priority="329" operator="lessThanOrEqual">
      <formula>H44</formula>
    </cfRule>
  </conditionalFormatting>
  <conditionalFormatting sqref="AD45">
    <cfRule type="cellIs" dxfId="0" priority="331" operator="lessThanOrEqual">
      <formula>H45</formula>
    </cfRule>
  </conditionalFormatting>
  <conditionalFormatting sqref="AD46">
    <cfRule type="cellIs" dxfId="0" priority="333" operator="lessThanOrEqual">
      <formula>H46</formula>
    </cfRule>
  </conditionalFormatting>
  <conditionalFormatting sqref="AD47">
    <cfRule type="cellIs" dxfId="0" priority="335" operator="lessThanOrEqual">
      <formula>H47</formula>
    </cfRule>
  </conditionalFormatting>
  <conditionalFormatting sqref="AD49">
    <cfRule type="cellIs" dxfId="0" priority="337" operator="lessThanOrEqual">
      <formula>H49</formula>
    </cfRule>
  </conditionalFormatting>
  <conditionalFormatting sqref="AD50">
    <cfRule type="cellIs" dxfId="0" priority="339" operator="lessThanOrEqual">
      <formula>H50</formula>
    </cfRule>
  </conditionalFormatting>
  <conditionalFormatting sqref="AD51">
    <cfRule type="cellIs" dxfId="0" priority="341" operator="lessThanOrEqual">
      <formula>H51</formula>
    </cfRule>
  </conditionalFormatting>
  <conditionalFormatting sqref="AD53">
    <cfRule type="cellIs" dxfId="0" priority="343" operator="lessThanOrEqual">
      <formula>H53</formula>
    </cfRule>
  </conditionalFormatting>
  <conditionalFormatting sqref="AD55">
    <cfRule type="cellIs" dxfId="0" priority="345" operator="lessThanOrEqual">
      <formula>H55</formula>
    </cfRule>
  </conditionalFormatting>
  <conditionalFormatting sqref="AD57">
    <cfRule type="cellIs" dxfId="0" priority="347" operator="lessThanOrEqual">
      <formula>H57</formula>
    </cfRule>
  </conditionalFormatting>
  <conditionalFormatting sqref="AD59">
    <cfRule type="cellIs" dxfId="0" priority="349" operator="lessThanOrEqual">
      <formula>H59</formula>
    </cfRule>
  </conditionalFormatting>
  <conditionalFormatting sqref="AD62">
    <cfRule type="cellIs" dxfId="0" priority="351" operator="lessThanOrEqual">
      <formula>H62</formula>
    </cfRule>
  </conditionalFormatting>
  <conditionalFormatting sqref="AD63">
    <cfRule type="cellIs" dxfId="0" priority="353" operator="lessThanOrEqual">
      <formula>H63</formula>
    </cfRule>
  </conditionalFormatting>
  <conditionalFormatting sqref="AD64">
    <cfRule type="cellIs" dxfId="0" priority="355" operator="lessThanOrEqual">
      <formula>H64</formula>
    </cfRule>
  </conditionalFormatting>
  <conditionalFormatting sqref="AD65">
    <cfRule type="cellIs" dxfId="0" priority="357" operator="lessThanOrEqual">
      <formula>H65</formula>
    </cfRule>
  </conditionalFormatting>
  <conditionalFormatting sqref="AD66">
    <cfRule type="cellIs" dxfId="0" priority="359" operator="lessThanOrEqual">
      <formula>H66</formula>
    </cfRule>
  </conditionalFormatting>
  <conditionalFormatting sqref="AD70">
    <cfRule type="cellIs" dxfId="0" priority="361" operator="lessThanOrEqual">
      <formula>H70</formula>
    </cfRule>
  </conditionalFormatting>
  <conditionalFormatting sqref="AD8">
    <cfRule type="cellIs" dxfId="0" priority="279" operator="lessThanOrEqual">
      <formula>H8</formula>
    </cfRule>
  </conditionalFormatting>
  <conditionalFormatting sqref="AD9">
    <cfRule type="cellIs" dxfId="0" priority="281" operator="lessThanOrEqual">
      <formula>H9</formula>
    </cfRule>
  </conditionalFormatting>
  <conditionalFormatting sqref="AE10">
    <cfRule type="cellIs" dxfId="0" priority="284" operator="lessThanOrEqual">
      <formula>I10</formula>
    </cfRule>
  </conditionalFormatting>
  <conditionalFormatting sqref="AE11">
    <cfRule type="cellIs" dxfId="0" priority="286" operator="lessThanOrEqual">
      <formula>I11</formula>
    </cfRule>
  </conditionalFormatting>
  <conditionalFormatting sqref="AE12">
    <cfRule type="cellIs" dxfId="0" priority="288" operator="lessThanOrEqual">
      <formula>I12</formula>
    </cfRule>
  </conditionalFormatting>
  <conditionalFormatting sqref="AE13">
    <cfRule type="cellIs" dxfId="0" priority="290" operator="lessThanOrEqual">
      <formula>I13</formula>
    </cfRule>
  </conditionalFormatting>
  <conditionalFormatting sqref="AE14">
    <cfRule type="cellIs" dxfId="0" priority="292" operator="lessThanOrEqual">
      <formula>I14</formula>
    </cfRule>
  </conditionalFormatting>
  <conditionalFormatting sqref="AE15">
    <cfRule type="cellIs" dxfId="0" priority="294" operator="lessThanOrEqual">
      <formula>I15</formula>
    </cfRule>
  </conditionalFormatting>
  <conditionalFormatting sqref="AE16">
    <cfRule type="cellIs" dxfId="0" priority="296" operator="lessThanOrEqual">
      <formula>I16</formula>
    </cfRule>
  </conditionalFormatting>
  <conditionalFormatting sqref="AE17">
    <cfRule type="cellIs" dxfId="0" priority="298" operator="lessThanOrEqual">
      <formula>I17</formula>
    </cfRule>
  </conditionalFormatting>
  <conditionalFormatting sqref="AE18">
    <cfRule type="cellIs" dxfId="0" priority="300" operator="lessThanOrEqual">
      <formula>I18</formula>
    </cfRule>
  </conditionalFormatting>
  <conditionalFormatting sqref="AE19">
    <cfRule type="cellIs" dxfId="0" priority="302" operator="lessThanOrEqual">
      <formula>I19</formula>
    </cfRule>
  </conditionalFormatting>
  <conditionalFormatting sqref="AE21">
    <cfRule type="cellIs" dxfId="0" priority="304" operator="lessThanOrEqual">
      <formula>I21</formula>
    </cfRule>
  </conditionalFormatting>
  <conditionalFormatting sqref="AE25">
    <cfRule type="cellIs" dxfId="0" priority="306" operator="lessThanOrEqual">
      <formula>I25</formula>
    </cfRule>
  </conditionalFormatting>
  <conditionalFormatting sqref="AE27">
    <cfRule type="cellIs" dxfId="0" priority="308" operator="lessThanOrEqual">
      <formula>I27</formula>
    </cfRule>
  </conditionalFormatting>
  <conditionalFormatting sqref="AE29">
    <cfRule type="cellIs" dxfId="0" priority="310" operator="lessThanOrEqual">
      <formula>I29</formula>
    </cfRule>
  </conditionalFormatting>
  <conditionalFormatting sqref="AE30">
    <cfRule type="cellIs" dxfId="0" priority="312" operator="lessThanOrEqual">
      <formula>I30</formula>
    </cfRule>
  </conditionalFormatting>
  <conditionalFormatting sqref="AE31">
    <cfRule type="cellIs" dxfId="0" priority="314" operator="lessThanOrEqual">
      <formula>I31</formula>
    </cfRule>
  </conditionalFormatting>
  <conditionalFormatting sqref="AE33">
    <cfRule type="cellIs" dxfId="0" priority="316" operator="lessThanOrEqual">
      <formula>I33</formula>
    </cfRule>
  </conditionalFormatting>
  <conditionalFormatting sqref="AE34">
    <cfRule type="cellIs" dxfId="0" priority="318" operator="lessThanOrEqual">
      <formula>I34</formula>
    </cfRule>
  </conditionalFormatting>
  <conditionalFormatting sqref="AE36">
    <cfRule type="cellIs" dxfId="0" priority="320" operator="lessThanOrEqual">
      <formula>I36</formula>
    </cfRule>
  </conditionalFormatting>
  <conditionalFormatting sqref="AE37">
    <cfRule type="cellIs" dxfId="0" priority="322" operator="lessThanOrEqual">
      <formula>I37</formula>
    </cfRule>
  </conditionalFormatting>
  <conditionalFormatting sqref="AE41">
    <cfRule type="cellIs" dxfId="0" priority="324" operator="lessThanOrEqual">
      <formula>I41</formula>
    </cfRule>
  </conditionalFormatting>
  <conditionalFormatting sqref="AE42">
    <cfRule type="cellIs" dxfId="0" priority="326" operator="lessThanOrEqual">
      <formula>I42</formula>
    </cfRule>
  </conditionalFormatting>
  <conditionalFormatting sqref="AE43">
    <cfRule type="cellIs" dxfId="0" priority="328" operator="lessThanOrEqual">
      <formula>I43</formula>
    </cfRule>
  </conditionalFormatting>
  <conditionalFormatting sqref="AE44">
    <cfRule type="cellIs" dxfId="0" priority="330" operator="lessThanOrEqual">
      <formula>I44</formula>
    </cfRule>
  </conditionalFormatting>
  <conditionalFormatting sqref="AE45">
    <cfRule type="cellIs" dxfId="0" priority="332" operator="lessThanOrEqual">
      <formula>I45</formula>
    </cfRule>
  </conditionalFormatting>
  <conditionalFormatting sqref="AE46">
    <cfRule type="cellIs" dxfId="0" priority="334" operator="lessThanOrEqual">
      <formula>I46</formula>
    </cfRule>
  </conditionalFormatting>
  <conditionalFormatting sqref="AE47">
    <cfRule type="cellIs" dxfId="0" priority="336" operator="lessThanOrEqual">
      <formula>I47</formula>
    </cfRule>
  </conditionalFormatting>
  <conditionalFormatting sqref="AE49">
    <cfRule type="cellIs" dxfId="0" priority="338" operator="lessThanOrEqual">
      <formula>I49</formula>
    </cfRule>
  </conditionalFormatting>
  <conditionalFormatting sqref="AE50">
    <cfRule type="cellIs" dxfId="0" priority="340" operator="lessThanOrEqual">
      <formula>I50</formula>
    </cfRule>
  </conditionalFormatting>
  <conditionalFormatting sqref="AE51">
    <cfRule type="cellIs" dxfId="0" priority="342" operator="lessThanOrEqual">
      <formula>I51</formula>
    </cfRule>
  </conditionalFormatting>
  <conditionalFormatting sqref="AE53">
    <cfRule type="cellIs" dxfId="0" priority="344" operator="lessThanOrEqual">
      <formula>I53</formula>
    </cfRule>
  </conditionalFormatting>
  <conditionalFormatting sqref="AE55">
    <cfRule type="cellIs" dxfId="0" priority="346" operator="lessThanOrEqual">
      <formula>I55</formula>
    </cfRule>
  </conditionalFormatting>
  <conditionalFormatting sqref="AE57">
    <cfRule type="cellIs" dxfId="0" priority="348" operator="lessThanOrEqual">
      <formula>I57</formula>
    </cfRule>
  </conditionalFormatting>
  <conditionalFormatting sqref="AE59">
    <cfRule type="cellIs" dxfId="0" priority="350" operator="lessThanOrEqual">
      <formula>I59</formula>
    </cfRule>
  </conditionalFormatting>
  <conditionalFormatting sqref="AE62">
    <cfRule type="cellIs" dxfId="0" priority="352" operator="lessThanOrEqual">
      <formula>I62</formula>
    </cfRule>
  </conditionalFormatting>
  <conditionalFormatting sqref="AE63">
    <cfRule type="cellIs" dxfId="0" priority="354" operator="lessThanOrEqual">
      <formula>I63</formula>
    </cfRule>
  </conditionalFormatting>
  <conditionalFormatting sqref="AE64">
    <cfRule type="cellIs" dxfId="0" priority="356" operator="lessThanOrEqual">
      <formula>I64</formula>
    </cfRule>
  </conditionalFormatting>
  <conditionalFormatting sqref="AE65">
    <cfRule type="cellIs" dxfId="0" priority="358" operator="lessThanOrEqual">
      <formula>I65</formula>
    </cfRule>
  </conditionalFormatting>
  <conditionalFormatting sqref="AE66">
    <cfRule type="cellIs" dxfId="0" priority="360" operator="lessThanOrEqual">
      <formula>I66</formula>
    </cfRule>
  </conditionalFormatting>
  <conditionalFormatting sqref="AE70">
    <cfRule type="cellIs" dxfId="0" priority="362" operator="lessThanOrEqual">
      <formula>I70</formula>
    </cfRule>
  </conditionalFormatting>
  <conditionalFormatting sqref="AE8">
    <cfRule type="cellIs" dxfId="0" priority="280" operator="lessThanOrEqual">
      <formula>I8</formula>
    </cfRule>
  </conditionalFormatting>
  <conditionalFormatting sqref="AE9">
    <cfRule type="cellIs" dxfId="0" priority="282" operator="lessThanOrEqual">
      <formula>I9</formula>
    </cfRule>
  </conditionalFormatting>
  <conditionalFormatting sqref="AJ11">
    <cfRule type="cellIs" dxfId="0" priority="365" operator="lessThanOrEqual">
      <formula>H11</formula>
    </cfRule>
  </conditionalFormatting>
  <conditionalFormatting sqref="AJ16">
    <cfRule type="cellIs" dxfId="0" priority="367" operator="lessThanOrEqual">
      <formula>H16</formula>
    </cfRule>
  </conditionalFormatting>
  <conditionalFormatting sqref="AJ17">
    <cfRule type="cellIs" dxfId="0" priority="369" operator="lessThanOrEqual">
      <formula>H17</formula>
    </cfRule>
  </conditionalFormatting>
  <conditionalFormatting sqref="AJ29">
    <cfRule type="cellIs" dxfId="0" priority="371" operator="lessThanOrEqual">
      <formula>H29</formula>
    </cfRule>
  </conditionalFormatting>
  <conditionalFormatting sqref="AJ33">
    <cfRule type="cellIs" dxfId="0" priority="373" operator="lessThanOrEqual">
      <formula>H33</formula>
    </cfRule>
  </conditionalFormatting>
  <conditionalFormatting sqref="AJ34">
    <cfRule type="cellIs" dxfId="0" priority="375" operator="lessThanOrEqual">
      <formula>H34</formula>
    </cfRule>
  </conditionalFormatting>
  <conditionalFormatting sqref="AJ35">
    <cfRule type="cellIs" dxfId="0" priority="377" operator="lessThanOrEqual">
      <formula>H35</formula>
    </cfRule>
  </conditionalFormatting>
  <conditionalFormatting sqref="AJ36">
    <cfRule type="cellIs" dxfId="0" priority="379" operator="lessThanOrEqual">
      <formula>H36</formula>
    </cfRule>
  </conditionalFormatting>
  <conditionalFormatting sqref="AJ41">
    <cfRule type="cellIs" dxfId="0" priority="381" operator="lessThanOrEqual">
      <formula>H41</formula>
    </cfRule>
  </conditionalFormatting>
  <conditionalFormatting sqref="AJ43">
    <cfRule type="cellIs" dxfId="0" priority="383" operator="lessThanOrEqual">
      <formula>H43</formula>
    </cfRule>
  </conditionalFormatting>
  <conditionalFormatting sqref="AJ44">
    <cfRule type="cellIs" dxfId="0" priority="385" operator="lessThanOrEqual">
      <formula>H44</formula>
    </cfRule>
  </conditionalFormatting>
  <conditionalFormatting sqref="AJ46">
    <cfRule type="cellIs" dxfId="0" priority="387" operator="lessThanOrEqual">
      <formula>H46</formula>
    </cfRule>
  </conditionalFormatting>
  <conditionalFormatting sqref="AJ50">
    <cfRule type="cellIs" dxfId="0" priority="389" operator="lessThanOrEqual">
      <formula>H50</formula>
    </cfRule>
  </conditionalFormatting>
  <conditionalFormatting sqref="AJ55">
    <cfRule type="cellIs" dxfId="0" priority="391" operator="lessThanOrEqual">
      <formula>H55</formula>
    </cfRule>
  </conditionalFormatting>
  <conditionalFormatting sqref="AJ57">
    <cfRule type="cellIs" dxfId="0" priority="393" operator="lessThanOrEqual">
      <formula>H57</formula>
    </cfRule>
  </conditionalFormatting>
  <conditionalFormatting sqref="AJ58">
    <cfRule type="cellIs" dxfId="0" priority="395" operator="lessThanOrEqual">
      <formula>H58</formula>
    </cfRule>
  </conditionalFormatting>
  <conditionalFormatting sqref="AJ63">
    <cfRule type="cellIs" dxfId="0" priority="397" operator="lessThanOrEqual">
      <formula>H63</formula>
    </cfRule>
  </conditionalFormatting>
  <conditionalFormatting sqref="AJ9">
    <cfRule type="cellIs" dxfId="0" priority="363" operator="lessThanOrEqual">
      <formula>H9</formula>
    </cfRule>
  </conditionalFormatting>
  <conditionalFormatting sqref="AK11">
    <cfRule type="cellIs" dxfId="0" priority="366" operator="lessThanOrEqual">
      <formula>I11</formula>
    </cfRule>
  </conditionalFormatting>
  <conditionalFormatting sqref="AK16">
    <cfRule type="cellIs" dxfId="0" priority="368" operator="lessThanOrEqual">
      <formula>I16</formula>
    </cfRule>
  </conditionalFormatting>
  <conditionalFormatting sqref="AK17">
    <cfRule type="cellIs" dxfId="0" priority="370" operator="lessThanOrEqual">
      <formula>I17</formula>
    </cfRule>
  </conditionalFormatting>
  <conditionalFormatting sqref="AK29">
    <cfRule type="cellIs" dxfId="0" priority="372" operator="lessThanOrEqual">
      <formula>I29</formula>
    </cfRule>
  </conditionalFormatting>
  <conditionalFormatting sqref="AK33">
    <cfRule type="cellIs" dxfId="0" priority="374" operator="lessThanOrEqual">
      <formula>I33</formula>
    </cfRule>
  </conditionalFormatting>
  <conditionalFormatting sqref="AK34">
    <cfRule type="cellIs" dxfId="0" priority="376" operator="lessThanOrEqual">
      <formula>I34</formula>
    </cfRule>
  </conditionalFormatting>
  <conditionalFormatting sqref="AK35">
    <cfRule type="cellIs" dxfId="0" priority="378" operator="lessThanOrEqual">
      <formula>I35</formula>
    </cfRule>
  </conditionalFormatting>
  <conditionalFormatting sqref="AK36">
    <cfRule type="cellIs" dxfId="0" priority="380" operator="lessThanOrEqual">
      <formula>I36</formula>
    </cfRule>
  </conditionalFormatting>
  <conditionalFormatting sqref="AK41">
    <cfRule type="cellIs" dxfId="0" priority="382" operator="lessThanOrEqual">
      <formula>I41</formula>
    </cfRule>
  </conditionalFormatting>
  <conditionalFormatting sqref="AK43">
    <cfRule type="cellIs" dxfId="0" priority="384" operator="lessThanOrEqual">
      <formula>I43</formula>
    </cfRule>
  </conditionalFormatting>
  <conditionalFormatting sqref="AK44">
    <cfRule type="cellIs" dxfId="0" priority="386" operator="lessThanOrEqual">
      <formula>I44</formula>
    </cfRule>
  </conditionalFormatting>
  <conditionalFormatting sqref="AK46">
    <cfRule type="cellIs" dxfId="0" priority="388" operator="lessThanOrEqual">
      <formula>I46</formula>
    </cfRule>
  </conditionalFormatting>
  <conditionalFormatting sqref="AK50">
    <cfRule type="cellIs" dxfId="0" priority="390" operator="lessThanOrEqual">
      <formula>I50</formula>
    </cfRule>
  </conditionalFormatting>
  <conditionalFormatting sqref="AK55">
    <cfRule type="cellIs" dxfId="0" priority="392" operator="lessThanOrEqual">
      <formula>I55</formula>
    </cfRule>
  </conditionalFormatting>
  <conditionalFormatting sqref="AK57">
    <cfRule type="cellIs" dxfId="0" priority="394" operator="lessThanOrEqual">
      <formula>I57</formula>
    </cfRule>
  </conditionalFormatting>
  <conditionalFormatting sqref="AK58">
    <cfRule type="cellIs" dxfId="0" priority="396" operator="lessThanOrEqual">
      <formula>I58</formula>
    </cfRule>
  </conditionalFormatting>
  <conditionalFormatting sqref="AK63">
    <cfRule type="cellIs" dxfId="0" priority="398" operator="lessThanOrEqual">
      <formula>I63</formula>
    </cfRule>
  </conditionalFormatting>
  <conditionalFormatting sqref="AK9">
    <cfRule type="cellIs" dxfId="0" priority="364" operator="lessThanOrEqual">
      <formula>I9</formula>
    </cfRule>
  </conditionalFormatting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18">
    <cfRule type="cellIs" dxfId="0" priority="21" operator="lessThanOrEqual">
      <formula>H18</formula>
    </cfRule>
  </conditionalFormatting>
  <conditionalFormatting sqref="L19">
    <cfRule type="cellIs" dxfId="0" priority="23" operator="lessThanOrEqual">
      <formula>H19</formula>
    </cfRule>
  </conditionalFormatting>
  <conditionalFormatting sqref="L21">
    <cfRule type="cellIs" dxfId="0" priority="25" operator="lessThanOrEqual">
      <formula>H21</formula>
    </cfRule>
  </conditionalFormatting>
  <conditionalFormatting sqref="L22">
    <cfRule type="cellIs" dxfId="0" priority="27" operator="lessThanOrEqual">
      <formula>H22</formula>
    </cfRule>
  </conditionalFormatting>
  <conditionalFormatting sqref="L24">
    <cfRule type="cellIs" dxfId="0" priority="29" operator="lessThanOrEqual">
      <formula>H24</formula>
    </cfRule>
  </conditionalFormatting>
  <conditionalFormatting sqref="L25">
    <cfRule type="cellIs" dxfId="0" priority="31" operator="lessThanOrEqual">
      <formula>H25</formula>
    </cfRule>
  </conditionalFormatting>
  <conditionalFormatting sqref="L27">
    <cfRule type="cellIs" dxfId="0" priority="33" operator="lessThanOrEqual">
      <formula>H27</formula>
    </cfRule>
  </conditionalFormatting>
  <conditionalFormatting sqref="L29">
    <cfRule type="cellIs" dxfId="0" priority="35" operator="lessThanOrEqual">
      <formula>H29</formula>
    </cfRule>
  </conditionalFormatting>
  <conditionalFormatting sqref="L30">
    <cfRule type="cellIs" dxfId="0" priority="37" operator="lessThanOrEqual">
      <formula>H30</formula>
    </cfRule>
  </conditionalFormatting>
  <conditionalFormatting sqref="L31">
    <cfRule type="cellIs" dxfId="0" priority="39" operator="lessThanOrEqual">
      <formula>H31</formula>
    </cfRule>
  </conditionalFormatting>
  <conditionalFormatting sqref="L32">
    <cfRule type="cellIs" dxfId="0" priority="41" operator="lessThanOrEqual">
      <formula>H32</formula>
    </cfRule>
  </conditionalFormatting>
  <conditionalFormatting sqref="L33">
    <cfRule type="cellIs" dxfId="0" priority="43" operator="lessThanOrEqual">
      <formula>H33</formula>
    </cfRule>
  </conditionalFormatting>
  <conditionalFormatting sqref="L34">
    <cfRule type="cellIs" dxfId="0" priority="45" operator="lessThanOrEqual">
      <formula>H34</formula>
    </cfRule>
  </conditionalFormatting>
  <conditionalFormatting sqref="L35">
    <cfRule type="cellIs" dxfId="0" priority="47" operator="lessThanOrEqual">
      <formula>H35</formula>
    </cfRule>
  </conditionalFormatting>
  <conditionalFormatting sqref="L37">
    <cfRule type="cellIs" dxfId="0" priority="49" operator="lessThanOrEqual">
      <formula>H37</formula>
    </cfRule>
  </conditionalFormatting>
  <conditionalFormatting sqref="L38">
    <cfRule type="cellIs" dxfId="0" priority="51" operator="lessThanOrEqual">
      <formula>H38</formula>
    </cfRule>
  </conditionalFormatting>
  <conditionalFormatting sqref="L39">
    <cfRule type="cellIs" dxfId="0" priority="53" operator="lessThanOrEqual">
      <formula>H39</formula>
    </cfRule>
  </conditionalFormatting>
  <conditionalFormatting sqref="L41">
    <cfRule type="cellIs" dxfId="0" priority="55" operator="lessThanOrEqual">
      <formula>H41</formula>
    </cfRule>
  </conditionalFormatting>
  <conditionalFormatting sqref="L42">
    <cfRule type="cellIs" dxfId="0" priority="57" operator="lessThanOrEqual">
      <formula>H42</formula>
    </cfRule>
  </conditionalFormatting>
  <conditionalFormatting sqref="L43">
    <cfRule type="cellIs" dxfId="0" priority="59" operator="lessThanOrEqual">
      <formula>H43</formula>
    </cfRule>
  </conditionalFormatting>
  <conditionalFormatting sqref="L44">
    <cfRule type="cellIs" dxfId="0" priority="61" operator="lessThanOrEqual">
      <formula>H44</formula>
    </cfRule>
  </conditionalFormatting>
  <conditionalFormatting sqref="L45">
    <cfRule type="cellIs" dxfId="0" priority="63" operator="lessThanOrEqual">
      <formula>H45</formula>
    </cfRule>
  </conditionalFormatting>
  <conditionalFormatting sqref="L46">
    <cfRule type="cellIs" dxfId="0" priority="65" operator="lessThanOrEqual">
      <formula>H46</formula>
    </cfRule>
  </conditionalFormatting>
  <conditionalFormatting sqref="L47">
    <cfRule type="cellIs" dxfId="0" priority="67" operator="lessThanOrEqual">
      <formula>H47</formula>
    </cfRule>
  </conditionalFormatting>
  <conditionalFormatting sqref="L49">
    <cfRule type="cellIs" dxfId="0" priority="69" operator="lessThanOrEqual">
      <formula>H49</formula>
    </cfRule>
  </conditionalFormatting>
  <conditionalFormatting sqref="L50">
    <cfRule type="cellIs" dxfId="0" priority="71" operator="lessThanOrEqual">
      <formula>H50</formula>
    </cfRule>
  </conditionalFormatting>
  <conditionalFormatting sqref="L51">
    <cfRule type="cellIs" dxfId="0" priority="73" operator="lessThanOrEqual">
      <formula>H51</formula>
    </cfRule>
  </conditionalFormatting>
  <conditionalFormatting sqref="L53">
    <cfRule type="cellIs" dxfId="0" priority="75" operator="lessThanOrEqual">
      <formula>H53</formula>
    </cfRule>
  </conditionalFormatting>
  <conditionalFormatting sqref="L55">
    <cfRule type="cellIs" dxfId="0" priority="77" operator="lessThanOrEqual">
      <formula>H55</formula>
    </cfRule>
  </conditionalFormatting>
  <conditionalFormatting sqref="L57">
    <cfRule type="cellIs" dxfId="0" priority="79" operator="lessThanOrEqual">
      <formula>H57</formula>
    </cfRule>
  </conditionalFormatting>
  <conditionalFormatting sqref="L58">
    <cfRule type="cellIs" dxfId="0" priority="81" operator="lessThanOrEqual">
      <formula>H58</formula>
    </cfRule>
  </conditionalFormatting>
  <conditionalFormatting sqref="L59">
    <cfRule type="cellIs" dxfId="0" priority="83" operator="lessThanOrEqual">
      <formula>H59</formula>
    </cfRule>
  </conditionalFormatting>
  <conditionalFormatting sqref="L60">
    <cfRule type="cellIs" dxfId="0" priority="85" operator="lessThanOrEqual">
      <formula>H60</formula>
    </cfRule>
  </conditionalFormatting>
  <conditionalFormatting sqref="L62">
    <cfRule type="cellIs" dxfId="0" priority="87" operator="lessThanOrEqual">
      <formula>H62</formula>
    </cfRule>
  </conditionalFormatting>
  <conditionalFormatting sqref="L63">
    <cfRule type="cellIs" dxfId="0" priority="89" operator="lessThanOrEqual">
      <formula>H63</formula>
    </cfRule>
  </conditionalFormatting>
  <conditionalFormatting sqref="L64">
    <cfRule type="cellIs" dxfId="0" priority="91" operator="lessThanOrEqual">
      <formula>H64</formula>
    </cfRule>
  </conditionalFormatting>
  <conditionalFormatting sqref="L65">
    <cfRule type="cellIs" dxfId="0" priority="93" operator="lessThanOrEqual">
      <formula>H65</formula>
    </cfRule>
  </conditionalFormatting>
  <conditionalFormatting sqref="L66">
    <cfRule type="cellIs" dxfId="0" priority="95" operator="lessThanOrEqual">
      <formula>H66</formula>
    </cfRule>
  </conditionalFormatting>
  <conditionalFormatting sqref="L70">
    <cfRule type="cellIs" dxfId="0" priority="97" operator="lessThanOrEqual">
      <formula>H70</formula>
    </cfRule>
  </conditionalFormatting>
  <conditionalFormatting sqref="L72">
    <cfRule type="cellIs" dxfId="0" priority="99" operator="lessThanOrEqual">
      <formula>H72</formula>
    </cfRule>
  </conditionalFormatting>
  <conditionalFormatting sqref="L8">
    <cfRule type="cellIs" dxfId="0" priority="1" operator="lessThanOrEqual">
      <formula>H8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18">
    <cfRule type="cellIs" dxfId="0" priority="22" operator="lessThanOrEqual">
      <formula>I18</formula>
    </cfRule>
  </conditionalFormatting>
  <conditionalFormatting sqref="M19">
    <cfRule type="cellIs" dxfId="0" priority="24" operator="lessThanOrEqual">
      <formula>I19</formula>
    </cfRule>
  </conditionalFormatting>
  <conditionalFormatting sqref="M21">
    <cfRule type="cellIs" dxfId="0" priority="26" operator="lessThanOrEqual">
      <formula>I21</formula>
    </cfRule>
  </conditionalFormatting>
  <conditionalFormatting sqref="M22">
    <cfRule type="cellIs" dxfId="0" priority="28" operator="lessThanOrEqual">
      <formula>I22</formula>
    </cfRule>
  </conditionalFormatting>
  <conditionalFormatting sqref="M24">
    <cfRule type="cellIs" dxfId="0" priority="30" operator="lessThanOrEqual">
      <formula>I24</formula>
    </cfRule>
  </conditionalFormatting>
  <conditionalFormatting sqref="M25">
    <cfRule type="cellIs" dxfId="0" priority="32" operator="lessThanOrEqual">
      <formula>I25</formula>
    </cfRule>
  </conditionalFormatting>
  <conditionalFormatting sqref="M27">
    <cfRule type="cellIs" dxfId="0" priority="34" operator="lessThanOrEqual">
      <formula>I27</formula>
    </cfRule>
  </conditionalFormatting>
  <conditionalFormatting sqref="M29">
    <cfRule type="cellIs" dxfId="0" priority="36" operator="lessThanOrEqual">
      <formula>I29</formula>
    </cfRule>
  </conditionalFormatting>
  <conditionalFormatting sqref="M30">
    <cfRule type="cellIs" dxfId="0" priority="38" operator="lessThanOrEqual">
      <formula>I30</formula>
    </cfRule>
  </conditionalFormatting>
  <conditionalFormatting sqref="M31">
    <cfRule type="cellIs" dxfId="0" priority="40" operator="lessThanOrEqual">
      <formula>I31</formula>
    </cfRule>
  </conditionalFormatting>
  <conditionalFormatting sqref="M32">
    <cfRule type="cellIs" dxfId="0" priority="42" operator="lessThanOrEqual">
      <formula>I32</formula>
    </cfRule>
  </conditionalFormatting>
  <conditionalFormatting sqref="M33">
    <cfRule type="cellIs" dxfId="0" priority="44" operator="lessThanOrEqual">
      <formula>I33</formula>
    </cfRule>
  </conditionalFormatting>
  <conditionalFormatting sqref="M34">
    <cfRule type="cellIs" dxfId="0" priority="46" operator="lessThanOrEqual">
      <formula>I34</formula>
    </cfRule>
  </conditionalFormatting>
  <conditionalFormatting sqref="M35">
    <cfRule type="cellIs" dxfId="0" priority="48" operator="lessThanOrEqual">
      <formula>I35</formula>
    </cfRule>
  </conditionalFormatting>
  <conditionalFormatting sqref="M37">
    <cfRule type="cellIs" dxfId="0" priority="50" operator="lessThanOrEqual">
      <formula>I37</formula>
    </cfRule>
  </conditionalFormatting>
  <conditionalFormatting sqref="M38">
    <cfRule type="cellIs" dxfId="0" priority="52" operator="lessThanOrEqual">
      <formula>I38</formula>
    </cfRule>
  </conditionalFormatting>
  <conditionalFormatting sqref="M39">
    <cfRule type="cellIs" dxfId="0" priority="54" operator="lessThanOrEqual">
      <formula>I39</formula>
    </cfRule>
  </conditionalFormatting>
  <conditionalFormatting sqref="M41">
    <cfRule type="cellIs" dxfId="0" priority="56" operator="lessThanOrEqual">
      <formula>I41</formula>
    </cfRule>
  </conditionalFormatting>
  <conditionalFormatting sqref="M42">
    <cfRule type="cellIs" dxfId="0" priority="58" operator="lessThanOrEqual">
      <formula>I42</formula>
    </cfRule>
  </conditionalFormatting>
  <conditionalFormatting sqref="M43">
    <cfRule type="cellIs" dxfId="0" priority="60" operator="lessThanOrEqual">
      <formula>I43</formula>
    </cfRule>
  </conditionalFormatting>
  <conditionalFormatting sqref="M44">
    <cfRule type="cellIs" dxfId="0" priority="62" operator="lessThanOrEqual">
      <formula>I44</formula>
    </cfRule>
  </conditionalFormatting>
  <conditionalFormatting sqref="M45">
    <cfRule type="cellIs" dxfId="0" priority="64" operator="lessThanOrEqual">
      <formula>I45</formula>
    </cfRule>
  </conditionalFormatting>
  <conditionalFormatting sqref="M46">
    <cfRule type="cellIs" dxfId="0" priority="66" operator="lessThanOrEqual">
      <formula>I46</formula>
    </cfRule>
  </conditionalFormatting>
  <conditionalFormatting sqref="M47">
    <cfRule type="cellIs" dxfId="0" priority="68" operator="lessThanOrEqual">
      <formula>I47</formula>
    </cfRule>
  </conditionalFormatting>
  <conditionalFormatting sqref="M49">
    <cfRule type="cellIs" dxfId="0" priority="70" operator="lessThanOrEqual">
      <formula>I49</formula>
    </cfRule>
  </conditionalFormatting>
  <conditionalFormatting sqref="M50">
    <cfRule type="cellIs" dxfId="0" priority="72" operator="lessThanOrEqual">
      <formula>I50</formula>
    </cfRule>
  </conditionalFormatting>
  <conditionalFormatting sqref="M51">
    <cfRule type="cellIs" dxfId="0" priority="74" operator="lessThanOrEqual">
      <formula>I51</formula>
    </cfRule>
  </conditionalFormatting>
  <conditionalFormatting sqref="M53">
    <cfRule type="cellIs" dxfId="0" priority="76" operator="lessThanOrEqual">
      <formula>I53</formula>
    </cfRule>
  </conditionalFormatting>
  <conditionalFormatting sqref="M55">
    <cfRule type="cellIs" dxfId="0" priority="78" operator="lessThanOrEqual">
      <formula>I55</formula>
    </cfRule>
  </conditionalFormatting>
  <conditionalFormatting sqref="M57">
    <cfRule type="cellIs" dxfId="0" priority="80" operator="lessThanOrEqual">
      <formula>I57</formula>
    </cfRule>
  </conditionalFormatting>
  <conditionalFormatting sqref="M58">
    <cfRule type="cellIs" dxfId="0" priority="82" operator="lessThanOrEqual">
      <formula>I58</formula>
    </cfRule>
  </conditionalFormatting>
  <conditionalFormatting sqref="M59">
    <cfRule type="cellIs" dxfId="0" priority="84" operator="lessThanOrEqual">
      <formula>I59</formula>
    </cfRule>
  </conditionalFormatting>
  <conditionalFormatting sqref="M60">
    <cfRule type="cellIs" dxfId="0" priority="86" operator="lessThanOrEqual">
      <formula>I60</formula>
    </cfRule>
  </conditionalFormatting>
  <conditionalFormatting sqref="M62">
    <cfRule type="cellIs" dxfId="0" priority="88" operator="lessThanOrEqual">
      <formula>I62</formula>
    </cfRule>
  </conditionalFormatting>
  <conditionalFormatting sqref="M63">
    <cfRule type="cellIs" dxfId="0" priority="90" operator="lessThanOrEqual">
      <formula>I63</formula>
    </cfRule>
  </conditionalFormatting>
  <conditionalFormatting sqref="M64">
    <cfRule type="cellIs" dxfId="0" priority="92" operator="lessThanOrEqual">
      <formula>I64</formula>
    </cfRule>
  </conditionalFormatting>
  <conditionalFormatting sqref="M65">
    <cfRule type="cellIs" dxfId="0" priority="94" operator="lessThanOrEqual">
      <formula>I65</formula>
    </cfRule>
  </conditionalFormatting>
  <conditionalFormatting sqref="M66">
    <cfRule type="cellIs" dxfId="0" priority="96" operator="lessThanOrEqual">
      <formula>I66</formula>
    </cfRule>
  </conditionalFormatting>
  <conditionalFormatting sqref="M70">
    <cfRule type="cellIs" dxfId="0" priority="98" operator="lessThanOrEqual">
      <formula>I70</formula>
    </cfRule>
  </conditionalFormatting>
  <conditionalFormatting sqref="M72">
    <cfRule type="cellIs" dxfId="0" priority="100" operator="lessThanOrEqual">
      <formula>I72</formula>
    </cfRule>
  </conditionalFormatting>
  <conditionalFormatting sqref="M8">
    <cfRule type="cellIs" dxfId="0" priority="2" operator="lessThanOrEqual">
      <formula>I8</formula>
    </cfRule>
  </conditionalFormatting>
  <conditionalFormatting sqref="M9">
    <cfRule type="cellIs" dxfId="0" priority="4" operator="lessThanOrEqual">
      <formula>I9</formula>
    </cfRule>
  </conditionalFormatting>
  <conditionalFormatting sqref="R10">
    <cfRule type="cellIs" dxfId="0" priority="105" operator="lessThanOrEqual">
      <formula>H10</formula>
    </cfRule>
  </conditionalFormatting>
  <conditionalFormatting sqref="R11">
    <cfRule type="cellIs" dxfId="0" priority="107" operator="lessThanOrEqual">
      <formula>H11</formula>
    </cfRule>
  </conditionalFormatting>
  <conditionalFormatting sqref="R12">
    <cfRule type="cellIs" dxfId="0" priority="109" operator="lessThanOrEqual">
      <formula>H12</formula>
    </cfRule>
  </conditionalFormatting>
  <conditionalFormatting sqref="R15">
    <cfRule type="cellIs" dxfId="0" priority="111" operator="lessThanOrEqual">
      <formula>H15</formula>
    </cfRule>
  </conditionalFormatting>
  <conditionalFormatting sqref="R16">
    <cfRule type="cellIs" dxfId="0" priority="113" operator="lessThanOrEqual">
      <formula>H16</formula>
    </cfRule>
  </conditionalFormatting>
  <conditionalFormatting sqref="R17">
    <cfRule type="cellIs" dxfId="0" priority="115" operator="lessThanOrEqual">
      <formula>H17</formula>
    </cfRule>
  </conditionalFormatting>
  <conditionalFormatting sqref="R21">
    <cfRule type="cellIs" dxfId="0" priority="117" operator="lessThanOrEqual">
      <formula>H21</formula>
    </cfRule>
  </conditionalFormatting>
  <conditionalFormatting sqref="R25">
    <cfRule type="cellIs" dxfId="0" priority="119" operator="lessThanOrEqual">
      <formula>H25</formula>
    </cfRule>
  </conditionalFormatting>
  <conditionalFormatting sqref="R27">
    <cfRule type="cellIs" dxfId="0" priority="121" operator="lessThanOrEqual">
      <formula>H27</formula>
    </cfRule>
  </conditionalFormatting>
  <conditionalFormatting sqref="R29">
    <cfRule type="cellIs" dxfId="0" priority="123" operator="lessThanOrEqual">
      <formula>H29</formula>
    </cfRule>
  </conditionalFormatting>
  <conditionalFormatting sqref="R30">
    <cfRule type="cellIs" dxfId="0" priority="125" operator="lessThanOrEqual">
      <formula>H30</formula>
    </cfRule>
  </conditionalFormatting>
  <conditionalFormatting sqref="R31">
    <cfRule type="cellIs" dxfId="0" priority="127" operator="lessThanOrEqual">
      <formula>H31</formula>
    </cfRule>
  </conditionalFormatting>
  <conditionalFormatting sqref="R33">
    <cfRule type="cellIs" dxfId="0" priority="129" operator="lessThanOrEqual">
      <formula>H33</formula>
    </cfRule>
  </conditionalFormatting>
  <conditionalFormatting sqref="R34">
    <cfRule type="cellIs" dxfId="0" priority="131" operator="lessThanOrEqual">
      <formula>H34</formula>
    </cfRule>
  </conditionalFormatting>
  <conditionalFormatting sqref="R36">
    <cfRule type="cellIs" dxfId="0" priority="133" operator="lessThanOrEqual">
      <formula>H36</formula>
    </cfRule>
  </conditionalFormatting>
  <conditionalFormatting sqref="R37">
    <cfRule type="cellIs" dxfId="0" priority="135" operator="lessThanOrEqual">
      <formula>H37</formula>
    </cfRule>
  </conditionalFormatting>
  <conditionalFormatting sqref="R41">
    <cfRule type="cellIs" dxfId="0" priority="137" operator="lessThanOrEqual">
      <formula>H41</formula>
    </cfRule>
  </conditionalFormatting>
  <conditionalFormatting sqref="R42">
    <cfRule type="cellIs" dxfId="0" priority="139" operator="lessThanOrEqual">
      <formula>H42</formula>
    </cfRule>
  </conditionalFormatting>
  <conditionalFormatting sqref="R43">
    <cfRule type="cellIs" dxfId="0" priority="141" operator="lessThanOrEqual">
      <formula>H43</formula>
    </cfRule>
  </conditionalFormatting>
  <conditionalFormatting sqref="R44">
    <cfRule type="cellIs" dxfId="0" priority="143" operator="lessThanOrEqual">
      <formula>H44</formula>
    </cfRule>
  </conditionalFormatting>
  <conditionalFormatting sqref="R45">
    <cfRule type="cellIs" dxfId="0" priority="145" operator="lessThanOrEqual">
      <formula>H45</formula>
    </cfRule>
  </conditionalFormatting>
  <conditionalFormatting sqref="R46">
    <cfRule type="cellIs" dxfId="0" priority="147" operator="lessThanOrEqual">
      <formula>H46</formula>
    </cfRule>
  </conditionalFormatting>
  <conditionalFormatting sqref="R47">
    <cfRule type="cellIs" dxfId="0" priority="149" operator="lessThanOrEqual">
      <formula>H47</formula>
    </cfRule>
  </conditionalFormatting>
  <conditionalFormatting sqref="R49">
    <cfRule type="cellIs" dxfId="0" priority="151" operator="lessThanOrEqual">
      <formula>H49</formula>
    </cfRule>
  </conditionalFormatting>
  <conditionalFormatting sqref="R50">
    <cfRule type="cellIs" dxfId="0" priority="153" operator="lessThanOrEqual">
      <formula>H50</formula>
    </cfRule>
  </conditionalFormatting>
  <conditionalFormatting sqref="R51">
    <cfRule type="cellIs" dxfId="0" priority="155" operator="lessThanOrEqual">
      <formula>H51</formula>
    </cfRule>
  </conditionalFormatting>
  <conditionalFormatting sqref="R53">
    <cfRule type="cellIs" dxfId="0" priority="157" operator="lessThanOrEqual">
      <formula>H53</formula>
    </cfRule>
  </conditionalFormatting>
  <conditionalFormatting sqref="R55">
    <cfRule type="cellIs" dxfId="0" priority="159" operator="lessThanOrEqual">
      <formula>H55</formula>
    </cfRule>
  </conditionalFormatting>
  <conditionalFormatting sqref="R57">
    <cfRule type="cellIs" dxfId="0" priority="161" operator="lessThanOrEqual">
      <formula>H57</formula>
    </cfRule>
  </conditionalFormatting>
  <conditionalFormatting sqref="R59">
    <cfRule type="cellIs" dxfId="0" priority="163" operator="lessThanOrEqual">
      <formula>H59</formula>
    </cfRule>
  </conditionalFormatting>
  <conditionalFormatting sqref="R62">
    <cfRule type="cellIs" dxfId="0" priority="165" operator="lessThanOrEqual">
      <formula>H62</formula>
    </cfRule>
  </conditionalFormatting>
  <conditionalFormatting sqref="R63">
    <cfRule type="cellIs" dxfId="0" priority="167" operator="lessThanOrEqual">
      <formula>H63</formula>
    </cfRule>
  </conditionalFormatting>
  <conditionalFormatting sqref="R64">
    <cfRule type="cellIs" dxfId="0" priority="169" operator="lessThanOrEqual">
      <formula>H64</formula>
    </cfRule>
  </conditionalFormatting>
  <conditionalFormatting sqref="R66">
    <cfRule type="cellIs" dxfId="0" priority="171" operator="lessThanOrEqual">
      <formula>H66</formula>
    </cfRule>
  </conditionalFormatting>
  <conditionalFormatting sqref="R70">
    <cfRule type="cellIs" dxfId="0" priority="173" operator="lessThanOrEqual">
      <formula>H70</formula>
    </cfRule>
  </conditionalFormatting>
  <conditionalFormatting sqref="R8">
    <cfRule type="cellIs" dxfId="0" priority="101" operator="lessThanOrEqual">
      <formula>H8</formula>
    </cfRule>
  </conditionalFormatting>
  <conditionalFormatting sqref="R9">
    <cfRule type="cellIs" dxfId="0" priority="103" operator="lessThanOrEqual">
      <formula>H9</formula>
    </cfRule>
  </conditionalFormatting>
  <conditionalFormatting sqref="S10">
    <cfRule type="cellIs" dxfId="0" priority="106" operator="lessThanOrEqual">
      <formula>I10</formula>
    </cfRule>
  </conditionalFormatting>
  <conditionalFormatting sqref="S11">
    <cfRule type="cellIs" dxfId="0" priority="108" operator="lessThanOrEqual">
      <formula>I11</formula>
    </cfRule>
  </conditionalFormatting>
  <conditionalFormatting sqref="S12">
    <cfRule type="cellIs" dxfId="0" priority="110" operator="lessThanOrEqual">
      <formula>I12</formula>
    </cfRule>
  </conditionalFormatting>
  <conditionalFormatting sqref="S15">
    <cfRule type="cellIs" dxfId="0" priority="112" operator="lessThanOrEqual">
      <formula>I15</formula>
    </cfRule>
  </conditionalFormatting>
  <conditionalFormatting sqref="S16">
    <cfRule type="cellIs" dxfId="0" priority="114" operator="lessThanOrEqual">
      <formula>I16</formula>
    </cfRule>
  </conditionalFormatting>
  <conditionalFormatting sqref="S17">
    <cfRule type="cellIs" dxfId="0" priority="116" operator="lessThanOrEqual">
      <formula>I17</formula>
    </cfRule>
  </conditionalFormatting>
  <conditionalFormatting sqref="S21">
    <cfRule type="cellIs" dxfId="0" priority="118" operator="lessThanOrEqual">
      <formula>I21</formula>
    </cfRule>
  </conditionalFormatting>
  <conditionalFormatting sqref="S25">
    <cfRule type="cellIs" dxfId="0" priority="120" operator="lessThanOrEqual">
      <formula>I25</formula>
    </cfRule>
  </conditionalFormatting>
  <conditionalFormatting sqref="S27">
    <cfRule type="cellIs" dxfId="0" priority="122" operator="lessThanOrEqual">
      <formula>I27</formula>
    </cfRule>
  </conditionalFormatting>
  <conditionalFormatting sqref="S29">
    <cfRule type="cellIs" dxfId="0" priority="124" operator="lessThanOrEqual">
      <formula>I29</formula>
    </cfRule>
  </conditionalFormatting>
  <conditionalFormatting sqref="S30">
    <cfRule type="cellIs" dxfId="0" priority="126" operator="lessThanOrEqual">
      <formula>I30</formula>
    </cfRule>
  </conditionalFormatting>
  <conditionalFormatting sqref="S31">
    <cfRule type="cellIs" dxfId="0" priority="128" operator="lessThanOrEqual">
      <formula>I31</formula>
    </cfRule>
  </conditionalFormatting>
  <conditionalFormatting sqref="S33">
    <cfRule type="cellIs" dxfId="0" priority="130" operator="lessThanOrEqual">
      <formula>I33</formula>
    </cfRule>
  </conditionalFormatting>
  <conditionalFormatting sqref="S34">
    <cfRule type="cellIs" dxfId="0" priority="132" operator="lessThanOrEqual">
      <formula>I34</formula>
    </cfRule>
  </conditionalFormatting>
  <conditionalFormatting sqref="S36">
    <cfRule type="cellIs" dxfId="0" priority="134" operator="lessThanOrEqual">
      <formula>I36</formula>
    </cfRule>
  </conditionalFormatting>
  <conditionalFormatting sqref="S37">
    <cfRule type="cellIs" dxfId="0" priority="136" operator="lessThanOrEqual">
      <formula>I37</formula>
    </cfRule>
  </conditionalFormatting>
  <conditionalFormatting sqref="S41">
    <cfRule type="cellIs" dxfId="0" priority="138" operator="lessThanOrEqual">
      <formula>I41</formula>
    </cfRule>
  </conditionalFormatting>
  <conditionalFormatting sqref="S42">
    <cfRule type="cellIs" dxfId="0" priority="140" operator="lessThanOrEqual">
      <formula>I42</formula>
    </cfRule>
  </conditionalFormatting>
  <conditionalFormatting sqref="S43">
    <cfRule type="cellIs" dxfId="0" priority="142" operator="lessThanOrEqual">
      <formula>I43</formula>
    </cfRule>
  </conditionalFormatting>
  <conditionalFormatting sqref="S44">
    <cfRule type="cellIs" dxfId="0" priority="144" operator="lessThanOrEqual">
      <formula>I44</formula>
    </cfRule>
  </conditionalFormatting>
  <conditionalFormatting sqref="S45">
    <cfRule type="cellIs" dxfId="0" priority="146" operator="lessThanOrEqual">
      <formula>I45</formula>
    </cfRule>
  </conditionalFormatting>
  <conditionalFormatting sqref="S46">
    <cfRule type="cellIs" dxfId="0" priority="148" operator="lessThanOrEqual">
      <formula>I46</formula>
    </cfRule>
  </conditionalFormatting>
  <conditionalFormatting sqref="S47">
    <cfRule type="cellIs" dxfId="0" priority="150" operator="lessThanOrEqual">
      <formula>I47</formula>
    </cfRule>
  </conditionalFormatting>
  <conditionalFormatting sqref="S49">
    <cfRule type="cellIs" dxfId="0" priority="152" operator="lessThanOrEqual">
      <formula>I49</formula>
    </cfRule>
  </conditionalFormatting>
  <conditionalFormatting sqref="S50">
    <cfRule type="cellIs" dxfId="0" priority="154" operator="lessThanOrEqual">
      <formula>I50</formula>
    </cfRule>
  </conditionalFormatting>
  <conditionalFormatting sqref="S51">
    <cfRule type="cellIs" dxfId="0" priority="156" operator="lessThanOrEqual">
      <formula>I51</formula>
    </cfRule>
  </conditionalFormatting>
  <conditionalFormatting sqref="S53">
    <cfRule type="cellIs" dxfId="0" priority="158" operator="lessThanOrEqual">
      <formula>I53</formula>
    </cfRule>
  </conditionalFormatting>
  <conditionalFormatting sqref="S55">
    <cfRule type="cellIs" dxfId="0" priority="160" operator="lessThanOrEqual">
      <formula>I55</formula>
    </cfRule>
  </conditionalFormatting>
  <conditionalFormatting sqref="S57">
    <cfRule type="cellIs" dxfId="0" priority="162" operator="lessThanOrEqual">
      <formula>I57</formula>
    </cfRule>
  </conditionalFormatting>
  <conditionalFormatting sqref="S59">
    <cfRule type="cellIs" dxfId="0" priority="164" operator="lessThanOrEqual">
      <formula>I59</formula>
    </cfRule>
  </conditionalFormatting>
  <conditionalFormatting sqref="S62">
    <cfRule type="cellIs" dxfId="0" priority="166" operator="lessThanOrEqual">
      <formula>I62</formula>
    </cfRule>
  </conditionalFormatting>
  <conditionalFormatting sqref="S63">
    <cfRule type="cellIs" dxfId="0" priority="168" operator="lessThanOrEqual">
      <formula>I63</formula>
    </cfRule>
  </conditionalFormatting>
  <conditionalFormatting sqref="S64">
    <cfRule type="cellIs" dxfId="0" priority="170" operator="lessThanOrEqual">
      <formula>I64</formula>
    </cfRule>
  </conditionalFormatting>
  <conditionalFormatting sqref="S66">
    <cfRule type="cellIs" dxfId="0" priority="172" operator="lessThanOrEqual">
      <formula>I66</formula>
    </cfRule>
  </conditionalFormatting>
  <conditionalFormatting sqref="S70">
    <cfRule type="cellIs" dxfId="0" priority="174" operator="lessThanOrEqual">
      <formula>I70</formula>
    </cfRule>
  </conditionalFormatting>
  <conditionalFormatting sqref="S8">
    <cfRule type="cellIs" dxfId="0" priority="102" operator="lessThanOrEqual">
      <formula>I8</formula>
    </cfRule>
  </conditionalFormatting>
  <conditionalFormatting sqref="S9">
    <cfRule type="cellIs" dxfId="0" priority="104" operator="lessThanOrEqual">
      <formula>I9</formula>
    </cfRule>
  </conditionalFormatting>
  <conditionalFormatting sqref="X10">
    <cfRule type="cellIs" dxfId="0" priority="179" operator="lessThanOrEqual">
      <formula>H10</formula>
    </cfRule>
  </conditionalFormatting>
  <conditionalFormatting sqref="X11">
    <cfRule type="cellIs" dxfId="0" priority="181" operator="lessThanOrEqual">
      <formula>H11</formula>
    </cfRule>
  </conditionalFormatting>
  <conditionalFormatting sqref="X12">
    <cfRule type="cellIs" dxfId="0" priority="183" operator="lessThanOrEqual">
      <formula>H12</formula>
    </cfRule>
  </conditionalFormatting>
  <conditionalFormatting sqref="X13">
    <cfRule type="cellIs" dxfId="0" priority="185" operator="lessThanOrEqual">
      <formula>H13</formula>
    </cfRule>
  </conditionalFormatting>
  <conditionalFormatting sqref="X14">
    <cfRule type="cellIs" dxfId="0" priority="187" operator="lessThanOrEqual">
      <formula>H14</formula>
    </cfRule>
  </conditionalFormatting>
  <conditionalFormatting sqref="X15">
    <cfRule type="cellIs" dxfId="0" priority="189" operator="lessThanOrEqual">
      <formula>H15</formula>
    </cfRule>
  </conditionalFormatting>
  <conditionalFormatting sqref="X16">
    <cfRule type="cellIs" dxfId="0" priority="191" operator="lessThanOrEqual">
      <formula>H16</formula>
    </cfRule>
  </conditionalFormatting>
  <conditionalFormatting sqref="X17">
    <cfRule type="cellIs" dxfId="0" priority="193" operator="lessThanOrEqual">
      <formula>H17</formula>
    </cfRule>
  </conditionalFormatting>
  <conditionalFormatting sqref="X18">
    <cfRule type="cellIs" dxfId="0" priority="195" operator="lessThanOrEqual">
      <formula>H18</formula>
    </cfRule>
  </conditionalFormatting>
  <conditionalFormatting sqref="X19">
    <cfRule type="cellIs" dxfId="0" priority="197" operator="lessThanOrEqual">
      <formula>H19</formula>
    </cfRule>
  </conditionalFormatting>
  <conditionalFormatting sqref="X21">
    <cfRule type="cellIs" dxfId="0" priority="199" operator="lessThanOrEqual">
      <formula>H21</formula>
    </cfRule>
  </conditionalFormatting>
  <conditionalFormatting sqref="X22">
    <cfRule type="cellIs" dxfId="0" priority="201" operator="lessThanOrEqual">
      <formula>H22</formula>
    </cfRule>
  </conditionalFormatting>
  <conditionalFormatting sqref="X24">
    <cfRule type="cellIs" dxfId="0" priority="203" operator="lessThanOrEqual">
      <formula>H24</formula>
    </cfRule>
  </conditionalFormatting>
  <conditionalFormatting sqref="X25">
    <cfRule type="cellIs" dxfId="0" priority="205" operator="lessThanOrEqual">
      <formula>H25</formula>
    </cfRule>
  </conditionalFormatting>
  <conditionalFormatting sqref="X27">
    <cfRule type="cellIs" dxfId="0" priority="207" operator="lessThanOrEqual">
      <formula>H27</formula>
    </cfRule>
  </conditionalFormatting>
  <conditionalFormatting sqref="X29">
    <cfRule type="cellIs" dxfId="0" priority="209" operator="lessThanOrEqual">
      <formula>H29</formula>
    </cfRule>
  </conditionalFormatting>
  <conditionalFormatting sqref="X30">
    <cfRule type="cellIs" dxfId="0" priority="211" operator="lessThanOrEqual">
      <formula>H30</formula>
    </cfRule>
  </conditionalFormatting>
  <conditionalFormatting sqref="X31">
    <cfRule type="cellIs" dxfId="0" priority="213" operator="lessThanOrEqual">
      <formula>H31</formula>
    </cfRule>
  </conditionalFormatting>
  <conditionalFormatting sqref="X32">
    <cfRule type="cellIs" dxfId="0" priority="215" operator="lessThanOrEqual">
      <formula>H32</formula>
    </cfRule>
  </conditionalFormatting>
  <conditionalFormatting sqref="X33">
    <cfRule type="cellIs" dxfId="0" priority="217" operator="lessThanOrEqual">
      <formula>H33</formula>
    </cfRule>
  </conditionalFormatting>
  <conditionalFormatting sqref="X34">
    <cfRule type="cellIs" dxfId="0" priority="219" operator="lessThanOrEqual">
      <formula>H34</formula>
    </cfRule>
  </conditionalFormatting>
  <conditionalFormatting sqref="X35">
    <cfRule type="cellIs" dxfId="0" priority="221" operator="lessThanOrEqual">
      <formula>H35</formula>
    </cfRule>
  </conditionalFormatting>
  <conditionalFormatting sqref="X36">
    <cfRule type="cellIs" dxfId="0" priority="223" operator="lessThanOrEqual">
      <formula>H36</formula>
    </cfRule>
  </conditionalFormatting>
  <conditionalFormatting sqref="X37">
    <cfRule type="cellIs" dxfId="0" priority="225" operator="lessThanOrEqual">
      <formula>H37</formula>
    </cfRule>
  </conditionalFormatting>
  <conditionalFormatting sqref="X38">
    <cfRule type="cellIs" dxfId="0" priority="227" operator="lessThanOrEqual">
      <formula>H38</formula>
    </cfRule>
  </conditionalFormatting>
  <conditionalFormatting sqref="X39">
    <cfRule type="cellIs" dxfId="0" priority="229" operator="lessThanOrEqual">
      <formula>H39</formula>
    </cfRule>
  </conditionalFormatting>
  <conditionalFormatting sqref="X41">
    <cfRule type="cellIs" dxfId="0" priority="231" operator="lessThanOrEqual">
      <formula>H41</formula>
    </cfRule>
  </conditionalFormatting>
  <conditionalFormatting sqref="X42">
    <cfRule type="cellIs" dxfId="0" priority="233" operator="lessThanOrEqual">
      <formula>H42</formula>
    </cfRule>
  </conditionalFormatting>
  <conditionalFormatting sqref="X43">
    <cfRule type="cellIs" dxfId="0" priority="235" operator="lessThanOrEqual">
      <formula>H43</formula>
    </cfRule>
  </conditionalFormatting>
  <conditionalFormatting sqref="X44">
    <cfRule type="cellIs" dxfId="0" priority="237" operator="lessThanOrEqual">
      <formula>H44</formula>
    </cfRule>
  </conditionalFormatting>
  <conditionalFormatting sqref="X45">
    <cfRule type="cellIs" dxfId="0" priority="239" operator="lessThanOrEqual">
      <formula>H45</formula>
    </cfRule>
  </conditionalFormatting>
  <conditionalFormatting sqref="X46">
    <cfRule type="cellIs" dxfId="0" priority="241" operator="lessThanOrEqual">
      <formula>H46</formula>
    </cfRule>
  </conditionalFormatting>
  <conditionalFormatting sqref="X47">
    <cfRule type="cellIs" dxfId="0" priority="243" operator="lessThanOrEqual">
      <formula>H47</formula>
    </cfRule>
  </conditionalFormatting>
  <conditionalFormatting sqref="X49">
    <cfRule type="cellIs" dxfId="0" priority="245" operator="lessThanOrEqual">
      <formula>H49</formula>
    </cfRule>
  </conditionalFormatting>
  <conditionalFormatting sqref="X50">
    <cfRule type="cellIs" dxfId="0" priority="247" operator="lessThanOrEqual">
      <formula>H50</formula>
    </cfRule>
  </conditionalFormatting>
  <conditionalFormatting sqref="X51">
    <cfRule type="cellIs" dxfId="0" priority="249" operator="lessThanOrEqual">
      <formula>H51</formula>
    </cfRule>
  </conditionalFormatting>
  <conditionalFormatting sqref="X53">
    <cfRule type="cellIs" dxfId="0" priority="251" operator="lessThanOrEqual">
      <formula>H53</formula>
    </cfRule>
  </conditionalFormatting>
  <conditionalFormatting sqref="X55">
    <cfRule type="cellIs" dxfId="0" priority="253" operator="lessThanOrEqual">
      <formula>H55</formula>
    </cfRule>
  </conditionalFormatting>
  <conditionalFormatting sqref="X57">
    <cfRule type="cellIs" dxfId="0" priority="255" operator="lessThanOrEqual">
      <formula>H57</formula>
    </cfRule>
  </conditionalFormatting>
  <conditionalFormatting sqref="X58">
    <cfRule type="cellIs" dxfId="0" priority="257" operator="lessThanOrEqual">
      <formula>H58</formula>
    </cfRule>
  </conditionalFormatting>
  <conditionalFormatting sqref="X59">
    <cfRule type="cellIs" dxfId="0" priority="259" operator="lessThanOrEqual">
      <formula>H59</formula>
    </cfRule>
  </conditionalFormatting>
  <conditionalFormatting sqref="X60">
    <cfRule type="cellIs" dxfId="0" priority="261" operator="lessThanOrEqual">
      <formula>H60</formula>
    </cfRule>
  </conditionalFormatting>
  <conditionalFormatting sqref="X61">
    <cfRule type="cellIs" dxfId="0" priority="263" operator="lessThanOrEqual">
      <formula>H61</formula>
    </cfRule>
  </conditionalFormatting>
  <conditionalFormatting sqref="X62">
    <cfRule type="cellIs" dxfId="0" priority="265" operator="lessThanOrEqual">
      <formula>H62</formula>
    </cfRule>
  </conditionalFormatting>
  <conditionalFormatting sqref="X63">
    <cfRule type="cellIs" dxfId="0" priority="267" operator="lessThanOrEqual">
      <formula>H63</formula>
    </cfRule>
  </conditionalFormatting>
  <conditionalFormatting sqref="X64">
    <cfRule type="cellIs" dxfId="0" priority="269" operator="lessThanOrEqual">
      <formula>H64</formula>
    </cfRule>
  </conditionalFormatting>
  <conditionalFormatting sqref="X65">
    <cfRule type="cellIs" dxfId="0" priority="271" operator="lessThanOrEqual">
      <formula>H65</formula>
    </cfRule>
  </conditionalFormatting>
  <conditionalFormatting sqref="X66">
    <cfRule type="cellIs" dxfId="0" priority="273" operator="lessThanOrEqual">
      <formula>H66</formula>
    </cfRule>
  </conditionalFormatting>
  <conditionalFormatting sqref="X70">
    <cfRule type="cellIs" dxfId="0" priority="275" operator="lessThanOrEqual">
      <formula>H70</formula>
    </cfRule>
  </conditionalFormatting>
  <conditionalFormatting sqref="X72">
    <cfRule type="cellIs" dxfId="0" priority="277" operator="lessThanOrEqual">
      <formula>H72</formula>
    </cfRule>
  </conditionalFormatting>
  <conditionalFormatting sqref="X8">
    <cfRule type="cellIs" dxfId="0" priority="175" operator="lessThanOrEqual">
      <formula>H8</formula>
    </cfRule>
  </conditionalFormatting>
  <conditionalFormatting sqref="X9">
    <cfRule type="cellIs" dxfId="0" priority="177" operator="lessThanOrEqual">
      <formula>H9</formula>
    </cfRule>
  </conditionalFormatting>
  <conditionalFormatting sqref="Y10">
    <cfRule type="cellIs" dxfId="0" priority="180" operator="lessThanOrEqual">
      <formula>I10</formula>
    </cfRule>
  </conditionalFormatting>
  <conditionalFormatting sqref="Y11">
    <cfRule type="cellIs" dxfId="0" priority="182" operator="lessThanOrEqual">
      <formula>I11</formula>
    </cfRule>
  </conditionalFormatting>
  <conditionalFormatting sqref="Y12">
    <cfRule type="cellIs" dxfId="0" priority="184" operator="lessThanOrEqual">
      <formula>I12</formula>
    </cfRule>
  </conditionalFormatting>
  <conditionalFormatting sqref="Y13">
    <cfRule type="cellIs" dxfId="0" priority="186" operator="lessThanOrEqual">
      <formula>I13</formula>
    </cfRule>
  </conditionalFormatting>
  <conditionalFormatting sqref="Y14">
    <cfRule type="cellIs" dxfId="0" priority="188" operator="lessThanOrEqual">
      <formula>I14</formula>
    </cfRule>
  </conditionalFormatting>
  <conditionalFormatting sqref="Y15">
    <cfRule type="cellIs" dxfId="0" priority="190" operator="lessThanOrEqual">
      <formula>I15</formula>
    </cfRule>
  </conditionalFormatting>
  <conditionalFormatting sqref="Y16">
    <cfRule type="cellIs" dxfId="0" priority="192" operator="lessThanOrEqual">
      <formula>I16</formula>
    </cfRule>
  </conditionalFormatting>
  <conditionalFormatting sqref="Y17">
    <cfRule type="cellIs" dxfId="0" priority="194" operator="lessThanOrEqual">
      <formula>I17</formula>
    </cfRule>
  </conditionalFormatting>
  <conditionalFormatting sqref="Y18">
    <cfRule type="cellIs" dxfId="0" priority="196" operator="lessThanOrEqual">
      <formula>I18</formula>
    </cfRule>
  </conditionalFormatting>
  <conditionalFormatting sqref="Y19">
    <cfRule type="cellIs" dxfId="0" priority="198" operator="lessThanOrEqual">
      <formula>I19</formula>
    </cfRule>
  </conditionalFormatting>
  <conditionalFormatting sqref="Y21">
    <cfRule type="cellIs" dxfId="0" priority="200" operator="lessThanOrEqual">
      <formula>I21</formula>
    </cfRule>
  </conditionalFormatting>
  <conditionalFormatting sqref="Y22">
    <cfRule type="cellIs" dxfId="0" priority="202" operator="lessThanOrEqual">
      <formula>I22</formula>
    </cfRule>
  </conditionalFormatting>
  <conditionalFormatting sqref="Y24">
    <cfRule type="cellIs" dxfId="0" priority="204" operator="lessThanOrEqual">
      <formula>I24</formula>
    </cfRule>
  </conditionalFormatting>
  <conditionalFormatting sqref="Y25">
    <cfRule type="cellIs" dxfId="0" priority="206" operator="lessThanOrEqual">
      <formula>I25</formula>
    </cfRule>
  </conditionalFormatting>
  <conditionalFormatting sqref="Y27">
    <cfRule type="cellIs" dxfId="0" priority="208" operator="lessThanOrEqual">
      <formula>I27</formula>
    </cfRule>
  </conditionalFormatting>
  <conditionalFormatting sqref="Y29">
    <cfRule type="cellIs" dxfId="0" priority="210" operator="lessThanOrEqual">
      <formula>I29</formula>
    </cfRule>
  </conditionalFormatting>
  <conditionalFormatting sqref="Y30">
    <cfRule type="cellIs" dxfId="0" priority="212" operator="lessThanOrEqual">
      <formula>I30</formula>
    </cfRule>
  </conditionalFormatting>
  <conditionalFormatting sqref="Y31">
    <cfRule type="cellIs" dxfId="0" priority="214" operator="lessThanOrEqual">
      <formula>I31</formula>
    </cfRule>
  </conditionalFormatting>
  <conditionalFormatting sqref="Y32">
    <cfRule type="cellIs" dxfId="0" priority="216" operator="lessThanOrEqual">
      <formula>I32</formula>
    </cfRule>
  </conditionalFormatting>
  <conditionalFormatting sqref="Y33">
    <cfRule type="cellIs" dxfId="0" priority="218" operator="lessThanOrEqual">
      <formula>I33</formula>
    </cfRule>
  </conditionalFormatting>
  <conditionalFormatting sqref="Y34">
    <cfRule type="cellIs" dxfId="0" priority="220" operator="lessThanOrEqual">
      <formula>I34</formula>
    </cfRule>
  </conditionalFormatting>
  <conditionalFormatting sqref="Y35">
    <cfRule type="cellIs" dxfId="0" priority="222" operator="lessThanOrEqual">
      <formula>I35</formula>
    </cfRule>
  </conditionalFormatting>
  <conditionalFormatting sqref="Y36">
    <cfRule type="cellIs" dxfId="0" priority="224" operator="lessThanOrEqual">
      <formula>I36</formula>
    </cfRule>
  </conditionalFormatting>
  <conditionalFormatting sqref="Y37">
    <cfRule type="cellIs" dxfId="0" priority="226" operator="lessThanOrEqual">
      <formula>I37</formula>
    </cfRule>
  </conditionalFormatting>
  <conditionalFormatting sqref="Y38">
    <cfRule type="cellIs" dxfId="0" priority="228" operator="lessThanOrEqual">
      <formula>I38</formula>
    </cfRule>
  </conditionalFormatting>
  <conditionalFormatting sqref="Y39">
    <cfRule type="cellIs" dxfId="0" priority="230" operator="lessThanOrEqual">
      <formula>I39</formula>
    </cfRule>
  </conditionalFormatting>
  <conditionalFormatting sqref="Y41">
    <cfRule type="cellIs" dxfId="0" priority="232" operator="lessThanOrEqual">
      <formula>I41</formula>
    </cfRule>
  </conditionalFormatting>
  <conditionalFormatting sqref="Y42">
    <cfRule type="cellIs" dxfId="0" priority="234" operator="lessThanOrEqual">
      <formula>I42</formula>
    </cfRule>
  </conditionalFormatting>
  <conditionalFormatting sqref="Y43">
    <cfRule type="cellIs" dxfId="0" priority="236" operator="lessThanOrEqual">
      <formula>I43</formula>
    </cfRule>
  </conditionalFormatting>
  <conditionalFormatting sqref="Y44">
    <cfRule type="cellIs" dxfId="0" priority="238" operator="lessThanOrEqual">
      <formula>I44</formula>
    </cfRule>
  </conditionalFormatting>
  <conditionalFormatting sqref="Y45">
    <cfRule type="cellIs" dxfId="0" priority="240" operator="lessThanOrEqual">
      <formula>I45</formula>
    </cfRule>
  </conditionalFormatting>
  <conditionalFormatting sqref="Y46">
    <cfRule type="cellIs" dxfId="0" priority="242" operator="lessThanOrEqual">
      <formula>I46</formula>
    </cfRule>
  </conditionalFormatting>
  <conditionalFormatting sqref="Y47">
    <cfRule type="cellIs" dxfId="0" priority="244" operator="lessThanOrEqual">
      <formula>I47</formula>
    </cfRule>
  </conditionalFormatting>
  <conditionalFormatting sqref="Y49">
    <cfRule type="cellIs" dxfId="0" priority="246" operator="lessThanOrEqual">
      <formula>I49</formula>
    </cfRule>
  </conditionalFormatting>
  <conditionalFormatting sqref="Y50">
    <cfRule type="cellIs" dxfId="0" priority="248" operator="lessThanOrEqual">
      <formula>I50</formula>
    </cfRule>
  </conditionalFormatting>
  <conditionalFormatting sqref="Y51">
    <cfRule type="cellIs" dxfId="0" priority="250" operator="lessThanOrEqual">
      <formula>I51</formula>
    </cfRule>
  </conditionalFormatting>
  <conditionalFormatting sqref="Y53">
    <cfRule type="cellIs" dxfId="0" priority="252" operator="lessThanOrEqual">
      <formula>I53</formula>
    </cfRule>
  </conditionalFormatting>
  <conditionalFormatting sqref="Y55">
    <cfRule type="cellIs" dxfId="0" priority="254" operator="lessThanOrEqual">
      <formula>I55</formula>
    </cfRule>
  </conditionalFormatting>
  <conditionalFormatting sqref="Y57">
    <cfRule type="cellIs" dxfId="0" priority="256" operator="lessThanOrEqual">
      <formula>I57</formula>
    </cfRule>
  </conditionalFormatting>
  <conditionalFormatting sqref="Y58">
    <cfRule type="cellIs" dxfId="0" priority="258" operator="lessThanOrEqual">
      <formula>I58</formula>
    </cfRule>
  </conditionalFormatting>
  <conditionalFormatting sqref="Y59">
    <cfRule type="cellIs" dxfId="0" priority="260" operator="lessThanOrEqual">
      <formula>I59</formula>
    </cfRule>
  </conditionalFormatting>
  <conditionalFormatting sqref="Y60">
    <cfRule type="cellIs" dxfId="0" priority="262" operator="lessThanOrEqual">
      <formula>I60</formula>
    </cfRule>
  </conditionalFormatting>
  <conditionalFormatting sqref="Y61">
    <cfRule type="cellIs" dxfId="0" priority="264" operator="lessThanOrEqual">
      <formula>I61</formula>
    </cfRule>
  </conditionalFormatting>
  <conditionalFormatting sqref="Y62">
    <cfRule type="cellIs" dxfId="0" priority="266" operator="lessThanOrEqual">
      <formula>I62</formula>
    </cfRule>
  </conditionalFormatting>
  <conditionalFormatting sqref="Y63">
    <cfRule type="cellIs" dxfId="0" priority="268" operator="lessThanOrEqual">
      <formula>I63</formula>
    </cfRule>
  </conditionalFormatting>
  <conditionalFormatting sqref="Y64">
    <cfRule type="cellIs" dxfId="0" priority="270" operator="lessThanOrEqual">
      <formula>I64</formula>
    </cfRule>
  </conditionalFormatting>
  <conditionalFormatting sqref="Y65">
    <cfRule type="cellIs" dxfId="0" priority="272" operator="lessThanOrEqual">
      <formula>I65</formula>
    </cfRule>
  </conditionalFormatting>
  <conditionalFormatting sqref="Y66">
    <cfRule type="cellIs" dxfId="0" priority="274" operator="lessThanOrEqual">
      <formula>I66</formula>
    </cfRule>
  </conditionalFormatting>
  <conditionalFormatting sqref="Y70">
    <cfRule type="cellIs" dxfId="0" priority="276" operator="lessThanOrEqual">
      <formula>I70</formula>
    </cfRule>
  </conditionalFormatting>
  <conditionalFormatting sqref="Y72">
    <cfRule type="cellIs" dxfId="0" priority="278" operator="lessThanOrEqual">
      <formula>I72</formula>
    </cfRule>
  </conditionalFormatting>
  <conditionalFormatting sqref="Y8">
    <cfRule type="cellIs" dxfId="0" priority="176" operator="lessThanOrEqual">
      <formula>I8</formula>
    </cfRule>
  </conditionalFormatting>
  <conditionalFormatting sqref="Y9">
    <cfRule type="cellIs" dxfId="0" priority="178" operator="lessThanOrEqual">
      <formula>I9</formula>
    </cfRule>
  </conditionalFormatting>
  <hyperlinks>
    <hyperlink ref="O8" r:id="rId1"/>
    <hyperlink ref="U8" r:id="rId2"/>
    <hyperlink ref="AA8" r:id="rId3"/>
    <hyperlink ref="AG8" r:id="rId4"/>
    <hyperlink ref="O9" r:id="rId5"/>
    <hyperlink ref="U9" r:id="rId6"/>
    <hyperlink ref="AA9" r:id="rId7"/>
    <hyperlink ref="AG9" r:id="rId8"/>
    <hyperlink ref="AM9" r:id="rId9"/>
    <hyperlink ref="O10" r:id="rId10"/>
    <hyperlink ref="U10" r:id="rId11"/>
    <hyperlink ref="AA10" r:id="rId12"/>
    <hyperlink ref="AG10" r:id="rId13"/>
    <hyperlink ref="O11" r:id="rId14"/>
    <hyperlink ref="U11" r:id="rId15"/>
    <hyperlink ref="AA11" r:id="rId16"/>
    <hyperlink ref="AG11" r:id="rId17"/>
    <hyperlink ref="AM11" r:id="rId18"/>
    <hyperlink ref="O12" r:id="rId19"/>
    <hyperlink ref="U12" r:id="rId20"/>
    <hyperlink ref="AA12" r:id="rId21"/>
    <hyperlink ref="AG12" r:id="rId22"/>
    <hyperlink ref="O13" r:id="rId23"/>
    <hyperlink ref="AA13" r:id="rId24"/>
    <hyperlink ref="AG13" r:id="rId25"/>
    <hyperlink ref="O14" r:id="rId26"/>
    <hyperlink ref="AA14" r:id="rId27"/>
    <hyperlink ref="AG14" r:id="rId28"/>
    <hyperlink ref="O15" r:id="rId29"/>
    <hyperlink ref="U15" r:id="rId30"/>
    <hyperlink ref="AA15" r:id="rId31"/>
    <hyperlink ref="AG15" r:id="rId32"/>
    <hyperlink ref="O16" r:id="rId33"/>
    <hyperlink ref="U16" r:id="rId34"/>
    <hyperlink ref="AA16" r:id="rId35"/>
    <hyperlink ref="AG16" r:id="rId36"/>
    <hyperlink ref="AM16" r:id="rId37"/>
    <hyperlink ref="O17" r:id="rId38"/>
    <hyperlink ref="U17" r:id="rId39"/>
    <hyperlink ref="AA17" r:id="rId40"/>
    <hyperlink ref="AG17" r:id="rId41"/>
    <hyperlink ref="AM17" r:id="rId42"/>
    <hyperlink ref="O18" r:id="rId43"/>
    <hyperlink ref="AA18" r:id="rId44"/>
    <hyperlink ref="AG18" r:id="rId45"/>
    <hyperlink ref="O19" r:id="rId46"/>
    <hyperlink ref="AA19" r:id="rId47"/>
    <hyperlink ref="AG19" r:id="rId48"/>
    <hyperlink ref="O21" r:id="rId49"/>
    <hyperlink ref="U21" r:id="rId50"/>
    <hyperlink ref="AA21" r:id="rId51"/>
    <hyperlink ref="AG21" r:id="rId52"/>
    <hyperlink ref="O22" r:id="rId53"/>
    <hyperlink ref="AA22" r:id="rId54"/>
    <hyperlink ref="O24" r:id="rId55"/>
    <hyperlink ref="AA24" r:id="rId56"/>
    <hyperlink ref="O25" r:id="rId57"/>
    <hyperlink ref="U25" r:id="rId58"/>
    <hyperlink ref="AA25" r:id="rId59"/>
    <hyperlink ref="AG25" r:id="rId60"/>
    <hyperlink ref="O27" r:id="rId61"/>
    <hyperlink ref="U27" r:id="rId62"/>
    <hyperlink ref="AA27" r:id="rId63"/>
    <hyperlink ref="AG27" r:id="rId64"/>
    <hyperlink ref="O29" r:id="rId65"/>
    <hyperlink ref="U29" r:id="rId66"/>
    <hyperlink ref="AA29" r:id="rId67"/>
    <hyperlink ref="AG29" r:id="rId68"/>
    <hyperlink ref="AM29" r:id="rId69"/>
    <hyperlink ref="O30" r:id="rId70"/>
    <hyperlink ref="U30" r:id="rId71"/>
    <hyperlink ref="AA30" r:id="rId72"/>
    <hyperlink ref="AG30" r:id="rId73"/>
    <hyperlink ref="O31" r:id="rId74"/>
    <hyperlink ref="U31" r:id="rId75"/>
    <hyperlink ref="AA31" r:id="rId76"/>
    <hyperlink ref="AG31" r:id="rId77"/>
    <hyperlink ref="O32" r:id="rId78"/>
    <hyperlink ref="AA32" r:id="rId79"/>
    <hyperlink ref="O33" r:id="rId80"/>
    <hyperlink ref="U33" r:id="rId81"/>
    <hyperlink ref="AA33" r:id="rId82"/>
    <hyperlink ref="AG33" r:id="rId83"/>
    <hyperlink ref="AM33" r:id="rId84"/>
    <hyperlink ref="O34" r:id="rId85"/>
    <hyperlink ref="U34" r:id="rId86"/>
    <hyperlink ref="AA34" r:id="rId87"/>
    <hyperlink ref="AG34" r:id="rId88"/>
    <hyperlink ref="AM34" r:id="rId89"/>
    <hyperlink ref="O35" r:id="rId90"/>
    <hyperlink ref="AA35" r:id="rId91"/>
    <hyperlink ref="AM35" r:id="rId92"/>
    <hyperlink ref="U36" r:id="rId93"/>
    <hyperlink ref="AA36" r:id="rId94"/>
    <hyperlink ref="AG36" r:id="rId95"/>
    <hyperlink ref="AM36" r:id="rId96"/>
    <hyperlink ref="O37" r:id="rId97"/>
    <hyperlink ref="U37" r:id="rId98"/>
    <hyperlink ref="AA37" r:id="rId99"/>
    <hyperlink ref="AG37" r:id="rId100"/>
    <hyperlink ref="AM37" r:id="rId101"/>
    <hyperlink ref="O38" r:id="rId102"/>
    <hyperlink ref="AA38" r:id="rId103"/>
    <hyperlink ref="O39" r:id="rId104"/>
    <hyperlink ref="AA39" r:id="rId105"/>
    <hyperlink ref="O41" r:id="rId106"/>
    <hyperlink ref="U41" r:id="rId107"/>
    <hyperlink ref="AA41" r:id="rId108"/>
    <hyperlink ref="AG41" r:id="rId109"/>
    <hyperlink ref="AM41" r:id="rId110"/>
    <hyperlink ref="O42" r:id="rId111"/>
    <hyperlink ref="U42" r:id="rId112"/>
    <hyperlink ref="AA42" r:id="rId113"/>
    <hyperlink ref="AG42" r:id="rId114"/>
    <hyperlink ref="O43" r:id="rId115"/>
    <hyperlink ref="U43" r:id="rId116"/>
    <hyperlink ref="AA43" r:id="rId117"/>
    <hyperlink ref="AG43" r:id="rId118"/>
    <hyperlink ref="AM43" r:id="rId119"/>
    <hyperlink ref="O44" r:id="rId120"/>
    <hyperlink ref="U44" r:id="rId121"/>
    <hyperlink ref="AA44" r:id="rId122"/>
    <hyperlink ref="AG44" r:id="rId123"/>
    <hyperlink ref="AM44" r:id="rId124"/>
    <hyperlink ref="O45" r:id="rId125"/>
    <hyperlink ref="U45" r:id="rId126"/>
    <hyperlink ref="AA45" r:id="rId127"/>
    <hyperlink ref="AG45" r:id="rId128"/>
    <hyperlink ref="O46" r:id="rId129"/>
    <hyperlink ref="U46" r:id="rId130"/>
    <hyperlink ref="AA46" r:id="rId131"/>
    <hyperlink ref="AG46" r:id="rId132"/>
    <hyperlink ref="AM46" r:id="rId133"/>
    <hyperlink ref="O47" r:id="rId134"/>
    <hyperlink ref="U47" r:id="rId135"/>
    <hyperlink ref="AA47" r:id="rId136"/>
    <hyperlink ref="AG47" r:id="rId137"/>
    <hyperlink ref="AM47" r:id="rId138"/>
    <hyperlink ref="O49" r:id="rId139"/>
    <hyperlink ref="U49" r:id="rId140"/>
    <hyperlink ref="AA49" r:id="rId141"/>
    <hyperlink ref="AG49" r:id="rId142"/>
    <hyperlink ref="O50" r:id="rId143"/>
    <hyperlink ref="U50" r:id="rId144"/>
    <hyperlink ref="AA50" r:id="rId145"/>
    <hyperlink ref="AG50" r:id="rId146"/>
    <hyperlink ref="AM50" r:id="rId147"/>
    <hyperlink ref="O51" r:id="rId148"/>
    <hyperlink ref="U51" r:id="rId149"/>
    <hyperlink ref="AA51" r:id="rId150"/>
    <hyperlink ref="AG51" r:id="rId151"/>
    <hyperlink ref="O53" r:id="rId152"/>
    <hyperlink ref="U53" r:id="rId153"/>
    <hyperlink ref="AA53" r:id="rId154"/>
    <hyperlink ref="AG53" r:id="rId155"/>
    <hyperlink ref="O55" r:id="rId156"/>
    <hyperlink ref="U55" r:id="rId157"/>
    <hyperlink ref="AA55" r:id="rId158"/>
    <hyperlink ref="AG55" r:id="rId159"/>
    <hyperlink ref="AM55" r:id="rId160"/>
    <hyperlink ref="O57" r:id="rId161"/>
    <hyperlink ref="U57" r:id="rId162"/>
    <hyperlink ref="AA57" r:id="rId163"/>
    <hyperlink ref="AG57" r:id="rId164"/>
    <hyperlink ref="AM57" r:id="rId165"/>
    <hyperlink ref="O58" r:id="rId166"/>
    <hyperlink ref="AA58" r:id="rId167"/>
    <hyperlink ref="AM58" r:id="rId168"/>
    <hyperlink ref="O59" r:id="rId169"/>
    <hyperlink ref="U59" r:id="rId170"/>
    <hyperlink ref="AA59" r:id="rId171"/>
    <hyperlink ref="AG59" r:id="rId172"/>
    <hyperlink ref="AM59" r:id="rId173"/>
    <hyperlink ref="O60" r:id="rId174"/>
    <hyperlink ref="AA60" r:id="rId175"/>
    <hyperlink ref="AA61" r:id="rId176"/>
    <hyperlink ref="O62" r:id="rId177"/>
    <hyperlink ref="U62" r:id="rId178"/>
    <hyperlink ref="AA62" r:id="rId179"/>
    <hyperlink ref="AG62" r:id="rId180"/>
    <hyperlink ref="O63" r:id="rId181"/>
    <hyperlink ref="U63" r:id="rId182"/>
    <hyperlink ref="AA63" r:id="rId183"/>
    <hyperlink ref="AG63" r:id="rId184"/>
    <hyperlink ref="AM63" r:id="rId185"/>
    <hyperlink ref="O64" r:id="rId186"/>
    <hyperlink ref="U64" r:id="rId187"/>
    <hyperlink ref="AA64" r:id="rId188"/>
    <hyperlink ref="AG64" r:id="rId189"/>
    <hyperlink ref="O65" r:id="rId190"/>
    <hyperlink ref="AA65" r:id="rId191"/>
    <hyperlink ref="AG65" r:id="rId192"/>
    <hyperlink ref="O66" r:id="rId193"/>
    <hyperlink ref="U66" r:id="rId194"/>
    <hyperlink ref="AA66" r:id="rId195"/>
    <hyperlink ref="AG66" r:id="rId196"/>
    <hyperlink ref="O70" r:id="rId197"/>
    <hyperlink ref="U70" r:id="rId198"/>
    <hyperlink ref="AA70" r:id="rId199"/>
    <hyperlink ref="AG70" r:id="rId200"/>
    <hyperlink ref="O72" r:id="rId201"/>
    <hyperlink ref="AA72" r:id="rId202"/>
  </hyperlinks>
  <pageMargins left="0.7" right="0.7" top="0.75" bottom="0.75" header="0.3" footer="0.3"/>
  <legacyDrawing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mateboard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2017-07-24T19:16:47Z</dcterms:created>
  <dcterms:modified xsi:type="dcterms:W3CDTF">2017-07-24T19:16:47Z</dcterms:modified>
</cp:coreProperties>
</file>