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aji 2021\"/>
    </mc:Choice>
  </mc:AlternateContent>
  <xr:revisionPtr revIDLastSave="0" documentId="8_{8387798B-77FB-4C6F-AFBC-7200AA112565}" xr6:coauthVersionLast="47" xr6:coauthVersionMax="47" xr10:uidLastSave="{00000000-0000-0000-0000-000000000000}"/>
  <bookViews>
    <workbookView xWindow="3465" yWindow="3465" windowWidth="21600" windowHeight="11385" tabRatio="661" firstSheet="2" activeTab="4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  <sheet name="NET DIREKSI " sheetId="63" r:id="rId4"/>
    <sheet name="NET KOMISARIS" sheetId="64" r:id="rId5"/>
  </sheets>
  <externalReferences>
    <externalReference r:id="rId6"/>
    <externalReference r:id="rId7"/>
    <externalReference r:id="rId8"/>
  </externalReferences>
  <definedNames>
    <definedName name="_xlnm.Print_Area" localSheetId="3">'NET DIREKSI '!$B$1:$V$23</definedName>
    <definedName name="_xlnm.Print_Area" localSheetId="4">'NET KOMISARIS'!$B$1:$R$20</definedName>
    <definedName name="_xlnm.Print_Area" localSheetId="1">'NET PEG PELINDO DIPERBANTUKAN'!$A$1:$Y$36</definedName>
    <definedName name="_xlnm.Print_Area" localSheetId="2">'NET PEGAWAI PTP'!$B$1:$X$31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64" l="1"/>
  <c r="R11" i="64"/>
  <c r="T23" i="68"/>
  <c r="T22" i="68"/>
  <c r="T19" i="68"/>
  <c r="T14" i="68"/>
  <c r="T13" i="68"/>
  <c r="T12" i="68"/>
  <c r="T10" i="68"/>
  <c r="K11" i="64"/>
  <c r="F58" i="68" l="1"/>
  <c r="X12" i="63" l="1"/>
  <c r="X11" i="63"/>
  <c r="Q13" i="63"/>
  <c r="P13" i="63"/>
  <c r="O13" i="63"/>
  <c r="R19" i="59"/>
  <c r="X10" i="63"/>
  <c r="X14" i="63" s="1"/>
  <c r="V24" i="68"/>
  <c r="U24" i="68"/>
  <c r="S24" i="68"/>
  <c r="R24" i="68"/>
  <c r="O10" i="68" l="1"/>
  <c r="N24" i="68"/>
  <c r="M24" i="68"/>
  <c r="L24" i="68"/>
  <c r="N11" i="63" l="1"/>
  <c r="V11" i="63" l="1"/>
  <c r="Y11" i="63"/>
  <c r="M10" i="59"/>
  <c r="M11" i="59" l="1"/>
  <c r="U19" i="59"/>
  <c r="W23" i="68"/>
  <c r="X23" i="68" s="1"/>
  <c r="W22" i="68"/>
  <c r="X22" i="68" s="1"/>
  <c r="W12" i="68"/>
  <c r="X12" i="68" s="1"/>
  <c r="W10" i="68"/>
  <c r="M12" i="59" l="1"/>
  <c r="X10" i="68"/>
  <c r="AA10" i="68" s="1"/>
  <c r="Y10" i="68"/>
  <c r="M13" i="59" l="1"/>
  <c r="V10" i="63"/>
  <c r="N10" i="63"/>
  <c r="Y10" i="63" s="1"/>
  <c r="M14" i="59" l="1"/>
  <c r="P24" i="68"/>
  <c r="M15" i="59" l="1"/>
  <c r="W21" i="68"/>
  <c r="T21" i="68"/>
  <c r="M16" i="59" l="1"/>
  <c r="P21" i="68"/>
  <c r="G9" i="63"/>
  <c r="H9" i="63"/>
  <c r="N9" i="63"/>
  <c r="V9" i="63" s="1"/>
  <c r="X9" i="63"/>
  <c r="Z9" i="63"/>
  <c r="M17" i="59" l="1"/>
  <c r="M18" i="59"/>
  <c r="Y9" i="63"/>
  <c r="M19" i="59" l="1"/>
  <c r="P19" i="59"/>
  <c r="O19" i="59" l="1"/>
  <c r="K18" i="68"/>
  <c r="T18" i="68" s="1"/>
  <c r="K20" i="68"/>
  <c r="K16" i="68"/>
  <c r="T16" i="68" s="1"/>
  <c r="K17" i="68"/>
  <c r="T17" i="68" s="1"/>
  <c r="K15" i="68"/>
  <c r="K11" i="68"/>
  <c r="J16" i="68"/>
  <c r="J17" i="68"/>
  <c r="J11" i="68"/>
  <c r="I22" i="68"/>
  <c r="I23" i="68" s="1"/>
  <c r="I16" i="68"/>
  <c r="I19" i="68" s="1"/>
  <c r="I18" i="68"/>
  <c r="I11" i="68"/>
  <c r="Q24" i="68"/>
  <c r="K9" i="68"/>
  <c r="O9" i="68" s="1"/>
  <c r="Y9" i="68" s="1"/>
  <c r="K10" i="59"/>
  <c r="S10" i="59" s="1"/>
  <c r="J10" i="59"/>
  <c r="I11" i="59"/>
  <c r="K8" i="59"/>
  <c r="S8" i="59" s="1"/>
  <c r="J8" i="59"/>
  <c r="I9" i="59"/>
  <c r="G8" i="64"/>
  <c r="H12" i="64"/>
  <c r="M12" i="64"/>
  <c r="N12" i="64"/>
  <c r="O12" i="64"/>
  <c r="P12" i="64"/>
  <c r="Q12" i="64"/>
  <c r="T12" i="64"/>
  <c r="H12" i="63"/>
  <c r="H13" i="63" s="1"/>
  <c r="AA12" i="63"/>
  <c r="I13" i="63"/>
  <c r="J13" i="63"/>
  <c r="K13" i="63"/>
  <c r="L13" i="63"/>
  <c r="M13" i="63"/>
  <c r="R13" i="63"/>
  <c r="S13" i="63"/>
  <c r="T13" i="63"/>
  <c r="U13" i="63"/>
  <c r="X18" i="63"/>
  <c r="K24" i="68" l="1"/>
  <c r="T11" i="68"/>
  <c r="T24" i="68" s="1"/>
  <c r="W15" i="68"/>
  <c r="T15" i="68"/>
  <c r="Z8" i="59"/>
  <c r="W20" i="68"/>
  <c r="X20" i="68" s="1"/>
  <c r="T20" i="68"/>
  <c r="W10" i="59"/>
  <c r="W11" i="68"/>
  <c r="W17" i="68"/>
  <c r="X17" i="68" s="1"/>
  <c r="J18" i="68"/>
  <c r="W18" i="68" s="1"/>
  <c r="X18" i="68" s="1"/>
  <c r="I13" i="68"/>
  <c r="I14" i="68" s="1"/>
  <c r="J19" i="68"/>
  <c r="W19" i="68" s="1"/>
  <c r="X19" i="68" s="1"/>
  <c r="W16" i="68"/>
  <c r="X16" i="68" s="1"/>
  <c r="J13" i="68"/>
  <c r="V8" i="59"/>
  <c r="W8" i="59" s="1"/>
  <c r="J9" i="59"/>
  <c r="K9" i="59"/>
  <c r="S9" i="59" s="1"/>
  <c r="K11" i="59"/>
  <c r="J11" i="59"/>
  <c r="J16" i="59" s="1"/>
  <c r="V10" i="59"/>
  <c r="Z10" i="59" s="1"/>
  <c r="G12" i="63"/>
  <c r="G13" i="63" s="1"/>
  <c r="T13" i="64"/>
  <c r="G10" i="64"/>
  <c r="G9" i="64"/>
  <c r="G12" i="64" s="1"/>
  <c r="K8" i="64"/>
  <c r="O16" i="68"/>
  <c r="O20" i="68"/>
  <c r="O17" i="68"/>
  <c r="AA17" i="68" s="1"/>
  <c r="O11" i="68"/>
  <c r="O12" i="68"/>
  <c r="O21" i="68"/>
  <c r="Y21" i="68" s="1"/>
  <c r="L10" i="59"/>
  <c r="N16" i="59"/>
  <c r="I17" i="59"/>
  <c r="I14" i="59"/>
  <c r="I12" i="59"/>
  <c r="I15" i="59"/>
  <c r="I13" i="59"/>
  <c r="L8" i="59"/>
  <c r="X8" i="59" s="1"/>
  <c r="N17" i="59" l="1"/>
  <c r="AA20" i="68"/>
  <c r="K13" i="59"/>
  <c r="S11" i="59"/>
  <c r="W11" i="59" s="1"/>
  <c r="X15" i="68"/>
  <c r="O18" i="68"/>
  <c r="AA18" i="68" s="1"/>
  <c r="AA16" i="68"/>
  <c r="Y12" i="68"/>
  <c r="AA12" i="68"/>
  <c r="X11" i="68"/>
  <c r="I24" i="68"/>
  <c r="O13" i="68"/>
  <c r="AA10" i="59"/>
  <c r="AA8" i="59"/>
  <c r="J14" i="68"/>
  <c r="W13" i="68"/>
  <c r="O19" i="68"/>
  <c r="Y20" i="68"/>
  <c r="Y18" i="68"/>
  <c r="Y11" i="68"/>
  <c r="Y17" i="68"/>
  <c r="K15" i="59"/>
  <c r="S15" i="59" s="1"/>
  <c r="Y16" i="68"/>
  <c r="V9" i="59"/>
  <c r="Z9" i="59" s="1"/>
  <c r="K17" i="59"/>
  <c r="K12" i="59"/>
  <c r="L9" i="59"/>
  <c r="K14" i="59"/>
  <c r="X10" i="59"/>
  <c r="K16" i="59"/>
  <c r="S16" i="59" s="1"/>
  <c r="L11" i="59"/>
  <c r="J12" i="59"/>
  <c r="J14" i="59"/>
  <c r="J15" i="59"/>
  <c r="J17" i="59"/>
  <c r="J18" i="59" s="1"/>
  <c r="V11" i="59"/>
  <c r="J13" i="59"/>
  <c r="V13" i="59" s="1"/>
  <c r="N12" i="63"/>
  <c r="R8" i="64"/>
  <c r="J10" i="64"/>
  <c r="K10" i="64" s="1"/>
  <c r="U8" i="64"/>
  <c r="J9" i="64"/>
  <c r="O15" i="68"/>
  <c r="O23" i="68"/>
  <c r="O22" i="68"/>
  <c r="I18" i="59"/>
  <c r="N19" i="59" l="1"/>
  <c r="K18" i="59"/>
  <c r="S18" i="59" s="1"/>
  <c r="S17" i="59"/>
  <c r="W9" i="59"/>
  <c r="Q13" i="59"/>
  <c r="W13" i="59" s="1"/>
  <c r="S13" i="59"/>
  <c r="N13" i="63"/>
  <c r="Y14" i="63" s="1"/>
  <c r="Y12" i="63"/>
  <c r="W15" i="59"/>
  <c r="Z11" i="59"/>
  <c r="Q14" i="59"/>
  <c r="S14" i="59"/>
  <c r="S19" i="59" s="1"/>
  <c r="N18" i="59"/>
  <c r="J12" i="64"/>
  <c r="Q12" i="59"/>
  <c r="S12" i="59"/>
  <c r="Y15" i="68"/>
  <c r="AA15" i="68"/>
  <c r="Y23" i="68"/>
  <c r="AA23" i="68"/>
  <c r="Y22" i="68"/>
  <c r="AA22" i="68"/>
  <c r="AA13" i="68"/>
  <c r="Y19" i="68"/>
  <c r="AA19" i="68"/>
  <c r="Y13" i="68"/>
  <c r="X13" i="68"/>
  <c r="AA11" i="68"/>
  <c r="W14" i="68"/>
  <c r="X14" i="68" s="1"/>
  <c r="J24" i="68"/>
  <c r="AA21" i="68" s="1"/>
  <c r="V15" i="59"/>
  <c r="Z15" i="59" s="1"/>
  <c r="AA11" i="59"/>
  <c r="X9" i="59"/>
  <c r="AA9" i="59"/>
  <c r="O14" i="68"/>
  <c r="V12" i="59"/>
  <c r="Z12" i="59" s="1"/>
  <c r="X11" i="59"/>
  <c r="L15" i="59"/>
  <c r="V14" i="59"/>
  <c r="Z14" i="59" s="1"/>
  <c r="V16" i="59"/>
  <c r="W16" i="59" s="1"/>
  <c r="K19" i="59"/>
  <c r="V18" i="59"/>
  <c r="Z18" i="59" s="1"/>
  <c r="L17" i="59"/>
  <c r="L12" i="59"/>
  <c r="L14" i="59"/>
  <c r="L13" i="59"/>
  <c r="V17" i="59"/>
  <c r="Z17" i="59" s="1"/>
  <c r="AA18" i="63"/>
  <c r="V12" i="63"/>
  <c r="L16" i="59"/>
  <c r="R10" i="64"/>
  <c r="U10" i="64"/>
  <c r="U12" i="64" s="1"/>
  <c r="K9" i="64"/>
  <c r="K12" i="64" s="1"/>
  <c r="L18" i="59"/>
  <c r="J19" i="59"/>
  <c r="I19" i="59"/>
  <c r="W14" i="59" l="1"/>
  <c r="Q19" i="59"/>
  <c r="W12" i="59"/>
  <c r="W19" i="59" s="1"/>
  <c r="Z13" i="59"/>
  <c r="AA13" i="59" s="1"/>
  <c r="W17" i="59"/>
  <c r="J32" i="59"/>
  <c r="W18" i="59"/>
  <c r="X24" i="68"/>
  <c r="Y14" i="68"/>
  <c r="Y24" i="68" s="1"/>
  <c r="AA14" i="68"/>
  <c r="AA28" i="68"/>
  <c r="W24" i="68"/>
  <c r="AA25" i="68" s="1"/>
  <c r="AA14" i="59"/>
  <c r="F59" i="68"/>
  <c r="Z16" i="59"/>
  <c r="AA16" i="59" s="1"/>
  <c r="O24" i="68"/>
  <c r="X17" i="59"/>
  <c r="AA17" i="59"/>
  <c r="AA18" i="59"/>
  <c r="Y18" i="59"/>
  <c r="X12" i="59"/>
  <c r="AA12" i="59"/>
  <c r="X15" i="59"/>
  <c r="AA15" i="59"/>
  <c r="V13" i="63"/>
  <c r="X18" i="59"/>
  <c r="X14" i="59"/>
  <c r="X13" i="59"/>
  <c r="X16" i="59"/>
  <c r="L19" i="59"/>
  <c r="R9" i="64"/>
  <c r="R12" i="64" s="1"/>
  <c r="U13" i="64"/>
  <c r="V19" i="59"/>
  <c r="Z26" i="59" l="1"/>
  <c r="Z24" i="59"/>
  <c r="AA24" i="59"/>
  <c r="Z20" i="59"/>
  <c r="AA26" i="68"/>
  <c r="X19" i="59"/>
</calcChain>
</file>

<file path=xl/sharedStrings.xml><?xml version="1.0" encoding="utf-8"?>
<sst xmlns="http://schemas.openxmlformats.org/spreadsheetml/2006/main" count="289" uniqueCount="175">
  <si>
    <t>NPWP</t>
  </si>
  <si>
    <t>K/0</t>
  </si>
  <si>
    <t>STATUS KAWIN</t>
  </si>
  <si>
    <t>TUNJANGAN TRANSPORT</t>
  </si>
  <si>
    <t>NO</t>
  </si>
  <si>
    <t>DIREKTUR UTAMA</t>
  </si>
  <si>
    <t>PT PRIMA TERMINAL PETIKEMAS</t>
  </si>
  <si>
    <t>TUNJANGAN PERUMAHAN</t>
  </si>
  <si>
    <t>TUNJANGAN KOMUNIKASI</t>
  </si>
  <si>
    <t>JABATAN</t>
  </si>
  <si>
    <t>DIREKTUR OPERASI &amp; TEKNIK</t>
  </si>
  <si>
    <t>ADINDA SURYA PUTRI</t>
  </si>
  <si>
    <t>ADE HASDINA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</si>
  <si>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</si>
  <si>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</si>
  <si>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</si>
  <si>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</si>
  <si>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</si>
  <si>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</si>
  <si>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</si>
  <si>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</si>
  <si>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</si>
  <si>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</si>
  <si>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</si>
  <si>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</si>
  <si>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 xml:space="preserve"> </t>
  </si>
  <si>
    <t>SEKRETARIS DEWAN KOMISARIS</t>
  </si>
  <si>
    <t>K/3</t>
  </si>
  <si>
    <t>PPh Pasal 21 Ditanggung Perusahaan</t>
  </si>
  <si>
    <t>TUNJANGAN KENDARAAN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</si>
  <si>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</si>
  <si>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</si>
  <si>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</si>
  <si>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</si>
  <si>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</si>
  <si>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</si>
  <si>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</si>
  <si>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</si>
  <si>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</si>
  <si>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</si>
  <si>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</si>
  <si>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</si>
  <si>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POTONGAN IURAN BPJS (Tenaker, Kesehatan dan Pensiun)</t>
  </si>
  <si>
    <t>SURYA DARMA</t>
  </si>
  <si>
    <t>75.024.501.1-113.000</t>
  </si>
  <si>
    <t>KOMISARIS UTAMA</t>
  </si>
  <si>
    <t xml:space="preserve">NAMA </t>
  </si>
  <si>
    <t>JUMLAH TAKE HOME PAY</t>
  </si>
  <si>
    <t>-</t>
  </si>
  <si>
    <t>GRADE</t>
  </si>
  <si>
    <t>Madya Grade 1</t>
  </si>
  <si>
    <t>Madya Grade 2</t>
  </si>
  <si>
    <t>77.426.148.1-002.000</t>
  </si>
  <si>
    <t>IFSAN ROSADY</t>
  </si>
  <si>
    <t>ASISTEN MANAJER PERALATAN</t>
  </si>
  <si>
    <t>FARIS HILMAN</t>
  </si>
  <si>
    <t>81.728.964.8-403.000</t>
  </si>
  <si>
    <t>58.288.608.1-112.000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</si>
  <si>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</si>
  <si>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</si>
  <si>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</si>
  <si>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</si>
  <si>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</si>
  <si>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SINDY NOVITA HARYATI</t>
  </si>
  <si>
    <t>STAF DIVISI PENGEMBANGAN</t>
  </si>
  <si>
    <t>72.958.762.6-125.000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</si>
  <si>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</si>
  <si>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</si>
  <si>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</si>
  <si>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</si>
  <si>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</si>
  <si>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</si>
  <si>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</si>
  <si>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DANA PENSIUN WIJAYA KARYA</t>
  </si>
  <si>
    <t>YOLANDA EVANS SIMORANGKIR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</si>
  <si>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</si>
  <si>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</si>
  <si>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</si>
  <si>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</si>
  <si>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</si>
  <si>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</si>
  <si>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</si>
  <si>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</si>
  <si>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</si>
  <si>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</si>
  <si>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ASISTEN MANAJER TI</t>
  </si>
  <si>
    <t>M. RIDHO FAKHROZI</t>
  </si>
  <si>
    <t>71.564.573.5-112.000</t>
  </si>
  <si>
    <t>24.004.037.8-411.000</t>
  </si>
  <si>
    <t>MANAJER PENGEMBANGAN</t>
  </si>
  <si>
    <t>07.980.856.4-112.000</t>
  </si>
  <si>
    <t>SYAIFUL</t>
  </si>
  <si>
    <t>14.085.292.2-113.000</t>
  </si>
  <si>
    <t>HANDY FAJAR RIYANTO</t>
  </si>
  <si>
    <t>08.811.868.2-503.000</t>
  </si>
  <si>
    <t>FAHMI IDRIS SITOMPUL</t>
  </si>
  <si>
    <t>83.170.341.8-124.000</t>
  </si>
  <si>
    <t>20=15-(15+…19)</t>
  </si>
  <si>
    <t>15=8+…+14</t>
  </si>
  <si>
    <t>DEFI RAKHMAWATI</t>
  </si>
  <si>
    <t>ASMEN PEMASARAN &amp; PLY PELANGGAN</t>
  </si>
  <si>
    <t>54.467.582.0-513.000</t>
  </si>
  <si>
    <t>77.105.585.2-124.000</t>
  </si>
  <si>
    <t>ASMEN PELAYANAN OPERASI</t>
  </si>
  <si>
    <t xml:space="preserve">   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</si>
  <si>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</si>
  <si>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</si>
  <si>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</si>
  <si>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</si>
  <si>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</si>
  <si>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</si>
  <si>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</si>
  <si>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</si>
  <si>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</si>
  <si>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</si>
  <si>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</si>
  <si>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</si>
  <si>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</si>
  <si>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</si>
  <si>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</si>
  <si>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ASISTEN MANAJER RENDALOP</t>
  </si>
  <si>
    <t>Pot 10% Keterlambatan</t>
  </si>
  <si>
    <t>Pot 20% tidak mencapai target PKM</t>
  </si>
  <si>
    <t xml:space="preserve">Pot 50% tidak mencapai efisiensi </t>
  </si>
  <si>
    <t>20=15(15+…19)</t>
  </si>
  <si>
    <t>PRASETYO</t>
  </si>
  <si>
    <t>SANDHY WIJAYA</t>
  </si>
  <si>
    <t>48.763.262.2-112.000</t>
  </si>
  <si>
    <t>IR. YULIANDI MM</t>
  </si>
  <si>
    <t>kewajiban pelindo</t>
  </si>
  <si>
    <t xml:space="preserve">total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</si>
  <si>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</si>
  <si>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</si>
  <si>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</si>
  <si>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</si>
  <si>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</si>
  <si>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</si>
  <si>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</si>
  <si>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</si>
  <si>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</si>
  <si>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</si>
  <si>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</si>
  <si>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Adanya perubahan kenaikan iuran BPJS Ketenagakerjaan menjadi sebesar Rp. 99,900 dikarenakan kenaikan UMK;</t>
  </si>
  <si>
    <t>Potongan BPJS Kesehatan / bulan atas nama pegawai PT Prima Terminal Petikemas sebesar Rp. 33,300</t>
  </si>
  <si>
    <t>total potongan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</si>
  <si>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</si>
  <si>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</si>
  <si>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</si>
  <si>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</si>
  <si>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</si>
  <si>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</si>
  <si>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Total Potongan Keseluruhan</t>
  </si>
  <si>
    <t>POTONGAN IURAN PERISPINDO</t>
  </si>
  <si>
    <t>BULAN MEI 2021</t>
  </si>
  <si>
    <t>Medan,         Mei 2021</t>
  </si>
  <si>
    <t>73:00</t>
  </si>
  <si>
    <t>BASUKI SOLEH</t>
  </si>
  <si>
    <t>Medan,           Mei 2021</t>
  </si>
  <si>
    <t xml:space="preserve"> 02:24</t>
  </si>
  <si>
    <t>Medan,        Mei 2021</t>
  </si>
  <si>
    <t>07.983.025.3-112.000</t>
  </si>
  <si>
    <t>K/-</t>
  </si>
  <si>
    <t>GAJI POKOK
(5101010000 - Beban Pokok - Imbalan Kerja Pengahasilan Pegawai)</t>
  </si>
  <si>
    <t>TUNJANGAN POSISI
(5101020000 - Beban Pokok-Imbalan Kerja Tunjangan Pegawai)</t>
  </si>
  <si>
    <t>TUNJANGAN KINERJA
(5101020000 - Beban Pokok-Imbalan Kerja Tunjangan Pegawai)</t>
  </si>
  <si>
    <t>TUNJANGAN TELEPON
(5101020000 - Beban Pokok-Imbalan Kerja Tunjangan Pegawai)</t>
  </si>
  <si>
    <t>TUNJANGAN JABATAN
(5101020000 - Beban Pokok-Imbalan Kerja Tunjangan Pegawai)</t>
  </si>
  <si>
    <t>UANG PENGGANTI FASILITAS KENDARAAN
(5101020000 - Beban Pokok-Imbalan Kerja Tunjangan Pegawai)</t>
  </si>
  <si>
    <t>GAJI POKOK
(5303010000 - Beban Penghasilan Direksi)</t>
  </si>
  <si>
    <t>TUNJANGAN PERUMAHAN
(5303030000 - Beban Usaha-Tunjangan Direksi)</t>
  </si>
  <si>
    <t>PPh Pasal 21 Ditanggung Pegawai
(5101090000 - Beban Pokok Tunjangan PPh 21)</t>
  </si>
  <si>
    <t>GAJI POKOK
(5303110000 - Beban Usaha - Penghasilan Komisaris)</t>
  </si>
  <si>
    <t>TUNJANGAN TRANSPORT
(5303130000 - Beban Usaha - Tunjangan Komisaris)</t>
  </si>
  <si>
    <t>TUNJANGAN KOMUNIKASI
(5303130000 - Beban Usaha - Tunjangan Komisaris)</t>
  </si>
  <si>
    <t>PPh Pasal 21 Ditanggung Pegawai
(5303150000 0 Bbn Usaha - Tunjangan Pph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</si>
</sst>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9" formatCode="[$-13809]hh:mm;@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76" fontId="3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6" fontId="3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1"/>
    <xf numFmtId="169" fontId="1" fillId="0" borderId="0" applyFont="0" applyFill="0" applyBorder="0" applyAlignment="0" applyProtection="0"/>
    <xf numFmtId="14" fontId="3" fillId="0" borderId="0" applyFill="0" applyBorder="0" applyAlignment="0"/>
    <xf numFmtId="176" fontId="6" fillId="0" borderId="0" applyFill="0" applyBorder="0" applyAlignment="0"/>
    <xf numFmtId="169" fontId="1" fillId="0" borderId="0" applyFill="0" applyBorder="0" applyAlignment="0"/>
    <xf numFmtId="176" fontId="6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6" fontId="8" fillId="0" borderId="0" applyFill="0" applyBorder="0" applyAlignment="0"/>
    <xf numFmtId="169" fontId="1" fillId="0" borderId="0" applyFill="0" applyBorder="0" applyAlignment="0"/>
    <xf numFmtId="176" fontId="8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/>
    <xf numFmtId="172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6" fontId="9" fillId="0" borderId="0" applyFill="0" applyBorder="0" applyAlignment="0"/>
    <xf numFmtId="169" fontId="1" fillId="0" borderId="0" applyFill="0" applyBorder="0" applyAlignment="0"/>
    <xf numFmtId="176" fontId="9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4" fontId="1" fillId="0" borderId="0" applyFill="0" applyBorder="0" applyAlignment="0"/>
    <xf numFmtId="175" fontId="1" fillId="0" borderId="0" applyFill="0" applyBorder="0" applyAlignment="0"/>
  </cellStyleXfs>
  <cellXfs count="304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0" fontId="19" fillId="0" borderId="0" xfId="0" applyFont="1" applyAlignment="1" applyProtection="1">
      <alignment horizontal="center"/>
    </xf>
    <xf numFmtId="165" fontId="19" fillId="0" borderId="0" xfId="0" applyNumberFormat="1" applyFont="1" applyProtection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/>
    <xf numFmtId="0" fontId="20" fillId="0" borderId="0" xfId="0" applyFont="1"/>
    <xf numFmtId="0" fontId="20" fillId="0" borderId="0" xfId="0" applyFont="1" applyAlignment="1"/>
    <xf numFmtId="167" fontId="0" fillId="0" borderId="0" xfId="0" applyNumberFormat="1"/>
    <xf numFmtId="0" fontId="19" fillId="5" borderId="6" xfId="0" applyFont="1" applyFill="1" applyBorder="1" applyAlignment="1" applyProtection="1"/>
    <xf numFmtId="0" fontId="13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quotePrefix="1" applyFont="1" applyAlignment="1">
      <alignment horizontal="center"/>
    </xf>
    <xf numFmtId="167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167" fontId="19" fillId="5" borderId="8" xfId="9" applyNumberFormat="1" applyFont="1" applyFill="1" applyBorder="1" applyAlignment="1" applyProtection="1">
      <alignment vertical="center"/>
      <protection hidden="1"/>
    </xf>
    <xf numFmtId="167" fontId="19" fillId="5" borderId="11" xfId="9" applyNumberFormat="1" applyFont="1" applyFill="1" applyBorder="1" applyAlignment="1" applyProtection="1">
      <alignment vertical="center"/>
      <protection hidden="1"/>
    </xf>
    <xf numFmtId="167" fontId="19" fillId="4" borderId="6" xfId="9" applyNumberFormat="1" applyFont="1" applyFill="1" applyBorder="1" applyAlignment="1" applyProtection="1">
      <alignment horizontal="center" vertical="center"/>
    </xf>
    <xf numFmtId="167" fontId="19" fillId="5" borderId="15" xfId="9" applyNumberFormat="1" applyFont="1" applyFill="1" applyBorder="1" applyAlignment="1" applyProtection="1">
      <alignment vertical="center" shrinkToFit="1"/>
    </xf>
    <xf numFmtId="167" fontId="19" fillId="5" borderId="16" xfId="9" applyNumberFormat="1" applyFont="1" applyFill="1" applyBorder="1" applyAlignment="1" applyProtection="1">
      <alignment vertical="center" shrinkToFit="1"/>
    </xf>
    <xf numFmtId="0" fontId="19" fillId="5" borderId="12" xfId="0" quotePrefix="1" applyFont="1" applyFill="1" applyBorder="1" applyAlignment="1" applyProtection="1"/>
    <xf numFmtId="0" fontId="19" fillId="5" borderId="6" xfId="0" quotePrefix="1" applyFont="1" applyFill="1" applyBorder="1" applyAlignment="1" applyProtection="1"/>
    <xf numFmtId="0" fontId="19" fillId="5" borderId="14" xfId="0" quotePrefix="1" applyFont="1" applyFill="1" applyBorder="1" applyAlignment="1" applyProtection="1"/>
    <xf numFmtId="0" fontId="19" fillId="5" borderId="18" xfId="0" quotePrefix="1" applyFont="1" applyFill="1" applyBorder="1" applyAlignment="1" applyProtection="1"/>
    <xf numFmtId="0" fontId="19" fillId="5" borderId="14" xfId="0" applyFont="1" applyFill="1" applyBorder="1" applyAlignment="1" applyProtection="1"/>
    <xf numFmtId="165" fontId="16" fillId="0" borderId="8" xfId="9" applyFont="1" applyFill="1" applyBorder="1" applyAlignment="1" applyProtection="1">
      <alignment horizontal="left" vertical="center"/>
    </xf>
    <xf numFmtId="165" fontId="19" fillId="0" borderId="8" xfId="9" applyFont="1" applyFill="1" applyBorder="1" applyAlignment="1" applyProtection="1">
      <alignment vertical="center"/>
    </xf>
    <xf numFmtId="165" fontId="19" fillId="0" borderId="8" xfId="9" applyFont="1" applyFill="1" applyBorder="1" applyAlignment="1" applyProtection="1">
      <alignment horizontal="center" vertical="center"/>
    </xf>
    <xf numFmtId="165" fontId="16" fillId="0" borderId="10" xfId="9" applyFont="1" applyFill="1" applyBorder="1" applyAlignment="1" applyProtection="1">
      <alignment horizontal="center" vertical="center"/>
    </xf>
    <xf numFmtId="0" fontId="16" fillId="0" borderId="8" xfId="0" applyFont="1" applyFill="1" applyBorder="1" applyAlignment="1" applyProtection="1">
      <alignment horizontal="center" vertical="center"/>
    </xf>
    <xf numFmtId="167" fontId="16" fillId="0" borderId="8" xfId="9" applyNumberFormat="1" applyFont="1" applyFill="1" applyBorder="1" applyAlignment="1" applyProtection="1">
      <alignment vertical="center"/>
    </xf>
    <xf numFmtId="167" fontId="16" fillId="0" borderId="8" xfId="9" applyNumberFormat="1" applyFont="1" applyFill="1" applyBorder="1" applyAlignment="1" applyProtection="1">
      <alignment vertical="center"/>
      <protection hidden="1"/>
    </xf>
    <xf numFmtId="167" fontId="17" fillId="0" borderId="19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/>
    <xf numFmtId="167" fontId="18" fillId="0" borderId="8" xfId="9" applyNumberFormat="1" applyFont="1" applyFill="1" applyBorder="1" applyAlignment="1" applyProtection="1">
      <alignment vertical="center" shrinkToFit="1"/>
    </xf>
    <xf numFmtId="3" fontId="21" fillId="0" borderId="0" xfId="0" applyNumberFormat="1" applyFont="1"/>
    <xf numFmtId="0" fontId="24" fillId="0" borderId="0" xfId="0" applyFont="1"/>
    <xf numFmtId="167" fontId="24" fillId="0" borderId="0" xfId="0" applyNumberFormat="1" applyFont="1"/>
    <xf numFmtId="165" fontId="21" fillId="4" borderId="6" xfId="9" applyFont="1" applyFill="1" applyBorder="1" applyAlignment="1" applyProtection="1">
      <alignment horizontal="left" vertical="center" wrapText="1"/>
    </xf>
    <xf numFmtId="167" fontId="15" fillId="0" borderId="0" xfId="0" applyNumberFormat="1" applyFont="1"/>
    <xf numFmtId="0" fontId="20" fillId="0" borderId="0" xfId="0" applyFont="1" applyAlignment="1">
      <alignment vertical="center"/>
    </xf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0" borderId="8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>
      <alignment vertical="center"/>
      <protection hidden="1"/>
    </xf>
    <xf numFmtId="167" fontId="20" fillId="0" borderId="19" xfId="9" applyNumberFormat="1" applyFont="1" applyFill="1" applyBorder="1" applyAlignment="1" applyProtection="1">
      <alignment vertical="center"/>
    </xf>
    <xf numFmtId="167" fontId="18" fillId="0" borderId="10" xfId="9" applyNumberFormat="1" applyFont="1" applyFill="1" applyBorder="1" applyAlignment="1" applyProtection="1">
      <alignment vertical="center" shrinkToFit="1"/>
    </xf>
    <xf numFmtId="167" fontId="19" fillId="0" borderId="8" xfId="9" applyNumberFormat="1" applyFont="1" applyFill="1" applyBorder="1" applyAlignment="1" applyProtection="1">
      <alignment vertical="center" shrinkToFit="1"/>
    </xf>
    <xf numFmtId="0" fontId="25" fillId="4" borderId="0" xfId="0" applyFont="1" applyFill="1" applyBorder="1" applyAlignment="1" applyProtection="1">
      <alignment horizontal="center" vertical="center"/>
    </xf>
    <xf numFmtId="167" fontId="20" fillId="4" borderId="0" xfId="9" applyNumberFormat="1" applyFont="1" applyFill="1" applyBorder="1" applyAlignment="1" applyProtection="1">
      <alignment horizontal="center" vertical="center"/>
    </xf>
    <xf numFmtId="167" fontId="20" fillId="5" borderId="0" xfId="9" applyNumberFormat="1" applyFont="1" applyFill="1" applyBorder="1" applyAlignment="1" applyProtection="1">
      <alignment vertical="center" shrinkToFit="1"/>
    </xf>
    <xf numFmtId="167" fontId="17" fillId="5" borderId="0" xfId="9" applyNumberFormat="1" applyFont="1" applyFill="1" applyBorder="1" applyAlignment="1" applyProtection="1">
      <alignment vertical="center" shrinkToFit="1"/>
    </xf>
    <xf numFmtId="167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5" fontId="21" fillId="4" borderId="20" xfId="9" applyFont="1" applyFill="1" applyBorder="1" applyAlignment="1" applyProtection="1">
      <alignment horizontal="left" vertical="center" wrapText="1"/>
    </xf>
    <xf numFmtId="167" fontId="20" fillId="4" borderId="21" xfId="9" applyNumberFormat="1" applyFont="1" applyFill="1" applyBorder="1" applyAlignment="1" applyProtection="1">
      <alignment horizontal="center" vertical="center"/>
    </xf>
    <xf numFmtId="167" fontId="19" fillId="5" borderId="20" xfId="9" applyNumberFormat="1" applyFont="1" applyFill="1" applyBorder="1" applyProtection="1"/>
    <xf numFmtId="0" fontId="21" fillId="4" borderId="20" xfId="0" applyFont="1" applyFill="1" applyBorder="1" applyAlignment="1" applyProtection="1">
      <alignment horizontal="center" vertical="center"/>
    </xf>
    <xf numFmtId="0" fontId="21" fillId="4" borderId="8" xfId="0" applyFont="1" applyFill="1" applyBorder="1" applyAlignment="1" applyProtection="1">
      <alignment horizontal="center" vertical="center"/>
    </xf>
    <xf numFmtId="0" fontId="26" fillId="4" borderId="22" xfId="0" applyFont="1" applyFill="1" applyBorder="1" applyAlignment="1" applyProtection="1">
      <alignment horizontal="center" vertical="center" wrapText="1"/>
    </xf>
    <xf numFmtId="0" fontId="26" fillId="4" borderId="22" xfId="0" applyFont="1" applyFill="1" applyBorder="1" applyAlignment="1" applyProtection="1">
      <alignment horizontal="center" vertical="center"/>
    </xf>
    <xf numFmtId="0" fontId="26" fillId="4" borderId="23" xfId="0" applyFont="1" applyFill="1" applyBorder="1" applyAlignment="1" applyProtection="1">
      <alignment horizontal="center" vertical="center"/>
    </xf>
    <xf numFmtId="0" fontId="26" fillId="4" borderId="24" xfId="0" applyFont="1" applyFill="1" applyBorder="1" applyAlignment="1" applyProtection="1">
      <alignment horizontal="center" vertical="center"/>
    </xf>
    <xf numFmtId="0" fontId="27" fillId="0" borderId="0" xfId="0" applyFont="1"/>
    <xf numFmtId="0" fontId="19" fillId="0" borderId="25" xfId="0" applyFont="1" applyBorder="1" applyAlignment="1">
      <alignment horizontal="center" vertical="center"/>
    </xf>
    <xf numFmtId="167" fontId="19" fillId="5" borderId="11" xfId="9" applyNumberFormat="1" applyFont="1" applyFill="1" applyBorder="1" applyAlignment="1" applyProtection="1">
      <alignment vertical="center"/>
    </xf>
    <xf numFmtId="167" fontId="20" fillId="5" borderId="26" xfId="9" applyNumberFormat="1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19" fillId="0" borderId="8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/>
    </xf>
    <xf numFmtId="165" fontId="16" fillId="0" borderId="6" xfId="9" applyFont="1" applyFill="1" applyBorder="1" applyAlignment="1" applyProtection="1">
      <alignment horizontal="left" vertical="center"/>
    </xf>
    <xf numFmtId="165" fontId="19" fillId="0" borderId="6" xfId="9" applyFont="1" applyFill="1" applyBorder="1" applyAlignment="1" applyProtection="1">
      <alignment vertical="center"/>
    </xf>
    <xf numFmtId="165" fontId="19" fillId="0" borderId="6" xfId="9" applyFont="1" applyFill="1" applyBorder="1" applyAlignment="1" applyProtection="1">
      <alignment horizontal="center" vertical="center"/>
    </xf>
    <xf numFmtId="165" fontId="16" fillId="0" borderId="12" xfId="9" applyFont="1" applyFill="1" applyBorder="1" applyAlignment="1" applyProtection="1">
      <alignment horizontal="center" vertical="center"/>
    </xf>
    <xf numFmtId="0" fontId="16" fillId="0" borderId="27" xfId="0" applyFont="1" applyFill="1" applyBorder="1" applyAlignment="1" applyProtection="1">
      <alignment horizontal="center" vertical="center"/>
    </xf>
    <xf numFmtId="167" fontId="16" fillId="0" borderId="27" xfId="9" applyNumberFormat="1" applyFont="1" applyFill="1" applyBorder="1" applyAlignment="1" applyProtection="1">
      <alignment vertical="center"/>
    </xf>
    <xf numFmtId="167" fontId="16" fillId="0" borderId="27" xfId="9" applyNumberFormat="1" applyFont="1" applyFill="1" applyBorder="1" applyAlignment="1" applyProtection="1">
      <alignment vertical="center"/>
      <protection hidden="1"/>
    </xf>
    <xf numFmtId="167" fontId="17" fillId="0" borderId="28" xfId="9" applyNumberFormat="1" applyFont="1" applyFill="1" applyBorder="1" applyAlignment="1" applyProtection="1">
      <alignment vertical="center"/>
    </xf>
    <xf numFmtId="167" fontId="18" fillId="0" borderId="6" xfId="9" applyNumberFormat="1" applyFont="1" applyFill="1" applyBorder="1" applyAlignment="1" applyProtection="1"/>
    <xf numFmtId="165" fontId="18" fillId="0" borderId="8" xfId="9" applyNumberFormat="1" applyFont="1" applyFill="1" applyBorder="1" applyAlignment="1" applyProtection="1">
      <alignment horizontal="center" vertical="center"/>
    </xf>
    <xf numFmtId="167" fontId="18" fillId="0" borderId="6" xfId="9" applyNumberFormat="1" applyFont="1" applyFill="1" applyBorder="1" applyAlignment="1" applyProtection="1">
      <alignment vertical="center" shrinkToFit="1"/>
    </xf>
    <xf numFmtId="165" fontId="16" fillId="0" borderId="11" xfId="9" applyFont="1" applyFill="1" applyBorder="1" applyAlignment="1" applyProtection="1">
      <alignment horizontal="left" vertical="center"/>
    </xf>
    <xf numFmtId="165" fontId="19" fillId="0" borderId="11" xfId="9" applyFont="1" applyFill="1" applyBorder="1" applyAlignment="1" applyProtection="1">
      <alignment vertical="center"/>
    </xf>
    <xf numFmtId="165" fontId="19" fillId="0" borderId="11" xfId="9" applyFont="1" applyFill="1" applyBorder="1" applyAlignment="1" applyProtection="1">
      <alignment horizontal="center" vertical="center"/>
    </xf>
    <xf numFmtId="165" fontId="16" fillId="0" borderId="29" xfId="9" applyFont="1" applyFill="1" applyBorder="1" applyAlignment="1" applyProtection="1">
      <alignment horizontal="center" vertical="center"/>
    </xf>
    <xf numFmtId="0" fontId="16" fillId="0" borderId="11" xfId="0" applyFont="1" applyFill="1" applyBorder="1" applyAlignment="1" applyProtection="1">
      <alignment horizontal="center" vertical="center"/>
    </xf>
    <xf numFmtId="167" fontId="17" fillId="0" borderId="26" xfId="9" applyNumberFormat="1" applyFont="1" applyFill="1" applyBorder="1" applyAlignment="1" applyProtection="1">
      <alignment vertical="center"/>
    </xf>
    <xf numFmtId="165" fontId="18" fillId="0" borderId="11" xfId="9" applyNumberFormat="1" applyFont="1" applyFill="1" applyBorder="1" applyAlignment="1" applyProtection="1">
      <alignment horizontal="center" vertical="center"/>
    </xf>
    <xf numFmtId="167" fontId="18" fillId="0" borderId="11" xfId="9" applyNumberFormat="1" applyFont="1" applyFill="1" applyBorder="1" applyAlignment="1" applyProtection="1">
      <alignment vertical="center" shrinkToFit="1"/>
    </xf>
    <xf numFmtId="0" fontId="21" fillId="0" borderId="9" xfId="0" applyFont="1" applyFill="1" applyBorder="1" applyAlignment="1" applyProtection="1">
      <alignment horizontal="center" vertical="center"/>
    </xf>
    <xf numFmtId="165" fontId="16" fillId="0" borderId="22" xfId="9" applyFont="1" applyFill="1" applyBorder="1" applyAlignment="1" applyProtection="1">
      <alignment horizontal="left" vertical="center"/>
    </xf>
    <xf numFmtId="165" fontId="19" fillId="0" borderId="22" xfId="9" applyFont="1" applyFill="1" applyBorder="1" applyAlignment="1" applyProtection="1">
      <alignment vertical="center"/>
    </xf>
    <xf numFmtId="165" fontId="19" fillId="0" borderId="22" xfId="9" applyFont="1" applyFill="1" applyBorder="1" applyAlignment="1" applyProtection="1">
      <alignment horizontal="center" vertical="center"/>
    </xf>
    <xf numFmtId="165" fontId="16" fillId="0" borderId="24" xfId="9" applyFon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/>
    </xf>
    <xf numFmtId="167" fontId="16" fillId="0" borderId="22" xfId="9" applyNumberFormat="1" applyFont="1" applyFill="1" applyBorder="1" applyAlignment="1" applyProtection="1">
      <alignment vertical="center"/>
    </xf>
    <xf numFmtId="167" fontId="16" fillId="0" borderId="22" xfId="9" applyNumberFormat="1" applyFont="1" applyFill="1" applyBorder="1" applyAlignment="1" applyProtection="1">
      <alignment vertical="center"/>
      <protection hidden="1"/>
    </xf>
    <xf numFmtId="167" fontId="17" fillId="0" borderId="23" xfId="9" applyNumberFormat="1" applyFont="1" applyFill="1" applyBorder="1" applyAlignment="1" applyProtection="1">
      <alignment vertical="center"/>
    </xf>
    <xf numFmtId="167" fontId="18" fillId="0" borderId="22" xfId="9" applyNumberFormat="1" applyFont="1" applyFill="1" applyBorder="1" applyAlignment="1" applyProtection="1"/>
    <xf numFmtId="167" fontId="18" fillId="0" borderId="22" xfId="9" applyNumberFormat="1" applyFont="1" applyFill="1" applyBorder="1" applyAlignment="1" applyProtection="1">
      <alignment vertical="center" shrinkToFit="1"/>
    </xf>
    <xf numFmtId="0" fontId="1" fillId="0" borderId="0" xfId="0" applyFont="1"/>
    <xf numFmtId="167" fontId="18" fillId="5" borderId="10" xfId="9" applyNumberFormat="1" applyFont="1" applyFill="1" applyBorder="1" applyAlignment="1" applyProtection="1">
      <alignment horizontal="center" vertical="center" shrinkToFit="1"/>
    </xf>
    <xf numFmtId="167" fontId="20" fillId="4" borderId="13" xfId="9" applyNumberFormat="1" applyFont="1" applyFill="1" applyBorder="1" applyAlignment="1" applyProtection="1">
      <alignment horizontal="center" vertical="center"/>
    </xf>
    <xf numFmtId="167" fontId="20" fillId="4" borderId="8" xfId="9" applyNumberFormat="1" applyFont="1" applyFill="1" applyBorder="1" applyAlignment="1" applyProtection="1">
      <alignment horizontal="center" vertical="center"/>
    </xf>
    <xf numFmtId="167" fontId="18" fillId="5" borderId="9" xfId="9" applyNumberFormat="1" applyFont="1" applyFill="1" applyBorder="1" applyAlignment="1" applyProtection="1">
      <alignment horizontal="center" vertical="center" shrinkToFit="1"/>
    </xf>
    <xf numFmtId="167" fontId="18" fillId="0" borderId="11" xfId="9" applyNumberFormat="1" applyFont="1" applyFill="1" applyBorder="1" applyAlignment="1" applyProtection="1"/>
    <xf numFmtId="3" fontId="21" fillId="0" borderId="0" xfId="0" applyNumberFormat="1" applyFont="1" applyAlignment="1">
      <alignment horizontal="left"/>
    </xf>
    <xf numFmtId="167" fontId="18" fillId="5" borderId="10" xfId="9" applyNumberFormat="1" applyFont="1" applyFill="1" applyBorder="1" applyAlignment="1" applyProtection="1">
      <alignment vertical="center" shrinkToFit="1"/>
    </xf>
    <xf numFmtId="167" fontId="18" fillId="5" borderId="29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 applyProtection="1">
      <alignment horizontal="center" vertical="center"/>
    </xf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vertical="center"/>
      <protection hidden="1"/>
    </xf>
    <xf numFmtId="167" fontId="20" fillId="4" borderId="9" xfId="9" applyNumberFormat="1" applyFont="1" applyFill="1" applyBorder="1" applyAlignment="1" applyProtection="1">
      <alignment horizontal="center" vertical="center"/>
    </xf>
    <xf numFmtId="165" fontId="19" fillId="0" borderId="9" xfId="9" applyFont="1" applyFill="1" applyBorder="1" applyAlignment="1" applyProtection="1">
      <alignment vertical="center"/>
    </xf>
    <xf numFmtId="165" fontId="19" fillId="0" borderId="9" xfId="9" applyFont="1" applyFill="1" applyBorder="1" applyAlignment="1" applyProtection="1">
      <alignment horizontal="center" vertical="center"/>
    </xf>
    <xf numFmtId="0" fontId="19" fillId="0" borderId="9" xfId="0" applyFont="1" applyFill="1" applyBorder="1" applyAlignment="1" applyProtection="1">
      <alignment horizontal="center" vertical="center"/>
    </xf>
    <xf numFmtId="167" fontId="19" fillId="0" borderId="9" xfId="9" applyNumberFormat="1" applyFont="1" applyFill="1" applyBorder="1" applyAlignment="1" applyProtection="1">
      <alignment vertical="center"/>
    </xf>
    <xf numFmtId="167" fontId="19" fillId="0" borderId="9" xfId="9" applyNumberFormat="1" applyFont="1" applyFill="1" applyBorder="1" applyAlignment="1" applyProtection="1">
      <alignment vertical="center"/>
      <protection hidden="1"/>
    </xf>
    <xf numFmtId="167" fontId="18" fillId="0" borderId="9" xfId="9" applyNumberFormat="1" applyFont="1" applyFill="1" applyBorder="1" applyAlignment="1" applyProtection="1">
      <alignment vertical="center" shrinkToFit="1"/>
    </xf>
    <xf numFmtId="167" fontId="18" fillId="0" borderId="9" xfId="9" applyNumberFormat="1" applyFont="1" applyFill="1" applyBorder="1" applyAlignment="1" applyProtection="1">
      <alignment horizontal="center" vertical="center" shrinkToFit="1"/>
    </xf>
    <xf numFmtId="167" fontId="19" fillId="0" borderId="9" xfId="9" applyNumberFormat="1" applyFont="1" applyFill="1" applyBorder="1" applyAlignment="1" applyProtection="1">
      <alignment vertical="center" shrinkToFit="1"/>
    </xf>
    <xf numFmtId="0" fontId="21" fillId="0" borderId="8" xfId="0" quotePrefix="1" applyFont="1" applyFill="1" applyBorder="1" applyAlignment="1" applyProtection="1">
      <alignment horizontal="center" vertical="center"/>
    </xf>
    <xf numFmtId="0" fontId="21" fillId="0" borderId="9" xfId="0" quotePrefix="1" applyFont="1" applyFill="1" applyBorder="1" applyAlignment="1" applyProtection="1">
      <alignment horizontal="center" vertical="center"/>
    </xf>
    <xf numFmtId="165" fontId="21" fillId="5" borderId="8" xfId="9" applyFont="1" applyFill="1" applyBorder="1" applyAlignment="1" applyProtection="1">
      <alignment vertical="center"/>
    </xf>
    <xf numFmtId="165" fontId="21" fillId="5" borderId="8" xfId="9" applyFont="1" applyFill="1" applyBorder="1" applyAlignment="1" applyProtection="1">
      <alignment horizontal="center" vertical="center"/>
    </xf>
    <xf numFmtId="0" fontId="21" fillId="5" borderId="8" xfId="0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7" fillId="5" borderId="19" xfId="9" applyNumberFormat="1" applyFont="1" applyFill="1" applyBorder="1" applyAlignment="1" applyProtection="1">
      <alignment vertical="center"/>
    </xf>
    <xf numFmtId="167" fontId="28" fillId="5" borderId="10" xfId="9" applyNumberFormat="1" applyFont="1" applyFill="1" applyBorder="1" applyAlignment="1" applyProtection="1">
      <alignment vertical="center" shrinkToFit="1"/>
    </xf>
    <xf numFmtId="167" fontId="28" fillId="5" borderId="8" xfId="9" applyNumberFormat="1" applyFont="1" applyFill="1" applyBorder="1" applyAlignment="1" applyProtection="1">
      <alignment vertical="center" shrinkToFit="1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7" fillId="0" borderId="19" xfId="9" applyNumberFormat="1" applyFont="1" applyFill="1" applyBorder="1" applyAlignment="1" applyProtection="1">
      <alignment vertical="center"/>
    </xf>
    <xf numFmtId="167" fontId="28" fillId="0" borderId="10" xfId="9" applyNumberFormat="1" applyFont="1" applyFill="1" applyBorder="1" applyAlignment="1" applyProtection="1">
      <alignment vertical="center" shrinkToFit="1"/>
    </xf>
    <xf numFmtId="167" fontId="28" fillId="0" borderId="8" xfId="9" applyNumberFormat="1" applyFont="1" applyFill="1" applyBorder="1" applyAlignment="1" applyProtection="1">
      <alignment vertical="center" shrinkToFit="1"/>
    </xf>
    <xf numFmtId="165" fontId="21" fillId="0" borderId="10" xfId="9" applyFont="1" applyFill="1" applyBorder="1" applyAlignment="1" applyProtection="1">
      <alignment horizontal="center" vertical="center"/>
    </xf>
    <xf numFmtId="165" fontId="21" fillId="0" borderId="12" xfId="9" applyFont="1" applyFill="1" applyBorder="1" applyAlignment="1" applyProtection="1">
      <alignment horizontal="center" vertical="center"/>
    </xf>
    <xf numFmtId="165" fontId="29" fillId="0" borderId="8" xfId="9" applyFont="1" applyFill="1" applyBorder="1" applyAlignment="1" applyProtection="1">
      <alignment horizontal="left" vertical="center"/>
    </xf>
    <xf numFmtId="165" fontId="29" fillId="0" borderId="10" xfId="9" applyFont="1" applyFill="1" applyBorder="1" applyAlignment="1" applyProtection="1">
      <alignment horizontal="center" vertical="center"/>
    </xf>
    <xf numFmtId="0" fontId="29" fillId="0" borderId="8" xfId="0" applyFont="1" applyFill="1" applyBorder="1" applyAlignment="1" applyProtection="1">
      <alignment horizontal="center" vertical="center"/>
    </xf>
    <xf numFmtId="167" fontId="29" fillId="0" borderId="8" xfId="9" applyNumberFormat="1" applyFont="1" applyFill="1" applyBorder="1" applyAlignment="1" applyProtection="1">
      <alignment vertical="center"/>
    </xf>
    <xf numFmtId="167" fontId="29" fillId="0" borderId="8" xfId="9" applyNumberFormat="1" applyFont="1" applyFill="1" applyBorder="1" applyAlignment="1" applyProtection="1">
      <alignment vertical="center"/>
      <protection hidden="1"/>
    </xf>
    <xf numFmtId="167" fontId="30" fillId="0" borderId="19" xfId="9" applyNumberFormat="1" applyFont="1" applyFill="1" applyBorder="1" applyAlignment="1" applyProtection="1">
      <alignment vertical="center"/>
    </xf>
    <xf numFmtId="167" fontId="28" fillId="0" borderId="8" xfId="9" applyNumberFormat="1" applyFont="1" applyFill="1" applyBorder="1" applyAlignment="1" applyProtection="1"/>
    <xf numFmtId="165" fontId="29" fillId="0" borderId="9" xfId="9" applyFont="1" applyFill="1" applyBorder="1" applyAlignment="1" applyProtection="1">
      <alignment horizontal="left" vertical="center"/>
    </xf>
    <xf numFmtId="165" fontId="21" fillId="0" borderId="9" xfId="9" applyFont="1" applyFill="1" applyBorder="1" applyAlignment="1" applyProtection="1">
      <alignment vertical="center"/>
    </xf>
    <xf numFmtId="165" fontId="29" fillId="0" borderId="17" xfId="9" applyFont="1" applyFill="1" applyBorder="1" applyAlignment="1" applyProtection="1">
      <alignment horizontal="center" vertical="center"/>
    </xf>
    <xf numFmtId="0" fontId="29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30" fillId="0" borderId="31" xfId="9" applyNumberFormat="1" applyFont="1" applyFill="1" applyBorder="1" applyAlignment="1" applyProtection="1">
      <alignment vertical="center"/>
    </xf>
    <xf numFmtId="167" fontId="28" fillId="0" borderId="9" xfId="9" applyNumberFormat="1" applyFont="1" applyFill="1" applyBorder="1" applyAlignment="1" applyProtection="1"/>
    <xf numFmtId="0" fontId="23" fillId="4" borderId="22" xfId="0" applyFont="1" applyFill="1" applyBorder="1" applyAlignment="1" applyProtection="1">
      <alignment horizontal="center" vertical="center" wrapText="1"/>
    </xf>
    <xf numFmtId="0" fontId="23" fillId="4" borderId="22" xfId="0" applyFont="1" applyFill="1" applyBorder="1" applyAlignment="1" applyProtection="1">
      <alignment horizontal="center" vertical="center"/>
    </xf>
    <xf numFmtId="0" fontId="23" fillId="4" borderId="23" xfId="0" applyFont="1" applyFill="1" applyBorder="1" applyAlignment="1" applyProtection="1">
      <alignment horizontal="center" vertical="center"/>
    </xf>
    <xf numFmtId="0" fontId="23" fillId="4" borderId="24" xfId="0" applyFont="1" applyFill="1" applyBorder="1" applyAlignment="1" applyProtection="1">
      <alignment horizontal="center" vertical="center"/>
    </xf>
    <xf numFmtId="0" fontId="23" fillId="0" borderId="32" xfId="0" applyFont="1" applyBorder="1" applyAlignment="1">
      <alignment horizontal="center"/>
    </xf>
    <xf numFmtId="167" fontId="21" fillId="0" borderId="20" xfId="0" applyNumberFormat="1" applyFont="1" applyBorder="1"/>
    <xf numFmtId="167" fontId="18" fillId="0" borderId="10" xfId="9" applyNumberFormat="1" applyFont="1" applyFill="1" applyBorder="1" applyAlignment="1" applyProtection="1"/>
    <xf numFmtId="167" fontId="18" fillId="0" borderId="12" xfId="9" applyNumberFormat="1" applyFont="1" applyFill="1" applyBorder="1" applyAlignment="1" applyProtection="1"/>
    <xf numFmtId="167" fontId="18" fillId="0" borderId="29" xfId="9" applyNumberFormat="1" applyFont="1" applyFill="1" applyBorder="1" applyAlignment="1" applyProtection="1"/>
    <xf numFmtId="167" fontId="18" fillId="0" borderId="24" xfId="9" applyNumberFormat="1" applyFont="1" applyFill="1" applyBorder="1" applyAlignment="1" applyProtection="1"/>
    <xf numFmtId="0" fontId="21" fillId="0" borderId="27" xfId="0" quotePrefix="1" applyFont="1" applyFill="1" applyBorder="1" applyAlignment="1" applyProtection="1">
      <alignment horizontal="center" vertical="center"/>
    </xf>
    <xf numFmtId="165" fontId="19" fillId="0" borderId="27" xfId="9" applyFont="1" applyFill="1" applyBorder="1" applyAlignment="1" applyProtection="1">
      <alignment vertical="center"/>
    </xf>
    <xf numFmtId="165" fontId="19" fillId="0" borderId="27" xfId="9" applyFont="1" applyFill="1" applyBorder="1" applyAlignment="1" applyProtection="1">
      <alignment horizontal="center" vertical="center"/>
    </xf>
    <xf numFmtId="0" fontId="19" fillId="0" borderId="27" xfId="0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7" fontId="19" fillId="0" borderId="27" xfId="9" applyNumberFormat="1" applyFont="1" applyFill="1" applyBorder="1" applyAlignment="1" applyProtection="1">
      <alignment vertical="center"/>
      <protection hidden="1"/>
    </xf>
    <xf numFmtId="167" fontId="20" fillId="0" borderId="28" xfId="9" applyNumberFormat="1" applyFont="1" applyFill="1" applyBorder="1" applyAlignment="1" applyProtection="1">
      <alignment vertical="center"/>
    </xf>
    <xf numFmtId="167" fontId="18" fillId="0" borderId="30" xfId="9" applyNumberFormat="1" applyFont="1" applyFill="1" applyBorder="1" applyAlignment="1" applyProtection="1">
      <alignment vertical="center" shrinkToFit="1"/>
    </xf>
    <xf numFmtId="167" fontId="18" fillId="0" borderId="27" xfId="9" applyNumberFormat="1" applyFont="1" applyFill="1" applyBorder="1" applyAlignment="1" applyProtection="1">
      <alignment vertical="center" shrinkToFit="1"/>
    </xf>
    <xf numFmtId="167" fontId="18" fillId="5" borderId="30" xfId="9" applyNumberFormat="1" applyFont="1" applyFill="1" applyBorder="1" applyAlignment="1" applyProtection="1">
      <alignment horizontal="center" vertical="center" shrinkToFit="1"/>
    </xf>
    <xf numFmtId="167" fontId="19" fillId="0" borderId="27" xfId="9" applyNumberFormat="1" applyFont="1" applyFill="1" applyBorder="1" applyAlignment="1" applyProtection="1">
      <alignment vertical="center" shrinkToFit="1"/>
    </xf>
    <xf numFmtId="167" fontId="20" fillId="4" borderId="27" xfId="9" applyNumberFormat="1" applyFont="1" applyFill="1" applyBorder="1" applyAlignment="1" applyProtection="1">
      <alignment horizontal="center" vertical="center"/>
    </xf>
    <xf numFmtId="0" fontId="23" fillId="4" borderId="43" xfId="0" applyFont="1" applyFill="1" applyBorder="1" applyAlignment="1" applyProtection="1">
      <alignment horizontal="center" vertical="center" wrapText="1"/>
    </xf>
    <xf numFmtId="167" fontId="21" fillId="5" borderId="44" xfId="9" applyNumberFormat="1" applyFont="1" applyFill="1" applyBorder="1" applyAlignment="1" applyProtection="1">
      <alignment vertical="center"/>
      <protection hidden="1"/>
    </xf>
    <xf numFmtId="167" fontId="21" fillId="0" borderId="44" xfId="9" applyNumberFormat="1" applyFont="1" applyFill="1" applyBorder="1" applyAlignment="1" applyProtection="1">
      <alignment vertical="center"/>
      <protection hidden="1"/>
    </xf>
    <xf numFmtId="167" fontId="29" fillId="0" borderId="44" xfId="9" applyNumberFormat="1" applyFont="1" applyFill="1" applyBorder="1" applyAlignment="1" applyProtection="1">
      <alignment vertical="center"/>
      <protection hidden="1"/>
    </xf>
    <xf numFmtId="167" fontId="21" fillId="0" borderId="45" xfId="9" applyNumberFormat="1" applyFont="1" applyFill="1" applyBorder="1" applyAlignment="1" applyProtection="1">
      <alignment vertical="center"/>
      <protection hidden="1"/>
    </xf>
    <xf numFmtId="167" fontId="21" fillId="0" borderId="8" xfId="9" applyNumberFormat="1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horizontal="center" vertical="center"/>
    </xf>
    <xf numFmtId="167" fontId="28" fillId="0" borderId="9" xfId="9" applyNumberFormat="1" applyFont="1" applyFill="1" applyBorder="1" applyAlignment="1" applyProtection="1">
      <alignment vertical="center" shrinkToFit="1"/>
    </xf>
    <xf numFmtId="167" fontId="28" fillId="0" borderId="10" xfId="9" applyNumberFormat="1" applyFont="1" applyFill="1" applyBorder="1" applyAlignment="1" applyProtection="1">
      <alignment vertical="center"/>
    </xf>
    <xf numFmtId="167" fontId="28" fillId="0" borderId="17" xfId="9" applyNumberFormat="1" applyFont="1" applyFill="1" applyBorder="1" applyAlignment="1" applyProtection="1">
      <alignment vertical="center"/>
    </xf>
    <xf numFmtId="0" fontId="20" fillId="6" borderId="33" xfId="0" applyFont="1" applyFill="1" applyBorder="1" applyAlignment="1" applyProtection="1">
      <alignment horizontal="center" vertical="center" wrapText="1"/>
    </xf>
    <xf numFmtId="0" fontId="21" fillId="0" borderId="0" xfId="0" applyFont="1" applyFill="1"/>
    <xf numFmtId="167" fontId="28" fillId="0" borderId="8" xfId="9" applyNumberFormat="1" applyFont="1" applyFill="1" applyBorder="1" applyAlignment="1" applyProtection="1">
      <alignment vertical="center"/>
    </xf>
    <xf numFmtId="0" fontId="27" fillId="6" borderId="33" xfId="0" applyFont="1" applyFill="1" applyBorder="1" applyAlignment="1" applyProtection="1">
      <alignment horizontal="center" vertical="center" wrapText="1"/>
    </xf>
    <xf numFmtId="167" fontId="21" fillId="0" borderId="8" xfId="9" applyNumberFormat="1" applyFont="1" applyFill="1" applyBorder="1" applyAlignment="1" applyProtection="1">
      <alignment horizontal="center" vertical="center"/>
      <protection hidden="1"/>
    </xf>
    <xf numFmtId="0" fontId="27" fillId="0" borderId="0" xfId="0" applyFont="1" applyAlignment="1"/>
    <xf numFmtId="0" fontId="27" fillId="0" borderId="0" xfId="0" applyFont="1" applyAlignment="1">
      <alignment wrapText="1"/>
    </xf>
    <xf numFmtId="20" fontId="19" fillId="0" borderId="8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20" fontId="19" fillId="0" borderId="20" xfId="9" applyNumberFormat="1" applyFont="1" applyFill="1" applyBorder="1" applyAlignment="1" applyProtection="1">
      <alignment horizontal="center" vertical="center"/>
    </xf>
    <xf numFmtId="20" fontId="19" fillId="0" borderId="9" xfId="9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horizontal="center" vertical="center"/>
    </xf>
    <xf numFmtId="20" fontId="21" fillId="0" borderId="8" xfId="0" applyNumberFormat="1" applyFont="1" applyFill="1" applyBorder="1" applyAlignment="1" applyProtection="1">
      <alignment horizontal="center" vertical="center"/>
    </xf>
    <xf numFmtId="20" fontId="29" fillId="0" borderId="8" xfId="0" applyNumberFormat="1" applyFont="1" applyFill="1" applyBorder="1" applyAlignment="1" applyProtection="1">
      <alignment horizontal="center" vertical="center"/>
    </xf>
    <xf numFmtId="20" fontId="29" fillId="0" borderId="9" xfId="0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8" fillId="0" borderId="27" xfId="9" applyNumberFormat="1" applyFont="1" applyFill="1" applyBorder="1" applyAlignment="1" applyProtection="1"/>
    <xf numFmtId="167" fontId="28" fillId="0" borderId="11" xfId="9" applyNumberFormat="1" applyFont="1" applyFill="1" applyBorder="1" applyAlignment="1" applyProtection="1">
      <alignment vertical="center" shrinkToFit="1"/>
    </xf>
    <xf numFmtId="164" fontId="28" fillId="0" borderId="8" xfId="10" applyNumberFormat="1" applyFont="1" applyFill="1" applyBorder="1" applyAlignment="1" applyProtection="1">
      <alignment vertical="center"/>
    </xf>
    <xf numFmtId="20" fontId="21" fillId="5" borderId="8" xfId="0" applyNumberFormat="1" applyFont="1" applyFill="1" applyBorder="1" applyAlignment="1" applyProtection="1">
      <alignment horizontal="center" vertical="center"/>
    </xf>
    <xf numFmtId="167" fontId="18" fillId="5" borderId="17" xfId="9" applyNumberFormat="1" applyFont="1" applyFill="1" applyBorder="1" applyAlignment="1" applyProtection="1">
      <alignment vertical="center" shrinkToFit="1"/>
    </xf>
    <xf numFmtId="167" fontId="18" fillId="5" borderId="9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/>
    </xf>
    <xf numFmtId="167" fontId="18" fillId="5" borderId="8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/>
    </xf>
    <xf numFmtId="167" fontId="28" fillId="5" borderId="11" xfId="9" applyNumberFormat="1" applyFont="1" applyFill="1" applyBorder="1" applyAlignment="1" applyProtection="1">
      <alignment vertical="center" shrinkToFit="1"/>
    </xf>
    <xf numFmtId="20" fontId="21" fillId="0" borderId="27" xfId="0" applyNumberFormat="1" applyFont="1" applyFill="1" applyBorder="1" applyAlignment="1" applyProtection="1">
      <alignment horizontal="center" vertical="center"/>
    </xf>
    <xf numFmtId="20" fontId="21" fillId="0" borderId="11" xfId="0" applyNumberFormat="1" applyFont="1" applyFill="1" applyBorder="1" applyAlignment="1" applyProtection="1">
      <alignment horizontal="center" vertical="center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20" fontId="29" fillId="0" borderId="27" xfId="0" applyNumberFormat="1" applyFont="1" applyFill="1" applyBorder="1" applyAlignment="1" applyProtection="1">
      <alignment horizontal="center" vertical="center"/>
    </xf>
    <xf numFmtId="20" fontId="29" fillId="0" borderId="11" xfId="0" applyNumberFormat="1" applyFont="1" applyFill="1" applyBorder="1" applyAlignment="1" applyProtection="1">
      <alignment horizontal="center" vertical="center"/>
    </xf>
    <xf numFmtId="20" fontId="21" fillId="0" borderId="8" xfId="9" applyNumberFormat="1" applyFont="1" applyFill="1" applyBorder="1" applyAlignment="1" applyProtection="1">
      <alignment horizontal="center" vertical="center"/>
    </xf>
    <xf numFmtId="0" fontId="21" fillId="0" borderId="11" xfId="0" applyFont="1" applyFill="1" applyBorder="1" applyAlignment="1" applyProtection="1">
      <alignment horizontal="center" vertical="center"/>
    </xf>
    <xf numFmtId="179" fontId="21" fillId="0" borderId="8" xfId="9" applyNumberFormat="1" applyFont="1" applyFill="1" applyBorder="1" applyAlignment="1" applyProtection="1">
      <alignment horizontal="center" vertical="center"/>
    </xf>
    <xf numFmtId="167" fontId="20" fillId="4" borderId="10" xfId="9" applyNumberFormat="1" applyFont="1" applyFill="1" applyBorder="1" applyAlignment="1" applyProtection="1">
      <alignment horizontal="center" vertical="center"/>
    </xf>
    <xf numFmtId="167" fontId="18" fillId="5" borderId="8" xfId="9" applyNumberFormat="1" applyFont="1" applyFill="1" applyBorder="1" applyAlignment="1" applyProtection="1">
      <alignment vertical="center" shrinkToFit="1"/>
    </xf>
    <xf numFmtId="167" fontId="20" fillId="4" borderId="17" xfId="9" applyNumberFormat="1" applyFont="1" applyFill="1" applyBorder="1" applyAlignment="1" applyProtection="1">
      <alignment horizontal="center" vertical="center"/>
    </xf>
    <xf numFmtId="0" fontId="21" fillId="4" borderId="9" xfId="0" quotePrefix="1" applyFont="1" applyFill="1" applyBorder="1" applyAlignment="1" applyProtection="1">
      <alignment horizontal="center" vertical="center"/>
    </xf>
    <xf numFmtId="167" fontId="21" fillId="0" borderId="8" xfId="0" applyNumberFormat="1" applyFont="1" applyBorder="1" applyAlignment="1">
      <alignment vertical="center"/>
    </xf>
    <xf numFmtId="165" fontId="21" fillId="5" borderId="9" xfId="9" applyFont="1" applyFill="1" applyBorder="1" applyAlignment="1" applyProtection="1">
      <alignment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1" fillId="5" borderId="9" xfId="0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7" fillId="5" borderId="31" xfId="9" applyNumberFormat="1" applyFont="1" applyFill="1" applyBorder="1" applyAlignment="1" applyProtection="1">
      <alignment vertical="center"/>
    </xf>
    <xf numFmtId="0" fontId="20" fillId="6" borderId="13" xfId="0" applyFont="1" applyFill="1" applyBorder="1" applyAlignment="1" applyProtection="1">
      <alignment horizontal="center" vertical="center" wrapText="1"/>
    </xf>
    <xf numFmtId="0" fontId="20" fillId="6" borderId="33" xfId="0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0" fillId="6" borderId="47" xfId="0" applyFont="1" applyFill="1" applyBorder="1" applyAlignment="1" applyProtection="1">
      <alignment horizontal="center" vertical="center" wrapText="1"/>
    </xf>
    <xf numFmtId="0" fontId="20" fillId="6" borderId="3" xfId="0" applyFont="1" applyFill="1" applyBorder="1" applyAlignment="1" applyProtection="1">
      <alignment horizontal="center" vertical="center" wrapText="1"/>
    </xf>
    <xf numFmtId="0" fontId="20" fillId="6" borderId="7" xfId="0" applyFont="1" applyFill="1" applyBorder="1" applyAlignment="1" applyProtection="1">
      <alignment horizontal="center" vertical="center" wrapText="1"/>
    </xf>
    <xf numFmtId="167" fontId="28" fillId="5" borderId="13" xfId="9" applyNumberFormat="1" applyFont="1" applyFill="1" applyBorder="1" applyAlignment="1" applyProtection="1">
      <alignment horizontal="center" vertical="center" wrapText="1"/>
    </xf>
    <xf numFmtId="167" fontId="28" fillId="5" borderId="14" xfId="9" applyNumberFormat="1" applyFont="1" applyFill="1" applyBorder="1" applyAlignment="1" applyProtection="1">
      <alignment horizontal="center" vertical="center" wrapText="1"/>
    </xf>
    <xf numFmtId="167" fontId="28" fillId="5" borderId="13" xfId="9" quotePrefix="1" applyNumberFormat="1" applyFont="1" applyFill="1" applyBorder="1" applyAlignment="1" applyProtection="1">
      <alignment horizontal="center" vertical="center" wrapText="1"/>
    </xf>
    <xf numFmtId="167" fontId="28" fillId="5" borderId="14" xfId="9" quotePrefix="1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0" fillId="6" borderId="34" xfId="0" applyFont="1" applyFill="1" applyBorder="1" applyAlignment="1" applyProtection="1">
      <alignment horizontal="center" vertical="center" wrapText="1"/>
    </xf>
    <xf numFmtId="0" fontId="20" fillId="6" borderId="35" xfId="0" applyFont="1" applyFill="1" applyBorder="1" applyAlignment="1" applyProtection="1">
      <alignment horizontal="center" vertical="center" wrapText="1"/>
    </xf>
    <xf numFmtId="0" fontId="20" fillId="6" borderId="40" xfId="0" applyFont="1" applyFill="1" applyBorder="1" applyAlignment="1" applyProtection="1">
      <alignment horizontal="center" vertical="center" wrapText="1"/>
    </xf>
    <xf numFmtId="0" fontId="20" fillId="6" borderId="42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77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7" fillId="6" borderId="13" xfId="0" applyFont="1" applyFill="1" applyBorder="1" applyAlignment="1">
      <alignment horizontal="center" vertical="center" wrapText="1"/>
    </xf>
    <xf numFmtId="0" fontId="27" fillId="6" borderId="33" xfId="0" applyFont="1" applyFill="1" applyBorder="1" applyAlignment="1">
      <alignment horizontal="center" vertical="center" wrapText="1"/>
    </xf>
    <xf numFmtId="167" fontId="27" fillId="0" borderId="13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167" fontId="27" fillId="5" borderId="39" xfId="9" applyNumberFormat="1" applyFont="1" applyFill="1" applyBorder="1" applyAlignment="1" applyProtection="1">
      <alignment vertical="center" wrapText="1"/>
    </xf>
    <xf numFmtId="167" fontId="27" fillId="5" borderId="38" xfId="9" applyNumberFormat="1" applyFont="1" applyFill="1" applyBorder="1" applyAlignment="1" applyProtection="1">
      <alignment vertical="center" wrapText="1"/>
    </xf>
    <xf numFmtId="167" fontId="28" fillId="5" borderId="12" xfId="9" applyNumberFormat="1" applyFont="1" applyFill="1" applyBorder="1" applyAlignment="1" applyProtection="1">
      <alignment vertical="center" wrapText="1"/>
    </xf>
    <xf numFmtId="167" fontId="28" fillId="5" borderId="18" xfId="9" applyNumberFormat="1" applyFont="1" applyFill="1" applyBorder="1" applyAlignment="1" applyProtection="1">
      <alignment vertical="center" wrapText="1"/>
    </xf>
    <xf numFmtId="167" fontId="28" fillId="5" borderId="6" xfId="9" applyNumberFormat="1" applyFont="1" applyFill="1" applyBorder="1" applyAlignment="1" applyProtection="1">
      <alignment vertical="center" wrapText="1"/>
    </xf>
    <xf numFmtId="167" fontId="28" fillId="5" borderId="14" xfId="9" applyNumberFormat="1" applyFont="1" applyFill="1" applyBorder="1" applyAlignment="1" applyProtection="1">
      <alignment vertical="center" wrapText="1"/>
    </xf>
    <xf numFmtId="167" fontId="28" fillId="5" borderId="6" xfId="9" quotePrefix="1" applyNumberFormat="1" applyFont="1" applyFill="1" applyBorder="1" applyAlignment="1" applyProtection="1">
      <alignment vertical="center" wrapText="1"/>
    </xf>
    <xf numFmtId="0" fontId="20" fillId="6" borderId="33" xfId="0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36" xfId="0" applyFont="1" applyFill="1" applyBorder="1" applyAlignment="1" applyProtection="1">
      <alignment horizontal="center" vertical="center" wrapText="1"/>
    </xf>
    <xf numFmtId="0" fontId="20" fillId="6" borderId="37" xfId="0" applyFont="1" applyFill="1" applyBorder="1" applyAlignment="1" applyProtection="1">
      <alignment horizontal="center" vertical="center" wrapText="1"/>
    </xf>
    <xf numFmtId="167" fontId="20" fillId="5" borderId="34" xfId="9" applyNumberFormat="1" applyFont="1" applyFill="1" applyBorder="1" applyAlignment="1" applyProtection="1">
      <alignment vertical="center" wrapText="1"/>
    </xf>
    <xf numFmtId="167" fontId="20" fillId="5" borderId="38" xfId="9" applyNumberFormat="1" applyFont="1" applyFill="1" applyBorder="1" applyAlignment="1" applyProtection="1">
      <alignment vertical="center" wrapText="1"/>
    </xf>
    <xf numFmtId="0" fontId="20" fillId="0" borderId="0" xfId="0" applyFont="1" applyAlignment="1">
      <alignment horizontal="center" vertical="center"/>
    </xf>
    <xf numFmtId="167" fontId="18" fillId="5" borderId="12" xfId="9" applyNumberFormat="1" applyFont="1" applyFill="1" applyBorder="1" applyAlignment="1" applyProtection="1">
      <alignment vertical="center" wrapText="1"/>
    </xf>
    <xf numFmtId="167" fontId="18" fillId="5" borderId="18" xfId="9" applyNumberFormat="1" applyFont="1" applyFill="1" applyBorder="1" applyAlignment="1" applyProtection="1">
      <alignment vertical="center" wrapText="1"/>
    </xf>
    <xf numFmtId="167" fontId="18" fillId="5" borderId="6" xfId="9" applyNumberFormat="1" applyFont="1" applyFill="1" applyBorder="1" applyAlignment="1" applyProtection="1">
      <alignment vertical="center" wrapText="1"/>
    </xf>
    <xf numFmtId="167" fontId="18" fillId="5" borderId="14" xfId="9" applyNumberFormat="1" applyFont="1" applyFill="1" applyBorder="1" applyAlignment="1" applyProtection="1">
      <alignment vertical="center" wrapText="1"/>
    </xf>
    <xf numFmtId="167" fontId="18" fillId="5" borderId="6" xfId="9" quotePrefix="1" applyNumberFormat="1" applyFont="1" applyFill="1" applyBorder="1" applyAlignment="1" applyProtection="1">
      <alignment vertical="center" wrapText="1"/>
    </xf>
    <xf numFmtId="167" fontId="18" fillId="5" borderId="13" xfId="9" quotePrefix="1" applyNumberFormat="1" applyFont="1" applyFill="1" applyBorder="1" applyAlignment="1" applyProtection="1">
      <alignment horizontal="center" vertical="center" wrapText="1"/>
    </xf>
    <xf numFmtId="167" fontId="18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167" fontId="18" fillId="5" borderId="13" xfId="9" applyNumberFormat="1" applyFont="1" applyFill="1" applyBorder="1" applyAlignment="1" applyProtection="1">
      <alignment vertical="center" wrapText="1"/>
    </xf>
    <xf numFmtId="167" fontId="18" fillId="5" borderId="13" xfId="9" applyNumberFormat="1" applyFont="1" applyFill="1" applyBorder="1" applyAlignment="1" applyProtection="1">
      <alignment horizontal="center" vertical="center" wrapText="1"/>
    </xf>
    <xf numFmtId="167" fontId="18" fillId="5" borderId="14" xfId="9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 applyProtection="1">
      <alignment horizontal="center" vertical="center"/>
    </xf>
    <xf numFmtId="167" fontId="20" fillId="5" borderId="39" xfId="9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horizontal="center"/>
    </xf>
    <xf numFmtId="167" fontId="18" fillId="5" borderId="46" xfId="9" applyNumberFormat="1" applyFont="1" applyFill="1" applyBorder="1" applyAlignment="1" applyProtection="1">
      <alignment vertical="center" wrapText="1"/>
    </xf>
    <xf numFmtId="167" fontId="18" fillId="5" borderId="41" xfId="9" applyNumberFormat="1" applyFont="1" applyFill="1" applyBorder="1" applyAlignment="1" applyProtection="1">
      <alignment vertical="center" wrapText="1"/>
    </xf>
    <xf numFmtId="167" fontId="18" fillId="5" borderId="14" xfId="9" quotePrefix="1" applyNumberFormat="1" applyFont="1" applyFill="1" applyBorder="1" applyAlignment="1" applyProtection="1">
      <alignment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0" fillId="6" borderId="33" xfId="0" applyFont="1" applyFill="1" applyBorder="1" applyAlignment="1">
      <alignment horizontal="center" vertical="center" wrapText="1"/>
    </xf>
    <xf numFmtId="0" fontId="20" fillId="6" borderId="33" xfId="0" applyFont="1" applyFill="1" applyBorder="1" applyAlignment="1">
      <alignment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20000000}"/>
    <cellStyle name="Percent [00]" xfId="32" xr:uid="{00000000-0005-0000-0000-000021000000}"/>
    <cellStyle name="Percent [2]" xfId="33" xr:uid="{00000000-0005-0000-0000-000022000000}"/>
    <cellStyle name="PrePop Currency (0)" xfId="34" xr:uid="{00000000-0005-0000-0000-000023000000}"/>
    <cellStyle name="PrePop Currency (2)" xfId="35" xr:uid="{00000000-0005-0000-0000-000024000000}"/>
    <cellStyle name="PrePop Units (0)" xfId="36" xr:uid="{00000000-0005-0000-0000-000025000000}"/>
    <cellStyle name="PrePop Units (1)" xfId="37" xr:uid="{00000000-0005-0000-0000-000026000000}"/>
    <cellStyle name="PrePop Units (2)" xfId="38" xr:uid="{00000000-0005-0000-0000-000027000000}"/>
    <cellStyle name="sbt2" xfId="39" xr:uid="{00000000-0005-0000-0000-000028000000}"/>
    <cellStyle name="subt1" xfId="40" xr:uid="{00000000-0005-0000-0000-000029000000}"/>
    <cellStyle name="Text Indent A" xfId="41" xr:uid="{00000000-0005-0000-0000-00002A000000}"/>
    <cellStyle name="Text Indent B" xfId="42" xr:uid="{00000000-0005-0000-0000-00002B000000}"/>
    <cellStyle name="Text Indent C" xfId="43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400051</xdr:colOff>
      <xdr:row>0</xdr:row>
      <xdr:rowOff>66675</xdr:rowOff>
    </xdr:from>
    <xdr:to>
      <xdr:col>12</xdr:col>
      <xdr:colOff>428625</xdr:colOff>
      <xdr:row>1</xdr:row>
      <xdr:rowOff>257175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5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1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646641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6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127002</xdr:colOff>
      <xdr:row>0</xdr:row>
      <xdr:rowOff>0</xdr:rowOff>
    </xdr:from>
    <xdr:to>
      <xdr:col>10</xdr:col>
      <xdr:colOff>508002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7585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8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KEUANGAN/GAJI/Pegawai%20Organik/KEWAJIBAN%20PEG%20ALIH%20TUGAS/IURAN%20ANAK%20PERUSAHAAN_PTP%20-%20BARU%20MEI%202020%20-%20ba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F13">
            <v>6604000</v>
          </cell>
          <cell r="G13">
            <v>4114000</v>
          </cell>
        </row>
        <row r="14">
          <cell r="G14">
            <v>3919000</v>
          </cell>
        </row>
        <row r="19">
          <cell r="F19">
            <v>4378000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EI"/>
      <sheetName val="JUNI"/>
      <sheetName val="JULI"/>
      <sheetName val="AGUS"/>
      <sheetName val="SEPT"/>
      <sheetName val="OKT"/>
      <sheetName val="DES"/>
      <sheetName val="JAN_16"/>
      <sheetName val="Sheet2"/>
      <sheetName val="Sheet3"/>
      <sheetName val="TMT MEI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O31">
            <v>466761</v>
          </cell>
          <cell r="AE31">
            <v>374445</v>
          </cell>
        </row>
        <row r="32">
          <cell r="AE32">
            <v>175120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1"/>
  <sheetViews>
    <sheetView topLeftCell="H1" zoomScaleNormal="100" workbookViewId="0">
      <selection activeCell="I17" sqref="I17"/>
    </sheetView>
  </sheetViews>
  <sheetFormatPr defaultRowHeight="12.75" x14ac:dyDescent="0.2"/>
  <cols>
    <col min="1" max="1" width="1.140625" customWidth="1"/>
    <col min="2" max="2" width="4.140625" customWidth="1"/>
    <col min="3" max="3" width="23" customWidth="1"/>
    <col min="4" max="4" width="31.140625" customWidth="1"/>
    <col min="5" max="5" width="10.42578125" customWidth="1"/>
    <col min="6" max="6" width="22.140625" customWidth="1"/>
    <col min="7" max="7" width="9.140625" customWidth="1"/>
    <col min="8" max="8" width="13.28515625" customWidth="1"/>
    <col min="9" max="9" width="12.42578125" customWidth="1"/>
    <col min="10" max="10" width="13.42578125" customWidth="1"/>
    <col min="11" max="12" width="13.5703125" customWidth="1"/>
    <col min="13" max="13" width="13.140625" customWidth="1"/>
    <col min="14" max="14" width="13.5703125" customWidth="1"/>
    <col min="15" max="15" width="14.85546875" customWidth="1"/>
    <col min="16" max="16" width="13.5703125" customWidth="1"/>
    <col min="17" max="17" width="11.7109375" hidden="1" customWidth="1"/>
    <col min="18" max="18" width="10.140625" customWidth="1"/>
    <col min="19" max="19" width="11.7109375" customWidth="1"/>
    <col min="20" max="20" width="10.5703125" customWidth="1"/>
    <col min="21" max="21" width="12.28515625" customWidth="1"/>
    <col min="22" max="22" width="14.42578125" customWidth="1"/>
    <col min="23" max="24" width="12.28515625" customWidth="1"/>
    <col min="25" max="25" width="13.42578125" customWidth="1"/>
    <col min="27" max="27" width="12.28515625" bestFit="1" customWidth="1"/>
  </cols>
  <sheetData>
    <row r="1" spans="1:27" ht="24.75" customHeight="1" x14ac:dyDescent="0.2"/>
    <row r="2" spans="1:27" ht="24.75" customHeight="1" x14ac:dyDescent="0.25">
      <c r="A2" s="6"/>
      <c r="B2" s="6"/>
      <c r="C2" s="6"/>
      <c r="D2" s="6"/>
      <c r="E2" s="6" t="s">
        <v>25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">
      <c r="A3" s="260" t="s">
        <v>111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</row>
    <row r="4" spans="1:27" ht="13.5" customHeight="1" x14ac:dyDescent="0.2">
      <c r="A4" s="261" t="s">
        <v>153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</row>
    <row r="5" spans="1:27" ht="10.5" customHeight="1" x14ac:dyDescent="0.2"/>
    <row r="6" spans="1:27" ht="38.25" customHeight="1" x14ac:dyDescent="0.2">
      <c r="B6" s="241" t="s">
        <v>4</v>
      </c>
      <c r="C6" s="241" t="s">
        <v>46</v>
      </c>
      <c r="D6" s="241" t="s">
        <v>9</v>
      </c>
      <c r="E6" s="241" t="s">
        <v>110</v>
      </c>
      <c r="F6" s="241" t="s">
        <v>0</v>
      </c>
      <c r="G6" s="241" t="s">
        <v>2</v>
      </c>
      <c r="H6" s="241" t="s">
        <v>141</v>
      </c>
      <c r="I6" s="301" t="s">
        <v>162</v>
      </c>
      <c r="J6" s="301" t="s">
        <v>163</v>
      </c>
      <c r="K6" s="301" t="s">
        <v>164</v>
      </c>
      <c r="L6" s="301" t="s">
        <v>165</v>
      </c>
      <c r="M6" s="301" t="s">
        <v>166</v>
      </c>
      <c r="N6" s="301" t="s">
        <v>167</v>
      </c>
      <c r="O6" s="254" t="s">
        <v>47</v>
      </c>
      <c r="P6" s="256" t="s">
        <v>109</v>
      </c>
      <c r="Q6" s="241" t="s">
        <v>42</v>
      </c>
      <c r="R6" s="245" t="s">
        <v>114</v>
      </c>
      <c r="S6" s="246"/>
      <c r="T6" s="246"/>
      <c r="U6" s="247"/>
      <c r="V6" s="241" t="s">
        <v>115</v>
      </c>
      <c r="W6" s="241" t="s">
        <v>30</v>
      </c>
      <c r="X6" s="241" t="s">
        <v>151</v>
      </c>
      <c r="Y6" s="262" t="s">
        <v>59</v>
      </c>
    </row>
    <row r="7" spans="1:27" ht="78" customHeight="1" thickBot="1" x14ac:dyDescent="0.25">
      <c r="B7" s="242"/>
      <c r="C7" s="273"/>
      <c r="D7" s="273"/>
      <c r="E7" s="242"/>
      <c r="F7" s="242"/>
      <c r="G7" s="242"/>
      <c r="H7" s="242"/>
      <c r="I7" s="302"/>
      <c r="J7" s="302"/>
      <c r="K7" s="302"/>
      <c r="L7" s="302"/>
      <c r="M7" s="302"/>
      <c r="N7" s="302"/>
      <c r="O7" s="255"/>
      <c r="P7" s="257"/>
      <c r="Q7" s="242"/>
      <c r="R7" s="199" t="s">
        <v>117</v>
      </c>
      <c r="S7" s="199" t="s">
        <v>150</v>
      </c>
      <c r="T7" s="199" t="s">
        <v>118</v>
      </c>
      <c r="U7" s="199" t="s">
        <v>119</v>
      </c>
      <c r="V7" s="242"/>
      <c r="W7" s="242"/>
      <c r="X7" s="242"/>
      <c r="Y7" s="263"/>
    </row>
    <row r="8" spans="1:27" ht="9.75" customHeight="1" x14ac:dyDescent="0.2">
      <c r="B8" s="164">
        <v>1</v>
      </c>
      <c r="C8" s="164">
        <v>2</v>
      </c>
      <c r="D8" s="164">
        <v>3</v>
      </c>
      <c r="E8" s="164">
        <v>5</v>
      </c>
      <c r="F8" s="165">
        <v>6</v>
      </c>
      <c r="G8" s="165">
        <v>7</v>
      </c>
      <c r="H8" s="165"/>
      <c r="I8" s="164">
        <v>8</v>
      </c>
      <c r="J8" s="164">
        <v>9</v>
      </c>
      <c r="K8" s="164">
        <v>10</v>
      </c>
      <c r="L8" s="186"/>
      <c r="M8" s="186"/>
      <c r="N8" s="186"/>
      <c r="O8" s="166" t="s">
        <v>98</v>
      </c>
      <c r="P8" s="167">
        <v>15</v>
      </c>
      <c r="Q8" s="165">
        <v>16</v>
      </c>
      <c r="R8" s="165"/>
      <c r="S8" s="165"/>
      <c r="T8" s="165"/>
      <c r="U8" s="165"/>
      <c r="V8" s="165"/>
      <c r="W8" s="165">
        <v>19</v>
      </c>
      <c r="X8" s="165"/>
      <c r="Y8" s="168">
        <v>20</v>
      </c>
    </row>
    <row r="9" spans="1:27" ht="18.75" hidden="1" customHeight="1" x14ac:dyDescent="0.2">
      <c r="B9" s="65">
        <v>1</v>
      </c>
      <c r="C9" s="132" t="s">
        <v>91</v>
      </c>
      <c r="D9" s="132" t="s">
        <v>26</v>
      </c>
      <c r="E9" s="133" t="s">
        <v>48</v>
      </c>
      <c r="F9" s="133" t="s">
        <v>92</v>
      </c>
      <c r="G9" s="134" t="s">
        <v>27</v>
      </c>
      <c r="H9" s="134"/>
      <c r="I9" s="135">
        <v>9000000</v>
      </c>
      <c r="J9" s="136">
        <v>0</v>
      </c>
      <c r="K9" s="136">
        <f>5%*I9</f>
        <v>450000</v>
      </c>
      <c r="L9" s="187">
        <v>0</v>
      </c>
      <c r="M9" s="187"/>
      <c r="N9" s="187">
        <v>0</v>
      </c>
      <c r="O9" s="137">
        <f>SUM(I9:K9)</f>
        <v>9450000</v>
      </c>
      <c r="P9" s="138">
        <v>0</v>
      </c>
      <c r="Q9" s="139">
        <v>0</v>
      </c>
      <c r="R9" s="139"/>
      <c r="S9" s="139"/>
      <c r="T9" s="139"/>
      <c r="U9" s="139"/>
      <c r="V9" s="139"/>
      <c r="W9" s="139">
        <v>0</v>
      </c>
      <c r="X9" s="221"/>
      <c r="Y9" s="169">
        <f>O9</f>
        <v>9450000</v>
      </c>
    </row>
    <row r="10" spans="1:27" ht="18.75" customHeight="1" x14ac:dyDescent="0.2">
      <c r="B10" s="65">
        <v>1</v>
      </c>
      <c r="C10" s="132" t="s">
        <v>133</v>
      </c>
      <c r="D10" s="132" t="s">
        <v>134</v>
      </c>
      <c r="E10" s="207">
        <v>6</v>
      </c>
      <c r="F10" s="133" t="s">
        <v>139</v>
      </c>
      <c r="G10" s="134" t="s">
        <v>19</v>
      </c>
      <c r="H10" s="215">
        <v>1.3888888888888888E-2</v>
      </c>
      <c r="I10" s="211">
        <v>9739000</v>
      </c>
      <c r="J10" s="136">
        <v>4612000</v>
      </c>
      <c r="K10" s="136">
        <v>12300000</v>
      </c>
      <c r="L10" s="187">
        <v>600000</v>
      </c>
      <c r="M10" s="187">
        <v>4000000</v>
      </c>
      <c r="N10" s="187">
        <v>4500000</v>
      </c>
      <c r="O10" s="137">
        <f>SUM(I10:N10)</f>
        <v>35751000</v>
      </c>
      <c r="P10" s="138">
        <v>962915</v>
      </c>
      <c r="Q10" s="139"/>
      <c r="R10" s="139">
        <v>0</v>
      </c>
      <c r="S10" s="139">
        <v>0</v>
      </c>
      <c r="T10" s="139">
        <f t="shared" ref="T10:T20" si="0">20%*K10</f>
        <v>2460000</v>
      </c>
      <c r="U10" s="139">
        <v>0</v>
      </c>
      <c r="V10" s="139">
        <v>0</v>
      </c>
      <c r="W10" s="146">
        <f t="shared" ref="W10:W23" si="1">0.05*(J10+K10+L10+M10+N10)</f>
        <v>1300600</v>
      </c>
      <c r="X10" s="146">
        <f t="shared" ref="X10:X20" si="2">P10+R10+S10+T10+U10+V10+W10</f>
        <v>4723515</v>
      </c>
      <c r="Y10" s="234">
        <f>O10-(P10+R10+S10+T10+U10+V10+W10)</f>
        <v>31027485</v>
      </c>
      <c r="AA10" s="10">
        <f t="shared" ref="AA10:AA20" si="3">O10-X10</f>
        <v>31027485</v>
      </c>
    </row>
    <row r="11" spans="1:27" ht="18.75" customHeight="1" x14ac:dyDescent="0.2">
      <c r="B11" s="74">
        <v>2</v>
      </c>
      <c r="C11" s="140" t="s">
        <v>34</v>
      </c>
      <c r="D11" s="140" t="s">
        <v>35</v>
      </c>
      <c r="E11" s="191">
        <v>6</v>
      </c>
      <c r="F11" s="141" t="s">
        <v>36</v>
      </c>
      <c r="G11" s="74" t="s">
        <v>27</v>
      </c>
      <c r="H11" s="208">
        <v>1.2499999999999999E-2</v>
      </c>
      <c r="I11" s="142">
        <f>'[1]THR PEG PELINDO'!$F$8</f>
        <v>9739000</v>
      </c>
      <c r="J11" s="143">
        <f>'[1]THR PEG PELINDO'!$G$8</f>
        <v>4612000</v>
      </c>
      <c r="K11" s="143">
        <f>12300000</f>
        <v>12300000</v>
      </c>
      <c r="L11" s="188">
        <v>600000</v>
      </c>
      <c r="M11" s="188">
        <v>4000000</v>
      </c>
      <c r="N11" s="188">
        <v>4500000</v>
      </c>
      <c r="O11" s="144">
        <f t="shared" ref="O11:O20" si="4">SUM(I11:N11)</f>
        <v>35751000</v>
      </c>
      <c r="P11" s="145">
        <v>1123861</v>
      </c>
      <c r="Q11" s="146">
        <v>381567</v>
      </c>
      <c r="R11" s="146">
        <v>0</v>
      </c>
      <c r="S11" s="146">
        <v>0</v>
      </c>
      <c r="T11" s="139">
        <f t="shared" si="0"/>
        <v>2460000</v>
      </c>
      <c r="U11" s="146">
        <v>0</v>
      </c>
      <c r="V11" s="146">
        <v>0</v>
      </c>
      <c r="W11" s="146">
        <f t="shared" si="1"/>
        <v>1300600</v>
      </c>
      <c r="X11" s="146">
        <f t="shared" si="2"/>
        <v>4884461</v>
      </c>
      <c r="Y11" s="234">
        <f t="shared" ref="Y11:Y23" si="5">O11-(P11+R11+S11+T11+U11+V11+W11)</f>
        <v>30866539</v>
      </c>
      <c r="AA11" s="10">
        <f t="shared" si="3"/>
        <v>30866539</v>
      </c>
    </row>
    <row r="12" spans="1:27" ht="18.75" customHeight="1" x14ac:dyDescent="0.2">
      <c r="B12" s="65">
        <v>3</v>
      </c>
      <c r="C12" s="140" t="s">
        <v>132</v>
      </c>
      <c r="D12" s="140" t="s">
        <v>20</v>
      </c>
      <c r="E12" s="191">
        <v>7</v>
      </c>
      <c r="F12" s="147" t="s">
        <v>140</v>
      </c>
      <c r="G12" s="74" t="s">
        <v>27</v>
      </c>
      <c r="H12" s="208">
        <v>0</v>
      </c>
      <c r="I12" s="142">
        <v>8203000</v>
      </c>
      <c r="J12" s="143">
        <v>4342000</v>
      </c>
      <c r="K12" s="143">
        <v>12300000</v>
      </c>
      <c r="L12" s="188">
        <v>600000</v>
      </c>
      <c r="M12" s="188">
        <v>4000000</v>
      </c>
      <c r="N12" s="188">
        <v>4500000</v>
      </c>
      <c r="O12" s="144">
        <f t="shared" si="4"/>
        <v>33945000</v>
      </c>
      <c r="P12" s="145">
        <v>907576</v>
      </c>
      <c r="Q12" s="146">
        <v>359907</v>
      </c>
      <c r="R12" s="146">
        <v>0</v>
      </c>
      <c r="S12" s="146">
        <v>0</v>
      </c>
      <c r="T12" s="139">
        <f t="shared" si="0"/>
        <v>2460000</v>
      </c>
      <c r="U12" s="146">
        <v>0</v>
      </c>
      <c r="V12" s="146">
        <v>0</v>
      </c>
      <c r="W12" s="146">
        <f t="shared" si="1"/>
        <v>1287100</v>
      </c>
      <c r="X12" s="146">
        <f t="shared" si="2"/>
        <v>4654676</v>
      </c>
      <c r="Y12" s="234">
        <f t="shared" si="5"/>
        <v>29290324</v>
      </c>
      <c r="AA12" s="10">
        <f t="shared" si="3"/>
        <v>29290324</v>
      </c>
    </row>
    <row r="13" spans="1:27" ht="18.75" customHeight="1" x14ac:dyDescent="0.2">
      <c r="B13" s="74">
        <v>4</v>
      </c>
      <c r="C13" s="140" t="s">
        <v>135</v>
      </c>
      <c r="D13" s="140" t="s">
        <v>138</v>
      </c>
      <c r="E13" s="191">
        <v>6</v>
      </c>
      <c r="F13" s="147" t="s">
        <v>38</v>
      </c>
      <c r="G13" s="74" t="s">
        <v>15</v>
      </c>
      <c r="H13" s="222">
        <v>4.8611111111111112E-3</v>
      </c>
      <c r="I13" s="142">
        <f>I11</f>
        <v>9739000</v>
      </c>
      <c r="J13" s="143">
        <f>J11</f>
        <v>4612000</v>
      </c>
      <c r="K13" s="143">
        <v>12300000</v>
      </c>
      <c r="L13" s="188">
        <v>600000</v>
      </c>
      <c r="M13" s="188">
        <v>4000000</v>
      </c>
      <c r="N13" s="188">
        <v>4500000</v>
      </c>
      <c r="O13" s="144">
        <f t="shared" si="4"/>
        <v>35751000</v>
      </c>
      <c r="P13" s="145">
        <v>869733</v>
      </c>
      <c r="Q13" s="146">
        <v>312920</v>
      </c>
      <c r="R13" s="146">
        <v>0</v>
      </c>
      <c r="S13" s="146">
        <v>0</v>
      </c>
      <c r="T13" s="139">
        <f t="shared" si="0"/>
        <v>2460000</v>
      </c>
      <c r="U13" s="146">
        <v>0</v>
      </c>
      <c r="V13" s="146">
        <v>0</v>
      </c>
      <c r="W13" s="146">
        <f t="shared" si="1"/>
        <v>1300600</v>
      </c>
      <c r="X13" s="146">
        <f t="shared" si="2"/>
        <v>4630333</v>
      </c>
      <c r="Y13" s="234">
        <f t="shared" si="5"/>
        <v>31120667</v>
      </c>
      <c r="AA13" s="10">
        <f t="shared" si="3"/>
        <v>31120667</v>
      </c>
    </row>
    <row r="14" spans="1:27" ht="18.75" customHeight="1" x14ac:dyDescent="0.2">
      <c r="B14" s="74">
        <v>5</v>
      </c>
      <c r="C14" s="140" t="s">
        <v>136</v>
      </c>
      <c r="D14" s="140" t="s">
        <v>76</v>
      </c>
      <c r="E14" s="191">
        <v>6</v>
      </c>
      <c r="F14" s="141" t="s">
        <v>90</v>
      </c>
      <c r="G14" s="74" t="s">
        <v>27</v>
      </c>
      <c r="H14" s="224" t="s">
        <v>155</v>
      </c>
      <c r="I14" s="142">
        <f>I13</f>
        <v>9739000</v>
      </c>
      <c r="J14" s="143">
        <f>J13</f>
        <v>4612000</v>
      </c>
      <c r="K14" s="143">
        <v>12300000</v>
      </c>
      <c r="L14" s="188">
        <v>600000</v>
      </c>
      <c r="M14" s="188">
        <v>4000000</v>
      </c>
      <c r="N14" s="188">
        <v>4500000</v>
      </c>
      <c r="O14" s="144">
        <f>SUM(I14:N14)</f>
        <v>35751000</v>
      </c>
      <c r="P14" s="145">
        <v>965952</v>
      </c>
      <c r="Q14" s="146">
        <v>312920</v>
      </c>
      <c r="R14" s="146">
        <v>1230000</v>
      </c>
      <c r="S14" s="146">
        <v>0</v>
      </c>
      <c r="T14" s="139">
        <f t="shared" si="0"/>
        <v>2460000</v>
      </c>
      <c r="U14" s="146">
        <v>0</v>
      </c>
      <c r="V14" s="146">
        <v>1206499</v>
      </c>
      <c r="W14" s="146">
        <f t="shared" si="1"/>
        <v>1300600</v>
      </c>
      <c r="X14" s="146">
        <f t="shared" si="2"/>
        <v>7163051</v>
      </c>
      <c r="Y14" s="234">
        <f>O14-(P14+R14+S14+T14+U14+V14+W14)</f>
        <v>28587949</v>
      </c>
      <c r="AA14" s="10">
        <f t="shared" si="3"/>
        <v>28587949</v>
      </c>
    </row>
    <row r="15" spans="1:27" ht="18.75" customHeight="1" x14ac:dyDescent="0.2">
      <c r="B15" s="65">
        <v>6</v>
      </c>
      <c r="C15" s="140" t="s">
        <v>75</v>
      </c>
      <c r="D15" s="140" t="s">
        <v>89</v>
      </c>
      <c r="E15" s="191">
        <v>8</v>
      </c>
      <c r="F15" s="141" t="s">
        <v>77</v>
      </c>
      <c r="G15" s="74" t="s">
        <v>1</v>
      </c>
      <c r="H15" s="223">
        <v>1.1805555555555555E-2</v>
      </c>
      <c r="I15" s="142">
        <v>6604000</v>
      </c>
      <c r="J15" s="143">
        <v>4114000</v>
      </c>
      <c r="K15" s="143">
        <f>12300000</f>
        <v>12300000</v>
      </c>
      <c r="L15" s="188">
        <v>600000</v>
      </c>
      <c r="M15" s="188">
        <v>4000000</v>
      </c>
      <c r="N15" s="188">
        <v>4500000</v>
      </c>
      <c r="O15" s="144">
        <f t="shared" si="4"/>
        <v>32118000</v>
      </c>
      <c r="P15" s="145">
        <v>844994</v>
      </c>
      <c r="Q15" s="146">
        <v>255080</v>
      </c>
      <c r="R15" s="146">
        <v>0</v>
      </c>
      <c r="S15" s="146">
        <v>0</v>
      </c>
      <c r="T15" s="139">
        <f t="shared" si="0"/>
        <v>2460000</v>
      </c>
      <c r="U15" s="146">
        <v>0</v>
      </c>
      <c r="V15" s="146">
        <v>0</v>
      </c>
      <c r="W15" s="146">
        <f t="shared" si="1"/>
        <v>1275700</v>
      </c>
      <c r="X15" s="146">
        <f t="shared" si="2"/>
        <v>4580694</v>
      </c>
      <c r="Y15" s="234">
        <f t="shared" si="5"/>
        <v>27537306</v>
      </c>
      <c r="AA15" s="10">
        <f t="shared" si="3"/>
        <v>27537306</v>
      </c>
    </row>
    <row r="16" spans="1:27" ht="19.5" customHeight="1" x14ac:dyDescent="0.2">
      <c r="B16" s="74">
        <v>7</v>
      </c>
      <c r="C16" s="149" t="s">
        <v>53</v>
      </c>
      <c r="D16" s="140" t="s">
        <v>54</v>
      </c>
      <c r="E16" s="191">
        <v>8</v>
      </c>
      <c r="F16" s="150" t="s">
        <v>57</v>
      </c>
      <c r="G16" s="151" t="s">
        <v>15</v>
      </c>
      <c r="H16" s="225">
        <v>4.8611111111111112E-3</v>
      </c>
      <c r="I16" s="152">
        <f>'[1]THR PEG PELINDO'!$F$13</f>
        <v>6604000</v>
      </c>
      <c r="J16" s="153">
        <f>'[1]THR PEG PELINDO'!$G$13</f>
        <v>4114000</v>
      </c>
      <c r="K16" s="153">
        <f>7800000</f>
        <v>7800000</v>
      </c>
      <c r="L16" s="189">
        <v>350000</v>
      </c>
      <c r="M16" s="189">
        <v>2800000</v>
      </c>
      <c r="N16" s="189">
        <v>2000000</v>
      </c>
      <c r="O16" s="154">
        <f>SUM(I16:N16)</f>
        <v>23668000</v>
      </c>
      <c r="P16" s="194">
        <v>846968</v>
      </c>
      <c r="Q16" s="155">
        <v>264160</v>
      </c>
      <c r="R16" s="155">
        <v>0</v>
      </c>
      <c r="S16" s="155">
        <v>0</v>
      </c>
      <c r="T16" s="139">
        <f t="shared" si="0"/>
        <v>1560000</v>
      </c>
      <c r="U16" s="155">
        <v>0</v>
      </c>
      <c r="V16" s="155">
        <v>0</v>
      </c>
      <c r="W16" s="146">
        <f t="shared" si="1"/>
        <v>853200</v>
      </c>
      <c r="X16" s="146">
        <f t="shared" si="2"/>
        <v>3260168</v>
      </c>
      <c r="Y16" s="234">
        <f t="shared" si="5"/>
        <v>20407832</v>
      </c>
      <c r="AA16" s="10">
        <f t="shared" si="3"/>
        <v>20407832</v>
      </c>
    </row>
    <row r="17" spans="2:27" ht="18.75" customHeight="1" x14ac:dyDescent="0.2">
      <c r="B17" s="65">
        <v>8</v>
      </c>
      <c r="C17" s="140" t="s">
        <v>61</v>
      </c>
      <c r="D17" s="140" t="s">
        <v>85</v>
      </c>
      <c r="E17" s="191">
        <v>9</v>
      </c>
      <c r="F17" s="148" t="s">
        <v>62</v>
      </c>
      <c r="G17" s="74" t="s">
        <v>27</v>
      </c>
      <c r="H17" s="227">
        <v>1.3194444444444444E-2</v>
      </c>
      <c r="I17" s="142">
        <v>5867000</v>
      </c>
      <c r="J17" s="143">
        <f>'[1]THR PEG PELINDO'!$G$14</f>
        <v>3919000</v>
      </c>
      <c r="K17" s="143">
        <f>7800000</f>
        <v>7800000</v>
      </c>
      <c r="L17" s="188">
        <v>350000</v>
      </c>
      <c r="M17" s="188">
        <v>2800000</v>
      </c>
      <c r="N17" s="188">
        <v>2000000</v>
      </c>
      <c r="O17" s="144">
        <f t="shared" si="4"/>
        <v>22736000</v>
      </c>
      <c r="P17" s="145">
        <v>791488</v>
      </c>
      <c r="Q17" s="146">
        <v>224360</v>
      </c>
      <c r="R17" s="146">
        <v>0</v>
      </c>
      <c r="S17" s="146">
        <v>0</v>
      </c>
      <c r="T17" s="139">
        <f t="shared" si="0"/>
        <v>1560000</v>
      </c>
      <c r="U17" s="146">
        <v>0</v>
      </c>
      <c r="V17" s="146">
        <v>0</v>
      </c>
      <c r="W17" s="146">
        <f t="shared" si="1"/>
        <v>843450</v>
      </c>
      <c r="X17" s="146">
        <f t="shared" si="2"/>
        <v>3194938</v>
      </c>
      <c r="Y17" s="234">
        <f t="shared" si="5"/>
        <v>19541062</v>
      </c>
      <c r="AA17" s="10">
        <f t="shared" si="3"/>
        <v>19541062</v>
      </c>
    </row>
    <row r="18" spans="2:27" ht="18.75" customHeight="1" x14ac:dyDescent="0.2">
      <c r="B18" s="74">
        <v>9</v>
      </c>
      <c r="C18" s="149" t="s">
        <v>99</v>
      </c>
      <c r="D18" s="140" t="s">
        <v>100</v>
      </c>
      <c r="E18" s="191">
        <v>9</v>
      </c>
      <c r="F18" s="150" t="s">
        <v>102</v>
      </c>
      <c r="G18" s="151" t="s">
        <v>19</v>
      </c>
      <c r="H18" s="226">
        <v>6.2499999999999995E-3</v>
      </c>
      <c r="I18" s="152">
        <f>I17</f>
        <v>5867000</v>
      </c>
      <c r="J18" s="153">
        <f>J17</f>
        <v>3919000</v>
      </c>
      <c r="K18" s="153">
        <f>7800000</f>
        <v>7800000</v>
      </c>
      <c r="L18" s="189">
        <v>350000</v>
      </c>
      <c r="M18" s="189">
        <v>2800000</v>
      </c>
      <c r="N18" s="189">
        <v>2000000</v>
      </c>
      <c r="O18" s="154">
        <f>SUM(I18:N18)</f>
        <v>22736000</v>
      </c>
      <c r="P18" s="194">
        <v>614546</v>
      </c>
      <c r="Q18" s="155">
        <v>216000</v>
      </c>
      <c r="R18" s="155">
        <v>0</v>
      </c>
      <c r="S18" s="155">
        <v>0</v>
      </c>
      <c r="T18" s="139">
        <f t="shared" si="0"/>
        <v>1560000</v>
      </c>
      <c r="U18" s="155">
        <v>0</v>
      </c>
      <c r="V18" s="155">
        <v>0</v>
      </c>
      <c r="W18" s="146">
        <f t="shared" si="1"/>
        <v>843450</v>
      </c>
      <c r="X18" s="146">
        <f t="shared" si="2"/>
        <v>3017996</v>
      </c>
      <c r="Y18" s="234">
        <f t="shared" si="5"/>
        <v>19718004</v>
      </c>
      <c r="AA18" s="10">
        <f t="shared" si="3"/>
        <v>19718004</v>
      </c>
    </row>
    <row r="19" spans="2:27" ht="18.75" customHeight="1" x14ac:dyDescent="0.2">
      <c r="B19" s="65">
        <v>10</v>
      </c>
      <c r="C19" s="149" t="s">
        <v>137</v>
      </c>
      <c r="D19" s="140" t="s">
        <v>103</v>
      </c>
      <c r="E19" s="191">
        <v>8</v>
      </c>
      <c r="F19" s="150" t="s">
        <v>101</v>
      </c>
      <c r="G19" s="151" t="s">
        <v>18</v>
      </c>
      <c r="H19" s="225">
        <v>1.1111111111111112E-2</v>
      </c>
      <c r="I19" s="152">
        <f>I16</f>
        <v>6604000</v>
      </c>
      <c r="J19" s="153">
        <f>J16</f>
        <v>4114000</v>
      </c>
      <c r="K19" s="153">
        <v>7800000</v>
      </c>
      <c r="L19" s="189">
        <v>350000</v>
      </c>
      <c r="M19" s="189">
        <v>2800000</v>
      </c>
      <c r="N19" s="189">
        <v>2000000</v>
      </c>
      <c r="O19" s="154">
        <f>SUM(I19:N19)</f>
        <v>23668000</v>
      </c>
      <c r="P19" s="194">
        <v>913888</v>
      </c>
      <c r="Q19" s="155">
        <v>208320</v>
      </c>
      <c r="R19" s="155">
        <v>0</v>
      </c>
      <c r="S19" s="155">
        <v>0</v>
      </c>
      <c r="T19" s="139">
        <f t="shared" si="0"/>
        <v>1560000</v>
      </c>
      <c r="U19" s="155">
        <v>0</v>
      </c>
      <c r="V19" s="212">
        <v>0</v>
      </c>
      <c r="W19" s="146">
        <f t="shared" si="1"/>
        <v>853200</v>
      </c>
      <c r="X19" s="146">
        <f t="shared" si="2"/>
        <v>3327088</v>
      </c>
      <c r="Y19" s="234">
        <f t="shared" si="5"/>
        <v>20340912</v>
      </c>
      <c r="AA19" s="10">
        <f t="shared" si="3"/>
        <v>20340912</v>
      </c>
    </row>
    <row r="20" spans="2:27" ht="18.75" customHeight="1" x14ac:dyDescent="0.2">
      <c r="B20" s="74">
        <v>11</v>
      </c>
      <c r="C20" s="149" t="s">
        <v>93</v>
      </c>
      <c r="D20" s="140" t="s">
        <v>120</v>
      </c>
      <c r="E20" s="191">
        <v>11</v>
      </c>
      <c r="F20" s="150" t="s">
        <v>94</v>
      </c>
      <c r="G20" s="151" t="s">
        <v>18</v>
      </c>
      <c r="H20" s="229">
        <v>2.013888888888889E-2</v>
      </c>
      <c r="I20" s="152">
        <v>4378000</v>
      </c>
      <c r="J20" s="153">
        <v>3435000</v>
      </c>
      <c r="K20" s="153">
        <f>7800000</f>
        <v>7800000</v>
      </c>
      <c r="L20" s="189">
        <v>350000</v>
      </c>
      <c r="M20" s="189">
        <v>2800000</v>
      </c>
      <c r="N20" s="189">
        <v>2000000</v>
      </c>
      <c r="O20" s="154">
        <f t="shared" si="4"/>
        <v>20763000</v>
      </c>
      <c r="P20" s="194">
        <v>601037</v>
      </c>
      <c r="Q20" s="155">
        <v>171480</v>
      </c>
      <c r="R20" s="155">
        <v>0</v>
      </c>
      <c r="S20" s="155">
        <v>0</v>
      </c>
      <c r="T20" s="139">
        <f t="shared" si="0"/>
        <v>1560000</v>
      </c>
      <c r="U20" s="198">
        <v>0</v>
      </c>
      <c r="V20" s="214">
        <v>0</v>
      </c>
      <c r="W20" s="146">
        <f t="shared" si="1"/>
        <v>819250</v>
      </c>
      <c r="X20" s="146">
        <f t="shared" si="2"/>
        <v>2980287</v>
      </c>
      <c r="Y20" s="234">
        <f t="shared" si="5"/>
        <v>17782713</v>
      </c>
      <c r="AA20" s="10">
        <f t="shared" si="3"/>
        <v>17782713</v>
      </c>
    </row>
    <row r="21" spans="2:27" ht="18.75" hidden="1" customHeight="1" x14ac:dyDescent="0.2">
      <c r="B21" s="74">
        <v>11</v>
      </c>
      <c r="C21" s="140" t="s">
        <v>63</v>
      </c>
      <c r="D21" s="140" t="s">
        <v>64</v>
      </c>
      <c r="E21" s="191">
        <v>11</v>
      </c>
      <c r="F21" s="147" t="s">
        <v>65</v>
      </c>
      <c r="G21" s="74" t="s">
        <v>19</v>
      </c>
      <c r="H21" s="228"/>
      <c r="I21" s="191" t="s">
        <v>48</v>
      </c>
      <c r="J21" s="200">
        <v>0</v>
      </c>
      <c r="K21" s="143">
        <v>6000000</v>
      </c>
      <c r="L21" s="188">
        <v>0</v>
      </c>
      <c r="M21" s="188">
        <v>0</v>
      </c>
      <c r="N21" s="188">
        <v>0</v>
      </c>
      <c r="O21" s="144">
        <f t="shared" ref="O21:O23" si="6">SUM(I21:K21)</f>
        <v>6000000</v>
      </c>
      <c r="P21" s="145">
        <f>'[2]TMT MEI 20'!$AE$31+'[2]TMT MEI 20'!$AE$32</f>
        <v>549565</v>
      </c>
      <c r="Q21" s="146">
        <v>175120</v>
      </c>
      <c r="R21" s="146">
        <v>0</v>
      </c>
      <c r="S21" s="146">
        <v>0</v>
      </c>
      <c r="T21" s="146">
        <f t="shared" ref="T21" si="7">20%*K21</f>
        <v>1200000</v>
      </c>
      <c r="U21" s="146">
        <v>0</v>
      </c>
      <c r="V21" s="213">
        <v>0</v>
      </c>
      <c r="W21" s="146">
        <f t="shared" si="1"/>
        <v>300000</v>
      </c>
      <c r="X21" s="146"/>
      <c r="Y21" s="234">
        <f t="shared" si="5"/>
        <v>3950435</v>
      </c>
      <c r="AA21" s="10">
        <f>J24+K24+L24+M24+N24+33269000+8076000</f>
        <v>299770000</v>
      </c>
    </row>
    <row r="22" spans="2:27" ht="18.75" customHeight="1" x14ac:dyDescent="0.2">
      <c r="B22" s="65">
        <v>12</v>
      </c>
      <c r="C22" s="149" t="s">
        <v>66</v>
      </c>
      <c r="D22" s="140" t="s">
        <v>33</v>
      </c>
      <c r="E22" s="191">
        <v>11</v>
      </c>
      <c r="F22" s="150" t="s">
        <v>67</v>
      </c>
      <c r="G22" s="151" t="s">
        <v>18</v>
      </c>
      <c r="H22" s="209">
        <v>2.7777777777777779E-3</v>
      </c>
      <c r="I22" s="142">
        <f>'[1]THR PEG PELINDO'!$F$19</f>
        <v>4378000</v>
      </c>
      <c r="J22" s="143">
        <v>3435000</v>
      </c>
      <c r="K22" s="143">
        <v>6000000</v>
      </c>
      <c r="L22" s="188">
        <v>0</v>
      </c>
      <c r="M22" s="188">
        <v>0</v>
      </c>
      <c r="N22" s="188">
        <v>0</v>
      </c>
      <c r="O22" s="154">
        <f t="shared" si="6"/>
        <v>13813000</v>
      </c>
      <c r="P22" s="194">
        <v>624566</v>
      </c>
      <c r="Q22" s="155">
        <v>175120</v>
      </c>
      <c r="R22" s="155">
        <v>0</v>
      </c>
      <c r="S22" s="155">
        <v>0</v>
      </c>
      <c r="T22" s="139">
        <f>20%*K22</f>
        <v>1200000</v>
      </c>
      <c r="U22" s="155">
        <v>0</v>
      </c>
      <c r="V22" s="155">
        <v>0</v>
      </c>
      <c r="W22" s="146">
        <f t="shared" si="1"/>
        <v>471750</v>
      </c>
      <c r="X22" s="146">
        <f>P22+R22+S22+T22+U22+V22+W22</f>
        <v>2296316</v>
      </c>
      <c r="Y22" s="234">
        <f t="shared" si="5"/>
        <v>11516684</v>
      </c>
      <c r="AA22" s="10">
        <f>O22-X22</f>
        <v>11516684</v>
      </c>
    </row>
    <row r="23" spans="2:27" ht="18.75" customHeight="1" x14ac:dyDescent="0.2">
      <c r="B23" s="96">
        <v>13</v>
      </c>
      <c r="C23" s="156" t="s">
        <v>55</v>
      </c>
      <c r="D23" s="157" t="s">
        <v>33</v>
      </c>
      <c r="E23" s="192">
        <v>11</v>
      </c>
      <c r="F23" s="158" t="s">
        <v>56</v>
      </c>
      <c r="G23" s="159" t="s">
        <v>1</v>
      </c>
      <c r="H23" s="210">
        <v>0</v>
      </c>
      <c r="I23" s="160">
        <f>I22</f>
        <v>4378000</v>
      </c>
      <c r="J23" s="161">
        <v>3435000</v>
      </c>
      <c r="K23" s="161">
        <v>6000000</v>
      </c>
      <c r="L23" s="190">
        <v>0</v>
      </c>
      <c r="M23" s="190">
        <v>0</v>
      </c>
      <c r="N23" s="190">
        <v>0</v>
      </c>
      <c r="O23" s="162">
        <f t="shared" si="6"/>
        <v>13813000</v>
      </c>
      <c r="P23" s="195">
        <v>624566</v>
      </c>
      <c r="Q23" s="163">
        <v>175120</v>
      </c>
      <c r="R23" s="163">
        <v>0</v>
      </c>
      <c r="S23" s="163">
        <v>0</v>
      </c>
      <c r="T23" s="139">
        <f>20%*K23</f>
        <v>1200000</v>
      </c>
      <c r="U23" s="163">
        <v>0</v>
      </c>
      <c r="V23" s="163">
        <v>0</v>
      </c>
      <c r="W23" s="193">
        <f t="shared" si="1"/>
        <v>471750</v>
      </c>
      <c r="X23" s="193">
        <f>P23+R23+S23+T23+U23+V23+W23</f>
        <v>2296316</v>
      </c>
      <c r="Y23" s="234">
        <f t="shared" si="5"/>
        <v>11516684</v>
      </c>
      <c r="AA23" s="10">
        <f>O23-X23</f>
        <v>11516684</v>
      </c>
    </row>
    <row r="24" spans="2:27" ht="15" x14ac:dyDescent="0.25">
      <c r="B24" s="24"/>
      <c r="C24" s="24"/>
      <c r="D24" s="24"/>
      <c r="E24" s="24"/>
      <c r="F24" s="23"/>
      <c r="G24" s="11"/>
      <c r="H24" s="11"/>
      <c r="I24" s="252">
        <f>SUM(I10:I23)</f>
        <v>91839000</v>
      </c>
      <c r="J24" s="252">
        <f>SUM(J10:J23)</f>
        <v>53275000</v>
      </c>
      <c r="K24" s="252">
        <f>K10+K11+K12+K13+K14+K15+K16+K17+K18+K19+K20+K22+K23</f>
        <v>124800000</v>
      </c>
      <c r="L24" s="258">
        <f>SUM(L10:L23)</f>
        <v>5350000</v>
      </c>
      <c r="M24" s="258">
        <f>SUM(M10:M23)</f>
        <v>38000000</v>
      </c>
      <c r="N24" s="258">
        <f>SUM(N9:N23)</f>
        <v>37000000</v>
      </c>
      <c r="O24" s="266">
        <f>O10+O11+O12+O13+O14+O15+O16+O17+O18+O19+O20+O22+O23</f>
        <v>350264000</v>
      </c>
      <c r="P24" s="268">
        <f>P10+P11+P12+P13+P14+P15+P16+P17+P18+P19+P20+P22+P23</f>
        <v>10692090</v>
      </c>
      <c r="Q24" s="270">
        <f>SUM(Q9:Q23)</f>
        <v>3232074</v>
      </c>
      <c r="R24" s="248">
        <f>R10+R11+R12+R13+R14+R15+R16+R17+R18+R19+R20+R22+R23</f>
        <v>1230000</v>
      </c>
      <c r="S24" s="248">
        <f>S10+S11+S12+S13+S14+S15+S16+S17+S18+S19+S20+S22+S23</f>
        <v>0</v>
      </c>
      <c r="T24" s="248">
        <f>T10+T11+T12+T13+T14+T15+T17+T16+T18+T19+T20+T22+T23</f>
        <v>24960000</v>
      </c>
      <c r="U24" s="248">
        <f>U10+U11+U12+U13+U14+U15+U16+U17+U18+U19+U20+U22+U23</f>
        <v>0</v>
      </c>
      <c r="V24" s="248">
        <f>V10+V11+V12+V13+V14+V15+V16+V17+V18+V19+V20+V22+V23</f>
        <v>1206499</v>
      </c>
      <c r="W24" s="272">
        <f>W10+W11+W12+W13+W14+W15+W16+W17+W18+W19+W20+W22+W23</f>
        <v>12921250</v>
      </c>
      <c r="X24" s="250">
        <f>X10+X11+X12+X13+X14+X15+X16+X17+X18+X19+X20+X22+X23</f>
        <v>51009839</v>
      </c>
      <c r="Y24" s="264">
        <f>Y10+Y11+Y12+Y13+Y14+Y15+Y16+Y17+Y18+Y19+Y20+Y22+Y23</f>
        <v>299254161</v>
      </c>
      <c r="AA24" s="10"/>
    </row>
    <row r="25" spans="2:27" ht="15.75" thickBot="1" x14ac:dyDescent="0.3">
      <c r="B25" s="25"/>
      <c r="C25" s="25"/>
      <c r="D25" s="25"/>
      <c r="E25" s="25"/>
      <c r="F25" s="26"/>
      <c r="G25" s="27"/>
      <c r="H25" s="27"/>
      <c r="I25" s="253"/>
      <c r="J25" s="253"/>
      <c r="K25" s="253"/>
      <c r="L25" s="259"/>
      <c r="M25" s="259"/>
      <c r="N25" s="259"/>
      <c r="O25" s="267"/>
      <c r="P25" s="269"/>
      <c r="Q25" s="271"/>
      <c r="R25" s="249"/>
      <c r="S25" s="249"/>
      <c r="T25" s="249"/>
      <c r="U25" s="249"/>
      <c r="V25" s="249"/>
      <c r="W25" s="271"/>
      <c r="X25" s="251"/>
      <c r="Y25" s="265"/>
      <c r="AA25" s="42">
        <f>P24+R24+S24+T24+U24+V24+W24</f>
        <v>51009839</v>
      </c>
    </row>
    <row r="26" spans="2:27" ht="13.5" thickTop="1" x14ac:dyDescent="0.2">
      <c r="AA26" s="10">
        <f>O24-AA25</f>
        <v>299254161</v>
      </c>
    </row>
    <row r="27" spans="2:27" x14ac:dyDescent="0.2">
      <c r="B27" s="17"/>
      <c r="C27" s="13"/>
      <c r="D27" s="13"/>
      <c r="E27" s="13"/>
      <c r="F27" s="13"/>
      <c r="G27" s="13"/>
      <c r="H27" s="13"/>
      <c r="I27" s="15"/>
      <c r="J27" s="15"/>
      <c r="K27" s="10"/>
      <c r="L27" s="10"/>
      <c r="M27" s="10"/>
      <c r="N27" s="10"/>
      <c r="O27" s="10"/>
    </row>
    <row r="28" spans="2:27" x14ac:dyDescent="0.2">
      <c r="B28" s="14"/>
      <c r="C28" s="13"/>
      <c r="D28" s="13"/>
      <c r="E28" s="13"/>
      <c r="F28" s="13"/>
      <c r="G28" s="13"/>
      <c r="H28" s="13"/>
      <c r="I28" s="13"/>
      <c r="J28" s="15"/>
      <c r="Q28" s="13"/>
      <c r="R28" s="13"/>
      <c r="S28" s="13"/>
      <c r="T28" s="13"/>
      <c r="U28" s="13"/>
      <c r="V28" s="243" t="s">
        <v>157</v>
      </c>
      <c r="W28" s="243"/>
      <c r="X28" s="243"/>
      <c r="Y28" s="243"/>
      <c r="Z28" s="243"/>
      <c r="AA28" s="10">
        <f>AA10+AA11+AA12+AA13+AA14+AA15+AA16+AA17+AA18+AA19+AA20+AA22+AA23</f>
        <v>299254161</v>
      </c>
    </row>
    <row r="29" spans="2:27" x14ac:dyDescent="0.2">
      <c r="B29" s="13"/>
      <c r="C29" s="13"/>
      <c r="D29" s="13"/>
      <c r="E29" s="13"/>
      <c r="F29" s="13"/>
      <c r="G29" s="13"/>
      <c r="H29" s="13"/>
      <c r="I29" s="13"/>
      <c r="J29" s="13"/>
      <c r="Q29" s="201"/>
      <c r="R29" s="201"/>
      <c r="S29" s="201"/>
      <c r="T29" s="201"/>
      <c r="U29" s="201"/>
      <c r="V29" s="243" t="s">
        <v>20</v>
      </c>
      <c r="W29" s="243"/>
      <c r="X29" s="243"/>
      <c r="Y29" s="243"/>
      <c r="Z29" s="243"/>
    </row>
    <row r="30" spans="2:27" x14ac:dyDescent="0.2">
      <c r="B30" s="13"/>
      <c r="C30" s="13"/>
      <c r="D30" s="13"/>
      <c r="E30" s="13"/>
      <c r="F30" s="13"/>
      <c r="G30" s="13"/>
      <c r="H30" s="13"/>
      <c r="I30" s="13"/>
      <c r="J30" s="15"/>
      <c r="Q30" s="201"/>
      <c r="R30" s="201"/>
      <c r="S30" s="201"/>
      <c r="T30" s="201"/>
      <c r="U30" s="201"/>
      <c r="V30" s="70"/>
      <c r="W30" s="70"/>
      <c r="X30" s="70"/>
      <c r="Y30" s="70"/>
      <c r="Z30" s="70"/>
    </row>
    <row r="31" spans="2:27" x14ac:dyDescent="0.2">
      <c r="B31" s="13"/>
      <c r="C31" s="13"/>
      <c r="D31" s="13"/>
      <c r="E31" s="13"/>
      <c r="F31" s="13"/>
      <c r="G31" s="13"/>
      <c r="H31" s="13"/>
      <c r="I31" s="13"/>
      <c r="J31" s="15"/>
      <c r="Q31" s="201"/>
      <c r="R31" s="201"/>
      <c r="S31" s="201"/>
      <c r="T31" s="201"/>
      <c r="U31" s="201"/>
      <c r="V31" s="70"/>
      <c r="W31" s="70"/>
      <c r="X31" s="70"/>
      <c r="Y31" s="70"/>
      <c r="Z31" s="70"/>
    </row>
    <row r="32" spans="2:27" x14ac:dyDescent="0.2">
      <c r="B32" s="13"/>
      <c r="C32" s="13"/>
      <c r="D32" s="38"/>
      <c r="E32" s="13"/>
      <c r="F32" s="13"/>
      <c r="G32" s="13"/>
      <c r="H32" s="13"/>
      <c r="I32" s="13"/>
      <c r="J32" s="15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2:26" x14ac:dyDescent="0.2">
      <c r="B33" s="13"/>
      <c r="C33" s="13"/>
      <c r="D33" s="13"/>
      <c r="E33" s="13"/>
      <c r="F33" s="13"/>
      <c r="G33" s="13"/>
      <c r="H33" s="13"/>
      <c r="I33" s="13"/>
      <c r="J33" s="13"/>
      <c r="Q33" s="70"/>
      <c r="R33" s="70"/>
      <c r="S33" s="70"/>
      <c r="T33" s="70"/>
      <c r="U33" s="70"/>
      <c r="V33" s="244" t="s">
        <v>132</v>
      </c>
      <c r="W33" s="244"/>
      <c r="X33" s="244"/>
      <c r="Y33" s="244"/>
      <c r="Z33" s="244"/>
    </row>
    <row r="34" spans="2:26" x14ac:dyDescent="0.2">
      <c r="B34" s="13"/>
      <c r="C34" s="13"/>
      <c r="D34" s="13"/>
      <c r="E34" s="13"/>
      <c r="F34" s="13"/>
      <c r="G34" s="13"/>
      <c r="H34" s="13"/>
      <c r="I34" s="13"/>
      <c r="J34" s="13"/>
      <c r="Q34" s="70"/>
      <c r="R34" s="70"/>
      <c r="S34" s="70"/>
      <c r="T34" s="70"/>
      <c r="U34" s="70"/>
      <c r="V34" s="70"/>
      <c r="W34" s="70"/>
      <c r="X34" s="70"/>
      <c r="Y34" s="70"/>
    </row>
    <row r="35" spans="2:26" x14ac:dyDescent="0.2">
      <c r="B35" s="13"/>
      <c r="C35" s="13"/>
      <c r="D35" s="13"/>
      <c r="E35" s="13"/>
      <c r="F35" s="13"/>
      <c r="G35" s="13"/>
      <c r="H35" s="13"/>
      <c r="I35" s="15"/>
      <c r="J35" s="13"/>
      <c r="Q35" s="70"/>
      <c r="R35" s="70"/>
      <c r="S35" s="70"/>
      <c r="T35" s="70"/>
      <c r="U35" s="70"/>
      <c r="V35" s="243"/>
      <c r="W35" s="243"/>
      <c r="X35" s="243"/>
      <c r="Y35" s="243"/>
    </row>
    <row r="36" spans="2:26" x14ac:dyDescent="0.2">
      <c r="Q36" s="202"/>
      <c r="R36" s="202"/>
      <c r="S36" s="202"/>
      <c r="T36" s="202"/>
      <c r="U36" s="202" t="s">
        <v>25</v>
      </c>
      <c r="V36" s="202"/>
      <c r="W36" s="202"/>
      <c r="X36" s="202"/>
      <c r="Y36" s="202"/>
    </row>
    <row r="37" spans="2:26" x14ac:dyDescent="0.2">
      <c r="B37" s="14"/>
      <c r="C37" s="13"/>
      <c r="D37" s="13"/>
      <c r="E37" s="13"/>
      <c r="F37" s="13"/>
      <c r="G37" s="13"/>
      <c r="H37" s="13"/>
      <c r="I37" s="13"/>
      <c r="J37" s="13"/>
    </row>
    <row r="38" spans="2:26" x14ac:dyDescent="0.2">
      <c r="B38" s="14"/>
      <c r="C38" s="13"/>
      <c r="D38" s="13"/>
      <c r="E38" s="13"/>
      <c r="F38" s="13"/>
      <c r="G38" s="13"/>
      <c r="H38" s="13"/>
      <c r="I38" s="13"/>
      <c r="J38" s="13"/>
    </row>
    <row r="39" spans="2:26" x14ac:dyDescent="0.2">
      <c r="B39" s="14"/>
      <c r="C39" s="13"/>
      <c r="D39" s="113"/>
      <c r="E39" s="13"/>
      <c r="F39" s="13"/>
      <c r="G39" s="13"/>
      <c r="H39" s="13"/>
      <c r="I39" s="13"/>
      <c r="J39" s="13"/>
    </row>
    <row r="40" spans="2:26" x14ac:dyDescent="0.2">
      <c r="B40" s="14"/>
      <c r="C40" s="13"/>
      <c r="D40" s="13"/>
      <c r="E40" s="13"/>
      <c r="F40" s="13"/>
      <c r="G40" s="13"/>
      <c r="H40" s="13"/>
      <c r="I40" s="13"/>
      <c r="J40" s="13"/>
    </row>
    <row r="41" spans="2:26" x14ac:dyDescent="0.2">
      <c r="B41" s="14"/>
      <c r="C41" s="13"/>
      <c r="D41" s="13"/>
      <c r="E41" s="13"/>
      <c r="F41" s="13"/>
      <c r="G41" s="13"/>
      <c r="H41" s="13"/>
      <c r="I41" s="13"/>
      <c r="J41" s="13"/>
    </row>
    <row r="42" spans="2:26" x14ac:dyDescent="0.2">
      <c r="B42" s="14"/>
      <c r="C42" s="13"/>
      <c r="D42" s="13"/>
      <c r="E42" s="13"/>
      <c r="F42" s="13"/>
      <c r="G42" s="13"/>
      <c r="H42" s="13"/>
      <c r="I42" s="13"/>
      <c r="J42" s="13"/>
    </row>
    <row r="43" spans="2:26" x14ac:dyDescent="0.2">
      <c r="B43" s="13"/>
      <c r="C43" s="13"/>
      <c r="D43" s="13"/>
      <c r="E43" s="13"/>
      <c r="F43" s="13"/>
      <c r="G43" s="13"/>
      <c r="H43" s="13"/>
      <c r="I43" s="13"/>
      <c r="J43" s="13"/>
    </row>
    <row r="44" spans="2:26" x14ac:dyDescent="0.2">
      <c r="B44" s="13"/>
      <c r="C44" s="13"/>
      <c r="D44" s="13"/>
      <c r="E44" s="13"/>
      <c r="F44" s="13"/>
      <c r="G44" s="13"/>
      <c r="H44" s="13"/>
      <c r="I44" s="13"/>
      <c r="J44" s="13"/>
    </row>
    <row r="45" spans="2:26" x14ac:dyDescent="0.2">
      <c r="B45" s="13"/>
      <c r="C45" s="13"/>
      <c r="D45" s="13"/>
      <c r="E45" s="13"/>
      <c r="F45" s="13"/>
      <c r="G45" s="13"/>
      <c r="H45" s="13"/>
      <c r="I45" s="13"/>
      <c r="J45" s="13"/>
    </row>
    <row r="58" spans="5:9" x14ac:dyDescent="0.2">
      <c r="E58" t="s">
        <v>112</v>
      </c>
      <c r="F58" s="10">
        <f>91839000+36630000</f>
        <v>128469000</v>
      </c>
    </row>
    <row r="59" spans="5:9" x14ac:dyDescent="0.2">
      <c r="E59" t="s">
        <v>113</v>
      </c>
      <c r="F59" s="10">
        <f>J24+K24+L24+M24+N24+35058000</f>
        <v>293483000</v>
      </c>
      <c r="H59" s="107"/>
      <c r="I59" s="10"/>
    </row>
    <row r="61" spans="5:9" x14ac:dyDescent="0.2">
      <c r="E61" s="10"/>
    </row>
  </sheetData>
  <mergeCells count="44">
    <mergeCell ref="A3:Y3"/>
    <mergeCell ref="A4:Y4"/>
    <mergeCell ref="Y6:Y7"/>
    <mergeCell ref="Y24:Y25"/>
    <mergeCell ref="O24:O25"/>
    <mergeCell ref="P24:P25"/>
    <mergeCell ref="Q24:Q25"/>
    <mergeCell ref="W24:W25"/>
    <mergeCell ref="B6:B7"/>
    <mergeCell ref="C6:C7"/>
    <mergeCell ref="D6:D7"/>
    <mergeCell ref="E6:E7"/>
    <mergeCell ref="F6:F7"/>
    <mergeCell ref="G6:G7"/>
    <mergeCell ref="N6:N7"/>
    <mergeCell ref="I24:I25"/>
    <mergeCell ref="V35:Y35"/>
    <mergeCell ref="J24:J25"/>
    <mergeCell ref="K24:K25"/>
    <mergeCell ref="O6:O7"/>
    <mergeCell ref="P6:P7"/>
    <mergeCell ref="J6:J7"/>
    <mergeCell ref="K6:K7"/>
    <mergeCell ref="N24:N25"/>
    <mergeCell ref="M6:M7"/>
    <mergeCell ref="L6:L7"/>
    <mergeCell ref="L24:L25"/>
    <mergeCell ref="M24:M25"/>
    <mergeCell ref="X6:X7"/>
    <mergeCell ref="R24:R25"/>
    <mergeCell ref="S24:S25"/>
    <mergeCell ref="U24:U25"/>
    <mergeCell ref="H6:H7"/>
    <mergeCell ref="V28:Z28"/>
    <mergeCell ref="V29:Z29"/>
    <mergeCell ref="V33:Z33"/>
    <mergeCell ref="W6:W7"/>
    <mergeCell ref="Q6:Q7"/>
    <mergeCell ref="V6:V7"/>
    <mergeCell ref="R6:U6"/>
    <mergeCell ref="T24:T25"/>
    <mergeCell ref="I6:I7"/>
    <mergeCell ref="V24:V25"/>
    <mergeCell ref="X24:X25"/>
  </mergeCells>
  <printOptions horizontalCentered="1"/>
  <pageMargins left="0.1" right="0.1" top="0" bottom="0.74803040244969399" header="0.31496062992126" footer="0.31496062992126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1:AC32"/>
  <sheetViews>
    <sheetView zoomScale="90" zoomScaleNormal="90" workbookViewId="0">
      <selection activeCell="I5" sqref="I5:K6"/>
    </sheetView>
  </sheetViews>
  <sheetFormatPr defaultRowHeight="12.75" x14ac:dyDescent="0.2"/>
  <cols>
    <col min="1" max="1" width="2.28515625" customWidth="1"/>
    <col min="2" max="2" width="3.85546875" customWidth="1"/>
    <col min="3" max="3" width="29.140625" customWidth="1"/>
    <col min="4" max="4" width="28" customWidth="1"/>
    <col min="5" max="5" width="12.85546875" customWidth="1"/>
    <col min="6" max="6" width="16.140625" customWidth="1"/>
    <col min="7" max="7" width="22.5703125" customWidth="1"/>
    <col min="8" max="8" width="8.140625" customWidth="1"/>
    <col min="9" max="9" width="12.7109375" customWidth="1"/>
    <col min="10" max="10" width="12.85546875" customWidth="1"/>
    <col min="11" max="11" width="12.140625" customWidth="1"/>
    <col min="12" max="12" width="12.85546875" customWidth="1"/>
    <col min="13" max="13" width="12.5703125" customWidth="1"/>
    <col min="14" max="14" width="12.28515625" customWidth="1"/>
    <col min="15" max="15" width="11.42578125" hidden="1" customWidth="1"/>
    <col min="16" max="16" width="4.5703125" hidden="1" customWidth="1"/>
    <col min="17" max="17" width="14" customWidth="1"/>
    <col min="18" max="19" width="15" customWidth="1"/>
    <col min="20" max="20" width="11.7109375" customWidth="1"/>
    <col min="21" max="21" width="12.5703125" customWidth="1"/>
    <col min="22" max="23" width="11.7109375" customWidth="1"/>
    <col min="24" max="24" width="12.85546875" customWidth="1"/>
    <col min="25" max="25" width="2.7109375" customWidth="1"/>
    <col min="26" max="29" width="13.28515625" bestFit="1" customWidth="1"/>
  </cols>
  <sheetData>
    <row r="1" spans="2:29" ht="45.75" customHeight="1" x14ac:dyDescent="0.25">
      <c r="B1" s="6"/>
      <c r="C1" s="6"/>
      <c r="D1" s="6"/>
      <c r="E1" s="6"/>
      <c r="F1" s="6"/>
      <c r="G1" s="6" t="s">
        <v>25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">
      <c r="B2" s="260" t="s">
        <v>105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44"/>
    </row>
    <row r="3" spans="2:29" ht="12.75" customHeight="1" x14ac:dyDescent="0.2">
      <c r="B3" s="261" t="s">
        <v>153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46"/>
    </row>
    <row r="4" spans="2:29" ht="6" customHeight="1" x14ac:dyDescent="0.2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">
      <c r="B5" s="241" t="s">
        <v>4</v>
      </c>
      <c r="C5" s="241" t="s">
        <v>46</v>
      </c>
      <c r="D5" s="241" t="s">
        <v>9</v>
      </c>
      <c r="E5" s="241" t="s">
        <v>131</v>
      </c>
      <c r="F5" s="241" t="s">
        <v>49</v>
      </c>
      <c r="G5" s="241" t="s">
        <v>0</v>
      </c>
      <c r="H5" s="241" t="s">
        <v>2</v>
      </c>
      <c r="I5" s="301" t="s">
        <v>162</v>
      </c>
      <c r="J5" s="301" t="s">
        <v>163</v>
      </c>
      <c r="K5" s="301" t="s">
        <v>164</v>
      </c>
      <c r="L5" s="254" t="s">
        <v>47</v>
      </c>
      <c r="M5" s="277" t="s">
        <v>107</v>
      </c>
      <c r="N5" s="241" t="s">
        <v>106</v>
      </c>
      <c r="O5" s="241" t="s">
        <v>73</v>
      </c>
      <c r="P5" s="241" t="s">
        <v>37</v>
      </c>
      <c r="Q5" s="245" t="s">
        <v>114</v>
      </c>
      <c r="R5" s="246"/>
      <c r="S5" s="246"/>
      <c r="T5" s="247"/>
      <c r="U5" s="241" t="s">
        <v>115</v>
      </c>
      <c r="V5" s="241" t="s">
        <v>30</v>
      </c>
      <c r="W5" s="241" t="s">
        <v>151</v>
      </c>
      <c r="X5" s="241" t="s">
        <v>59</v>
      </c>
      <c r="Y5" s="57"/>
    </row>
    <row r="6" spans="2:29" ht="96" customHeight="1" thickBot="1" x14ac:dyDescent="0.25">
      <c r="B6" s="242"/>
      <c r="C6" s="273"/>
      <c r="D6" s="273"/>
      <c r="E6" s="242"/>
      <c r="F6" s="242"/>
      <c r="G6" s="273"/>
      <c r="H6" s="273"/>
      <c r="I6" s="303"/>
      <c r="J6" s="302"/>
      <c r="K6" s="302"/>
      <c r="L6" s="255"/>
      <c r="M6" s="278"/>
      <c r="N6" s="242"/>
      <c r="O6" s="242"/>
      <c r="P6" s="242"/>
      <c r="Q6" s="196" t="s">
        <v>121</v>
      </c>
      <c r="R6" s="196" t="s">
        <v>149</v>
      </c>
      <c r="S6" s="196" t="s">
        <v>122</v>
      </c>
      <c r="T6" s="196" t="s">
        <v>123</v>
      </c>
      <c r="U6" s="242"/>
      <c r="V6" s="242"/>
      <c r="W6" s="242"/>
      <c r="X6" s="242"/>
      <c r="Y6" s="57"/>
      <c r="Z6" t="s">
        <v>144</v>
      </c>
    </row>
    <row r="7" spans="2:29" s="12" customFormat="1" ht="9.75" customHeight="1" x14ac:dyDescent="0.2">
      <c r="B7" s="66">
        <v>1</v>
      </c>
      <c r="C7" s="66">
        <v>2</v>
      </c>
      <c r="D7" s="66">
        <v>3</v>
      </c>
      <c r="E7" s="66"/>
      <c r="F7" s="66">
        <v>5</v>
      </c>
      <c r="G7" s="67">
        <v>6</v>
      </c>
      <c r="H7" s="67">
        <v>7</v>
      </c>
      <c r="I7" s="66">
        <v>8</v>
      </c>
      <c r="J7" s="66">
        <v>9</v>
      </c>
      <c r="K7" s="66">
        <v>10</v>
      </c>
      <c r="L7" s="68" t="s">
        <v>98</v>
      </c>
      <c r="M7" s="69">
        <v>15</v>
      </c>
      <c r="N7" s="67">
        <v>16</v>
      </c>
      <c r="O7" s="67">
        <v>17</v>
      </c>
      <c r="P7" s="67">
        <v>18</v>
      </c>
      <c r="Q7" s="67">
        <v>17</v>
      </c>
      <c r="R7" s="67">
        <v>18</v>
      </c>
      <c r="S7" s="67">
        <v>19</v>
      </c>
      <c r="T7" s="67">
        <v>20</v>
      </c>
      <c r="U7" s="67">
        <v>21</v>
      </c>
      <c r="V7" s="67">
        <v>22</v>
      </c>
      <c r="W7" s="67"/>
      <c r="X7" s="67" t="s">
        <v>124</v>
      </c>
      <c r="Y7" s="52"/>
    </row>
    <row r="8" spans="2:29" ht="20.100000000000001" customHeight="1" x14ac:dyDescent="0.2">
      <c r="B8" s="74">
        <v>1</v>
      </c>
      <c r="C8" s="29" t="s">
        <v>11</v>
      </c>
      <c r="D8" s="29" t="s">
        <v>31</v>
      </c>
      <c r="E8" s="205">
        <v>0</v>
      </c>
      <c r="F8" s="30" t="s">
        <v>50</v>
      </c>
      <c r="G8" s="76" t="s">
        <v>17</v>
      </c>
      <c r="H8" s="75" t="s">
        <v>19</v>
      </c>
      <c r="I8" s="47">
        <v>3330000</v>
      </c>
      <c r="J8" s="48">
        <f>[3]Sheet1!$O$18</f>
        <v>2815000</v>
      </c>
      <c r="K8" s="48">
        <f>[3]Sheet1!$Q$18</f>
        <v>944000</v>
      </c>
      <c r="L8" s="49">
        <f t="shared" ref="L8:L18" si="0">SUM(I8:K8)</f>
        <v>7089000</v>
      </c>
      <c r="M8" s="50">
        <v>33300</v>
      </c>
      <c r="N8" s="37">
        <v>99900</v>
      </c>
      <c r="O8" s="108">
        <v>0</v>
      </c>
      <c r="P8" s="37">
        <v>0</v>
      </c>
      <c r="Q8" s="37">
        <v>0</v>
      </c>
      <c r="R8" s="37">
        <v>0</v>
      </c>
      <c r="S8" s="37">
        <f t="shared" ref="S8:S18" si="1">20%*K8</f>
        <v>188800</v>
      </c>
      <c r="T8" s="37">
        <v>0</v>
      </c>
      <c r="U8" s="37">
        <v>0</v>
      </c>
      <c r="V8" s="37">
        <f>0.05*(J8+K8)</f>
        <v>187950</v>
      </c>
      <c r="W8" s="37">
        <f t="shared" ref="W8:W18" si="2">M8+N8+Q8+R8+S8+T8+U8+V8</f>
        <v>509950</v>
      </c>
      <c r="X8" s="110">
        <f>L8-(M8+N8+Q8+R8+S8+T8+U8+V8)</f>
        <v>6579050</v>
      </c>
      <c r="Y8" s="54"/>
      <c r="Z8" s="10">
        <f>SUM(M8:V8)</f>
        <v>509950</v>
      </c>
      <c r="AA8" s="10">
        <f t="shared" ref="AA8:AA18" si="3">L8-Z8</f>
        <v>6579050</v>
      </c>
      <c r="AB8" s="39"/>
      <c r="AC8" s="39"/>
    </row>
    <row r="9" spans="2:29" ht="20.100000000000001" customHeight="1" x14ac:dyDescent="0.2">
      <c r="B9" s="74">
        <v>2</v>
      </c>
      <c r="C9" s="29" t="s">
        <v>12</v>
      </c>
      <c r="D9" s="29" t="s">
        <v>32</v>
      </c>
      <c r="E9" s="203">
        <v>0</v>
      </c>
      <c r="F9" s="30" t="s">
        <v>50</v>
      </c>
      <c r="G9" s="76" t="s">
        <v>21</v>
      </c>
      <c r="H9" s="75" t="s">
        <v>19</v>
      </c>
      <c r="I9" s="47">
        <f t="shared" ref="I9:K9" si="4">I8</f>
        <v>3330000</v>
      </c>
      <c r="J9" s="48">
        <f t="shared" si="4"/>
        <v>2815000</v>
      </c>
      <c r="K9" s="48">
        <f t="shared" si="4"/>
        <v>944000</v>
      </c>
      <c r="L9" s="49">
        <f t="shared" si="0"/>
        <v>7089000</v>
      </c>
      <c r="M9" s="50">
        <v>33300</v>
      </c>
      <c r="N9" s="37">
        <v>99900</v>
      </c>
      <c r="O9" s="108">
        <v>0</v>
      </c>
      <c r="P9" s="37">
        <v>0</v>
      </c>
      <c r="Q9" s="37">
        <v>0</v>
      </c>
      <c r="R9" s="37">
        <v>0</v>
      </c>
      <c r="S9" s="37">
        <f t="shared" si="1"/>
        <v>188800</v>
      </c>
      <c r="T9" s="37">
        <v>0</v>
      </c>
      <c r="U9" s="37">
        <v>0</v>
      </c>
      <c r="V9" s="37">
        <f t="shared" ref="V9:V18" si="5">0.05*(J9+K9)</f>
        <v>187950</v>
      </c>
      <c r="W9" s="37">
        <f t="shared" si="2"/>
        <v>509950</v>
      </c>
      <c r="X9" s="110">
        <f t="shared" ref="X9:X18" si="6">L9-(M9+N9+Q9+R9+S9+T9+U9+V9)</f>
        <v>6579050</v>
      </c>
      <c r="Y9" s="54"/>
      <c r="Z9" s="10">
        <f t="shared" ref="Z9:Z18" si="7">SUM(M9:V9)</f>
        <v>509950</v>
      </c>
      <c r="AA9" s="10">
        <f t="shared" si="3"/>
        <v>6579050</v>
      </c>
      <c r="AB9" s="39"/>
      <c r="AC9" s="39"/>
    </row>
    <row r="10" spans="2:29" ht="20.100000000000001" customHeight="1" x14ac:dyDescent="0.25">
      <c r="B10" s="74">
        <v>3</v>
      </c>
      <c r="C10" s="28" t="s">
        <v>43</v>
      </c>
      <c r="D10" s="29" t="s">
        <v>33</v>
      </c>
      <c r="E10" s="203">
        <v>6.9444444444444447E-4</v>
      </c>
      <c r="F10" s="30" t="s">
        <v>51</v>
      </c>
      <c r="G10" s="31" t="s">
        <v>44</v>
      </c>
      <c r="H10" s="32" t="s">
        <v>18</v>
      </c>
      <c r="I10" s="33">
        <v>3330000</v>
      </c>
      <c r="J10" s="34">
        <f>[3]Sheet1!$O$19</f>
        <v>2533000</v>
      </c>
      <c r="K10" s="34">
        <f>[3]Sheet1!$Q$19</f>
        <v>527000</v>
      </c>
      <c r="L10" s="35">
        <f t="shared" si="0"/>
        <v>6390000</v>
      </c>
      <c r="M10" s="170">
        <f t="shared" ref="M10:M17" si="8">M9</f>
        <v>33300</v>
      </c>
      <c r="N10" s="36">
        <v>99900</v>
      </c>
      <c r="O10" s="108">
        <v>0</v>
      </c>
      <c r="P10" s="37">
        <v>0</v>
      </c>
      <c r="Q10" s="37">
        <v>0</v>
      </c>
      <c r="R10" s="37">
        <v>0</v>
      </c>
      <c r="S10" s="37">
        <f t="shared" si="1"/>
        <v>105400</v>
      </c>
      <c r="T10" s="37">
        <v>0</v>
      </c>
      <c r="U10" s="37">
        <v>0</v>
      </c>
      <c r="V10" s="37">
        <f t="shared" si="5"/>
        <v>153000</v>
      </c>
      <c r="W10" s="37">
        <f t="shared" si="2"/>
        <v>391600</v>
      </c>
      <c r="X10" s="110">
        <f t="shared" si="6"/>
        <v>5998400</v>
      </c>
      <c r="Y10" s="55"/>
      <c r="Z10" s="10">
        <f>SUM(M10:V10)</f>
        <v>391600</v>
      </c>
      <c r="AA10" s="10">
        <f t="shared" si="3"/>
        <v>5998400</v>
      </c>
      <c r="AB10" s="39"/>
      <c r="AC10" s="39"/>
    </row>
    <row r="11" spans="2:29" ht="20.100000000000001" customHeight="1" x14ac:dyDescent="0.25">
      <c r="B11" s="74">
        <v>4</v>
      </c>
      <c r="C11" s="28" t="s">
        <v>58</v>
      </c>
      <c r="D11" s="29" t="s">
        <v>32</v>
      </c>
      <c r="E11" s="203">
        <v>4.1666666666666666E-3</v>
      </c>
      <c r="F11" s="30" t="s">
        <v>51</v>
      </c>
      <c r="G11" s="31" t="s">
        <v>52</v>
      </c>
      <c r="H11" s="32" t="s">
        <v>18</v>
      </c>
      <c r="I11" s="33">
        <f t="shared" ref="I11:K12" si="9">I10</f>
        <v>3330000</v>
      </c>
      <c r="J11" s="34">
        <f t="shared" si="9"/>
        <v>2533000</v>
      </c>
      <c r="K11" s="34">
        <f t="shared" si="9"/>
        <v>527000</v>
      </c>
      <c r="L11" s="35">
        <f t="shared" si="0"/>
        <v>6390000</v>
      </c>
      <c r="M11" s="170">
        <f t="shared" si="8"/>
        <v>33300</v>
      </c>
      <c r="N11" s="36">
        <v>99900</v>
      </c>
      <c r="O11" s="108">
        <v>0</v>
      </c>
      <c r="P11" s="37">
        <v>0</v>
      </c>
      <c r="Q11" s="37">
        <v>0</v>
      </c>
      <c r="R11" s="37">
        <v>0</v>
      </c>
      <c r="S11" s="37">
        <f t="shared" si="1"/>
        <v>105400</v>
      </c>
      <c r="T11" s="37">
        <v>0</v>
      </c>
      <c r="U11" s="37">
        <v>0</v>
      </c>
      <c r="V11" s="37">
        <f t="shared" si="5"/>
        <v>153000</v>
      </c>
      <c r="W11" s="37">
        <f t="shared" si="2"/>
        <v>391600</v>
      </c>
      <c r="X11" s="110">
        <f t="shared" si="6"/>
        <v>5998400</v>
      </c>
      <c r="Y11" s="55"/>
      <c r="Z11" s="10">
        <f>SUM(M11:V11)</f>
        <v>391600</v>
      </c>
      <c r="AA11" s="10">
        <f t="shared" si="3"/>
        <v>5998400</v>
      </c>
      <c r="AB11" s="40"/>
    </row>
    <row r="12" spans="2:29" ht="20.100000000000001" customHeight="1" x14ac:dyDescent="0.25">
      <c r="B12" s="74">
        <v>5</v>
      </c>
      <c r="C12" s="77" t="s">
        <v>74</v>
      </c>
      <c r="D12" s="78" t="s">
        <v>31</v>
      </c>
      <c r="E12" s="204">
        <v>0.10069444444444443</v>
      </c>
      <c r="F12" s="79" t="s">
        <v>51</v>
      </c>
      <c r="G12" s="80" t="s">
        <v>78</v>
      </c>
      <c r="H12" s="81" t="s">
        <v>19</v>
      </c>
      <c r="I12" s="82">
        <f t="shared" si="9"/>
        <v>3330000</v>
      </c>
      <c r="J12" s="83">
        <f t="shared" si="9"/>
        <v>2533000</v>
      </c>
      <c r="K12" s="83">
        <f t="shared" si="9"/>
        <v>527000</v>
      </c>
      <c r="L12" s="84">
        <f t="shared" si="0"/>
        <v>6390000</v>
      </c>
      <c r="M12" s="171">
        <f t="shared" si="8"/>
        <v>33300</v>
      </c>
      <c r="N12" s="85">
        <v>99900</v>
      </c>
      <c r="O12" s="108">
        <v>0</v>
      </c>
      <c r="P12" s="87">
        <v>0</v>
      </c>
      <c r="Q12" s="37">
        <f>10%*K12</f>
        <v>52700</v>
      </c>
      <c r="R12" s="87">
        <v>0</v>
      </c>
      <c r="S12" s="37">
        <f t="shared" si="1"/>
        <v>105400</v>
      </c>
      <c r="T12" s="87">
        <v>0</v>
      </c>
      <c r="U12" s="87">
        <v>22797</v>
      </c>
      <c r="V12" s="37">
        <f>0.05*(J12+K12)</f>
        <v>153000</v>
      </c>
      <c r="W12" s="37">
        <f t="shared" si="2"/>
        <v>467097</v>
      </c>
      <c r="X12" s="110">
        <f t="shared" si="6"/>
        <v>5922903</v>
      </c>
      <c r="Y12" s="55"/>
      <c r="Z12" s="10">
        <f>SUM(M12:V12)</f>
        <v>467097</v>
      </c>
      <c r="AA12" s="10">
        <f t="shared" si="3"/>
        <v>5922903</v>
      </c>
      <c r="AB12" s="40"/>
    </row>
    <row r="13" spans="2:29" ht="20.100000000000001" customHeight="1" x14ac:dyDescent="0.25">
      <c r="B13" s="74">
        <v>6</v>
      </c>
      <c r="C13" s="28" t="s">
        <v>79</v>
      </c>
      <c r="D13" s="29" t="s">
        <v>33</v>
      </c>
      <c r="E13" s="204" t="s">
        <v>158</v>
      </c>
      <c r="F13" s="30" t="s">
        <v>51</v>
      </c>
      <c r="G13" s="31" t="s">
        <v>83</v>
      </c>
      <c r="H13" s="32" t="s">
        <v>19</v>
      </c>
      <c r="I13" s="33">
        <f>I11</f>
        <v>3330000</v>
      </c>
      <c r="J13" s="33">
        <f>J11</f>
        <v>2533000</v>
      </c>
      <c r="K13" s="33">
        <f>K11</f>
        <v>527000</v>
      </c>
      <c r="L13" s="35">
        <f t="shared" si="0"/>
        <v>6390000</v>
      </c>
      <c r="M13" s="170">
        <f t="shared" si="8"/>
        <v>33300</v>
      </c>
      <c r="N13" s="36">
        <v>99900</v>
      </c>
      <c r="O13" s="108">
        <v>0</v>
      </c>
      <c r="P13" s="37">
        <v>0</v>
      </c>
      <c r="Q13" s="95">
        <f>10%*K13</f>
        <v>52700</v>
      </c>
      <c r="R13" s="37">
        <v>0</v>
      </c>
      <c r="S13" s="37">
        <f t="shared" si="1"/>
        <v>105400</v>
      </c>
      <c r="T13" s="37">
        <v>0</v>
      </c>
      <c r="U13" s="37">
        <v>22797</v>
      </c>
      <c r="V13" s="37">
        <f t="shared" si="5"/>
        <v>153000</v>
      </c>
      <c r="W13" s="37">
        <f t="shared" si="2"/>
        <v>467097</v>
      </c>
      <c r="X13" s="110">
        <f t="shared" si="6"/>
        <v>5922903</v>
      </c>
      <c r="Y13" s="55"/>
      <c r="Z13" s="10">
        <f>SUM(M13:V13)</f>
        <v>467097</v>
      </c>
      <c r="AA13" s="10">
        <f t="shared" si="3"/>
        <v>5922903</v>
      </c>
      <c r="AB13" s="40"/>
    </row>
    <row r="14" spans="2:29" ht="20.100000000000001" customHeight="1" x14ac:dyDescent="0.25">
      <c r="B14" s="74">
        <v>7</v>
      </c>
      <c r="C14" s="28" t="s">
        <v>80</v>
      </c>
      <c r="D14" s="29" t="s">
        <v>64</v>
      </c>
      <c r="E14" s="203">
        <v>0.46875</v>
      </c>
      <c r="F14" s="30" t="s">
        <v>51</v>
      </c>
      <c r="G14" s="31" t="s">
        <v>84</v>
      </c>
      <c r="H14" s="32" t="s">
        <v>1</v>
      </c>
      <c r="I14" s="33">
        <f>I11</f>
        <v>3330000</v>
      </c>
      <c r="J14" s="33">
        <f>J11</f>
        <v>2533000</v>
      </c>
      <c r="K14" s="33">
        <f>K11</f>
        <v>527000</v>
      </c>
      <c r="L14" s="35">
        <f t="shared" si="0"/>
        <v>6390000</v>
      </c>
      <c r="M14" s="170">
        <f t="shared" si="8"/>
        <v>33300</v>
      </c>
      <c r="N14" s="36">
        <v>99900</v>
      </c>
      <c r="O14" s="108">
        <v>0</v>
      </c>
      <c r="P14" s="37">
        <v>0</v>
      </c>
      <c r="Q14" s="95">
        <f>10%*K14</f>
        <v>52700</v>
      </c>
      <c r="R14" s="37">
        <v>0</v>
      </c>
      <c r="S14" s="37">
        <f t="shared" si="1"/>
        <v>105400</v>
      </c>
      <c r="T14" s="37">
        <v>0</v>
      </c>
      <c r="U14" s="37">
        <v>101772</v>
      </c>
      <c r="V14" s="37">
        <f t="shared" si="5"/>
        <v>153000</v>
      </c>
      <c r="W14" s="37">
        <f t="shared" si="2"/>
        <v>546072</v>
      </c>
      <c r="X14" s="110">
        <f t="shared" si="6"/>
        <v>5843928</v>
      </c>
      <c r="Y14" s="55"/>
      <c r="Z14" s="10">
        <f>SUM(M14:V14)</f>
        <v>546072</v>
      </c>
      <c r="AA14" s="10">
        <f t="shared" si="3"/>
        <v>5843928</v>
      </c>
      <c r="AB14" s="40"/>
    </row>
    <row r="15" spans="2:29" ht="20.100000000000001" customHeight="1" x14ac:dyDescent="0.25">
      <c r="B15" s="74">
        <v>8</v>
      </c>
      <c r="C15" s="28" t="s">
        <v>81</v>
      </c>
      <c r="D15" s="29" t="s">
        <v>33</v>
      </c>
      <c r="E15" s="203">
        <v>0</v>
      </c>
      <c r="F15" s="30" t="s">
        <v>51</v>
      </c>
      <c r="G15" s="31" t="s">
        <v>82</v>
      </c>
      <c r="H15" s="32" t="s">
        <v>15</v>
      </c>
      <c r="I15" s="33">
        <f>I11</f>
        <v>3330000</v>
      </c>
      <c r="J15" s="33">
        <f>J11</f>
        <v>2533000</v>
      </c>
      <c r="K15" s="33">
        <f>K11</f>
        <v>527000</v>
      </c>
      <c r="L15" s="35">
        <f t="shared" si="0"/>
        <v>6390000</v>
      </c>
      <c r="M15" s="170">
        <f t="shared" si="8"/>
        <v>33300</v>
      </c>
      <c r="N15" s="36">
        <v>99900</v>
      </c>
      <c r="O15" s="108">
        <v>0</v>
      </c>
      <c r="P15" s="37">
        <v>0</v>
      </c>
      <c r="Q15" s="37">
        <v>0</v>
      </c>
      <c r="R15" s="37">
        <v>0</v>
      </c>
      <c r="S15" s="37">
        <f t="shared" si="1"/>
        <v>105400</v>
      </c>
      <c r="T15" s="37">
        <v>0</v>
      </c>
      <c r="U15" s="37">
        <v>0</v>
      </c>
      <c r="V15" s="37">
        <f t="shared" si="5"/>
        <v>153000</v>
      </c>
      <c r="W15" s="37">
        <f t="shared" si="2"/>
        <v>391600</v>
      </c>
      <c r="X15" s="110">
        <f t="shared" si="6"/>
        <v>5998400</v>
      </c>
      <c r="Y15" s="55"/>
      <c r="Z15" s="10">
        <f t="shared" si="7"/>
        <v>391600</v>
      </c>
      <c r="AA15" s="10">
        <f t="shared" si="3"/>
        <v>5998400</v>
      </c>
      <c r="AB15" s="40"/>
    </row>
    <row r="16" spans="2:29" ht="20.100000000000001" customHeight="1" x14ac:dyDescent="0.25">
      <c r="B16" s="74">
        <v>9</v>
      </c>
      <c r="C16" s="88" t="s">
        <v>86</v>
      </c>
      <c r="D16" s="89" t="s">
        <v>64</v>
      </c>
      <c r="E16" s="203">
        <v>7.2916666666666671E-2</v>
      </c>
      <c r="F16" s="90" t="s">
        <v>51</v>
      </c>
      <c r="G16" s="91" t="s">
        <v>87</v>
      </c>
      <c r="H16" s="92" t="s">
        <v>1</v>
      </c>
      <c r="I16" s="33">
        <v>3330000</v>
      </c>
      <c r="J16" s="33">
        <f>J11</f>
        <v>2533000</v>
      </c>
      <c r="K16" s="33">
        <f>K11</f>
        <v>527000</v>
      </c>
      <c r="L16" s="93">
        <f t="shared" si="0"/>
        <v>6390000</v>
      </c>
      <c r="M16" s="172">
        <f t="shared" si="8"/>
        <v>33300</v>
      </c>
      <c r="N16" s="112">
        <f>N15</f>
        <v>99900</v>
      </c>
      <c r="O16" s="94">
        <v>0</v>
      </c>
      <c r="P16" s="95">
        <v>0</v>
      </c>
      <c r="Q16" s="95">
        <v>0</v>
      </c>
      <c r="R16" s="95">
        <v>0</v>
      </c>
      <c r="S16" s="37">
        <f t="shared" si="1"/>
        <v>105400</v>
      </c>
      <c r="T16" s="95">
        <v>0</v>
      </c>
      <c r="U16" s="95">
        <v>15831</v>
      </c>
      <c r="V16" s="37">
        <f t="shared" si="5"/>
        <v>153000</v>
      </c>
      <c r="W16" s="37">
        <f t="shared" si="2"/>
        <v>407431</v>
      </c>
      <c r="X16" s="110">
        <f t="shared" si="6"/>
        <v>5982569</v>
      </c>
      <c r="Y16" s="55"/>
      <c r="Z16" s="10">
        <f t="shared" si="7"/>
        <v>407431</v>
      </c>
      <c r="AA16" s="10">
        <f t="shared" si="3"/>
        <v>5982569</v>
      </c>
      <c r="AB16" s="40"/>
    </row>
    <row r="17" spans="2:28" ht="20.100000000000001" customHeight="1" x14ac:dyDescent="0.25">
      <c r="B17" s="74">
        <v>10</v>
      </c>
      <c r="C17" s="28" t="s">
        <v>95</v>
      </c>
      <c r="D17" s="29" t="s">
        <v>31</v>
      </c>
      <c r="E17" s="203">
        <v>6.2499999999999995E-3</v>
      </c>
      <c r="F17" s="30" t="s">
        <v>51</v>
      </c>
      <c r="G17" s="31" t="s">
        <v>96</v>
      </c>
      <c r="H17" s="32" t="s">
        <v>19</v>
      </c>
      <c r="I17" s="33">
        <f>I11</f>
        <v>3330000</v>
      </c>
      <c r="J17" s="33">
        <f>J11</f>
        <v>2533000</v>
      </c>
      <c r="K17" s="33">
        <f>K11</f>
        <v>527000</v>
      </c>
      <c r="L17" s="35">
        <f t="shared" si="0"/>
        <v>6390000</v>
      </c>
      <c r="M17" s="170">
        <f t="shared" si="8"/>
        <v>33300</v>
      </c>
      <c r="N17" s="36">
        <f>N16</f>
        <v>99900</v>
      </c>
      <c r="O17" s="86">
        <v>0</v>
      </c>
      <c r="P17" s="37">
        <v>0</v>
      </c>
      <c r="Q17" s="37">
        <v>0</v>
      </c>
      <c r="R17" s="37">
        <v>0</v>
      </c>
      <c r="S17" s="37">
        <f t="shared" si="1"/>
        <v>105400</v>
      </c>
      <c r="T17" s="37">
        <v>0</v>
      </c>
      <c r="U17" s="37">
        <v>0</v>
      </c>
      <c r="V17" s="37">
        <f t="shared" si="5"/>
        <v>153000</v>
      </c>
      <c r="W17" s="37">
        <f t="shared" si="2"/>
        <v>391600</v>
      </c>
      <c r="X17" s="110">
        <f t="shared" si="6"/>
        <v>5998400</v>
      </c>
      <c r="Y17" s="55"/>
      <c r="Z17" s="10">
        <f t="shared" si="7"/>
        <v>391600</v>
      </c>
      <c r="AA17" s="10">
        <f t="shared" si="3"/>
        <v>5998400</v>
      </c>
      <c r="AB17" s="40"/>
    </row>
    <row r="18" spans="2:28" ht="20.100000000000001" customHeight="1" x14ac:dyDescent="0.25">
      <c r="B18" s="96">
        <v>11</v>
      </c>
      <c r="C18" s="97" t="s">
        <v>69</v>
      </c>
      <c r="D18" s="98" t="s">
        <v>32</v>
      </c>
      <c r="E18" s="206">
        <v>8.3333333333333332E-3</v>
      </c>
      <c r="F18" s="99" t="s">
        <v>51</v>
      </c>
      <c r="G18" s="100" t="s">
        <v>70</v>
      </c>
      <c r="H18" s="101" t="s">
        <v>19</v>
      </c>
      <c r="I18" s="102">
        <f>I17</f>
        <v>3330000</v>
      </c>
      <c r="J18" s="103">
        <f>J17</f>
        <v>2533000</v>
      </c>
      <c r="K18" s="103">
        <f>K17</f>
        <v>527000</v>
      </c>
      <c r="L18" s="104">
        <f t="shared" si="0"/>
        <v>6390000</v>
      </c>
      <c r="M18" s="173">
        <f>M16</f>
        <v>33300</v>
      </c>
      <c r="N18" s="105">
        <f>N17</f>
        <v>99900</v>
      </c>
      <c r="O18" s="111">
        <v>0</v>
      </c>
      <c r="P18" s="106">
        <v>0</v>
      </c>
      <c r="Q18" s="106">
        <v>0</v>
      </c>
      <c r="R18" s="106">
        <v>0</v>
      </c>
      <c r="S18" s="37">
        <f t="shared" si="1"/>
        <v>105400</v>
      </c>
      <c r="T18" s="106">
        <v>0</v>
      </c>
      <c r="U18" s="106">
        <v>0</v>
      </c>
      <c r="V18" s="127">
        <f t="shared" si="5"/>
        <v>153000</v>
      </c>
      <c r="W18" s="127">
        <f t="shared" si="2"/>
        <v>391600</v>
      </c>
      <c r="X18" s="121">
        <f t="shared" si="6"/>
        <v>5998400</v>
      </c>
      <c r="Y18" s="10">
        <f>SUM(L18:U18)</f>
        <v>6628600</v>
      </c>
      <c r="Z18" s="10">
        <f t="shared" si="7"/>
        <v>391600</v>
      </c>
      <c r="AA18" s="10">
        <f t="shared" si="3"/>
        <v>5998400</v>
      </c>
      <c r="AB18" s="10"/>
    </row>
    <row r="19" spans="2:28" ht="10.5" customHeight="1" x14ac:dyDescent="0.25">
      <c r="B19" s="24"/>
      <c r="C19" s="24"/>
      <c r="D19" s="24"/>
      <c r="E19" s="24"/>
      <c r="F19" s="24"/>
      <c r="G19" s="23"/>
      <c r="H19" s="11"/>
      <c r="I19" s="274">
        <f t="shared" ref="I19:P19" si="10">SUM(I8:I18)</f>
        <v>36630000</v>
      </c>
      <c r="J19" s="274">
        <f t="shared" si="10"/>
        <v>28427000</v>
      </c>
      <c r="K19" s="274">
        <f t="shared" si="10"/>
        <v>6631000</v>
      </c>
      <c r="L19" s="279">
        <f t="shared" si="10"/>
        <v>71688000</v>
      </c>
      <c r="M19" s="282">
        <f>SUM(M8:M18)</f>
        <v>366300</v>
      </c>
      <c r="N19" s="284">
        <f>SUM(N8:N18)</f>
        <v>1098900</v>
      </c>
      <c r="O19" s="291">
        <f t="shared" si="10"/>
        <v>0</v>
      </c>
      <c r="P19" s="291">
        <f t="shared" si="10"/>
        <v>0</v>
      </c>
      <c r="Q19" s="292">
        <f>SUM(Q8:Q18)</f>
        <v>158100</v>
      </c>
      <c r="R19" s="292">
        <f>SUM(R8:R18)</f>
        <v>0</v>
      </c>
      <c r="S19" s="292">
        <f>SUM(S8:S18)</f>
        <v>1326200</v>
      </c>
      <c r="T19" s="292">
        <v>0</v>
      </c>
      <c r="U19" s="292">
        <f>SUM(U8:U18)</f>
        <v>163197</v>
      </c>
      <c r="V19" s="286">
        <f>SUM(V8:V18)</f>
        <v>1752900</v>
      </c>
      <c r="W19" s="287">
        <f>W8+W9+W10+W11+W12+W13+W14+W15+W16+W17+W18</f>
        <v>4865597</v>
      </c>
      <c r="X19" s="289">
        <f>SUM(X8:X18)</f>
        <v>66822403</v>
      </c>
      <c r="Y19" s="56"/>
      <c r="Z19" s="42"/>
      <c r="AA19" s="10"/>
    </row>
    <row r="20" spans="2:28" ht="10.5" customHeight="1" thickBot="1" x14ac:dyDescent="0.3">
      <c r="B20" s="25"/>
      <c r="C20" s="25"/>
      <c r="D20" s="25"/>
      <c r="E20" s="25"/>
      <c r="F20" s="25"/>
      <c r="G20" s="26"/>
      <c r="H20" s="27"/>
      <c r="I20" s="275"/>
      <c r="J20" s="275"/>
      <c r="K20" s="275"/>
      <c r="L20" s="280"/>
      <c r="M20" s="283"/>
      <c r="N20" s="285"/>
      <c r="O20" s="285"/>
      <c r="P20" s="285"/>
      <c r="Q20" s="293"/>
      <c r="R20" s="293"/>
      <c r="S20" s="293"/>
      <c r="T20" s="293"/>
      <c r="U20" s="293"/>
      <c r="V20" s="285"/>
      <c r="W20" s="288"/>
      <c r="X20" s="290"/>
      <c r="Y20" s="56"/>
      <c r="Z20" s="10">
        <f>SUM(Z8:Z18)</f>
        <v>4865597</v>
      </c>
      <c r="AA20" s="42"/>
      <c r="AB20" s="10"/>
    </row>
    <row r="21" spans="2:28" ht="6.75" customHeight="1" thickTop="1" x14ac:dyDescent="0.25"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>
        <v>25</v>
      </c>
    </row>
    <row r="22" spans="2:28" ht="12.75" customHeight="1" x14ac:dyDescent="0.25">
      <c r="B22" s="17" t="s">
        <v>41</v>
      </c>
      <c r="C22" s="13"/>
      <c r="D22" s="13"/>
      <c r="E22" s="13"/>
      <c r="F22" s="13"/>
      <c r="G22" s="13"/>
      <c r="H22" s="13"/>
      <c r="I22" s="13"/>
      <c r="J22" s="13"/>
      <c r="K22" s="1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8" ht="3.75" customHeight="1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6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45"/>
    </row>
    <row r="24" spans="2:28" ht="15.75" customHeight="1" x14ac:dyDescent="0.25">
      <c r="B24" s="14" t="s">
        <v>16</v>
      </c>
      <c r="C24" s="13" t="s">
        <v>142</v>
      </c>
      <c r="D24" s="13"/>
      <c r="E24" s="13"/>
      <c r="F24" s="13"/>
      <c r="G24" s="13"/>
      <c r="H24" s="13"/>
      <c r="I24" s="13"/>
      <c r="J24" s="13"/>
      <c r="K24" s="1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0">
        <f>L19-(M19+N19+Q19+R19+S19+T19+U19+V19)</f>
        <v>66822403</v>
      </c>
      <c r="AA24" s="10">
        <f>SUM(X8:X18)</f>
        <v>66822403</v>
      </c>
    </row>
    <row r="25" spans="2:28" ht="6" customHeight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8" ht="13.5" customHeight="1" x14ac:dyDescent="0.25">
      <c r="B26" s="14" t="s">
        <v>22</v>
      </c>
      <c r="C26" s="13" t="s">
        <v>143</v>
      </c>
      <c r="D26" s="13"/>
      <c r="E26" s="13"/>
      <c r="F26" s="13"/>
      <c r="G26" s="13"/>
      <c r="H26" s="13"/>
      <c r="I26" s="13"/>
      <c r="J26" s="13"/>
      <c r="K26" s="13"/>
      <c r="N26" s="9"/>
      <c r="O26" s="9"/>
      <c r="P26" s="9"/>
      <c r="Q26" s="9"/>
      <c r="R26" s="9"/>
      <c r="S26" s="9"/>
      <c r="T26" s="9"/>
      <c r="U26" s="294" t="s">
        <v>159</v>
      </c>
      <c r="V26" s="294"/>
      <c r="W26" s="294"/>
      <c r="X26" s="294"/>
      <c r="Z26" s="10">
        <f>L19-W19</f>
        <v>66822403</v>
      </c>
    </row>
    <row r="27" spans="2:28" ht="13.5" customHeight="1" x14ac:dyDescent="0.25">
      <c r="B27" s="16"/>
      <c r="C27" s="13"/>
      <c r="D27" s="13"/>
      <c r="E27" s="13"/>
      <c r="F27" s="13"/>
      <c r="G27" s="13"/>
      <c r="H27" s="13"/>
      <c r="I27" s="13"/>
      <c r="J27" s="13"/>
      <c r="K27" s="13"/>
      <c r="N27" s="9"/>
      <c r="O27" s="9"/>
      <c r="P27" s="9"/>
      <c r="Q27" s="9"/>
      <c r="R27" s="9"/>
      <c r="S27" s="9"/>
      <c r="T27" s="9"/>
      <c r="U27" s="294" t="s">
        <v>20</v>
      </c>
      <c r="V27" s="294"/>
      <c r="W27" s="294"/>
      <c r="X27" s="294"/>
    </row>
    <row r="28" spans="2:28" ht="30.75" customHeight="1" x14ac:dyDescent="0.25">
      <c r="C28" s="6"/>
      <c r="D28" s="6"/>
      <c r="E28" s="6"/>
      <c r="F28" s="6"/>
      <c r="G28" s="6" t="s">
        <v>104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2:28" ht="30.75" customHeight="1" x14ac:dyDescent="0.25">
      <c r="C29" s="6"/>
      <c r="D29" s="6"/>
      <c r="E29" s="6"/>
      <c r="F29" s="6"/>
      <c r="G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8" ht="15" customHeight="1" x14ac:dyDescent="0.25">
      <c r="C30" s="6"/>
      <c r="D30" s="6"/>
      <c r="E30" s="6"/>
      <c r="F30" s="6"/>
      <c r="G30" s="6"/>
      <c r="N30" s="8"/>
      <c r="O30" s="8"/>
      <c r="P30" s="8"/>
      <c r="Q30" s="8"/>
      <c r="R30" s="8"/>
      <c r="S30" s="43"/>
      <c r="T30" s="43"/>
      <c r="U30" s="281" t="s">
        <v>132</v>
      </c>
      <c r="V30" s="281"/>
      <c r="W30" s="281"/>
      <c r="X30" s="281"/>
    </row>
    <row r="31" spans="2:28" ht="15" x14ac:dyDescent="0.25">
      <c r="C31" s="6"/>
      <c r="D31" s="6"/>
      <c r="E31" s="6"/>
      <c r="F31" s="6"/>
      <c r="G31" s="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2:28" x14ac:dyDescent="0.2">
      <c r="J32" s="10">
        <f>I19+J19+K19</f>
        <v>71688000</v>
      </c>
    </row>
  </sheetData>
  <mergeCells count="42">
    <mergeCell ref="U30:X30"/>
    <mergeCell ref="P5:P6"/>
    <mergeCell ref="U5:U6"/>
    <mergeCell ref="O5:O6"/>
    <mergeCell ref="Q5:T5"/>
    <mergeCell ref="U26:X26"/>
    <mergeCell ref="U27:X27"/>
    <mergeCell ref="N5:N6"/>
    <mergeCell ref="M23:X23"/>
    <mergeCell ref="M19:M20"/>
    <mergeCell ref="N19:N20"/>
    <mergeCell ref="V19:V20"/>
    <mergeCell ref="W19:W20"/>
    <mergeCell ref="X19:X20"/>
    <mergeCell ref="O19:O20"/>
    <mergeCell ref="P19:P20"/>
    <mergeCell ref="Q19:Q20"/>
    <mergeCell ref="R19:R20"/>
    <mergeCell ref="S19:S20"/>
    <mergeCell ref="T19:T20"/>
    <mergeCell ref="U19:U20"/>
    <mergeCell ref="J5:J6"/>
    <mergeCell ref="K19:K20"/>
    <mergeCell ref="L5:L6"/>
    <mergeCell ref="M5:M6"/>
    <mergeCell ref="L19:L20"/>
    <mergeCell ref="E5:E6"/>
    <mergeCell ref="I19:I20"/>
    <mergeCell ref="J19:J20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49" orientation="landscape" r:id="rId1"/>
  <ignoredErrors>
    <ignoredError sqref="L12" formula="1"/>
    <ignoredError sqref="M20" formula="1" formulaRange="1"/>
    <ignoredError sqref="B23 B25" numberStoredAsText="1"/>
    <ignoredError sqref="O19:P1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7"/>
  <sheetViews>
    <sheetView zoomScale="90" zoomScaleNormal="90" workbookViewId="0">
      <pane xSplit="4" topLeftCell="O1" activePane="topRight" state="frozen"/>
      <selection pane="topRight" activeCell="O42" sqref="O42"/>
    </sheetView>
  </sheetViews>
  <sheetFormatPr defaultRowHeight="12.75" x14ac:dyDescent="0.2"/>
  <cols>
    <col min="1" max="1" width="2.7109375" customWidth="1"/>
    <col min="2" max="2" width="3.85546875" customWidth="1"/>
    <col min="3" max="3" width="20.5703125" customWidth="1"/>
    <col min="4" max="4" width="29" customWidth="1"/>
    <col min="5" max="5" width="22.5703125" customWidth="1"/>
    <col min="6" max="6" width="8.140625" customWidth="1"/>
    <col min="7" max="7" width="12.7109375" customWidth="1"/>
    <col min="8" max="8" width="12.85546875" customWidth="1"/>
    <col min="9" max="9" width="12.140625" customWidth="1"/>
    <col min="10" max="11" width="12" customWidth="1"/>
    <col min="12" max="12" width="11.85546875" customWidth="1"/>
    <col min="13" max="13" width="12.42578125" customWidth="1"/>
    <col min="14" max="14" width="12.85546875" customWidth="1"/>
    <col min="15" max="15" width="12.5703125" customWidth="1"/>
    <col min="16" max="16" width="12.28515625" customWidth="1"/>
    <col min="17" max="17" width="11.28515625" customWidth="1"/>
    <col min="18" max="18" width="10.5703125" customWidth="1"/>
    <col min="19" max="19" width="11.42578125" hidden="1" customWidth="1"/>
    <col min="20" max="20" width="11.7109375" customWidth="1"/>
    <col min="21" max="21" width="12.5703125" hidden="1" customWidth="1"/>
    <col min="22" max="22" width="12.85546875" customWidth="1"/>
    <col min="23" max="23" width="2.7109375" customWidth="1"/>
    <col min="24" max="27" width="13.28515625" bestFit="1" customWidth="1"/>
  </cols>
  <sheetData>
    <row r="1" spans="2:27" ht="38.25" customHeight="1" x14ac:dyDescent="0.25">
      <c r="B1" s="6"/>
      <c r="C1" s="6"/>
      <c r="D1" s="6"/>
      <c r="E1" s="6" t="s">
        <v>25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">
      <c r="B2" s="295" t="s">
        <v>6</v>
      </c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117"/>
    </row>
    <row r="3" spans="2:27" ht="12.75" customHeight="1" x14ac:dyDescent="0.2">
      <c r="B3" s="260" t="s">
        <v>108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118"/>
    </row>
    <row r="4" spans="2:27" ht="12.75" customHeight="1" x14ac:dyDescent="0.2">
      <c r="B4" s="261" t="s">
        <v>153</v>
      </c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119"/>
    </row>
    <row r="5" spans="2:27" ht="6" customHeight="1" x14ac:dyDescent="0.2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">
      <c r="B6" s="241" t="s">
        <v>4</v>
      </c>
      <c r="C6" s="241" t="s">
        <v>46</v>
      </c>
      <c r="D6" s="241" t="s">
        <v>9</v>
      </c>
      <c r="E6" s="241" t="s">
        <v>0</v>
      </c>
      <c r="F6" s="241" t="s">
        <v>2</v>
      </c>
      <c r="G6" s="301" t="s">
        <v>168</v>
      </c>
      <c r="H6" s="301" t="s">
        <v>169</v>
      </c>
      <c r="I6" s="241" t="s">
        <v>8</v>
      </c>
      <c r="J6" s="241" t="s">
        <v>14</v>
      </c>
      <c r="K6" s="241" t="s">
        <v>13</v>
      </c>
      <c r="L6" s="241" t="s">
        <v>3</v>
      </c>
      <c r="M6" s="241" t="s">
        <v>29</v>
      </c>
      <c r="N6" s="254" t="s">
        <v>47</v>
      </c>
      <c r="O6" s="277" t="s">
        <v>60</v>
      </c>
      <c r="P6" s="241" t="s">
        <v>42</v>
      </c>
      <c r="Q6" s="241" t="s">
        <v>152</v>
      </c>
      <c r="R6" s="241" t="s">
        <v>73</v>
      </c>
      <c r="S6" s="241" t="s">
        <v>37</v>
      </c>
      <c r="T6" s="301" t="s">
        <v>170</v>
      </c>
      <c r="U6" s="241" t="s">
        <v>28</v>
      </c>
      <c r="V6" s="241" t="s">
        <v>59</v>
      </c>
      <c r="W6" s="57"/>
    </row>
    <row r="7" spans="2:27" ht="36" customHeight="1" thickBot="1" x14ac:dyDescent="0.25">
      <c r="B7" s="242"/>
      <c r="C7" s="273"/>
      <c r="D7" s="273"/>
      <c r="E7" s="273"/>
      <c r="F7" s="273"/>
      <c r="G7" s="303"/>
      <c r="H7" s="302"/>
      <c r="I7" s="242"/>
      <c r="J7" s="242"/>
      <c r="K7" s="242"/>
      <c r="L7" s="242"/>
      <c r="M7" s="242"/>
      <c r="N7" s="255"/>
      <c r="O7" s="278"/>
      <c r="P7" s="242"/>
      <c r="Q7" s="242"/>
      <c r="R7" s="242"/>
      <c r="S7" s="242"/>
      <c r="T7" s="302"/>
      <c r="U7" s="242"/>
      <c r="V7" s="242"/>
      <c r="W7" s="57"/>
      <c r="X7" t="s">
        <v>129</v>
      </c>
      <c r="Y7" t="s">
        <v>130</v>
      </c>
    </row>
    <row r="8" spans="2:27" s="12" customFormat="1" ht="9.75" customHeight="1" x14ac:dyDescent="0.2">
      <c r="B8" s="66">
        <v>1</v>
      </c>
      <c r="C8" s="66">
        <v>2</v>
      </c>
      <c r="D8" s="66">
        <v>3</v>
      </c>
      <c r="E8" s="67">
        <v>6</v>
      </c>
      <c r="F8" s="67">
        <v>7</v>
      </c>
      <c r="G8" s="66">
        <v>8</v>
      </c>
      <c r="H8" s="66">
        <v>9</v>
      </c>
      <c r="I8" s="66">
        <v>10</v>
      </c>
      <c r="J8" s="66">
        <v>11</v>
      </c>
      <c r="K8" s="66">
        <v>12</v>
      </c>
      <c r="L8" s="66">
        <v>13</v>
      </c>
      <c r="M8" s="66">
        <v>14</v>
      </c>
      <c r="N8" s="68" t="s">
        <v>98</v>
      </c>
      <c r="O8" s="69">
        <v>15</v>
      </c>
      <c r="P8" s="67">
        <v>16</v>
      </c>
      <c r="Q8" s="67"/>
      <c r="R8" s="67">
        <v>17</v>
      </c>
      <c r="S8" s="67">
        <v>18</v>
      </c>
      <c r="T8" s="67">
        <v>19</v>
      </c>
      <c r="U8" s="67">
        <v>18</v>
      </c>
      <c r="V8" s="67" t="s">
        <v>97</v>
      </c>
      <c r="W8" s="52"/>
    </row>
    <row r="9" spans="2:27" ht="20.100000000000001" hidden="1" customHeight="1" x14ac:dyDescent="0.2">
      <c r="B9" s="174" t="s">
        <v>16</v>
      </c>
      <c r="C9" s="175"/>
      <c r="D9" s="175" t="s">
        <v>5</v>
      </c>
      <c r="E9" s="176"/>
      <c r="F9" s="177"/>
      <c r="G9" s="178">
        <f>60000000</f>
        <v>60000000</v>
      </c>
      <c r="H9" s="179">
        <f>15000000</f>
        <v>15000000</v>
      </c>
      <c r="I9" s="179">
        <v>0</v>
      </c>
      <c r="J9" s="179">
        <v>0</v>
      </c>
      <c r="K9" s="179">
        <v>0</v>
      </c>
      <c r="L9" s="179">
        <v>0</v>
      </c>
      <c r="M9" s="179">
        <v>0</v>
      </c>
      <c r="N9" s="180">
        <f>SUM(G9:M9)</f>
        <v>75000000</v>
      </c>
      <c r="O9" s="181">
        <v>710506</v>
      </c>
      <c r="P9" s="182">
        <v>495057</v>
      </c>
      <c r="Q9" s="181"/>
      <c r="R9" s="183">
        <v>0</v>
      </c>
      <c r="S9" s="182">
        <v>0</v>
      </c>
      <c r="T9" s="182">
        <v>0</v>
      </c>
      <c r="U9" s="184">
        <v>16243042</v>
      </c>
      <c r="V9" s="185">
        <f>N9-(O9+P9+R9+S9+T9)</f>
        <v>73794437</v>
      </c>
      <c r="W9" s="54"/>
      <c r="X9" s="10">
        <f>SUM(O9:T9)</f>
        <v>1205563</v>
      </c>
      <c r="Y9" s="10">
        <f>N9-O9-P9-S9-T9</f>
        <v>73794437</v>
      </c>
      <c r="Z9" s="40">
        <f>O9+P9</f>
        <v>1205563</v>
      </c>
      <c r="AA9" s="39"/>
    </row>
    <row r="10" spans="2:27" ht="20.100000000000001" customHeight="1" x14ac:dyDescent="0.2">
      <c r="B10" s="130" t="s">
        <v>16</v>
      </c>
      <c r="C10" s="29" t="s">
        <v>126</v>
      </c>
      <c r="D10" s="29" t="s">
        <v>5</v>
      </c>
      <c r="E10" s="30" t="s">
        <v>127</v>
      </c>
      <c r="F10" s="75" t="s">
        <v>15</v>
      </c>
      <c r="G10" s="47">
        <v>60000000</v>
      </c>
      <c r="H10" s="48">
        <v>15000000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218">
        <f>G10+H10+I10+J10+K10+L10+M10</f>
        <v>75000000</v>
      </c>
      <c r="O10" s="37">
        <v>756006</v>
      </c>
      <c r="P10" s="37">
        <v>524686</v>
      </c>
      <c r="Q10" s="37">
        <v>50000</v>
      </c>
      <c r="R10" s="219">
        <v>0</v>
      </c>
      <c r="S10" s="37"/>
      <c r="T10" s="37">
        <v>0</v>
      </c>
      <c r="U10" s="51"/>
      <c r="V10" s="110">
        <f>SUM(G10:M10)-SUM(O10:T10)</f>
        <v>73669308</v>
      </c>
      <c r="W10" s="54"/>
      <c r="X10" s="10">
        <f>O10+P10+Q10</f>
        <v>1330692</v>
      </c>
      <c r="Y10" s="10">
        <f>N10-(O10+P10+Q10+R10+T10)</f>
        <v>73669308</v>
      </c>
      <c r="Z10" s="40"/>
      <c r="AA10" s="39"/>
    </row>
    <row r="11" spans="2:27" ht="20.100000000000001" customHeight="1" x14ac:dyDescent="0.2">
      <c r="B11" s="130" t="s">
        <v>22</v>
      </c>
      <c r="C11" s="29" t="s">
        <v>145</v>
      </c>
      <c r="D11" s="29" t="s">
        <v>146</v>
      </c>
      <c r="E11" s="30" t="s">
        <v>147</v>
      </c>
      <c r="F11" s="75" t="s">
        <v>15</v>
      </c>
      <c r="G11" s="47">
        <v>51000000</v>
      </c>
      <c r="H11" s="48">
        <v>15000000</v>
      </c>
      <c r="I11" s="48"/>
      <c r="J11" s="48"/>
      <c r="K11" s="48"/>
      <c r="L11" s="48"/>
      <c r="M11" s="48"/>
      <c r="N11" s="218">
        <f>G11+H11</f>
        <v>66000000</v>
      </c>
      <c r="O11" s="37">
        <v>0</v>
      </c>
      <c r="P11" s="37">
        <v>0</v>
      </c>
      <c r="Q11" s="37"/>
      <c r="R11" s="219">
        <v>0</v>
      </c>
      <c r="S11" s="37"/>
      <c r="T11" s="37">
        <v>0</v>
      </c>
      <c r="U11" s="51"/>
      <c r="V11" s="110">
        <f>N11</f>
        <v>66000000</v>
      </c>
      <c r="W11" s="54"/>
      <c r="X11" s="10">
        <f>O11+P11+Q11+R11+T11</f>
        <v>0</v>
      </c>
      <c r="Y11" s="10">
        <f>N11-(O11+P11+Q11+R11+T11)</f>
        <v>66000000</v>
      </c>
      <c r="Z11" s="40"/>
      <c r="AA11" s="39"/>
    </row>
    <row r="12" spans="2:27" ht="20.100000000000001" customHeight="1" x14ac:dyDescent="0.2">
      <c r="B12" s="131" t="s">
        <v>148</v>
      </c>
      <c r="C12" s="122" t="s">
        <v>71</v>
      </c>
      <c r="D12" s="122" t="s">
        <v>10</v>
      </c>
      <c r="E12" s="123" t="s">
        <v>72</v>
      </c>
      <c r="F12" s="124" t="s">
        <v>18</v>
      </c>
      <c r="G12" s="125">
        <f>85%*G9</f>
        <v>51000000</v>
      </c>
      <c r="H12" s="126">
        <f>15000000</f>
        <v>15000000</v>
      </c>
      <c r="I12" s="126">
        <v>0</v>
      </c>
      <c r="J12" s="126">
        <v>0</v>
      </c>
      <c r="K12" s="126">
        <v>0</v>
      </c>
      <c r="L12" s="126">
        <v>0</v>
      </c>
      <c r="M12" s="126">
        <v>0</v>
      </c>
      <c r="N12" s="220">
        <f>SUM(G12:M12)</f>
        <v>66000000</v>
      </c>
      <c r="O12" s="127">
        <v>0</v>
      </c>
      <c r="P12" s="127">
        <v>0</v>
      </c>
      <c r="Q12" s="127"/>
      <c r="R12" s="128">
        <v>5633354</v>
      </c>
      <c r="S12" s="127">
        <v>0</v>
      </c>
      <c r="T12" s="127">
        <v>0</v>
      </c>
      <c r="U12" s="129">
        <v>14316667</v>
      </c>
      <c r="V12" s="121">
        <f>N12-(O12+P12+R12+S12+T12)</f>
        <v>60366646</v>
      </c>
      <c r="W12" s="54"/>
      <c r="X12" s="10">
        <f>SUM(O12:T12)</f>
        <v>5633354</v>
      </c>
      <c r="Y12" s="10">
        <f>N12-(O12+P12+Q12+R12+T12)</f>
        <v>60366646</v>
      </c>
      <c r="Z12" s="39"/>
      <c r="AA12" s="40" t="e">
        <f>#REF!-R12</f>
        <v>#REF!</v>
      </c>
    </row>
    <row r="13" spans="2:27" ht="10.5" customHeight="1" x14ac:dyDescent="0.25">
      <c r="B13" s="24"/>
      <c r="C13" s="24"/>
      <c r="D13" s="24"/>
      <c r="E13" s="23"/>
      <c r="F13" s="11"/>
      <c r="G13" s="274">
        <f>SUM(G10:G12)</f>
        <v>162000000</v>
      </c>
      <c r="H13" s="274">
        <f>SUM(H10:H12)</f>
        <v>45000000</v>
      </c>
      <c r="I13" s="274">
        <f>SUM(I9:I12)</f>
        <v>0</v>
      </c>
      <c r="J13" s="274">
        <f>SUM(J9:J12)</f>
        <v>0</v>
      </c>
      <c r="K13" s="274">
        <f>SUM(K9:K12)</f>
        <v>0</v>
      </c>
      <c r="L13" s="274">
        <f>SUM(L9:L12)</f>
        <v>0</v>
      </c>
      <c r="M13" s="274">
        <f>SUM(M9:M12)</f>
        <v>0</v>
      </c>
      <c r="N13" s="296">
        <f>SUM(N10:N12)</f>
        <v>207000000</v>
      </c>
      <c r="O13" s="282">
        <f>O10+O11+O12</f>
        <v>756006</v>
      </c>
      <c r="P13" s="284">
        <f>P10+P11+P12</f>
        <v>524686</v>
      </c>
      <c r="Q13" s="292">
        <f>Q10+Q11+Q12</f>
        <v>50000</v>
      </c>
      <c r="R13" s="284">
        <f>SUM(R9:R12)</f>
        <v>5633354</v>
      </c>
      <c r="S13" s="284">
        <f>SUM(S9:S12)</f>
        <v>0</v>
      </c>
      <c r="T13" s="286">
        <f>SUM(T9:T12)</f>
        <v>0</v>
      </c>
      <c r="U13" s="274">
        <f>SUM(U9:U12)</f>
        <v>30559709</v>
      </c>
      <c r="V13" s="289">
        <f>SUM(V10:V12)</f>
        <v>200035954</v>
      </c>
      <c r="W13" s="56"/>
      <c r="X13" s="10"/>
      <c r="Y13" s="10"/>
    </row>
    <row r="14" spans="2:27" ht="10.5" customHeight="1" thickBot="1" x14ac:dyDescent="0.3">
      <c r="B14" s="25"/>
      <c r="C14" s="25"/>
      <c r="D14" s="25"/>
      <c r="E14" s="26"/>
      <c r="F14" s="27"/>
      <c r="G14" s="275"/>
      <c r="H14" s="275"/>
      <c r="I14" s="275"/>
      <c r="J14" s="275"/>
      <c r="K14" s="275"/>
      <c r="L14" s="275"/>
      <c r="M14" s="275"/>
      <c r="N14" s="280"/>
      <c r="O14" s="283"/>
      <c r="P14" s="285"/>
      <c r="Q14" s="293"/>
      <c r="R14" s="285"/>
      <c r="S14" s="285"/>
      <c r="T14" s="285"/>
      <c r="U14" s="275"/>
      <c r="V14" s="290"/>
      <c r="W14" s="56"/>
      <c r="X14" s="10">
        <f>X10+X11+X12</f>
        <v>6964046</v>
      </c>
      <c r="Y14" s="42">
        <f>N13-X14</f>
        <v>200035954</v>
      </c>
      <c r="Z14" s="10"/>
    </row>
    <row r="15" spans="2:27" ht="6.75" customHeight="1" thickTop="1" x14ac:dyDescent="0.2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25</v>
      </c>
    </row>
    <row r="16" spans="2:27" ht="12.75" customHeight="1" x14ac:dyDescent="0.25">
      <c r="B16" s="17"/>
      <c r="C16" s="13"/>
      <c r="D16" s="13"/>
      <c r="E16" s="13"/>
      <c r="F16" s="13"/>
      <c r="G16" s="13"/>
      <c r="H16" s="13"/>
      <c r="I16" s="13"/>
      <c r="J16" s="1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25">
      <c r="B17" s="14"/>
      <c r="C17" s="197"/>
      <c r="D17" s="197"/>
      <c r="E17" s="13"/>
      <c r="F17" s="13"/>
      <c r="G17" s="13"/>
      <c r="H17" s="15"/>
      <c r="I17" s="15"/>
      <c r="J17" s="15"/>
      <c r="K17" s="7"/>
      <c r="L17" s="7"/>
      <c r="M17" s="7"/>
      <c r="N17" s="6"/>
      <c r="O17" s="43"/>
      <c r="P17" s="281" t="s">
        <v>154</v>
      </c>
      <c r="Q17" s="281"/>
      <c r="R17" s="281"/>
      <c r="S17" s="281"/>
      <c r="T17" s="281"/>
      <c r="U17" s="43"/>
      <c r="V17" s="43"/>
      <c r="W17" s="43"/>
      <c r="X17" s="10"/>
    </row>
    <row r="18" spans="2:27" ht="15" customHeight="1" x14ac:dyDescent="0.25">
      <c r="B18" s="13"/>
      <c r="C18" s="197"/>
      <c r="D18" s="197"/>
      <c r="E18" s="13"/>
      <c r="F18" s="13"/>
      <c r="G18" s="13"/>
      <c r="H18" s="13"/>
      <c r="I18" s="13"/>
      <c r="J18" s="13"/>
      <c r="K18" s="6"/>
      <c r="L18" s="6" t="s">
        <v>25</v>
      </c>
      <c r="M18" s="6"/>
      <c r="N18" s="6"/>
      <c r="O18" s="43"/>
      <c r="P18" s="281" t="s">
        <v>20</v>
      </c>
      <c r="Q18" s="281"/>
      <c r="R18" s="281"/>
      <c r="S18" s="281"/>
      <c r="T18" s="281"/>
      <c r="U18" s="43"/>
      <c r="V18" s="43"/>
      <c r="W18" s="43"/>
      <c r="X18" s="10" t="e">
        <f>P9+#REF!+#REF!+#REF!+#REF!+#REF!+#REF!+#REF!+#REF!</f>
        <v>#REF!</v>
      </c>
      <c r="AA18" s="10">
        <f>G13+H13+I13+J13+K13+L13+M13</f>
        <v>207000000</v>
      </c>
    </row>
    <row r="19" spans="2:27" ht="3.75" customHeight="1" x14ac:dyDescent="0.25">
      <c r="B19" s="13"/>
      <c r="C19" s="197"/>
      <c r="D19" s="197"/>
      <c r="E19" s="13"/>
      <c r="F19" s="13"/>
      <c r="G19" s="13"/>
      <c r="H19" s="13"/>
      <c r="I19" s="13"/>
      <c r="J19" s="13"/>
      <c r="K19" s="6"/>
      <c r="L19" s="6"/>
      <c r="M19" s="6"/>
      <c r="N19" s="6"/>
      <c r="O19" s="281"/>
      <c r="P19" s="281"/>
      <c r="Q19" s="281"/>
      <c r="R19" s="281"/>
      <c r="S19" s="281"/>
      <c r="T19" s="281"/>
      <c r="U19" s="281"/>
      <c r="V19" s="281"/>
      <c r="W19" s="116"/>
    </row>
    <row r="20" spans="2:27" ht="18.75" customHeight="1" x14ac:dyDescent="0.25">
      <c r="B20" s="14"/>
      <c r="C20" s="197"/>
      <c r="D20" s="197"/>
      <c r="E20" s="13"/>
      <c r="F20" s="13"/>
      <c r="G20" s="13"/>
      <c r="H20" s="13"/>
      <c r="I20" s="13"/>
      <c r="J20" s="1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2:27" ht="18.75" customHeight="1" x14ac:dyDescent="0.25">
      <c r="B21" s="14"/>
      <c r="C21" s="197"/>
      <c r="D21" s="197"/>
      <c r="E21" s="13"/>
      <c r="F21" s="13"/>
      <c r="G21" s="13"/>
      <c r="H21" s="13"/>
      <c r="I21" s="13"/>
      <c r="J21" s="1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2">
      <c r="B22" s="16"/>
      <c r="C22" s="197"/>
      <c r="D22" s="197"/>
      <c r="E22" s="13"/>
      <c r="F22" s="13"/>
      <c r="G22" s="13"/>
      <c r="H22" s="13"/>
      <c r="I22" s="13"/>
      <c r="J22" s="13"/>
    </row>
    <row r="23" spans="2:27" ht="13.5" customHeight="1" x14ac:dyDescent="0.2">
      <c r="B23" s="16"/>
      <c r="C23" s="13"/>
      <c r="D23" s="13"/>
      <c r="E23" s="13"/>
      <c r="F23" s="13"/>
      <c r="G23" s="13"/>
      <c r="H23" s="13"/>
      <c r="I23" s="13"/>
      <c r="J23" s="13"/>
      <c r="P23" s="297" t="s">
        <v>132</v>
      </c>
      <c r="Q23" s="297"/>
      <c r="R23" s="297"/>
      <c r="S23" s="297"/>
      <c r="T23" s="297"/>
    </row>
    <row r="24" spans="2:27" ht="15" x14ac:dyDescent="0.25">
      <c r="C24" s="6"/>
      <c r="D24" s="6"/>
      <c r="E24" s="6" t="s">
        <v>104</v>
      </c>
    </row>
    <row r="25" spans="2:27" ht="15" x14ac:dyDescent="0.25">
      <c r="C25" s="6"/>
      <c r="D25" s="6"/>
      <c r="E25" s="6"/>
    </row>
    <row r="26" spans="2:27" ht="15" x14ac:dyDescent="0.25">
      <c r="C26" s="6"/>
      <c r="D26" s="6"/>
      <c r="E26" s="6"/>
    </row>
    <row r="27" spans="2:27" ht="15" x14ac:dyDescent="0.25">
      <c r="C27" s="6"/>
      <c r="D27" s="6"/>
      <c r="E27" s="6"/>
    </row>
  </sheetData>
  <mergeCells count="44">
    <mergeCell ref="P23:T23"/>
    <mergeCell ref="P17:T17"/>
    <mergeCell ref="P18:T18"/>
    <mergeCell ref="O19:V19"/>
    <mergeCell ref="O13:O14"/>
    <mergeCell ref="P13:P14"/>
    <mergeCell ref="R13:R14"/>
    <mergeCell ref="S13:S14"/>
    <mergeCell ref="T13:T14"/>
    <mergeCell ref="U13:U14"/>
    <mergeCell ref="Q13:Q14"/>
    <mergeCell ref="G13:G14"/>
    <mergeCell ref="H13:H14"/>
    <mergeCell ref="I13:I14"/>
    <mergeCell ref="J13:J14"/>
    <mergeCell ref="K13:K14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58" orientation="landscape" r:id="rId1"/>
  <ignoredErrors>
    <ignoredError sqref="R13 T13" formulaRange="1"/>
    <ignoredError sqref="V1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0"/>
  <sheetViews>
    <sheetView tabSelected="1" zoomScale="90" zoomScaleNormal="90" workbookViewId="0">
      <pane xSplit="4" topLeftCell="P1" activePane="topRight" state="frozen"/>
      <selection pane="topRight" activeCell="D15" sqref="D15"/>
    </sheetView>
  </sheetViews>
  <sheetFormatPr defaultRowHeight="12.75" x14ac:dyDescent="0.2"/>
  <cols>
    <col min="1" max="1" width="2.7109375" customWidth="1"/>
    <col min="2" max="2" width="3.85546875" customWidth="1"/>
    <col min="3" max="3" width="27.85546875" customWidth="1"/>
    <col min="4" max="4" width="31.42578125" customWidth="1"/>
    <col min="5" max="5" width="22.5703125" customWidth="1"/>
    <col min="6" max="6" width="8.140625" customWidth="1"/>
    <col min="7" max="11" width="15.7109375" customWidth="1"/>
    <col min="12" max="12" width="12.5703125" hidden="1" customWidth="1"/>
    <col min="13" max="13" width="12.28515625" hidden="1" customWidth="1"/>
    <col min="14" max="15" width="11.42578125" hidden="1" customWidth="1"/>
    <col min="16" max="16" width="11.7109375" customWidth="1"/>
    <col min="17" max="17" width="12.5703125" hidden="1" customWidth="1"/>
    <col min="18" max="18" width="12.85546875" customWidth="1"/>
    <col min="19" max="19" width="2.7109375" customWidth="1"/>
    <col min="20" max="23" width="13.28515625" bestFit="1" customWidth="1"/>
  </cols>
  <sheetData>
    <row r="1" spans="2:22" ht="40.5" customHeight="1" x14ac:dyDescent="0.25">
      <c r="B1" s="6"/>
      <c r="C1" s="6"/>
      <c r="D1" s="6"/>
      <c r="E1" s="6" t="s">
        <v>25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">
      <c r="B2" s="260" t="s">
        <v>116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118"/>
    </row>
    <row r="3" spans="2:22" ht="12.75" customHeight="1" x14ac:dyDescent="0.2">
      <c r="B3" s="261" t="s">
        <v>153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119"/>
    </row>
    <row r="4" spans="2:22" ht="6" customHeight="1" x14ac:dyDescent="0.2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">
      <c r="B5" s="241" t="s">
        <v>4</v>
      </c>
      <c r="C5" s="241" t="s">
        <v>46</v>
      </c>
      <c r="D5" s="241" t="s">
        <v>9</v>
      </c>
      <c r="E5" s="241" t="s">
        <v>0</v>
      </c>
      <c r="F5" s="241" t="s">
        <v>2</v>
      </c>
      <c r="G5" s="301" t="s">
        <v>171</v>
      </c>
      <c r="H5" s="241" t="s">
        <v>7</v>
      </c>
      <c r="I5" s="241" t="s">
        <v>173</v>
      </c>
      <c r="J5" s="301" t="s">
        <v>172</v>
      </c>
      <c r="K5" s="254" t="s">
        <v>47</v>
      </c>
      <c r="L5" s="256" t="s">
        <v>60</v>
      </c>
      <c r="M5" s="241" t="s">
        <v>42</v>
      </c>
      <c r="N5" s="241" t="s">
        <v>73</v>
      </c>
      <c r="O5" s="241" t="s">
        <v>37</v>
      </c>
      <c r="P5" s="301" t="s">
        <v>174</v>
      </c>
      <c r="Q5" s="241" t="s">
        <v>28</v>
      </c>
      <c r="R5" s="241" t="s">
        <v>59</v>
      </c>
      <c r="S5" s="57"/>
    </row>
    <row r="6" spans="2:22" ht="36" customHeight="1" thickBot="1" x14ac:dyDescent="0.25">
      <c r="B6" s="242"/>
      <c r="C6" s="273"/>
      <c r="D6" s="273"/>
      <c r="E6" s="273"/>
      <c r="F6" s="273"/>
      <c r="G6" s="303"/>
      <c r="H6" s="242"/>
      <c r="I6" s="242"/>
      <c r="J6" s="302"/>
      <c r="K6" s="255"/>
      <c r="L6" s="257"/>
      <c r="M6" s="242"/>
      <c r="N6" s="242"/>
      <c r="O6" s="242"/>
      <c r="P6" s="302"/>
      <c r="Q6" s="242"/>
      <c r="R6" s="242"/>
      <c r="S6" s="57"/>
    </row>
    <row r="7" spans="2:22" s="12" customFormat="1" ht="9.75" customHeight="1" x14ac:dyDescent="0.2">
      <c r="B7" s="66">
        <v>1</v>
      </c>
      <c r="C7" s="66">
        <v>2</v>
      </c>
      <c r="D7" s="66">
        <v>3</v>
      </c>
      <c r="E7" s="67">
        <v>6</v>
      </c>
      <c r="F7" s="67">
        <v>7</v>
      </c>
      <c r="G7" s="66">
        <v>8</v>
      </c>
      <c r="H7" s="66">
        <v>9</v>
      </c>
      <c r="I7" s="66">
        <v>10</v>
      </c>
      <c r="J7" s="66">
        <v>13</v>
      </c>
      <c r="K7" s="68" t="s">
        <v>98</v>
      </c>
      <c r="L7" s="69">
        <v>15</v>
      </c>
      <c r="M7" s="67">
        <v>16</v>
      </c>
      <c r="N7" s="67">
        <v>17</v>
      </c>
      <c r="O7" s="67">
        <v>18</v>
      </c>
      <c r="P7" s="67">
        <v>19</v>
      </c>
      <c r="Q7" s="67">
        <v>18</v>
      </c>
      <c r="R7" s="67" t="s">
        <v>97</v>
      </c>
      <c r="S7" s="52"/>
    </row>
    <row r="8" spans="2:22" s="12" customFormat="1" ht="18.75" customHeight="1" x14ac:dyDescent="0.25">
      <c r="B8" s="64">
        <v>1</v>
      </c>
      <c r="C8" s="61" t="s">
        <v>125</v>
      </c>
      <c r="D8" s="61" t="s">
        <v>45</v>
      </c>
      <c r="E8" s="58" t="s">
        <v>88</v>
      </c>
      <c r="F8" s="60" t="s">
        <v>27</v>
      </c>
      <c r="G8" s="63">
        <f>45%*60000000</f>
        <v>27000000</v>
      </c>
      <c r="H8" s="18">
        <v>0</v>
      </c>
      <c r="I8" s="19">
        <v>0</v>
      </c>
      <c r="J8" s="19">
        <v>0</v>
      </c>
      <c r="K8" s="62">
        <f>SUM(G8:J8)</f>
        <v>27000000</v>
      </c>
      <c r="L8" s="114">
        <v>0</v>
      </c>
      <c r="M8" s="114">
        <v>0</v>
      </c>
      <c r="N8" s="108">
        <v>0</v>
      </c>
      <c r="O8" s="114">
        <v>0</v>
      </c>
      <c r="P8" s="114">
        <v>0</v>
      </c>
      <c r="Q8" s="20">
        <v>1720000</v>
      </c>
      <c r="R8" s="109">
        <f>K8-(L8+M8+N8+O8+P8)</f>
        <v>27000000</v>
      </c>
      <c r="S8" s="53"/>
      <c r="U8" s="10">
        <f>K8-L8-M8-O8-P8</f>
        <v>27000000</v>
      </c>
    </row>
    <row r="9" spans="2:22" s="12" customFormat="1" ht="18.75" customHeight="1" x14ac:dyDescent="0.2">
      <c r="B9" s="65">
        <v>2</v>
      </c>
      <c r="C9" s="41" t="s">
        <v>128</v>
      </c>
      <c r="D9" s="41" t="s">
        <v>39</v>
      </c>
      <c r="E9" s="59" t="s">
        <v>68</v>
      </c>
      <c r="F9" s="71" t="s">
        <v>19</v>
      </c>
      <c r="G9" s="72">
        <f>90%*G8</f>
        <v>24300000</v>
      </c>
      <c r="H9" s="19">
        <v>0</v>
      </c>
      <c r="I9" s="19">
        <v>0</v>
      </c>
      <c r="J9" s="19">
        <f>20%*G9</f>
        <v>4860000</v>
      </c>
      <c r="K9" s="73">
        <f>SUM(G9:J9)</f>
        <v>29160000</v>
      </c>
      <c r="L9" s="115">
        <v>0</v>
      </c>
      <c r="M9" s="115">
        <v>0</v>
      </c>
      <c r="N9" s="108">
        <v>0</v>
      </c>
      <c r="O9" s="115">
        <v>0</v>
      </c>
      <c r="P9" s="115">
        <v>0</v>
      </c>
      <c r="Q9" s="20"/>
      <c r="R9" s="110">
        <f>K9-(L9+M9+N9+O9+P9)</f>
        <v>29160000</v>
      </c>
      <c r="S9" s="53"/>
      <c r="U9" s="10"/>
    </row>
    <row r="10" spans="2:22" ht="20.100000000000001" customHeight="1" x14ac:dyDescent="0.2">
      <c r="B10" s="65">
        <v>3</v>
      </c>
      <c r="C10" s="132" t="s">
        <v>23</v>
      </c>
      <c r="D10" s="132" t="s">
        <v>40</v>
      </c>
      <c r="E10" s="133" t="s">
        <v>24</v>
      </c>
      <c r="F10" s="134" t="s">
        <v>18</v>
      </c>
      <c r="G10" s="211">
        <f>90%*G8</f>
        <v>24300000</v>
      </c>
      <c r="H10" s="136">
        <v>0</v>
      </c>
      <c r="I10" s="136">
        <v>0</v>
      </c>
      <c r="J10" s="18">
        <f>20%*G10</f>
        <v>4860000</v>
      </c>
      <c r="K10" s="137">
        <f>SUM(G10:J10)</f>
        <v>29160000</v>
      </c>
      <c r="L10" s="114">
        <v>0</v>
      </c>
      <c r="M10" s="231">
        <v>0</v>
      </c>
      <c r="N10" s="219">
        <v>0</v>
      </c>
      <c r="O10" s="231">
        <v>0</v>
      </c>
      <c r="P10" s="231">
        <v>0</v>
      </c>
      <c r="Q10" s="21">
        <v>3790000</v>
      </c>
      <c r="R10" s="230">
        <f>K10-(L10+M10+N10+O10+P10)</f>
        <v>29160000</v>
      </c>
      <c r="S10" s="54"/>
      <c r="U10" s="10">
        <f>K10-L10-M10-O10-P10</f>
        <v>29160000</v>
      </c>
    </row>
    <row r="11" spans="2:22" ht="20.100000000000001" customHeight="1" x14ac:dyDescent="0.2">
      <c r="B11" s="233">
        <v>4</v>
      </c>
      <c r="C11" s="235" t="s">
        <v>156</v>
      </c>
      <c r="D11" s="235" t="s">
        <v>26</v>
      </c>
      <c r="E11" s="236" t="s">
        <v>160</v>
      </c>
      <c r="F11" s="237" t="s">
        <v>161</v>
      </c>
      <c r="G11" s="238">
        <v>9000000</v>
      </c>
      <c r="H11" s="239">
        <v>0</v>
      </c>
      <c r="I11" s="120">
        <v>450000</v>
      </c>
      <c r="J11" s="239">
        <v>0</v>
      </c>
      <c r="K11" s="240">
        <f>G11+H11+I11+J11</f>
        <v>9450000</v>
      </c>
      <c r="L11" s="216"/>
      <c r="M11" s="217"/>
      <c r="N11" s="111"/>
      <c r="O11" s="217"/>
      <c r="P11" s="217">
        <v>0</v>
      </c>
      <c r="Q11" s="22"/>
      <c r="R11" s="232">
        <f>G11+H11+I11+J11</f>
        <v>9450000</v>
      </c>
      <c r="S11" s="54"/>
      <c r="U11" s="10"/>
    </row>
    <row r="12" spans="2:22" ht="10.5" customHeight="1" x14ac:dyDescent="0.25">
      <c r="B12" s="24"/>
      <c r="C12" s="24"/>
      <c r="D12" s="24"/>
      <c r="E12" s="23"/>
      <c r="F12" s="11"/>
      <c r="G12" s="274">
        <f>SUM(G8:G11)</f>
        <v>84600000</v>
      </c>
      <c r="H12" s="274">
        <f>SUM(H8:H10)</f>
        <v>0</v>
      </c>
      <c r="I12" s="274">
        <f>I11</f>
        <v>450000</v>
      </c>
      <c r="J12" s="274">
        <f>SUM(J8:J11)</f>
        <v>9720000</v>
      </c>
      <c r="K12" s="296">
        <f>SUM(K8:K11)</f>
        <v>94770000</v>
      </c>
      <c r="L12" s="298">
        <v>0</v>
      </c>
      <c r="M12" s="284">
        <f>SUM(M10:M10)</f>
        <v>0</v>
      </c>
      <c r="N12" s="284">
        <f>SUM(N10:N10)</f>
        <v>0</v>
      </c>
      <c r="O12" s="284">
        <f>SUM(O10:O10)</f>
        <v>0</v>
      </c>
      <c r="P12" s="286">
        <f>SUM(P10:P10)</f>
        <v>0</v>
      </c>
      <c r="Q12" s="274">
        <f>SUM(Q10:Q10)</f>
        <v>3790000</v>
      </c>
      <c r="R12" s="289">
        <f>SUM(R8:R11)</f>
        <v>94770000</v>
      </c>
      <c r="S12" s="56"/>
      <c r="T12" s="10" t="e">
        <f>SUM(#REF!)</f>
        <v>#REF!</v>
      </c>
      <c r="U12" s="10">
        <f>SUM(U8:U10)</f>
        <v>56160000</v>
      </c>
    </row>
    <row r="13" spans="2:22" ht="10.5" customHeight="1" thickBot="1" x14ac:dyDescent="0.3">
      <c r="B13" s="25"/>
      <c r="C13" s="25"/>
      <c r="D13" s="25"/>
      <c r="E13" s="26"/>
      <c r="F13" s="27"/>
      <c r="G13" s="275"/>
      <c r="H13" s="275"/>
      <c r="I13" s="275"/>
      <c r="J13" s="275"/>
      <c r="K13" s="280"/>
      <c r="L13" s="299"/>
      <c r="M13" s="285"/>
      <c r="N13" s="285"/>
      <c r="O13" s="285"/>
      <c r="P13" s="300"/>
      <c r="Q13" s="275"/>
      <c r="R13" s="290"/>
      <c r="S13" s="56"/>
      <c r="T13" s="10">
        <f>L12+M12+N12+O12+P12</f>
        <v>0</v>
      </c>
      <c r="U13" s="42">
        <f>K12-T13</f>
        <v>94770000</v>
      </c>
      <c r="V13" s="10"/>
    </row>
    <row r="14" spans="2:22" ht="6.75" customHeight="1" thickTop="1" x14ac:dyDescent="0.25">
      <c r="B14" s="6"/>
      <c r="C14" s="6"/>
      <c r="D14" s="6"/>
      <c r="E14" s="6"/>
      <c r="F14" s="6"/>
      <c r="G14" s="6"/>
      <c r="H14" s="6"/>
      <c r="I14" s="7"/>
      <c r="J14" s="6"/>
      <c r="K14" s="7"/>
      <c r="L14" s="6"/>
      <c r="M14" s="6"/>
      <c r="N14" s="6"/>
      <c r="O14" s="6"/>
      <c r="P14" s="6"/>
      <c r="Q14" s="6"/>
      <c r="R14" s="6"/>
      <c r="S14" s="6"/>
      <c r="T14" t="s">
        <v>25</v>
      </c>
    </row>
    <row r="15" spans="2:22" ht="15" x14ac:dyDescent="0.25">
      <c r="C15" s="6"/>
      <c r="D15" s="6"/>
      <c r="E15" s="6" t="s">
        <v>104</v>
      </c>
    </row>
    <row r="16" spans="2:22" ht="15" x14ac:dyDescent="0.25">
      <c r="C16" s="6"/>
      <c r="D16" s="6"/>
      <c r="E16" s="6"/>
      <c r="K16" s="281" t="s">
        <v>157</v>
      </c>
      <c r="L16" s="281"/>
      <c r="M16" s="281"/>
      <c r="N16" s="281"/>
      <c r="O16" s="281"/>
      <c r="P16" s="281"/>
      <c r="Q16" s="281"/>
      <c r="R16" s="281"/>
    </row>
    <row r="17" spans="3:18" ht="15" x14ac:dyDescent="0.25">
      <c r="C17" s="6"/>
      <c r="D17" s="6"/>
      <c r="E17" s="6"/>
      <c r="K17" s="281" t="s">
        <v>20</v>
      </c>
      <c r="L17" s="281"/>
      <c r="M17" s="281"/>
      <c r="N17" s="281"/>
      <c r="O17" s="281"/>
      <c r="P17" s="281"/>
      <c r="Q17" s="281"/>
      <c r="R17" s="281"/>
    </row>
    <row r="18" spans="3:18" ht="28.5" customHeight="1" x14ac:dyDescent="0.25">
      <c r="N18" s="8"/>
      <c r="O18" s="8"/>
      <c r="P18" s="8"/>
      <c r="Q18" s="8"/>
    </row>
    <row r="19" spans="3:18" ht="28.5" customHeight="1" x14ac:dyDescent="0.25">
      <c r="N19" s="8"/>
      <c r="O19" s="8"/>
      <c r="P19" s="8"/>
      <c r="Q19" s="8"/>
    </row>
    <row r="20" spans="3:18" ht="15" x14ac:dyDescent="0.25">
      <c r="K20" s="294" t="s">
        <v>132</v>
      </c>
      <c r="L20" s="294"/>
      <c r="M20" s="294"/>
      <c r="N20" s="294"/>
      <c r="O20" s="294"/>
      <c r="P20" s="294"/>
      <c r="Q20" s="294"/>
      <c r="R20" s="294"/>
    </row>
  </sheetData>
  <mergeCells count="34">
    <mergeCell ref="K17:R17"/>
    <mergeCell ref="R12:R13"/>
    <mergeCell ref="K16:R16"/>
    <mergeCell ref="L12:L13"/>
    <mergeCell ref="M12:M13"/>
    <mergeCell ref="N12:N13"/>
    <mergeCell ref="O12:O13"/>
    <mergeCell ref="P12:P13"/>
    <mergeCell ref="Q12:Q13"/>
    <mergeCell ref="Q5:Q6"/>
    <mergeCell ref="O5:O6"/>
    <mergeCell ref="N5:N6"/>
    <mergeCell ref="R5:R6"/>
    <mergeCell ref="G12:G13"/>
    <mergeCell ref="H12:H13"/>
    <mergeCell ref="I12:I13"/>
    <mergeCell ref="J12:J13"/>
    <mergeCell ref="K12:K13"/>
    <mergeCell ref="K20:R20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NET PEG PELINDO DIPERBANTUKAN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Fahmi</cp:lastModifiedBy>
  <cp:lastPrinted>2021-05-28T08:23:47Z</cp:lastPrinted>
  <dcterms:created xsi:type="dcterms:W3CDTF">1999-12-02T03:49:52Z</dcterms:created>
  <dcterms:modified xsi:type="dcterms:W3CDTF">2022-04-27T07:50:25Z</dcterms:modified>
</cp:coreProperties>
</file>