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13_ncr:1_{A335E620-8A0F-4DCF-8EC1-72078EA12189}" xr6:coauthVersionLast="36" xr6:coauthVersionMax="36" xr10:uidLastSave="{00000000-0000-0000-0000-000000000000}"/>
  <bookViews>
    <workbookView xWindow="0" yWindow="0" windowWidth="19200" windowHeight="6810" tabRatio="661" firstSheet="1" activeTab="3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KOMISARIS'!$B$1:$Q$20</definedName>
    <definedName name="_xlnm.Print_Area" localSheetId="3">'NET PEG PELINDO DIPERBANTUKAN'!$A$1:$Y$33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AC9" i="59" l="1"/>
  <c r="AC11" i="59"/>
  <c r="AC12" i="59"/>
  <c r="AC13" i="59"/>
  <c r="AC14" i="59"/>
  <c r="AC15" i="59"/>
  <c r="AC16" i="59"/>
  <c r="AC17" i="59"/>
  <c r="AC8" i="59"/>
  <c r="W40" i="59"/>
  <c r="T41" i="68"/>
  <c r="T42" i="68" s="1"/>
  <c r="T43" i="68" s="1"/>
  <c r="S45" i="68" s="1"/>
  <c r="S44" i="68" s="1"/>
  <c r="AC12" i="68"/>
  <c r="AC13" i="68"/>
  <c r="AC14" i="68"/>
  <c r="AC19" i="68"/>
  <c r="AC21" i="68"/>
  <c r="AC22" i="68"/>
  <c r="AC10" i="68"/>
  <c r="S12" i="68"/>
  <c r="S13" i="68"/>
  <c r="S14" i="68"/>
  <c r="S19" i="68"/>
  <c r="S21" i="68"/>
  <c r="S22" i="68"/>
  <c r="S10" i="68"/>
  <c r="T12" i="68"/>
  <c r="T13" i="68"/>
  <c r="T14" i="68"/>
  <c r="T19" i="68"/>
  <c r="T21" i="68"/>
  <c r="T22" i="68"/>
  <c r="T10" i="68"/>
  <c r="S9" i="59"/>
  <c r="S11" i="59"/>
  <c r="S12" i="59"/>
  <c r="S13" i="59"/>
  <c r="S14" i="59"/>
  <c r="S15" i="59"/>
  <c r="S16" i="59"/>
  <c r="S17" i="59"/>
  <c r="S8" i="59"/>
  <c r="V20" i="59"/>
  <c r="T9" i="59"/>
  <c r="T11" i="59"/>
  <c r="T12" i="59"/>
  <c r="T13" i="59"/>
  <c r="T14" i="59"/>
  <c r="T15" i="59"/>
  <c r="T16" i="59"/>
  <c r="T17" i="59"/>
  <c r="T8" i="59"/>
  <c r="W41" i="59" l="1"/>
  <c r="J11" i="64"/>
  <c r="Q11" i="64" s="1"/>
  <c r="W42" i="59" l="1"/>
  <c r="V44" i="59" s="1"/>
  <c r="V43" i="59" s="1"/>
  <c r="U28" i="64"/>
  <c r="F57" i="68" l="1"/>
  <c r="Q17" i="59"/>
  <c r="Q16" i="59"/>
  <c r="Q14" i="59"/>
  <c r="Q13" i="59"/>
  <c r="Q12" i="59"/>
  <c r="V23" i="68" l="1"/>
  <c r="R23" i="68"/>
  <c r="U22" i="68"/>
  <c r="AB22" i="68" s="1"/>
  <c r="U21" i="68"/>
  <c r="AB21" i="68" s="1"/>
  <c r="U19" i="68"/>
  <c r="AB19" i="68" s="1"/>
  <c r="U14" i="68"/>
  <c r="AB14" i="68" s="1"/>
  <c r="U13" i="68"/>
  <c r="AB13" i="68" s="1"/>
  <c r="U12" i="68"/>
  <c r="AB12" i="68" s="1"/>
  <c r="U10" i="68"/>
  <c r="X10" i="68" l="1"/>
  <c r="AB10" i="68"/>
  <c r="X19" i="68"/>
  <c r="X22" i="68"/>
  <c r="X13" i="68"/>
  <c r="X14" i="68"/>
  <c r="X21" i="68"/>
  <c r="X12" i="68"/>
  <c r="W23" i="68"/>
  <c r="Z19" i="59"/>
  <c r="W19" i="59"/>
  <c r="U17" i="59"/>
  <c r="AB17" i="59" s="1"/>
  <c r="U16" i="59"/>
  <c r="AB16" i="59" s="1"/>
  <c r="U15" i="59"/>
  <c r="AB15" i="59" s="1"/>
  <c r="U14" i="59"/>
  <c r="AB14" i="59" s="1"/>
  <c r="R14" i="59"/>
  <c r="R20" i="59" s="1"/>
  <c r="U13" i="59"/>
  <c r="AB13" i="59" s="1"/>
  <c r="U12" i="59"/>
  <c r="AB12" i="59" s="1"/>
  <c r="U11" i="59"/>
  <c r="AB11" i="59" s="1"/>
  <c r="U9" i="59"/>
  <c r="U8" i="59"/>
  <c r="W9" i="59" l="1"/>
  <c r="AB9" i="59"/>
  <c r="W8" i="59"/>
  <c r="AB8" i="59"/>
  <c r="Z8" i="59"/>
  <c r="Z9" i="59"/>
  <c r="N23" i="68" l="1"/>
  <c r="M23" i="68"/>
  <c r="L23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J13" i="67" l="1"/>
  <c r="X12" i="63" l="1"/>
  <c r="X11" i="63"/>
  <c r="Q13" i="63"/>
  <c r="P13" i="63"/>
  <c r="O13" i="63"/>
  <c r="X10" i="63"/>
  <c r="X14" i="63" l="1"/>
  <c r="O10" i="68" l="1"/>
  <c r="Y10" i="68" s="1"/>
  <c r="AA10" i="68" l="1"/>
  <c r="N11" i="63"/>
  <c r="V11" i="63" s="1"/>
  <c r="J12" i="65" l="1"/>
  <c r="Y11" i="63"/>
  <c r="M10" i="59"/>
  <c r="M11" i="59" l="1"/>
  <c r="W11" i="59" l="1"/>
  <c r="Z11" i="59"/>
  <c r="M12" i="59"/>
  <c r="J10" i="58"/>
  <c r="Z12" i="59" l="1"/>
  <c r="W12" i="59"/>
  <c r="M13" i="59"/>
  <c r="N10" i="63"/>
  <c r="V10" i="63" s="1"/>
  <c r="Y10" i="63" l="1"/>
  <c r="J11" i="65"/>
  <c r="M14" i="59"/>
  <c r="P23" i="68"/>
  <c r="M15" i="59" l="1"/>
  <c r="Z15" i="59" l="1"/>
  <c r="W15" i="59"/>
  <c r="M16" i="59"/>
  <c r="G9" i="63"/>
  <c r="H9" i="63"/>
  <c r="X9" i="63"/>
  <c r="Z9" i="63"/>
  <c r="N9" i="63" l="1"/>
  <c r="V9" i="63" s="1"/>
  <c r="M18" i="59"/>
  <c r="M17" i="59"/>
  <c r="Y9" i="63" l="1"/>
  <c r="M20" i="59"/>
  <c r="P20" i="59"/>
  <c r="O20" i="59" l="1"/>
  <c r="K18" i="68"/>
  <c r="AC18" i="68" s="1"/>
  <c r="K20" i="68"/>
  <c r="AC20" i="68" s="1"/>
  <c r="K16" i="68"/>
  <c r="AC16" i="68" s="1"/>
  <c r="K17" i="68"/>
  <c r="AC17" i="68" s="1"/>
  <c r="K15" i="68"/>
  <c r="AC15" i="68" s="1"/>
  <c r="K11" i="68"/>
  <c r="AC11" i="68" s="1"/>
  <c r="J16" i="68"/>
  <c r="J17" i="68"/>
  <c r="J11" i="68"/>
  <c r="I22" i="68"/>
  <c r="K9" i="68"/>
  <c r="O9" i="68" s="1"/>
  <c r="Y9" i="68" s="1"/>
  <c r="K10" i="59"/>
  <c r="AC10" i="59" s="1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L12" i="64"/>
  <c r="M12" i="64"/>
  <c r="N12" i="64"/>
  <c r="O12" i="64"/>
  <c r="P12" i="64"/>
  <c r="S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S10" i="59" l="1"/>
  <c r="T10" i="59"/>
  <c r="T17" i="68"/>
  <c r="S17" i="68"/>
  <c r="S11" i="68"/>
  <c r="T11" i="68"/>
  <c r="T16" i="68"/>
  <c r="S16" i="68"/>
  <c r="S15" i="68"/>
  <c r="T15" i="68"/>
  <c r="S20" i="68"/>
  <c r="T20" i="68"/>
  <c r="S18" i="68"/>
  <c r="T18" i="68"/>
  <c r="Q10" i="59"/>
  <c r="U16" i="68"/>
  <c r="U20" i="68"/>
  <c r="U15" i="68"/>
  <c r="U18" i="68"/>
  <c r="K23" i="68"/>
  <c r="U11" i="68"/>
  <c r="Q23" i="68"/>
  <c r="U17" i="68"/>
  <c r="U10" i="59"/>
  <c r="AA10" i="65"/>
  <c r="I14" i="68"/>
  <c r="J19" i="68"/>
  <c r="J13" i="68"/>
  <c r="Z12" i="69"/>
  <c r="G12" i="63"/>
  <c r="G13" i="63" s="1"/>
  <c r="S13" i="64"/>
  <c r="G10" i="64"/>
  <c r="G9" i="64"/>
  <c r="J8" i="64"/>
  <c r="O16" i="68"/>
  <c r="O20" i="68"/>
  <c r="O17" i="68"/>
  <c r="O11" i="68"/>
  <c r="O12" i="68"/>
  <c r="Y12" i="68" s="1"/>
  <c r="J10" i="65"/>
  <c r="L10" i="59"/>
  <c r="I17" i="59"/>
  <c r="I14" i="59"/>
  <c r="I12" i="59"/>
  <c r="I15" i="59"/>
  <c r="I13" i="59"/>
  <c r="L8" i="59"/>
  <c r="Y11" i="68" l="1"/>
  <c r="X11" i="68"/>
  <c r="AB10" i="59"/>
  <c r="Y20" i="68"/>
  <c r="D19" i="61" s="1"/>
  <c r="Y17" i="68"/>
  <c r="D15" i="61" s="1"/>
  <c r="Y16" i="68"/>
  <c r="D14" i="61" s="1"/>
  <c r="AB20" i="68"/>
  <c r="X20" i="68"/>
  <c r="AA20" i="68" s="1"/>
  <c r="AB15" i="68"/>
  <c r="AB16" i="68"/>
  <c r="AB18" i="68"/>
  <c r="AB11" i="68"/>
  <c r="AB17" i="68"/>
  <c r="S23" i="68"/>
  <c r="X18" i="68"/>
  <c r="X17" i="68"/>
  <c r="AA17" i="68" s="1"/>
  <c r="U23" i="68"/>
  <c r="T23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N17" i="59"/>
  <c r="D12" i="61"/>
  <c r="AA12" i="68"/>
  <c r="I23" i="68"/>
  <c r="O13" i="68"/>
  <c r="Y13" i="68" s="1"/>
  <c r="AA8" i="59"/>
  <c r="J14" i="68"/>
  <c r="J23" i="68" s="1"/>
  <c r="O19" i="68"/>
  <c r="Y19" i="68" s="1"/>
  <c r="L9" i="59"/>
  <c r="L11" i="59"/>
  <c r="X11" i="59" s="1"/>
  <c r="J18" i="59"/>
  <c r="N12" i="63"/>
  <c r="V12" i="63" s="1"/>
  <c r="Q8" i="64"/>
  <c r="I10" i="64"/>
  <c r="J10" i="64" s="1"/>
  <c r="T8" i="64"/>
  <c r="I9" i="64"/>
  <c r="O15" i="68"/>
  <c r="Y15" i="68" s="1"/>
  <c r="O22" i="68"/>
  <c r="Y22" i="68" s="1"/>
  <c r="O21" i="68"/>
  <c r="Y21" i="68" s="1"/>
  <c r="I18" i="59"/>
  <c r="I20" i="59" s="1"/>
  <c r="AA24" i="68" l="1"/>
  <c r="K42" i="68"/>
  <c r="F58" i="68"/>
  <c r="X23" i="68"/>
  <c r="I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AC18" i="59" s="1"/>
  <c r="N18" i="59"/>
  <c r="AA15" i="68"/>
  <c r="J11" i="58"/>
  <c r="AA22" i="68"/>
  <c r="D16" i="61"/>
  <c r="AA21" i="68"/>
  <c r="D11" i="61"/>
  <c r="D20" i="61"/>
  <c r="AA19" i="68"/>
  <c r="AA13" i="68"/>
  <c r="AA11" i="68"/>
  <c r="AA9" i="59"/>
  <c r="O14" i="68"/>
  <c r="Y14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J10" i="67"/>
  <c r="Q10" i="64"/>
  <c r="J12" i="67" s="1"/>
  <c r="T10" i="64"/>
  <c r="T12" i="64" s="1"/>
  <c r="J9" i="64"/>
  <c r="J12" i="64" s="1"/>
  <c r="S18" i="59" l="1"/>
  <c r="T18" i="59"/>
  <c r="T20" i="59" s="1"/>
  <c r="Q18" i="59"/>
  <c r="W16" i="59"/>
  <c r="Z16" i="59"/>
  <c r="AA16" i="59" s="1"/>
  <c r="W13" i="59"/>
  <c r="Z13" i="59"/>
  <c r="AA13" i="59" s="1"/>
  <c r="X16" i="59"/>
  <c r="J18" i="69" s="1"/>
  <c r="L19" i="59"/>
  <c r="N20" i="59"/>
  <c r="U18" i="59"/>
  <c r="U20" i="59" s="1"/>
  <c r="K20" i="59"/>
  <c r="J32" i="59" s="1"/>
  <c r="K43" i="68" s="1"/>
  <c r="X13" i="59"/>
  <c r="J14" i="69" s="1"/>
  <c r="Z14" i="59"/>
  <c r="AA14" i="59" s="1"/>
  <c r="W14" i="59"/>
  <c r="X14" i="59"/>
  <c r="J16" i="69" s="1"/>
  <c r="Y23" i="68"/>
  <c r="L18" i="59"/>
  <c r="AA17" i="59"/>
  <c r="AA12" i="59"/>
  <c r="AA14" i="68"/>
  <c r="O23" i="68"/>
  <c r="AA25" i="68" s="1"/>
  <c r="J21" i="69"/>
  <c r="J17" i="69"/>
  <c r="J20" i="69"/>
  <c r="AA15" i="59"/>
  <c r="J13" i="65"/>
  <c r="V13" i="63"/>
  <c r="D13" i="61"/>
  <c r="Q9" i="64"/>
  <c r="Q12" i="64" s="1"/>
  <c r="T13" i="64"/>
  <c r="N12" i="67"/>
  <c r="N14" i="67" s="1"/>
  <c r="O12" i="67"/>
  <c r="S20" i="59" l="1"/>
  <c r="AB18" i="59"/>
  <c r="Z18" i="59"/>
  <c r="AA18" i="59" s="1"/>
  <c r="AA19" i="59"/>
  <c r="X19" i="59"/>
  <c r="J15" i="69" s="1"/>
  <c r="L20" i="59"/>
  <c r="W18" i="59"/>
  <c r="W20" i="59" s="1"/>
  <c r="Q20" i="59"/>
  <c r="X18" i="59"/>
  <c r="AA27" i="68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2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<sst xmlns="http://schemas.openxmlformats.org/spreadsheetml/2006/main" count="553" uniqueCount="241">
  <si>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</si>
  <si>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</si>
  <si>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</si>
  <si>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</si>
  <si>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</si>
  <si>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</si>
  <si>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</si>
  <si>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</si>
  <si>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</si>
  <si>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</si>
  <si>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</si>
  <si>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</si>
  <si>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</si>
  <si>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</si>
  <si>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</si>
  <si>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</si>
  <si>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</si>
  <si>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</si>
  <si>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</si>
  <si>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</si>
  <si>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</si>
  <si>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</si>
  <si>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</si>
  <si>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</si>
  <si>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</si>
  <si>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</si>
  <si>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</si>
  <si>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</si>
  <si>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</si>
  <si>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</si>
  <si>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</si>
  <si>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</si>
  <si>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</si>
  <si>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</si>
  <si>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</si>
  <si>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</si>
  <si>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</si>
  <si>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</si>
  <si>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</si>
  <si>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</si>
  <si>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</si>
  <si>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</si>
  <si>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</si>
  <si>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</si>
  <si>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</si>
  <si>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</si>
  <si>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</si>
  <si>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</si>
  <si>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</si>
  <si>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</si>
  <si>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</si>
  <si>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</si>
  <si>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</si>
  <si>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</si>
  <si>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</si>
  <si>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</si>
  <si>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</si>
  <si>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</si>
  <si>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</si>
  <si>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</si>
  <si>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</si>
  <si>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</si>
  <si>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</si>
  <si>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</si>
  <si>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</si>
  <si>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</si>
  <si>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</si>
  <si>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</si>
  <si>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</si>
  <si>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</si>
  <si>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</si>
  <si>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</si>
  <si>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</si>
  <si>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</si>
  <si>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</si>
  <si>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</si>
  <si>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</si>
  <si>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</si>
  <si>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</si>
  <si>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</si>
  <si>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</si>
  <si>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</si>
  <si>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</si>
  <si>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</si>
  <si>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</si>
  <si>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</si>
  <si>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</si>
  <si>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</si>
  <si>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</si>
  <si>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</si>
  <si>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</si>
  <si>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</si>
  <si>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</si>
  <si>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</si>
  <si>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</si>
  <si>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</si>
  <si>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</si>
  <si>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</si>
  <si>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</si>
  <si>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</si>
  <si>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</si>
  <si>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</si>
  <si>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</si>
  <si>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</si>
  <si>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</si>
  <si>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</si>
  <si>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</si>
  <si>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</si>
  <si>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</si>
  <si>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</si>
  <si>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</si>
  <si>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</si>
  <si>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</si>
  <si>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</si>
  <si>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</si>
  <si>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</si>
  <si>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</si>
  <si>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</si>
  <si>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</si>
  <si>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</si>
  <si>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</si>
  <si>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</si>
  <si>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</si>
  <si>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</si>
  <si>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</si>
  <si>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</si>
  <si>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</si>
  <si>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</si>
  <si>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</si>
  <si>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</si>
  <si>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</si>
  <si>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</si>
  <si>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</si>
  <si>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</si>
  <si>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</si>
  <si>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</si>
  <si>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</si>
  <si>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</si>
  <si>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</si>
  <si>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</si>
  <si>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</si>
  <si>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</si>
  <si>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</si>
  <si>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</si>
  <si>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</si>
  <si>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</si>
  <si>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</si>
  <si>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</si>
  <si>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</si>
  <si>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</si>
  <si>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</si>
  <si>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</si>
  <si>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</si>
  <si>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</si>
  <si>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</si>
  <si>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</si>
  <si>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</si>
  <si>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</si>
  <si>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</si>
  <si>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</si>
  <si>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</si>
  <si>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</si>
  <si>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</si>
  <si>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</si>
  <si>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</si>
  <si>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</si>
  <si>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</si>
  <si>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</si>
  <si>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</si>
  <si>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</si>
  <si>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</si>
  <si>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</si>
  <si>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</si>
  <si>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</si>
  <si>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</si>
  <si>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</si>
  <si>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</si>
  <si>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</si>
  <si>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</si>
  <si>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</si>
  <si>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</si>
  <si>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</si>
  <si>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</si>
  <si>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</si>
  <si>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</si>
  <si>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</si>
  <si>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</si>
  <si>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</si>
  <si>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</si>
  <si>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</si>
  <si>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</si>
  <si>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</si>
  <si>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</si>
  <si>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</si>
  <si>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</si>
  <si>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</si>
  <si>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</si>
  <si>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</si>
  <si>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</si>
  <si>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</si>
  <si>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</si>
  <si>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</si>
  <si>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</si>
  <si>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</si>
  <si>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</si>
  <si>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</si>
  <si>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</si>
  <si>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</si>
  <si>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</si>
  <si>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</si>
  <si>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</si>
  <si>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</si>
  <si>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</si>
  <si>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</si>
  <si>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</si>
  <si>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</si>
  <si>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 10% Disiplin Kerja</t>
  </si>
  <si>
    <t>Pot 40% tidak mengumpulkan RKB (mendapatkan kategori Baik (C))</t>
  </si>
  <si>
    <t>Potongan 10% Pencairan Piutang tidak tercapai</t>
  </si>
  <si>
    <t>Pot 10% Pendapatan Usaha tidak tercapai</t>
  </si>
  <si>
    <t>KOMISARIS II/PLT KOMISARIS UTAMA</t>
  </si>
  <si>
    <t>KOMISARIS II / PLT KOMISARIS UTAMA</t>
  </si>
  <si>
    <t>Bank BSI AC. 7183-5822-45</t>
  </si>
  <si>
    <t>Bank BSI AC. 1015-2219-40</t>
  </si>
  <si>
    <t>Bank BNI AC. 0436-336-752</t>
  </si>
  <si>
    <t>Potongan 30% atau 15% Laba Bersih tidak tercapai</t>
  </si>
  <si>
    <t>Bank BSI AC. 718-7060-057</t>
  </si>
  <si>
    <t>8:59</t>
  </si>
  <si>
    <t>01:09</t>
  </si>
  <si>
    <t>00:00</t>
  </si>
  <si>
    <t>BULAN MARET 2022</t>
  </si>
  <si>
    <t>K/4</t>
  </si>
  <si>
    <t>Medan,         Maret 2022</t>
  </si>
  <si>
    <t>Medan,          Maret 2022</t>
  </si>
  <si>
    <t>Medan,       Maret 2022</t>
  </si>
  <si>
    <t>Medan,             Maret 2022</t>
  </si>
  <si>
    <t>check</t>
  </si>
  <si>
    <t>Note :</t>
  </si>
  <si>
    <t>1. Capaian maksimal tunjangan kinerja maksimal pada Bulan Maret 2022 adalah 57.12%</t>
  </si>
  <si>
    <t>2. Hal tersebut diakibatkan Pencairan piutang yang tidak terealisasi, Laba/Rugi bersih tidak tercapai, dan capaian pendapatan usaha hanya 71,2 %</t>
  </si>
  <si>
    <t>Medan,          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</si>
</sst>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20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0" fontId="29" fillId="7" borderId="34" xfId="0" applyFont="1" applyFill="1" applyBorder="1" applyAlignment="1" applyProtection="1">
      <alignment horizontal="center" vertical="center" wrapText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29" fillId="0" borderId="8" xfId="0" applyNumberFormat="1" applyFont="1" applyBorder="1" applyAlignment="1">
      <alignment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0" borderId="28" xfId="9" applyNumberFormat="1" applyFont="1" applyFill="1" applyBorder="1" applyAlignment="1" applyProtection="1">
      <alignment vertical="center"/>
    </xf>
    <xf numFmtId="0" fontId="22" fillId="7" borderId="51" xfId="0" applyFont="1" applyFill="1" applyBorder="1" applyAlignment="1" applyProtection="1">
      <alignment horizontal="center" vertical="center" wrapText="1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0" fontId="29" fillId="7" borderId="51" xfId="0" applyFont="1" applyFill="1" applyBorder="1" applyAlignment="1" applyProtection="1">
      <alignment horizontal="center" vertical="center" wrapText="1"/>
    </xf>
    <xf numFmtId="20" fontId="21" fillId="0" borderId="6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30" fillId="0" borderId="11" xfId="9" applyNumberFormat="1" applyFont="1" applyFill="1" applyBorder="1" applyAlignment="1" applyProtection="1">
      <alignment vertical="center"/>
    </xf>
    <xf numFmtId="167" fontId="20" fillId="0" borderId="11" xfId="9" applyNumberFormat="1" applyFont="1" applyFill="1" applyBorder="1" applyAlignment="1" applyProtection="1">
      <alignment vertical="center"/>
    </xf>
    <xf numFmtId="0" fontId="23" fillId="5" borderId="28" xfId="0" applyFont="1" applyFill="1" applyBorder="1" applyAlignment="1" applyProtection="1">
      <alignment horizontal="center" vertical="center"/>
    </xf>
    <xf numFmtId="179" fontId="23" fillId="0" borderId="23" xfId="9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733426</xdr:colOff>
      <xdr:row>0</xdr:row>
      <xdr:rowOff>76200</xdr:rowOff>
    </xdr:from>
    <xdr:to>
      <xdr:col>13</xdr:col>
      <xdr:colOff>47625</xdr:colOff>
      <xdr:row>1</xdr:row>
      <xdr:rowOff>266700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1" y="76200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179917</xdr:colOff>
      <xdr:row>0</xdr:row>
      <xdr:rowOff>0</xdr:rowOff>
    </xdr:from>
    <xdr:to>
      <xdr:col>11</xdr:col>
      <xdr:colOff>657224</xdr:colOff>
      <xdr:row>0</xdr:row>
      <xdr:rowOff>550332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417" y="0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102659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28"/>
  <sheetViews>
    <sheetView view="pageBreakPreview" zoomScale="85" zoomScaleNormal="90" zoomScaleSheetLayoutView="85" workbookViewId="0">
      <pane xSplit="4" topLeftCell="E1" activePane="topRight" state="frozen"/>
      <selection pane="topRight" activeCell="I16" sqref="I16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0" width="15.7265625" customWidth="1"/>
    <col min="11" max="11" width="12.54296875" hidden="1" customWidth="1"/>
    <col min="12" max="12" width="12.26953125" hidden="1" customWidth="1"/>
    <col min="13" max="14" width="11.453125" hidden="1" customWidth="1"/>
    <col min="15" max="15" width="11.7265625" customWidth="1"/>
    <col min="16" max="16" width="12.54296875" hidden="1" customWidth="1"/>
    <col min="17" max="17" width="12.81640625" customWidth="1"/>
    <col min="18" max="18" width="2.7265625" customWidth="1"/>
    <col min="19" max="22" width="13.26953125" bestFit="1" customWidth="1"/>
  </cols>
  <sheetData>
    <row r="1" spans="2:21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1" ht="12.75" customHeight="1" x14ac:dyDescent="0.25">
      <c r="B2" s="362" t="s">
        <v>155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164"/>
    </row>
    <row r="3" spans="2:21" ht="12.75" customHeight="1" x14ac:dyDescent="0.25">
      <c r="B3" s="363" t="s">
        <v>230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165"/>
    </row>
    <row r="4" spans="2:21" ht="6" customHeight="1" x14ac:dyDescent="0.35">
      <c r="B4" s="1"/>
      <c r="C4" s="2"/>
      <c r="D4" s="2"/>
      <c r="E4" s="3"/>
      <c r="F4" s="1"/>
      <c r="G4" s="4"/>
      <c r="H4" s="2"/>
      <c r="I4" s="2"/>
      <c r="J4" s="5"/>
      <c r="K4" s="2"/>
      <c r="L4" s="2"/>
      <c r="M4" s="2"/>
      <c r="N4" s="2"/>
      <c r="O4" s="2"/>
      <c r="P4" s="2"/>
      <c r="Q4" s="2"/>
      <c r="R4" s="2"/>
    </row>
    <row r="5" spans="2:21" ht="36" customHeight="1" x14ac:dyDescent="0.25">
      <c r="B5" s="372" t="s">
        <v>7</v>
      </c>
      <c r="C5" s="372" t="s">
        <v>66</v>
      </c>
      <c r="D5" s="372" t="s">
        <v>21</v>
      </c>
      <c r="E5" s="372" t="s">
        <v>0</v>
      </c>
      <c r="F5" s="372" t="s">
        <v>2</v>
      </c>
      <c r="G5" s="372" t="s">
        <v>67</v>
      </c>
      <c r="H5" s="372" t="s">
        <v>17</v>
      </c>
      <c r="I5" s="372" t="s">
        <v>6</v>
      </c>
      <c r="J5" s="378" t="s">
        <v>68</v>
      </c>
      <c r="K5" s="380" t="s">
        <v>83</v>
      </c>
      <c r="L5" s="372" t="s">
        <v>60</v>
      </c>
      <c r="M5" s="372" t="s">
        <v>95</v>
      </c>
      <c r="N5" s="372" t="s">
        <v>56</v>
      </c>
      <c r="O5" s="372" t="s">
        <v>49</v>
      </c>
      <c r="P5" s="372" t="s">
        <v>46</v>
      </c>
      <c r="Q5" s="372" t="s">
        <v>82</v>
      </c>
      <c r="R5" s="107"/>
    </row>
    <row r="6" spans="2:21" ht="36" customHeight="1" thickBot="1" x14ac:dyDescent="0.3">
      <c r="B6" s="373"/>
      <c r="C6" s="374"/>
      <c r="D6" s="374"/>
      <c r="E6" s="374"/>
      <c r="F6" s="374"/>
      <c r="G6" s="374"/>
      <c r="H6" s="373"/>
      <c r="I6" s="373"/>
      <c r="J6" s="379"/>
      <c r="K6" s="381"/>
      <c r="L6" s="373"/>
      <c r="M6" s="373"/>
      <c r="N6" s="373"/>
      <c r="O6" s="373"/>
      <c r="P6" s="373"/>
      <c r="Q6" s="373"/>
      <c r="R6" s="107"/>
    </row>
    <row r="7" spans="2:21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13</v>
      </c>
      <c r="J7" s="118" t="s">
        <v>131</v>
      </c>
      <c r="K7" s="119">
        <v>15</v>
      </c>
      <c r="L7" s="117">
        <v>16</v>
      </c>
      <c r="M7" s="117">
        <v>17</v>
      </c>
      <c r="N7" s="117">
        <v>18</v>
      </c>
      <c r="O7" s="117">
        <v>19</v>
      </c>
      <c r="P7" s="117">
        <v>18</v>
      </c>
      <c r="Q7" s="117" t="s">
        <v>130</v>
      </c>
      <c r="R7" s="102"/>
    </row>
    <row r="8" spans="2:21" s="25" customFormat="1" ht="18.75" hidden="1" customHeight="1" x14ac:dyDescent="0.35">
      <c r="B8" s="114">
        <v>1</v>
      </c>
      <c r="C8" s="110" t="s">
        <v>196</v>
      </c>
      <c r="D8" s="110" t="s">
        <v>65</v>
      </c>
      <c r="E8" s="108" t="s">
        <v>116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111">
        <f>SUM(G8:I8)</f>
        <v>27000000</v>
      </c>
      <c r="K8" s="158">
        <v>0</v>
      </c>
      <c r="L8" s="158">
        <v>0</v>
      </c>
      <c r="M8" s="152">
        <v>0</v>
      </c>
      <c r="N8" s="158">
        <v>0</v>
      </c>
      <c r="O8" s="158">
        <v>0</v>
      </c>
      <c r="P8" s="50">
        <v>1720000</v>
      </c>
      <c r="Q8" s="153">
        <f>J8-(K8+L8+M8+N8+O8)</f>
        <v>27000000</v>
      </c>
      <c r="R8" s="103"/>
      <c r="T8" s="20">
        <f>J8-K8-L8-N8-O8</f>
        <v>27000000</v>
      </c>
    </row>
    <row r="9" spans="2:21" s="25" customFormat="1" ht="18.75" customHeight="1" x14ac:dyDescent="0.3">
      <c r="B9" s="115">
        <v>1</v>
      </c>
      <c r="C9" s="92" t="s">
        <v>159</v>
      </c>
      <c r="D9" s="304" t="s">
        <v>59</v>
      </c>
      <c r="E9" s="299" t="s">
        <v>89</v>
      </c>
      <c r="F9" s="123" t="s">
        <v>35</v>
      </c>
      <c r="G9" s="124">
        <f>90%*G8</f>
        <v>24300000</v>
      </c>
      <c r="H9" s="49">
        <v>0</v>
      </c>
      <c r="I9" s="49">
        <f>20%*G9</f>
        <v>4860000</v>
      </c>
      <c r="J9" s="125">
        <f>SUM(G9:I9)</f>
        <v>29160000</v>
      </c>
      <c r="K9" s="159">
        <v>0</v>
      </c>
      <c r="L9" s="159">
        <v>0</v>
      </c>
      <c r="M9" s="300">
        <v>0</v>
      </c>
      <c r="N9" s="159">
        <v>0</v>
      </c>
      <c r="O9" s="159">
        <v>0</v>
      </c>
      <c r="P9" s="50"/>
      <c r="Q9" s="301">
        <f>J9-(K9+L9+M9+N9+O9)</f>
        <v>29160000</v>
      </c>
      <c r="R9" s="103"/>
      <c r="T9" s="20"/>
    </row>
    <row r="10" spans="2:21" ht="20.149999999999999" customHeight="1" x14ac:dyDescent="0.3">
      <c r="B10" s="115">
        <v>2</v>
      </c>
      <c r="C10" s="180" t="s">
        <v>39</v>
      </c>
      <c r="D10" s="304" t="s">
        <v>221</v>
      </c>
      <c r="E10" s="302" t="s">
        <v>40</v>
      </c>
      <c r="F10" s="182" t="s">
        <v>34</v>
      </c>
      <c r="G10" s="285">
        <f>90%*G8</f>
        <v>24300000</v>
      </c>
      <c r="H10" s="184">
        <v>0</v>
      </c>
      <c r="I10" s="40">
        <f>20%*G10</f>
        <v>4860000</v>
      </c>
      <c r="J10" s="287">
        <f>SUM(G10:I10)</f>
        <v>29160000</v>
      </c>
      <c r="K10" s="158">
        <v>0</v>
      </c>
      <c r="L10" s="271">
        <v>0</v>
      </c>
      <c r="M10" s="262">
        <v>0</v>
      </c>
      <c r="N10" s="271">
        <v>0</v>
      </c>
      <c r="O10" s="271">
        <v>0</v>
      </c>
      <c r="P10" s="66">
        <v>3790000</v>
      </c>
      <c r="Q10" s="270">
        <f>J10-(K10+L10+M10+N10+O10)</f>
        <v>29160000</v>
      </c>
      <c r="R10" s="104"/>
      <c r="T10" s="20">
        <f>J10-K10-L10-N10-O10</f>
        <v>29160000</v>
      </c>
    </row>
    <row r="11" spans="2:21" ht="20.149999999999999" customHeight="1" x14ac:dyDescent="0.3">
      <c r="B11" s="272">
        <v>3</v>
      </c>
      <c r="C11" s="280" t="s">
        <v>191</v>
      </c>
      <c r="D11" s="305" t="s">
        <v>44</v>
      </c>
      <c r="E11" s="303" t="s">
        <v>192</v>
      </c>
      <c r="F11" s="281" t="s">
        <v>193</v>
      </c>
      <c r="G11" s="286">
        <v>9000000</v>
      </c>
      <c r="H11" s="282">
        <v>0</v>
      </c>
      <c r="I11" s="166">
        <v>450000</v>
      </c>
      <c r="J11" s="287">
        <f>SUM(G11:I11)</f>
        <v>9450000</v>
      </c>
      <c r="K11" s="260"/>
      <c r="L11" s="261"/>
      <c r="M11" s="155"/>
      <c r="N11" s="261"/>
      <c r="O11" s="261">
        <v>0</v>
      </c>
      <c r="P11" s="69"/>
      <c r="Q11" s="270">
        <f>J11-(K11+L11+M11+N11+O11)</f>
        <v>9450000</v>
      </c>
      <c r="R11" s="104"/>
      <c r="T11" s="20"/>
    </row>
    <row r="12" spans="2:21" ht="10.5" customHeight="1" x14ac:dyDescent="0.35">
      <c r="B12" s="74"/>
      <c r="C12" s="74"/>
      <c r="D12" s="74"/>
      <c r="E12" s="73"/>
      <c r="F12" s="21"/>
      <c r="G12" s="400">
        <f>SUM(G9:G11)</f>
        <v>57600000</v>
      </c>
      <c r="H12" s="400">
        <f>SUM(H8:H10)</f>
        <v>0</v>
      </c>
      <c r="I12" s="400">
        <f>SUM(I8:I11)</f>
        <v>10170000</v>
      </c>
      <c r="J12" s="404">
        <f>SUM(J9:J11)</f>
        <v>67770000</v>
      </c>
      <c r="K12" s="415">
        <v>0</v>
      </c>
      <c r="L12" s="397">
        <f>SUM(L10:L10)</f>
        <v>0</v>
      </c>
      <c r="M12" s="397">
        <f>SUM(M10:M10)</f>
        <v>0</v>
      </c>
      <c r="N12" s="397">
        <f>SUM(N10:N10)</f>
        <v>0</v>
      </c>
      <c r="O12" s="412">
        <f>SUM(O10:O10)</f>
        <v>0</v>
      </c>
      <c r="P12" s="400">
        <f>SUM(P10:P10)</f>
        <v>3790000</v>
      </c>
      <c r="Q12" s="409">
        <f>SUM(Q9:Q11)</f>
        <v>67770000</v>
      </c>
      <c r="R12" s="106"/>
      <c r="S12" s="20" t="e">
        <f>SUM(#REF!)</f>
        <v>#REF!</v>
      </c>
      <c r="T12" s="20">
        <f>SUM(T8:T10)</f>
        <v>56160000</v>
      </c>
    </row>
    <row r="13" spans="2:21" ht="10.5" customHeight="1" thickBot="1" x14ac:dyDescent="0.4">
      <c r="B13" s="75"/>
      <c r="C13" s="75"/>
      <c r="D13" s="75"/>
      <c r="E13" s="76"/>
      <c r="F13" s="77"/>
      <c r="G13" s="401"/>
      <c r="H13" s="401"/>
      <c r="I13" s="401"/>
      <c r="J13" s="405"/>
      <c r="K13" s="416"/>
      <c r="L13" s="398"/>
      <c r="M13" s="398"/>
      <c r="N13" s="398"/>
      <c r="O13" s="417"/>
      <c r="P13" s="401"/>
      <c r="Q13" s="410"/>
      <c r="R13" s="106"/>
      <c r="S13" s="20">
        <f>K12+L12+M12+N12+O12</f>
        <v>0</v>
      </c>
      <c r="T13" s="93">
        <f>J12-S13</f>
        <v>67770000</v>
      </c>
      <c r="U13" s="20"/>
    </row>
    <row r="14" spans="2:21" ht="6.75" customHeight="1" thickTop="1" x14ac:dyDescent="0.35"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t="s">
        <v>43</v>
      </c>
    </row>
    <row r="15" spans="2:21" ht="14.5" x14ac:dyDescent="0.35">
      <c r="B15" s="325"/>
      <c r="C15" s="6"/>
      <c r="D15" s="6"/>
      <c r="E15" s="6" t="s">
        <v>137</v>
      </c>
    </row>
    <row r="16" spans="2:21" ht="14.5" x14ac:dyDescent="0.35">
      <c r="B16" s="326"/>
      <c r="C16" s="6"/>
      <c r="D16" s="6"/>
      <c r="E16" s="6"/>
      <c r="J16" s="399" t="s">
        <v>232</v>
      </c>
      <c r="K16" s="399"/>
      <c r="L16" s="399"/>
      <c r="M16" s="399"/>
      <c r="N16" s="399"/>
      <c r="O16" s="399"/>
      <c r="P16" s="399"/>
      <c r="Q16" s="399"/>
    </row>
    <row r="17" spans="2:21" ht="15" customHeight="1" x14ac:dyDescent="0.25">
      <c r="B17" s="151"/>
      <c r="C17" s="419"/>
      <c r="D17" s="419"/>
      <c r="E17" s="419"/>
      <c r="F17" s="419"/>
      <c r="G17" s="419"/>
      <c r="H17" s="419"/>
      <c r="I17" s="339"/>
      <c r="J17" s="399" t="s">
        <v>36</v>
      </c>
      <c r="K17" s="399"/>
      <c r="L17" s="399"/>
      <c r="M17" s="399"/>
      <c r="N17" s="399"/>
      <c r="O17" s="399"/>
      <c r="P17" s="399"/>
      <c r="Q17" s="399"/>
    </row>
    <row r="18" spans="2:21" ht="24.75" customHeight="1" x14ac:dyDescent="0.35">
      <c r="C18" s="419"/>
      <c r="D18" s="419"/>
      <c r="E18" s="419"/>
      <c r="F18" s="419"/>
      <c r="G18" s="419"/>
      <c r="H18" s="419"/>
      <c r="I18" s="339"/>
      <c r="M18" s="8"/>
      <c r="N18" s="8"/>
      <c r="O18" s="8"/>
      <c r="P18" s="8"/>
    </row>
    <row r="19" spans="2:21" ht="27" customHeight="1" x14ac:dyDescent="0.35">
      <c r="M19" s="8"/>
      <c r="N19" s="8"/>
      <c r="O19" s="8"/>
      <c r="P19" s="8"/>
    </row>
    <row r="20" spans="2:21" ht="14.5" x14ac:dyDescent="0.35">
      <c r="J20" s="408" t="s">
        <v>167</v>
      </c>
      <c r="K20" s="408"/>
      <c r="L20" s="408"/>
      <c r="M20" s="408"/>
      <c r="N20" s="408"/>
      <c r="O20" s="408"/>
      <c r="P20" s="408"/>
      <c r="Q20" s="408"/>
    </row>
    <row r="22" spans="2:21" ht="14.5" x14ac:dyDescent="0.25">
      <c r="C22" s="418"/>
      <c r="D22" s="418"/>
      <c r="E22" s="418"/>
      <c r="F22" s="418"/>
      <c r="G22" s="418"/>
      <c r="H22" s="418"/>
    </row>
    <row r="28" spans="2:21" x14ac:dyDescent="0.25">
      <c r="U28">
        <f>15%*'NET DIREKSI '!G10</f>
        <v>9000000</v>
      </c>
    </row>
  </sheetData>
  <mergeCells count="34">
    <mergeCell ref="C22:H22"/>
    <mergeCell ref="C17:H18"/>
    <mergeCell ref="J20:Q20"/>
    <mergeCell ref="B2:Q2"/>
    <mergeCell ref="B3:Q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Q5:Q6"/>
    <mergeCell ref="G12:G13"/>
    <mergeCell ref="H12:H13"/>
    <mergeCell ref="I12:I13"/>
    <mergeCell ref="J12:J13"/>
    <mergeCell ref="K5:K6"/>
    <mergeCell ref="O5:O6"/>
    <mergeCell ref="P5:P6"/>
    <mergeCell ref="N5:N6"/>
    <mergeCell ref="M5:M6"/>
    <mergeCell ref="J17:Q17"/>
    <mergeCell ref="Q12:Q13"/>
    <mergeCell ref="J16:Q16"/>
    <mergeCell ref="K12:K13"/>
    <mergeCell ref="L12:L13"/>
    <mergeCell ref="M12:M13"/>
    <mergeCell ref="N12:N13"/>
    <mergeCell ref="O12:O13"/>
    <mergeCell ref="P12:P13"/>
  </mergeCells>
  <printOptions horizontalCentered="1"/>
  <pageMargins left="0.118110236220472" right="0.118110236220472" top="0.118110236220472" bottom="0.35433070866141703" header="0.31496062992126" footer="0.31496062992126"/>
  <pageSetup paperSize="9" scale="72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view="pageBreakPreview" zoomScale="60" zoomScaleNormal="100" workbookViewId="0">
      <selection activeCell="R26" sqref="R26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6" t="s">
        <v>123</v>
      </c>
      <c r="B1" s="35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57" t="s">
        <v>132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</row>
    <row r="5" spans="1:21" ht="16.5" customHeight="1" x14ac:dyDescent="0.25">
      <c r="A5" s="13"/>
      <c r="B5" s="357" t="s">
        <v>230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8" t="s">
        <v>7</v>
      </c>
      <c r="B7" s="358" t="s">
        <v>66</v>
      </c>
      <c r="C7" s="358" t="s">
        <v>21</v>
      </c>
      <c r="D7" s="358" t="s">
        <v>23</v>
      </c>
      <c r="E7" s="358" t="s">
        <v>4</v>
      </c>
      <c r="F7" s="358" t="s">
        <v>3</v>
      </c>
      <c r="G7" s="358" t="s">
        <v>19</v>
      </c>
      <c r="H7" s="358" t="s">
        <v>9</v>
      </c>
      <c r="I7" s="358" t="s">
        <v>8</v>
      </c>
      <c r="J7" s="358" t="s">
        <v>5</v>
      </c>
      <c r="K7" s="358" t="s">
        <v>11</v>
      </c>
      <c r="L7" s="358" t="s">
        <v>10</v>
      </c>
      <c r="M7" s="22" t="s">
        <v>12</v>
      </c>
      <c r="N7" s="22"/>
      <c r="O7" s="22"/>
      <c r="P7" s="22"/>
      <c r="Q7" s="22"/>
      <c r="R7" s="361" t="s">
        <v>24</v>
      </c>
    </row>
    <row r="8" spans="1:21" ht="20.149999999999999" customHeight="1" x14ac:dyDescent="0.25">
      <c r="A8" s="359"/>
      <c r="B8" s="360"/>
      <c r="C8" s="360"/>
      <c r="D8" s="359"/>
      <c r="E8" s="359"/>
      <c r="F8" s="359"/>
      <c r="G8" s="359"/>
      <c r="H8" s="359"/>
      <c r="I8" s="359"/>
      <c r="J8" s="359"/>
      <c r="K8" s="359"/>
      <c r="L8" s="359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61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170</v>
      </c>
      <c r="C10" s="36" t="s">
        <v>57</v>
      </c>
      <c r="D10" s="41">
        <f>'NET PEG PELINDO DIPERBANTUKAN'!Y13</f>
        <v>28789811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8" t="s">
        <v>223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30080828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49" t="s">
        <v>122</v>
      </c>
      <c r="T11" s="30"/>
      <c r="U11" s="48"/>
    </row>
    <row r="12" spans="1:21" ht="20.149999999999999" customHeight="1" x14ac:dyDescent="0.35">
      <c r="A12" s="126">
        <v>3</v>
      </c>
      <c r="B12" s="46" t="s">
        <v>167</v>
      </c>
      <c r="C12" s="36" t="s">
        <v>36</v>
      </c>
      <c r="D12" s="70">
        <f>'NET PEG PELINDO DIPERBANTUKAN'!Y12</f>
        <v>27833184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0" t="s">
        <v>177</v>
      </c>
      <c r="T12" s="30"/>
      <c r="U12" s="48"/>
    </row>
    <row r="13" spans="1:21" ht="20.149999999999999" customHeight="1" x14ac:dyDescent="0.35">
      <c r="A13" s="126">
        <v>4</v>
      </c>
      <c r="B13" s="46" t="s">
        <v>98</v>
      </c>
      <c r="C13" s="36" t="s">
        <v>99</v>
      </c>
      <c r="D13" s="41">
        <f>'NET PEG PELINDO DIPERBANTUKAN'!Y15</f>
        <v>27422796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8" t="s">
        <v>222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DIPERBANTUKAN'!Y16</f>
        <v>19836932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8" t="s">
        <v>207</v>
      </c>
      <c r="T14" s="30"/>
      <c r="U14" s="48"/>
    </row>
    <row r="15" spans="1:21" ht="20.149999999999999" customHeight="1" x14ac:dyDescent="0.35">
      <c r="A15" s="122">
        <v>6</v>
      </c>
      <c r="B15" s="46" t="s">
        <v>84</v>
      </c>
      <c r="C15" s="36" t="s">
        <v>111</v>
      </c>
      <c r="D15" s="41">
        <f>'NET PEG PELINDO DIPERBANTUKAN'!Y17</f>
        <v>18669872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8" t="s">
        <v>224</v>
      </c>
      <c r="T15" s="30"/>
      <c r="U15" s="48"/>
    </row>
    <row r="16" spans="1:21" ht="20.149999999999999" customHeight="1" x14ac:dyDescent="0.35">
      <c r="A16" s="126">
        <v>7</v>
      </c>
      <c r="B16" s="46" t="s">
        <v>87</v>
      </c>
      <c r="C16" s="36" t="s">
        <v>52</v>
      </c>
      <c r="D16" s="70">
        <f>'NET PEG PELINDO DIPERBANTUKAN'!Y21</f>
        <v>10817649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49" t="s">
        <v>226</v>
      </c>
      <c r="T16" s="30"/>
      <c r="U16" s="48"/>
    </row>
    <row r="17" spans="1:21" ht="20.149999999999999" customHeight="1" x14ac:dyDescent="0.35">
      <c r="A17" s="126">
        <v>8</v>
      </c>
      <c r="B17" s="46" t="s">
        <v>171</v>
      </c>
      <c r="C17" s="36" t="s">
        <v>99</v>
      </c>
      <c r="D17" s="70">
        <f>'NET PEG PELINDO DIPERBANTUKAN'!Y14</f>
        <v>28852327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0" t="s">
        <v>183</v>
      </c>
      <c r="T17" s="30"/>
      <c r="U17" s="48"/>
    </row>
    <row r="18" spans="1:21" ht="20.149999999999999" customHeight="1" x14ac:dyDescent="0.35">
      <c r="A18" s="126">
        <v>9</v>
      </c>
      <c r="B18" s="46" t="s">
        <v>204</v>
      </c>
      <c r="C18" s="36" t="s">
        <v>136</v>
      </c>
      <c r="D18" s="70">
        <f>'NET PEG PELINDO DIPERBANTUKAN'!Y18</f>
        <v>17830624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0" t="s">
        <v>208</v>
      </c>
      <c r="T18" s="30"/>
      <c r="U18" s="48"/>
    </row>
    <row r="19" spans="1:21" ht="20.149999999999999" customHeight="1" x14ac:dyDescent="0.35">
      <c r="A19" s="126">
        <v>10</v>
      </c>
      <c r="B19" s="46" t="s">
        <v>211</v>
      </c>
      <c r="C19" s="36" t="s">
        <v>209</v>
      </c>
      <c r="D19" s="70">
        <f>'NET PEG PELINDO DIPERBANTUKAN'!Y20</f>
        <v>19896744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0" t="s">
        <v>214</v>
      </c>
      <c r="T19" s="30"/>
      <c r="U19" s="48"/>
    </row>
    <row r="20" spans="1:21" ht="20.149999999999999" customHeight="1" x14ac:dyDescent="0.35">
      <c r="A20" s="126">
        <v>11</v>
      </c>
      <c r="B20" s="46" t="s">
        <v>172</v>
      </c>
      <c r="C20" s="36" t="s">
        <v>135</v>
      </c>
      <c r="D20" s="70">
        <f>'NET PEG PELINDO DIPERBANTUKAN'!Y19</f>
        <v>20105472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0" t="s">
        <v>178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54">
        <f>SUM(D10:D21)</f>
        <v>250136239</v>
      </c>
      <c r="E22" s="352">
        <f t="shared" ref="E22:Q22" si="0">SUM(E9:E15)</f>
        <v>0</v>
      </c>
      <c r="F22" s="352">
        <f t="shared" si="0"/>
        <v>0</v>
      </c>
      <c r="G22" s="352">
        <f t="shared" si="0"/>
        <v>0</v>
      </c>
      <c r="H22" s="352">
        <f t="shared" si="0"/>
        <v>0</v>
      </c>
      <c r="I22" s="352">
        <f t="shared" si="0"/>
        <v>0</v>
      </c>
      <c r="J22" s="352">
        <f t="shared" si="0"/>
        <v>0</v>
      </c>
      <c r="K22" s="352">
        <f t="shared" si="0"/>
        <v>0</v>
      </c>
      <c r="L22" s="352">
        <f t="shared" si="0"/>
        <v>0</v>
      </c>
      <c r="M22" s="352">
        <f t="shared" si="0"/>
        <v>0</v>
      </c>
      <c r="N22" s="352">
        <f t="shared" si="0"/>
        <v>0</v>
      </c>
      <c r="O22" s="352">
        <f t="shared" si="0"/>
        <v>0</v>
      </c>
      <c r="P22" s="352">
        <f t="shared" si="0"/>
        <v>0</v>
      </c>
      <c r="Q22" s="352">
        <f t="shared" si="0"/>
        <v>0</v>
      </c>
      <c r="R22" s="352"/>
    </row>
    <row r="23" spans="1:21" ht="15" customHeight="1" thickBot="1" x14ac:dyDescent="0.4">
      <c r="A23" s="57"/>
      <c r="B23" s="58"/>
      <c r="C23" s="58"/>
      <c r="D23" s="355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79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240</v>
      </c>
    </row>
    <row r="26" spans="1:21" ht="14.5" x14ac:dyDescent="0.35">
      <c r="A26" s="6"/>
      <c r="B26" s="279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79" t="s">
        <v>184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167</v>
      </c>
    </row>
  </sheetData>
  <mergeCells count="31"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view="pageBreakPreview" zoomScale="60" zoomScaleNormal="100" workbookViewId="0">
      <selection activeCell="X16" sqref="X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6" t="s">
        <v>42</v>
      </c>
      <c r="B1" s="35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7" t="s">
        <v>165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</row>
    <row r="5" spans="1:27" ht="16.5" customHeight="1" x14ac:dyDescent="0.25">
      <c r="A5" s="13"/>
      <c r="B5" s="357" t="s">
        <v>230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8" t="s">
        <v>7</v>
      </c>
      <c r="B7" s="358" t="s">
        <v>66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61" t="s">
        <v>24</v>
      </c>
    </row>
    <row r="8" spans="1:27" ht="20.149999999999999" customHeight="1" x14ac:dyDescent="0.25">
      <c r="A8" s="359"/>
      <c r="B8" s="360"/>
      <c r="C8" s="360"/>
      <c r="D8" s="360"/>
      <c r="E8" s="360"/>
      <c r="F8" s="360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1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168</v>
      </c>
      <c r="C10" s="36" t="s">
        <v>180</v>
      </c>
      <c r="D10" s="61"/>
      <c r="E10" s="62"/>
      <c r="F10" s="63"/>
      <c r="G10" s="64"/>
      <c r="H10" s="64"/>
      <c r="I10" s="64"/>
      <c r="J10" s="70">
        <f>'NET PEG PELINDO DIPERBANTUKAN'!Y10</f>
        <v>29456335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181</v>
      </c>
    </row>
    <row r="11" spans="1:27" ht="20.149999999999999" customHeight="1" x14ac:dyDescent="0.35">
      <c r="A11" s="122">
        <v>2</v>
      </c>
      <c r="B11" s="46" t="s">
        <v>77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10817649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80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52">
        <f>SUM(F9:F10)</f>
        <v>0</v>
      </c>
      <c r="G12" s="352">
        <f>SUM(G9:G10)</f>
        <v>0</v>
      </c>
      <c r="H12" s="352">
        <f>SUM(H9:H10)</f>
        <v>0</v>
      </c>
      <c r="I12" s="352">
        <f>SUM(I9:I10)</f>
        <v>0</v>
      </c>
      <c r="J12" s="354">
        <f>SUM(J10:J11)</f>
        <v>40273984</v>
      </c>
      <c r="K12" s="352">
        <f t="shared" ref="K12:W12" si="0">SUM(K9:K10)</f>
        <v>0</v>
      </c>
      <c r="L12" s="352">
        <f t="shared" si="0"/>
        <v>0</v>
      </c>
      <c r="M12" s="352">
        <f t="shared" si="0"/>
        <v>0</v>
      </c>
      <c r="N12" s="352">
        <f t="shared" si="0"/>
        <v>0</v>
      </c>
      <c r="O12" s="352">
        <f t="shared" si="0"/>
        <v>0</v>
      </c>
      <c r="P12" s="352">
        <f t="shared" si="0"/>
        <v>0</v>
      </c>
      <c r="Q12" s="352">
        <f t="shared" si="0"/>
        <v>0</v>
      </c>
      <c r="R12" s="352">
        <f t="shared" si="0"/>
        <v>0</v>
      </c>
      <c r="S12" s="352">
        <f t="shared" si="0"/>
        <v>0</v>
      </c>
      <c r="T12" s="352">
        <f t="shared" si="0"/>
        <v>0</v>
      </c>
      <c r="U12" s="352">
        <f t="shared" si="0"/>
        <v>0</v>
      </c>
      <c r="V12" s="352">
        <f t="shared" si="0"/>
        <v>0</v>
      </c>
      <c r="W12" s="352">
        <f t="shared" si="0"/>
        <v>0</v>
      </c>
      <c r="X12" s="352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53"/>
      <c r="G13" s="353"/>
      <c r="H13" s="353"/>
      <c r="I13" s="353"/>
      <c r="J13" s="355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79" t="s">
        <v>195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233</v>
      </c>
    </row>
    <row r="16" spans="1:27" ht="14.5" x14ac:dyDescent="0.35">
      <c r="A16" s="6"/>
      <c r="B16" s="279" t="s">
        <v>185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79" t="s">
        <v>184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167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C60"/>
  <sheetViews>
    <sheetView tabSelected="1" view="pageBreakPreview" topLeftCell="J8" zoomScale="85" zoomScaleNormal="85" zoomScaleSheetLayoutView="85" workbookViewId="0">
      <selection activeCell="S10" sqref="S10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  <col min="28" max="28" width="10.54296875" bestFit="1" customWidth="1"/>
    <col min="29" max="29" width="12.54296875" bestFit="1" customWidth="1"/>
  </cols>
  <sheetData>
    <row r="1" spans="1:29" ht="24.75" customHeight="1" x14ac:dyDescent="0.25"/>
    <row r="2" spans="1:29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9" ht="12.75" customHeight="1" x14ac:dyDescent="0.25">
      <c r="A3" s="362" t="s">
        <v>150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</row>
    <row r="4" spans="1:29" ht="13.5" customHeight="1" x14ac:dyDescent="0.25">
      <c r="A4" s="363" t="s">
        <v>230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</row>
    <row r="5" spans="1:29" ht="10.5" customHeight="1" x14ac:dyDescent="0.25"/>
    <row r="6" spans="1:29" ht="38.25" customHeight="1" x14ac:dyDescent="0.25">
      <c r="B6" s="372" t="s">
        <v>7</v>
      </c>
      <c r="C6" s="372" t="s">
        <v>66</v>
      </c>
      <c r="D6" s="372" t="s">
        <v>21</v>
      </c>
      <c r="E6" s="372" t="s">
        <v>149</v>
      </c>
      <c r="F6" s="372" t="s">
        <v>0</v>
      </c>
      <c r="G6" s="372" t="s">
        <v>2</v>
      </c>
      <c r="H6" s="372" t="s">
        <v>176</v>
      </c>
      <c r="I6" s="372" t="s">
        <v>67</v>
      </c>
      <c r="J6" s="372" t="s">
        <v>140</v>
      </c>
      <c r="K6" s="372" t="s">
        <v>141</v>
      </c>
      <c r="L6" s="372" t="s">
        <v>147</v>
      </c>
      <c r="M6" s="372" t="s">
        <v>29</v>
      </c>
      <c r="N6" s="372" t="s">
        <v>146</v>
      </c>
      <c r="O6" s="378" t="s">
        <v>68</v>
      </c>
      <c r="P6" s="380" t="s">
        <v>148</v>
      </c>
      <c r="Q6" s="387" t="s">
        <v>153</v>
      </c>
      <c r="R6" s="388"/>
      <c r="S6" s="388"/>
      <c r="T6" s="388"/>
      <c r="U6" s="389"/>
      <c r="V6" s="372" t="s">
        <v>215</v>
      </c>
      <c r="W6" s="372" t="s">
        <v>154</v>
      </c>
      <c r="X6" s="372" t="s">
        <v>189</v>
      </c>
      <c r="Y6" s="364" t="s">
        <v>82</v>
      </c>
    </row>
    <row r="7" spans="1:29" ht="78" customHeight="1" thickBot="1" x14ac:dyDescent="0.3">
      <c r="B7" s="373"/>
      <c r="C7" s="374"/>
      <c r="D7" s="374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9"/>
      <c r="P7" s="381"/>
      <c r="Q7" s="238" t="s">
        <v>216</v>
      </c>
      <c r="R7" s="238" t="s">
        <v>217</v>
      </c>
      <c r="S7" s="238" t="s">
        <v>219</v>
      </c>
      <c r="T7" s="343" t="s">
        <v>225</v>
      </c>
      <c r="U7" s="343" t="s">
        <v>218</v>
      </c>
      <c r="V7" s="373"/>
      <c r="W7" s="373"/>
      <c r="X7" s="373"/>
      <c r="Y7" s="365"/>
    </row>
    <row r="8" spans="1:29" ht="9.75" customHeight="1" x14ac:dyDescent="0.25">
      <c r="B8" s="208">
        <v>1</v>
      </c>
      <c r="C8" s="208">
        <v>2</v>
      </c>
      <c r="D8" s="208">
        <v>3</v>
      </c>
      <c r="E8" s="208">
        <v>5</v>
      </c>
      <c r="F8" s="209">
        <v>6</v>
      </c>
      <c r="G8" s="209">
        <v>7</v>
      </c>
      <c r="H8" s="209"/>
      <c r="I8" s="208">
        <v>8</v>
      </c>
      <c r="J8" s="208">
        <v>9</v>
      </c>
      <c r="K8" s="208">
        <v>10</v>
      </c>
      <c r="L8" s="229">
        <v>11</v>
      </c>
      <c r="M8" s="229">
        <v>12</v>
      </c>
      <c r="N8" s="229">
        <v>13</v>
      </c>
      <c r="O8" s="210" t="s">
        <v>212</v>
      </c>
      <c r="P8" s="211">
        <v>15</v>
      </c>
      <c r="Q8" s="209">
        <v>17</v>
      </c>
      <c r="R8" s="209">
        <v>18</v>
      </c>
      <c r="S8" s="209">
        <v>19</v>
      </c>
      <c r="T8" s="209"/>
      <c r="U8" s="209">
        <v>20</v>
      </c>
      <c r="V8" s="209"/>
      <c r="W8" s="209">
        <v>21</v>
      </c>
      <c r="X8" s="209">
        <v>23</v>
      </c>
      <c r="Y8" s="212" t="s">
        <v>213</v>
      </c>
      <c r="AA8" t="s">
        <v>236</v>
      </c>
      <c r="AB8" t="s">
        <v>236</v>
      </c>
      <c r="AC8" t="s">
        <v>236</v>
      </c>
    </row>
    <row r="9" spans="1:29" ht="18.75" hidden="1" customHeight="1" x14ac:dyDescent="0.3">
      <c r="B9" s="115">
        <v>1</v>
      </c>
      <c r="C9" s="180" t="s">
        <v>124</v>
      </c>
      <c r="D9" s="180" t="s">
        <v>44</v>
      </c>
      <c r="E9" s="181" t="s">
        <v>69</v>
      </c>
      <c r="F9" s="181" t="s">
        <v>125</v>
      </c>
      <c r="G9" s="182" t="s">
        <v>45</v>
      </c>
      <c r="H9" s="348"/>
      <c r="I9" s="183">
        <v>9000000</v>
      </c>
      <c r="J9" s="184">
        <v>0</v>
      </c>
      <c r="K9" s="184">
        <f>5%*I9</f>
        <v>450000</v>
      </c>
      <c r="L9" s="230">
        <v>0</v>
      </c>
      <c r="M9" s="230"/>
      <c r="N9" s="230">
        <v>0</v>
      </c>
      <c r="O9" s="185">
        <f>SUM(I9:K9)</f>
        <v>9450000</v>
      </c>
      <c r="P9" s="186">
        <v>0</v>
      </c>
      <c r="Q9" s="187"/>
      <c r="R9" s="187"/>
      <c r="S9" s="187"/>
      <c r="T9" s="187"/>
      <c r="U9" s="187"/>
      <c r="V9" s="187"/>
      <c r="W9" s="187"/>
      <c r="X9" s="263"/>
      <c r="Y9" s="213">
        <f>O9</f>
        <v>9450000</v>
      </c>
    </row>
    <row r="10" spans="1:29" ht="18.75" customHeight="1" x14ac:dyDescent="0.25">
      <c r="B10" s="115">
        <v>1</v>
      </c>
      <c r="C10" s="180" t="s">
        <v>168</v>
      </c>
      <c r="D10" s="180" t="s">
        <v>169</v>
      </c>
      <c r="E10" s="257">
        <v>6</v>
      </c>
      <c r="F10" s="181" t="s">
        <v>174</v>
      </c>
      <c r="G10" s="182" t="s">
        <v>35</v>
      </c>
      <c r="H10" s="265">
        <v>0</v>
      </c>
      <c r="I10" s="259">
        <v>9739000</v>
      </c>
      <c r="J10" s="184">
        <v>4612000</v>
      </c>
      <c r="K10" s="184">
        <v>12300000</v>
      </c>
      <c r="L10" s="230">
        <v>600000</v>
      </c>
      <c r="M10" s="230">
        <v>4000000</v>
      </c>
      <c r="N10" s="230">
        <v>4500000</v>
      </c>
      <c r="O10" s="185">
        <f>SUM(I10:N10)</f>
        <v>35751000</v>
      </c>
      <c r="P10" s="327">
        <v>1020425</v>
      </c>
      <c r="Q10" s="328">
        <v>0</v>
      </c>
      <c r="R10" s="328">
        <v>0</v>
      </c>
      <c r="S10" s="328">
        <f>K10*2.88%</f>
        <v>354240</v>
      </c>
      <c r="T10" s="328">
        <f>K10*30%</f>
        <v>3690000</v>
      </c>
      <c r="U10" s="328">
        <f t="shared" ref="U10:U22" si="0">10%*K10</f>
        <v>1230000</v>
      </c>
      <c r="V10" s="328">
        <v>0</v>
      </c>
      <c r="W10" s="328">
        <v>0</v>
      </c>
      <c r="X10" s="329">
        <f t="shared" ref="X10:X22" si="1">SUM(P10:W10)</f>
        <v>6294665</v>
      </c>
      <c r="Y10" s="337">
        <f>O10-(P10+Q10+R10+S10+T10+U10+V10)</f>
        <v>29456335</v>
      </c>
      <c r="AA10" s="20">
        <f t="shared" ref="AA10:AA22" si="2">O10-X10</f>
        <v>29456335</v>
      </c>
      <c r="AB10" s="20">
        <f t="shared" ref="AB10:AB22" si="3">SUM(S10:U10)</f>
        <v>5274240</v>
      </c>
      <c r="AC10" s="20">
        <f t="shared" ref="AC10:AC22" si="4">K10*42.88%</f>
        <v>5274240</v>
      </c>
    </row>
    <row r="11" spans="1:29" ht="18.75" customHeight="1" x14ac:dyDescent="0.25">
      <c r="B11" s="129">
        <v>2</v>
      </c>
      <c r="C11" s="188" t="s">
        <v>53</v>
      </c>
      <c r="D11" s="188" t="s">
        <v>54</v>
      </c>
      <c r="E11" s="234">
        <v>6</v>
      </c>
      <c r="F11" s="189" t="s">
        <v>55</v>
      </c>
      <c r="G11" s="129" t="s">
        <v>45</v>
      </c>
      <c r="H11" s="265">
        <v>6.2499999999999995E-3</v>
      </c>
      <c r="I11" s="190">
        <v>10454000</v>
      </c>
      <c r="J11" s="191">
        <f>'[1]THR PEG PELINDO'!$G$8</f>
        <v>4612000</v>
      </c>
      <c r="K11" s="191">
        <f>12300000</f>
        <v>12300000</v>
      </c>
      <c r="L11" s="231">
        <v>600000</v>
      </c>
      <c r="M11" s="231">
        <v>4000000</v>
      </c>
      <c r="N11" s="231">
        <v>4500000</v>
      </c>
      <c r="O11" s="192">
        <f t="shared" ref="O11:O20" si="5">SUM(I11:N11)</f>
        <v>36466000</v>
      </c>
      <c r="P11" s="330">
        <v>1110932</v>
      </c>
      <c r="Q11" s="329">
        <v>0</v>
      </c>
      <c r="R11" s="329">
        <v>0</v>
      </c>
      <c r="S11" s="328">
        <f t="shared" ref="S11:S22" si="6">K11*2.88%</f>
        <v>354240</v>
      </c>
      <c r="T11" s="328">
        <f t="shared" ref="T11:T22" si="7">K11*30%</f>
        <v>3690000</v>
      </c>
      <c r="U11" s="328">
        <f t="shared" si="0"/>
        <v>1230000</v>
      </c>
      <c r="V11" s="329">
        <v>0</v>
      </c>
      <c r="W11" s="329">
        <v>0</v>
      </c>
      <c r="X11" s="329">
        <f t="shared" si="1"/>
        <v>6385172</v>
      </c>
      <c r="Y11" s="337">
        <f>O11-(P11+Q11+R11+S11+T11+U11+V11)</f>
        <v>30080828</v>
      </c>
      <c r="AA11" s="20">
        <f t="shared" si="2"/>
        <v>30080828</v>
      </c>
      <c r="AB11" s="20">
        <f t="shared" si="3"/>
        <v>5274240</v>
      </c>
      <c r="AC11" s="20">
        <f t="shared" si="4"/>
        <v>5274240</v>
      </c>
    </row>
    <row r="12" spans="1:29" ht="18.75" customHeight="1" x14ac:dyDescent="0.25">
      <c r="B12" s="115">
        <v>3</v>
      </c>
      <c r="C12" s="188" t="s">
        <v>167</v>
      </c>
      <c r="D12" s="188" t="s">
        <v>36</v>
      </c>
      <c r="E12" s="234">
        <v>7</v>
      </c>
      <c r="F12" s="193" t="s">
        <v>175</v>
      </c>
      <c r="G12" s="129" t="s">
        <v>45</v>
      </c>
      <c r="H12" s="258">
        <v>0</v>
      </c>
      <c r="I12" s="190">
        <v>8203000</v>
      </c>
      <c r="J12" s="191">
        <v>4342000</v>
      </c>
      <c r="K12" s="191">
        <v>12300000</v>
      </c>
      <c r="L12" s="231">
        <v>600000</v>
      </c>
      <c r="M12" s="231">
        <v>4000000</v>
      </c>
      <c r="N12" s="231">
        <v>4500000</v>
      </c>
      <c r="O12" s="192">
        <f t="shared" si="5"/>
        <v>33945000</v>
      </c>
      <c r="P12" s="330">
        <v>837576</v>
      </c>
      <c r="Q12" s="329">
        <v>0</v>
      </c>
      <c r="R12" s="329">
        <v>0</v>
      </c>
      <c r="S12" s="328">
        <f t="shared" si="6"/>
        <v>354240</v>
      </c>
      <c r="T12" s="328">
        <f t="shared" si="7"/>
        <v>3690000</v>
      </c>
      <c r="U12" s="328">
        <f t="shared" si="0"/>
        <v>1230000</v>
      </c>
      <c r="V12" s="329">
        <v>0</v>
      </c>
      <c r="W12" s="329">
        <v>0</v>
      </c>
      <c r="X12" s="329">
        <f t="shared" si="1"/>
        <v>6111816</v>
      </c>
      <c r="Y12" s="337">
        <f t="shared" ref="Y12:Y22" si="8">O12-(P12+Q12+R12+S12+T12+U12+V12)</f>
        <v>27833184</v>
      </c>
      <c r="AA12" s="20">
        <f t="shared" si="2"/>
        <v>27833184</v>
      </c>
      <c r="AB12" s="20">
        <f t="shared" si="3"/>
        <v>5274240</v>
      </c>
      <c r="AC12" s="20">
        <f t="shared" si="4"/>
        <v>5274240</v>
      </c>
    </row>
    <row r="13" spans="1:29" ht="18.75" customHeight="1" x14ac:dyDescent="0.25">
      <c r="B13" s="129">
        <v>4</v>
      </c>
      <c r="C13" s="188" t="s">
        <v>170</v>
      </c>
      <c r="D13" s="188" t="s">
        <v>173</v>
      </c>
      <c r="E13" s="234">
        <v>6</v>
      </c>
      <c r="F13" s="193" t="s">
        <v>58</v>
      </c>
      <c r="G13" s="129" t="s">
        <v>31</v>
      </c>
      <c r="H13" s="266">
        <v>2.0833333333333333E-3</v>
      </c>
      <c r="I13" s="190">
        <v>9017000</v>
      </c>
      <c r="J13" s="191">
        <f>J11</f>
        <v>4612000</v>
      </c>
      <c r="K13" s="191">
        <v>12300000</v>
      </c>
      <c r="L13" s="231">
        <v>600000</v>
      </c>
      <c r="M13" s="231">
        <v>4000000</v>
      </c>
      <c r="N13" s="231">
        <v>4500000</v>
      </c>
      <c r="O13" s="192">
        <f t="shared" si="5"/>
        <v>35029000</v>
      </c>
      <c r="P13" s="330">
        <v>964949</v>
      </c>
      <c r="Q13" s="329">
        <v>0</v>
      </c>
      <c r="R13" s="329">
        <v>0</v>
      </c>
      <c r="S13" s="328">
        <f t="shared" si="6"/>
        <v>354240</v>
      </c>
      <c r="T13" s="328">
        <f t="shared" si="7"/>
        <v>3690000</v>
      </c>
      <c r="U13" s="328">
        <f t="shared" si="0"/>
        <v>1230000</v>
      </c>
      <c r="V13" s="329">
        <v>0</v>
      </c>
      <c r="W13" s="329">
        <v>0</v>
      </c>
      <c r="X13" s="329">
        <f t="shared" si="1"/>
        <v>6239189</v>
      </c>
      <c r="Y13" s="337">
        <f t="shared" si="8"/>
        <v>28789811</v>
      </c>
      <c r="AA13" s="20">
        <f t="shared" si="2"/>
        <v>28789811</v>
      </c>
      <c r="AB13" s="20">
        <f t="shared" si="3"/>
        <v>5274240</v>
      </c>
      <c r="AC13" s="20">
        <f t="shared" si="4"/>
        <v>5274240</v>
      </c>
    </row>
    <row r="14" spans="1:29" ht="18.75" customHeight="1" x14ac:dyDescent="0.25">
      <c r="B14" s="129">
        <v>5</v>
      </c>
      <c r="C14" s="188" t="s">
        <v>171</v>
      </c>
      <c r="D14" s="188" t="s">
        <v>99</v>
      </c>
      <c r="E14" s="234">
        <v>6</v>
      </c>
      <c r="F14" s="189" t="s">
        <v>121</v>
      </c>
      <c r="G14" s="129" t="s">
        <v>31</v>
      </c>
      <c r="H14" s="264" t="s">
        <v>229</v>
      </c>
      <c r="I14" s="190">
        <f>I13</f>
        <v>9017000</v>
      </c>
      <c r="J14" s="191">
        <f>J13</f>
        <v>4612000</v>
      </c>
      <c r="K14" s="191">
        <v>12300000</v>
      </c>
      <c r="L14" s="231">
        <v>600000</v>
      </c>
      <c r="M14" s="231">
        <v>4000000</v>
      </c>
      <c r="N14" s="231">
        <v>4500000</v>
      </c>
      <c r="O14" s="192">
        <f>SUM(I14:N14)</f>
        <v>35029000</v>
      </c>
      <c r="P14" s="330">
        <v>902433</v>
      </c>
      <c r="Q14" s="329">
        <v>0</v>
      </c>
      <c r="R14" s="329">
        <v>0</v>
      </c>
      <c r="S14" s="328">
        <f t="shared" si="6"/>
        <v>354240</v>
      </c>
      <c r="T14" s="328">
        <f t="shared" si="7"/>
        <v>3690000</v>
      </c>
      <c r="U14" s="328">
        <f t="shared" si="0"/>
        <v>1230000</v>
      </c>
      <c r="V14" s="329">
        <v>0</v>
      </c>
      <c r="W14" s="329">
        <v>0</v>
      </c>
      <c r="X14" s="329">
        <f t="shared" si="1"/>
        <v>6176673</v>
      </c>
      <c r="Y14" s="337">
        <f t="shared" si="8"/>
        <v>28852327</v>
      </c>
      <c r="AA14" s="20">
        <f t="shared" si="2"/>
        <v>28852327</v>
      </c>
      <c r="AB14" s="20">
        <f t="shared" si="3"/>
        <v>5274240</v>
      </c>
      <c r="AC14" s="20">
        <f t="shared" si="4"/>
        <v>5274240</v>
      </c>
    </row>
    <row r="15" spans="1:29" ht="18.75" customHeight="1" x14ac:dyDescent="0.25">
      <c r="B15" s="115">
        <v>6</v>
      </c>
      <c r="C15" s="188" t="s">
        <v>98</v>
      </c>
      <c r="D15" s="188" t="s">
        <v>120</v>
      </c>
      <c r="E15" s="234">
        <v>7</v>
      </c>
      <c r="F15" s="189" t="s">
        <v>100</v>
      </c>
      <c r="G15" s="129" t="s">
        <v>34</v>
      </c>
      <c r="H15" s="265">
        <v>2.013888888888889E-2</v>
      </c>
      <c r="I15" s="190">
        <v>7823000</v>
      </c>
      <c r="J15" s="191">
        <v>4342000</v>
      </c>
      <c r="K15" s="191">
        <f>12300000</f>
        <v>12300000</v>
      </c>
      <c r="L15" s="231">
        <v>600000</v>
      </c>
      <c r="M15" s="231">
        <v>4000000</v>
      </c>
      <c r="N15" s="231">
        <v>4500000</v>
      </c>
      <c r="O15" s="192">
        <f t="shared" si="5"/>
        <v>33565000</v>
      </c>
      <c r="P15" s="330">
        <v>867964</v>
      </c>
      <c r="Q15" s="329">
        <v>0</v>
      </c>
      <c r="R15" s="329">
        <v>0</v>
      </c>
      <c r="S15" s="328">
        <f t="shared" si="6"/>
        <v>354240</v>
      </c>
      <c r="T15" s="328">
        <f t="shared" si="7"/>
        <v>3690000</v>
      </c>
      <c r="U15" s="328">
        <f t="shared" si="0"/>
        <v>1230000</v>
      </c>
      <c r="V15" s="329">
        <v>0</v>
      </c>
      <c r="W15" s="329">
        <v>0</v>
      </c>
      <c r="X15" s="329">
        <f t="shared" si="1"/>
        <v>6142204</v>
      </c>
      <c r="Y15" s="337">
        <f t="shared" si="8"/>
        <v>27422796</v>
      </c>
      <c r="AA15" s="20">
        <f t="shared" si="2"/>
        <v>27422796</v>
      </c>
      <c r="AB15" s="20">
        <f t="shared" si="3"/>
        <v>5274240</v>
      </c>
      <c r="AC15" s="20">
        <f t="shared" si="4"/>
        <v>5274240</v>
      </c>
    </row>
    <row r="16" spans="1:29" ht="19.5" customHeight="1" x14ac:dyDescent="0.3">
      <c r="B16" s="129">
        <v>7</v>
      </c>
      <c r="C16" s="195" t="s">
        <v>75</v>
      </c>
      <c r="D16" s="188" t="s">
        <v>76</v>
      </c>
      <c r="E16" s="234">
        <v>8</v>
      </c>
      <c r="F16" s="196" t="s">
        <v>79</v>
      </c>
      <c r="G16" s="197" t="s">
        <v>45</v>
      </c>
      <c r="H16" s="265">
        <v>1.3888888888888888E-2</v>
      </c>
      <c r="I16" s="198">
        <v>6918000</v>
      </c>
      <c r="J16" s="199">
        <f>'[1]THR PEG PELINDO'!$G$13</f>
        <v>4114000</v>
      </c>
      <c r="K16" s="199">
        <f>7800000</f>
        <v>7800000</v>
      </c>
      <c r="L16" s="232">
        <v>350000</v>
      </c>
      <c r="M16" s="232">
        <v>2800000</v>
      </c>
      <c r="N16" s="232">
        <v>2000000</v>
      </c>
      <c r="O16" s="200">
        <f>SUM(I16:N16)</f>
        <v>23982000</v>
      </c>
      <c r="P16" s="331">
        <v>800428</v>
      </c>
      <c r="Q16" s="332">
        <v>0</v>
      </c>
      <c r="R16" s="332">
        <v>0</v>
      </c>
      <c r="S16" s="328">
        <f t="shared" si="6"/>
        <v>224640</v>
      </c>
      <c r="T16" s="328">
        <f t="shared" si="7"/>
        <v>2340000</v>
      </c>
      <c r="U16" s="328">
        <f t="shared" si="0"/>
        <v>780000</v>
      </c>
      <c r="V16" s="332">
        <v>0</v>
      </c>
      <c r="W16" s="332">
        <v>0</v>
      </c>
      <c r="X16" s="329">
        <f t="shared" si="1"/>
        <v>4145068</v>
      </c>
      <c r="Y16" s="337">
        <f t="shared" si="8"/>
        <v>19836932</v>
      </c>
      <c r="AA16" s="20">
        <f t="shared" si="2"/>
        <v>19836932</v>
      </c>
      <c r="AB16" s="20">
        <f t="shared" si="3"/>
        <v>3344640</v>
      </c>
      <c r="AC16" s="20">
        <f t="shared" si="4"/>
        <v>3344640</v>
      </c>
    </row>
    <row r="17" spans="2:29" ht="18.75" customHeight="1" x14ac:dyDescent="0.25">
      <c r="B17" s="115">
        <v>8</v>
      </c>
      <c r="C17" s="188" t="s">
        <v>84</v>
      </c>
      <c r="D17" s="188" t="s">
        <v>111</v>
      </c>
      <c r="E17" s="234">
        <v>9</v>
      </c>
      <c r="F17" s="194" t="s">
        <v>85</v>
      </c>
      <c r="G17" s="129" t="s">
        <v>231</v>
      </c>
      <c r="H17" s="265">
        <v>1.3194444444444444E-2</v>
      </c>
      <c r="I17" s="190">
        <v>5867000</v>
      </c>
      <c r="J17" s="191">
        <f>'[1]THR PEG PELINDO'!$G$14</f>
        <v>3919000</v>
      </c>
      <c r="K17" s="191">
        <f>7800000</f>
        <v>7800000</v>
      </c>
      <c r="L17" s="231">
        <v>350000</v>
      </c>
      <c r="M17" s="231">
        <v>2800000</v>
      </c>
      <c r="N17" s="231">
        <v>2000000</v>
      </c>
      <c r="O17" s="192">
        <f t="shared" si="5"/>
        <v>22736000</v>
      </c>
      <c r="P17" s="330">
        <v>721488</v>
      </c>
      <c r="Q17" s="329">
        <v>0</v>
      </c>
      <c r="R17" s="329">
        <v>0</v>
      </c>
      <c r="S17" s="328">
        <f t="shared" si="6"/>
        <v>224640</v>
      </c>
      <c r="T17" s="328">
        <f t="shared" si="7"/>
        <v>2340000</v>
      </c>
      <c r="U17" s="328">
        <f t="shared" si="0"/>
        <v>780000</v>
      </c>
      <c r="V17" s="329">
        <v>0</v>
      </c>
      <c r="W17" s="329">
        <v>0</v>
      </c>
      <c r="X17" s="329">
        <f t="shared" si="1"/>
        <v>4066128</v>
      </c>
      <c r="Y17" s="337">
        <f t="shared" si="8"/>
        <v>18669872</v>
      </c>
      <c r="AA17" s="20">
        <f t="shared" si="2"/>
        <v>18669872</v>
      </c>
      <c r="AB17" s="20">
        <f t="shared" si="3"/>
        <v>3344640</v>
      </c>
      <c r="AC17" s="20">
        <f t="shared" si="4"/>
        <v>3344640</v>
      </c>
    </row>
    <row r="18" spans="2:29" ht="18.75" customHeight="1" x14ac:dyDescent="0.3">
      <c r="B18" s="129">
        <v>9</v>
      </c>
      <c r="C18" s="195" t="s">
        <v>204</v>
      </c>
      <c r="D18" s="188" t="s">
        <v>133</v>
      </c>
      <c r="E18" s="234">
        <v>10</v>
      </c>
      <c r="F18" s="196" t="s">
        <v>205</v>
      </c>
      <c r="G18" s="197" t="s">
        <v>34</v>
      </c>
      <c r="H18" s="266">
        <v>6.9444444444444441E-3</v>
      </c>
      <c r="I18" s="198">
        <v>5400000</v>
      </c>
      <c r="J18" s="199">
        <v>3479000</v>
      </c>
      <c r="K18" s="199">
        <f>7800000</f>
        <v>7800000</v>
      </c>
      <c r="L18" s="232">
        <v>350000</v>
      </c>
      <c r="M18" s="232">
        <v>2800000</v>
      </c>
      <c r="N18" s="232">
        <v>2000000</v>
      </c>
      <c r="O18" s="200">
        <f>SUM(I18:N18)</f>
        <v>21829000</v>
      </c>
      <c r="P18" s="331">
        <v>653736</v>
      </c>
      <c r="Q18" s="332">
        <v>0</v>
      </c>
      <c r="R18" s="332">
        <v>0</v>
      </c>
      <c r="S18" s="328">
        <f t="shared" si="6"/>
        <v>224640</v>
      </c>
      <c r="T18" s="328">
        <f t="shared" si="7"/>
        <v>2340000</v>
      </c>
      <c r="U18" s="328">
        <f t="shared" si="0"/>
        <v>780000</v>
      </c>
      <c r="V18" s="332">
        <v>0</v>
      </c>
      <c r="W18" s="332">
        <v>0</v>
      </c>
      <c r="X18" s="329">
        <f t="shared" si="1"/>
        <v>3998376</v>
      </c>
      <c r="Y18" s="337">
        <f t="shared" si="8"/>
        <v>17830624</v>
      </c>
      <c r="AA18" s="20">
        <f t="shared" si="2"/>
        <v>17830624</v>
      </c>
      <c r="AB18" s="20">
        <f t="shared" si="3"/>
        <v>3344640</v>
      </c>
      <c r="AC18" s="20">
        <f t="shared" si="4"/>
        <v>3344640</v>
      </c>
    </row>
    <row r="19" spans="2:29" ht="18.75" customHeight="1" x14ac:dyDescent="0.3">
      <c r="B19" s="115">
        <v>10</v>
      </c>
      <c r="C19" s="195" t="s">
        <v>172</v>
      </c>
      <c r="D19" s="188" t="s">
        <v>135</v>
      </c>
      <c r="E19" s="234">
        <v>8</v>
      </c>
      <c r="F19" s="196" t="s">
        <v>134</v>
      </c>
      <c r="G19" s="197" t="s">
        <v>231</v>
      </c>
      <c r="H19" s="265">
        <v>7.6388888888888886E-3</v>
      </c>
      <c r="I19" s="198">
        <v>7230000</v>
      </c>
      <c r="J19" s="199">
        <f>J16</f>
        <v>4114000</v>
      </c>
      <c r="K19" s="199">
        <v>7800000</v>
      </c>
      <c r="L19" s="232">
        <v>350000</v>
      </c>
      <c r="M19" s="232">
        <v>2800000</v>
      </c>
      <c r="N19" s="232">
        <v>2000000</v>
      </c>
      <c r="O19" s="200">
        <f>SUM(I19:N19)</f>
        <v>24294000</v>
      </c>
      <c r="P19" s="331">
        <v>843888</v>
      </c>
      <c r="Q19" s="332">
        <v>0</v>
      </c>
      <c r="R19" s="332">
        <v>0</v>
      </c>
      <c r="S19" s="328">
        <f t="shared" si="6"/>
        <v>224640</v>
      </c>
      <c r="T19" s="328">
        <f t="shared" si="7"/>
        <v>2340000</v>
      </c>
      <c r="U19" s="328">
        <f t="shared" si="0"/>
        <v>780000</v>
      </c>
      <c r="V19" s="333">
        <v>0</v>
      </c>
      <c r="W19" s="333">
        <v>0</v>
      </c>
      <c r="X19" s="329">
        <f t="shared" si="1"/>
        <v>4188528</v>
      </c>
      <c r="Y19" s="337">
        <f t="shared" si="8"/>
        <v>20105472</v>
      </c>
      <c r="AA19" s="20">
        <f t="shared" si="2"/>
        <v>20105472</v>
      </c>
      <c r="AB19" s="20">
        <f t="shared" si="3"/>
        <v>3344640</v>
      </c>
      <c r="AC19" s="20">
        <f t="shared" si="4"/>
        <v>3344640</v>
      </c>
    </row>
    <row r="20" spans="2:29" ht="18.75" customHeight="1" x14ac:dyDescent="0.3">
      <c r="B20" s="129">
        <v>11</v>
      </c>
      <c r="C20" s="195" t="s">
        <v>211</v>
      </c>
      <c r="D20" s="188" t="s">
        <v>201</v>
      </c>
      <c r="E20" s="234">
        <v>8</v>
      </c>
      <c r="F20" s="196" t="s">
        <v>126</v>
      </c>
      <c r="G20" s="197" t="s">
        <v>34</v>
      </c>
      <c r="H20" s="265">
        <v>2.0833333333333333E-3</v>
      </c>
      <c r="I20" s="198">
        <v>6918000</v>
      </c>
      <c r="J20" s="199">
        <v>4114000</v>
      </c>
      <c r="K20" s="199">
        <f>7800000</f>
        <v>7800000</v>
      </c>
      <c r="L20" s="232">
        <v>350000</v>
      </c>
      <c r="M20" s="232">
        <v>2800000</v>
      </c>
      <c r="N20" s="232">
        <v>2000000</v>
      </c>
      <c r="O20" s="200">
        <f t="shared" si="5"/>
        <v>23982000</v>
      </c>
      <c r="P20" s="331">
        <v>740616</v>
      </c>
      <c r="Q20" s="334">
        <v>0</v>
      </c>
      <c r="R20" s="334">
        <v>0</v>
      </c>
      <c r="S20" s="328">
        <f t="shared" si="6"/>
        <v>224640</v>
      </c>
      <c r="T20" s="328">
        <f t="shared" si="7"/>
        <v>2340000</v>
      </c>
      <c r="U20" s="328">
        <f t="shared" si="0"/>
        <v>780000</v>
      </c>
      <c r="V20" s="340">
        <v>0</v>
      </c>
      <c r="W20" s="333">
        <v>0</v>
      </c>
      <c r="X20" s="329">
        <f t="shared" si="1"/>
        <v>4085256</v>
      </c>
      <c r="Y20" s="337">
        <f t="shared" si="8"/>
        <v>19896744</v>
      </c>
      <c r="AA20" s="20">
        <f t="shared" si="2"/>
        <v>19896744</v>
      </c>
      <c r="AB20" s="20">
        <f t="shared" si="3"/>
        <v>3344640</v>
      </c>
      <c r="AC20" s="20">
        <f t="shared" si="4"/>
        <v>3344640</v>
      </c>
    </row>
    <row r="21" spans="2:29" ht="18.75" customHeight="1" x14ac:dyDescent="0.3">
      <c r="B21" s="115">
        <v>12</v>
      </c>
      <c r="C21" s="195" t="s">
        <v>87</v>
      </c>
      <c r="D21" s="188" t="s">
        <v>52</v>
      </c>
      <c r="E21" s="234">
        <v>11</v>
      </c>
      <c r="F21" s="196" t="s">
        <v>88</v>
      </c>
      <c r="G21" s="197" t="s">
        <v>34</v>
      </c>
      <c r="H21" s="266">
        <v>6.3888888888888884E-2</v>
      </c>
      <c r="I21" s="190">
        <v>4543000</v>
      </c>
      <c r="J21" s="191">
        <v>3435000</v>
      </c>
      <c r="K21" s="191">
        <v>6000000</v>
      </c>
      <c r="L21" s="231">
        <v>0</v>
      </c>
      <c r="M21" s="231">
        <v>0</v>
      </c>
      <c r="N21" s="231">
        <v>0</v>
      </c>
      <c r="O21" s="200">
        <f t="shared" ref="O21:O22" si="9">SUM(I21:K21)</f>
        <v>13978000</v>
      </c>
      <c r="P21" s="331">
        <v>587551</v>
      </c>
      <c r="Q21" s="334">
        <v>0</v>
      </c>
      <c r="R21" s="332">
        <v>0</v>
      </c>
      <c r="S21" s="328">
        <f t="shared" si="6"/>
        <v>172800</v>
      </c>
      <c r="T21" s="328">
        <f t="shared" si="7"/>
        <v>1800000</v>
      </c>
      <c r="U21" s="328">
        <f t="shared" si="0"/>
        <v>600000</v>
      </c>
      <c r="V21" s="332">
        <v>0</v>
      </c>
      <c r="W21" s="333">
        <v>0</v>
      </c>
      <c r="X21" s="329">
        <f t="shared" si="1"/>
        <v>3160351</v>
      </c>
      <c r="Y21" s="337">
        <f t="shared" si="8"/>
        <v>10817649</v>
      </c>
      <c r="AA21" s="20">
        <f t="shared" si="2"/>
        <v>10817649</v>
      </c>
      <c r="AB21" s="20">
        <f t="shared" si="3"/>
        <v>2572800</v>
      </c>
      <c r="AC21" s="20">
        <f t="shared" si="4"/>
        <v>2572800</v>
      </c>
    </row>
    <row r="22" spans="2:29" ht="18.75" customHeight="1" x14ac:dyDescent="0.3">
      <c r="B22" s="150">
        <v>13</v>
      </c>
      <c r="C22" s="201" t="s">
        <v>77</v>
      </c>
      <c r="D22" s="202" t="s">
        <v>52</v>
      </c>
      <c r="E22" s="235">
        <v>11</v>
      </c>
      <c r="F22" s="203" t="s">
        <v>78</v>
      </c>
      <c r="G22" s="204" t="s">
        <v>1</v>
      </c>
      <c r="H22" s="349">
        <v>1.5277777777777777E-2</v>
      </c>
      <c r="I22" s="205">
        <f>I21</f>
        <v>4543000</v>
      </c>
      <c r="J22" s="206">
        <v>3435000</v>
      </c>
      <c r="K22" s="206">
        <v>6000000</v>
      </c>
      <c r="L22" s="233">
        <v>0</v>
      </c>
      <c r="M22" s="233">
        <v>0</v>
      </c>
      <c r="N22" s="233">
        <v>0</v>
      </c>
      <c r="O22" s="207">
        <f t="shared" si="9"/>
        <v>13978000</v>
      </c>
      <c r="P22" s="335">
        <v>587551</v>
      </c>
      <c r="Q22" s="336">
        <v>0</v>
      </c>
      <c r="R22" s="336">
        <v>0</v>
      </c>
      <c r="S22" s="328">
        <f t="shared" si="6"/>
        <v>172800</v>
      </c>
      <c r="T22" s="328">
        <f t="shared" si="7"/>
        <v>1800000</v>
      </c>
      <c r="U22" s="328">
        <f t="shared" si="0"/>
        <v>600000</v>
      </c>
      <c r="V22" s="336">
        <v>0</v>
      </c>
      <c r="W22" s="336">
        <v>0</v>
      </c>
      <c r="X22" s="329">
        <f t="shared" si="1"/>
        <v>3160351</v>
      </c>
      <c r="Y22" s="337">
        <f t="shared" si="8"/>
        <v>10817649</v>
      </c>
      <c r="AA22" s="20">
        <f t="shared" si="2"/>
        <v>10817649</v>
      </c>
      <c r="AB22" s="20">
        <f t="shared" si="3"/>
        <v>2572800</v>
      </c>
      <c r="AC22" s="20">
        <f t="shared" si="4"/>
        <v>2572800</v>
      </c>
    </row>
    <row r="23" spans="2:29" ht="14.5" x14ac:dyDescent="0.35">
      <c r="B23" s="74"/>
      <c r="C23" s="74"/>
      <c r="D23" s="74"/>
      <c r="E23" s="74"/>
      <c r="F23" s="73"/>
      <c r="G23" s="21"/>
      <c r="H23" s="21"/>
      <c r="I23" s="375">
        <f>SUM(I10:I22)</f>
        <v>95672000</v>
      </c>
      <c r="J23" s="375">
        <f>SUM(J10:J22)</f>
        <v>53742000</v>
      </c>
      <c r="K23" s="375">
        <f>K10+K11+K12+K13+K14+K15+K16+K17+K18+K19+K20+K21+K22</f>
        <v>124800000</v>
      </c>
      <c r="L23" s="382">
        <f>SUM(L10:L22)</f>
        <v>5350000</v>
      </c>
      <c r="M23" s="382">
        <f>SUM(M10:M22)</f>
        <v>38000000</v>
      </c>
      <c r="N23" s="382">
        <f>SUM(N9:N22)</f>
        <v>37000000</v>
      </c>
      <c r="O23" s="368">
        <f>O10+O11+O12+O13+O14+O15+O16+O17+O18+O19+O20+O21+O22</f>
        <v>354564000</v>
      </c>
      <c r="P23" s="370">
        <f>P10+P11+P12+P13+P14+P15+P16+P17+P18+P19+P20+P21+P22</f>
        <v>10639537</v>
      </c>
      <c r="Q23" s="384">
        <f>Q10+Q11+Q12+Q13+Q14+Q15+Q16+Q17+Q18+Q19+Q20+Q21+Q22</f>
        <v>0</v>
      </c>
      <c r="R23" s="384">
        <f t="shared" ref="R23:X23" si="10">SUM(R10:R22)</f>
        <v>0</v>
      </c>
      <c r="S23" s="384">
        <f t="shared" si="10"/>
        <v>3594240</v>
      </c>
      <c r="T23" s="384">
        <f t="shared" si="10"/>
        <v>37440000</v>
      </c>
      <c r="U23" s="384">
        <f t="shared" si="10"/>
        <v>12480000</v>
      </c>
      <c r="V23" s="384">
        <f t="shared" si="10"/>
        <v>0</v>
      </c>
      <c r="W23" s="384">
        <f t="shared" si="10"/>
        <v>0</v>
      </c>
      <c r="X23" s="390">
        <f t="shared" si="10"/>
        <v>64153777</v>
      </c>
      <c r="Y23" s="366">
        <f>Y10+Y11+Y12+Y13+Y14+Y15+Y16+Y17+Y18+Y19+Y20+Y21+Y22</f>
        <v>290410223</v>
      </c>
      <c r="AA23" s="20"/>
    </row>
    <row r="24" spans="2:29" ht="15" thickBot="1" x14ac:dyDescent="0.4">
      <c r="B24" s="75"/>
      <c r="C24" s="75"/>
      <c r="D24" s="75"/>
      <c r="E24" s="75"/>
      <c r="F24" s="76"/>
      <c r="G24" s="77"/>
      <c r="H24" s="77"/>
      <c r="I24" s="376"/>
      <c r="J24" s="376"/>
      <c r="K24" s="376"/>
      <c r="L24" s="383"/>
      <c r="M24" s="383"/>
      <c r="N24" s="383"/>
      <c r="O24" s="369"/>
      <c r="P24" s="371"/>
      <c r="Q24" s="385"/>
      <c r="R24" s="385"/>
      <c r="S24" s="385"/>
      <c r="T24" s="385"/>
      <c r="U24" s="385"/>
      <c r="V24" s="385"/>
      <c r="W24" s="385"/>
      <c r="X24" s="391"/>
      <c r="Y24" s="367"/>
      <c r="AA24" s="93">
        <f>P23+Q23+R23+S23+T23+U23+V23+W23</f>
        <v>64153777</v>
      </c>
    </row>
    <row r="25" spans="2:29" ht="13" thickTop="1" x14ac:dyDescent="0.25">
      <c r="AA25" s="20">
        <f>O23-AA24</f>
        <v>290410223</v>
      </c>
    </row>
    <row r="26" spans="2:29" ht="13" x14ac:dyDescent="0.3">
      <c r="B26" s="31"/>
      <c r="C26" s="26" t="s">
        <v>237</v>
      </c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9" ht="13" x14ac:dyDescent="0.3">
      <c r="B27" s="27"/>
      <c r="C27" s="26" t="s">
        <v>238</v>
      </c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26"/>
      <c r="W27" s="377" t="s">
        <v>233</v>
      </c>
      <c r="X27" s="377"/>
      <c r="Y27" s="377"/>
      <c r="Z27" s="377"/>
      <c r="AA27" s="20">
        <f>O23-AA24</f>
        <v>290410223</v>
      </c>
    </row>
    <row r="28" spans="2:29" ht="13" x14ac:dyDescent="0.3">
      <c r="B28" s="27"/>
      <c r="C28" s="26" t="s">
        <v>239</v>
      </c>
      <c r="D28" s="26"/>
      <c r="E28" s="26"/>
      <c r="F28" s="26"/>
      <c r="G28" s="26"/>
      <c r="H28" s="26"/>
      <c r="I28" s="26"/>
      <c r="J28" s="26"/>
      <c r="Q28" s="253"/>
      <c r="R28" s="253"/>
      <c r="S28" s="253"/>
      <c r="T28" s="253"/>
      <c r="U28" s="253"/>
      <c r="V28" s="253"/>
      <c r="W28" s="377" t="s">
        <v>36</v>
      </c>
      <c r="X28" s="377"/>
      <c r="Y28" s="377"/>
      <c r="Z28" s="377"/>
    </row>
    <row r="29" spans="2:29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3"/>
      <c r="R29" s="253"/>
      <c r="S29" s="253"/>
      <c r="T29" s="253"/>
      <c r="U29" s="253"/>
      <c r="V29" s="253"/>
      <c r="W29" s="120"/>
      <c r="X29" s="120"/>
      <c r="Y29" s="120"/>
      <c r="Z29" s="120"/>
      <c r="AA29" s="20"/>
    </row>
    <row r="30" spans="2:29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3"/>
      <c r="R30" s="253"/>
      <c r="S30" s="253"/>
      <c r="T30" s="253"/>
      <c r="U30" s="253"/>
      <c r="V30" s="253"/>
      <c r="W30" s="120"/>
      <c r="X30" s="120"/>
      <c r="Y30" s="120"/>
      <c r="Z30" s="283"/>
    </row>
    <row r="31" spans="2:29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283"/>
    </row>
    <row r="32" spans="2:29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386" t="s">
        <v>167</v>
      </c>
      <c r="X32" s="386"/>
      <c r="Y32" s="386"/>
      <c r="Z32" s="386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120"/>
      <c r="W34" s="377"/>
      <c r="X34" s="377"/>
      <c r="Y34" s="377"/>
    </row>
    <row r="35" spans="2:25" ht="13" x14ac:dyDescent="0.3">
      <c r="Q35" s="254"/>
      <c r="R35" s="254"/>
      <c r="S35" s="254"/>
      <c r="T35" s="254"/>
      <c r="U35" s="254" t="s">
        <v>43</v>
      </c>
      <c r="V35" s="254"/>
      <c r="W35" s="254"/>
      <c r="X35" s="254"/>
      <c r="Y35" s="254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7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  <c r="S41" s="253"/>
      <c r="T41" s="253">
        <f>10-7.12</f>
        <v>2.88</v>
      </c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258892000</v>
      </c>
      <c r="S42" s="253"/>
      <c r="T42" s="253">
        <f>T41+30+10</f>
        <v>42.88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303086600</v>
      </c>
      <c r="S43" s="120"/>
      <c r="T43" s="120">
        <f>50-T42</f>
        <v>7.1199999999999974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  <c r="S44" s="120">
        <f>100-S45</f>
        <v>42.88</v>
      </c>
      <c r="T44" s="120"/>
    </row>
    <row r="45" spans="2:25" ht="13" x14ac:dyDescent="0.3">
      <c r="S45" s="120">
        <f>50+T43</f>
        <v>57.12</v>
      </c>
      <c r="T45" s="120"/>
    </row>
    <row r="57" spans="5:9" x14ac:dyDescent="0.25">
      <c r="E57" t="s">
        <v>151</v>
      </c>
      <c r="F57" s="20">
        <f>95672000+40407095</f>
        <v>136079095</v>
      </c>
    </row>
    <row r="58" spans="5:9" x14ac:dyDescent="0.25">
      <c r="E58" t="s">
        <v>152</v>
      </c>
      <c r="F58" s="20">
        <f>J23+K23+L23+M23+N23+44194600</f>
        <v>303086600</v>
      </c>
      <c r="H58" s="151"/>
      <c r="I58" s="20"/>
    </row>
    <row r="60" spans="5:9" x14ac:dyDescent="0.25">
      <c r="E60" s="20"/>
    </row>
  </sheetData>
  <mergeCells count="43">
    <mergeCell ref="W27:Z27"/>
    <mergeCell ref="W28:Z28"/>
    <mergeCell ref="W32:Z32"/>
    <mergeCell ref="W6:W7"/>
    <mergeCell ref="Q6:U6"/>
    <mergeCell ref="S23:S24"/>
    <mergeCell ref="W23:W24"/>
    <mergeCell ref="X23:X24"/>
    <mergeCell ref="V6:V7"/>
    <mergeCell ref="T23:T24"/>
    <mergeCell ref="V23:V24"/>
    <mergeCell ref="W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Q23:Q24"/>
    <mergeCell ref="R23:R24"/>
    <mergeCell ref="U23:U24"/>
    <mergeCell ref="A3:Y3"/>
    <mergeCell ref="A4:Y4"/>
    <mergeCell ref="Y6:Y7"/>
    <mergeCell ref="Y23:Y24"/>
    <mergeCell ref="O23:O24"/>
    <mergeCell ref="P23:P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I6:I7"/>
  </mergeCells>
  <printOptions horizontalCentered="1"/>
  <pageMargins left="0" right="0" top="0" bottom="0.74803149606299202" header="0.31496062992126" footer="0.31496062992126"/>
  <pageSetup paperSize="9" scale="43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zoomScaleNormal="100" workbookViewId="0">
      <selection activeCell="X47" sqref="X4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6" t="s">
        <v>42</v>
      </c>
      <c r="B1" s="35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10"/>
      <c r="B2" s="3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57" t="s">
        <v>165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</row>
    <row r="5" spans="1:32" ht="16.5" customHeight="1" x14ac:dyDescent="0.25">
      <c r="A5" s="13"/>
      <c r="B5" s="357" t="s">
        <v>230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8" t="s">
        <v>7</v>
      </c>
      <c r="B7" s="358" t="s">
        <v>66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61" t="s">
        <v>24</v>
      </c>
    </row>
    <row r="8" spans="1:32" ht="20.149999999999999" customHeight="1" x14ac:dyDescent="0.25">
      <c r="A8" s="359"/>
      <c r="B8" s="360"/>
      <c r="C8" s="360"/>
      <c r="D8" s="360"/>
      <c r="E8" s="360"/>
      <c r="F8" s="360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1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9515476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21" t="s">
        <v>119</v>
      </c>
      <c r="Y10">
        <f>'NET PEGAWAI PTP'!L8</f>
        <v>10831645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9515476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21" t="s">
        <v>28</v>
      </c>
      <c r="Y11">
        <f>'NET PEGAWAI PTP'!L9</f>
        <v>10831645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5968804.4000000004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22" t="s">
        <v>64</v>
      </c>
      <c r="Y12">
        <f>'NET PEGAWAI PTP'!L10</f>
        <v>6430645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6590032.7999999998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22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102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5941575.4000000004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22" t="s">
        <v>109</v>
      </c>
      <c r="Z14" s="30"/>
      <c r="AA14" s="48"/>
      <c r="AD14" s="151"/>
      <c r="AE14" s="178"/>
      <c r="AF14" s="20"/>
    </row>
    <row r="15" spans="1:32" ht="20.149999999999999" customHeight="1" x14ac:dyDescent="0.35">
      <c r="A15" s="122">
        <v>6</v>
      </c>
      <c r="B15" s="46" t="s">
        <v>198</v>
      </c>
      <c r="C15" s="36" t="s">
        <v>86</v>
      </c>
      <c r="D15" s="61"/>
      <c r="E15" s="62"/>
      <c r="F15" s="63"/>
      <c r="G15" s="64"/>
      <c r="H15" s="64"/>
      <c r="I15" s="64"/>
      <c r="J15" s="70">
        <f>'NET PEGAWAI PTP'!X19</f>
        <v>4269420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23" t="s">
        <v>203</v>
      </c>
      <c r="Z15" s="30"/>
      <c r="AA15" s="48"/>
      <c r="AD15" s="151"/>
      <c r="AE15" s="20"/>
    </row>
    <row r="16" spans="1:32" ht="20.149999999999999" customHeight="1" x14ac:dyDescent="0.35">
      <c r="A16" s="122">
        <v>7</v>
      </c>
      <c r="B16" s="46" t="s">
        <v>108</v>
      </c>
      <c r="C16" s="36" t="s">
        <v>86</v>
      </c>
      <c r="D16" s="61"/>
      <c r="E16" s="62"/>
      <c r="F16" s="63"/>
      <c r="G16" s="64"/>
      <c r="H16" s="64"/>
      <c r="I16" s="64"/>
      <c r="J16" s="70">
        <f>'NET PEGAWAI PTP'!X14</f>
        <v>5731091.4000000004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22" t="s">
        <v>110</v>
      </c>
      <c r="Z16" s="30"/>
      <c r="AA16" s="48"/>
      <c r="AD16" s="151"/>
      <c r="AE16" s="178"/>
      <c r="AF16" s="20"/>
    </row>
    <row r="17" spans="1:31" ht="20.149999999999999" customHeight="1" x14ac:dyDescent="0.35">
      <c r="A17" s="126">
        <v>8</v>
      </c>
      <c r="B17" s="46" t="s">
        <v>96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6008066.4000000004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22" t="s">
        <v>97</v>
      </c>
      <c r="Z17" s="30"/>
      <c r="AA17" s="48"/>
      <c r="AD17" s="251"/>
      <c r="AE17" s="252"/>
    </row>
    <row r="18" spans="1:31" ht="20.149999999999999" customHeight="1" x14ac:dyDescent="0.35">
      <c r="A18" s="122">
        <v>9</v>
      </c>
      <c r="B18" s="239" t="s">
        <v>115</v>
      </c>
      <c r="C18" s="240" t="s">
        <v>86</v>
      </c>
      <c r="D18" s="241"/>
      <c r="E18" s="242"/>
      <c r="F18" s="243"/>
      <c r="G18" s="244"/>
      <c r="H18" s="244"/>
      <c r="I18" s="244"/>
      <c r="J18" s="245">
        <f>'NET PEGAWAI PTP'!X16</f>
        <v>5976497.4000000004</v>
      </c>
      <c r="K18" s="246"/>
      <c r="L18" s="246"/>
      <c r="M18" s="246"/>
      <c r="N18" s="243"/>
      <c r="O18" s="247"/>
      <c r="P18" s="246"/>
      <c r="Q18" s="243"/>
      <c r="R18" s="243"/>
      <c r="S18" s="247"/>
      <c r="T18" s="247"/>
      <c r="U18" s="247"/>
      <c r="V18" s="247"/>
      <c r="W18" s="247"/>
      <c r="X18" s="324" t="s">
        <v>114</v>
      </c>
      <c r="Z18" s="30"/>
      <c r="AA18" s="48"/>
    </row>
    <row r="19" spans="1:31" ht="20.149999999999999" customHeight="1" x14ac:dyDescent="0.35">
      <c r="A19" s="122">
        <v>10</v>
      </c>
      <c r="B19" s="46" t="s">
        <v>90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6014715.4000000004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22" t="s">
        <v>182</v>
      </c>
      <c r="Z19" s="30"/>
      <c r="AA19" s="48"/>
    </row>
    <row r="20" spans="1:31" ht="20.149999999999999" customHeight="1" x14ac:dyDescent="0.35">
      <c r="A20" s="126">
        <v>11</v>
      </c>
      <c r="B20" s="46" t="s">
        <v>210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6069842.4000000004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0" t="s">
        <v>202</v>
      </c>
      <c r="Z20" s="30"/>
      <c r="AA20" s="48"/>
    </row>
    <row r="21" spans="1:31" ht="20.149999999999999" customHeight="1" x14ac:dyDescent="0.35">
      <c r="A21" s="126">
        <v>12</v>
      </c>
      <c r="B21" s="312" t="s">
        <v>127</v>
      </c>
      <c r="C21" s="313" t="s">
        <v>50</v>
      </c>
      <c r="D21" s="314"/>
      <c r="E21" s="315"/>
      <c r="F21" s="316"/>
      <c r="G21" s="317"/>
      <c r="H21" s="317"/>
      <c r="I21" s="317"/>
      <c r="J21" s="318">
        <f>'NET PEGAWAI PTP'!X17</f>
        <v>6004477.4000000004</v>
      </c>
      <c r="K21" s="319"/>
      <c r="L21" s="319"/>
      <c r="M21" s="319"/>
      <c r="N21" s="316"/>
      <c r="O21" s="320"/>
      <c r="P21" s="319"/>
      <c r="Q21" s="316"/>
      <c r="R21" s="316"/>
      <c r="S21" s="320"/>
      <c r="T21" s="320"/>
      <c r="U21" s="320"/>
      <c r="V21" s="320"/>
      <c r="W21" s="320"/>
      <c r="X21" s="250" t="s">
        <v>129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52">
        <f>SUM(F9:F11)</f>
        <v>0</v>
      </c>
      <c r="G22" s="352">
        <f>SUM(G9:G11)</f>
        <v>0</v>
      </c>
      <c r="H22" s="352">
        <f>SUM(H9:H11)</f>
        <v>0</v>
      </c>
      <c r="I22" s="352">
        <f>SUM(I9:I11)</f>
        <v>0</v>
      </c>
      <c r="J22" s="354">
        <f>SUM(J10:J21)</f>
        <v>77605475</v>
      </c>
      <c r="K22" s="352">
        <f t="shared" ref="K22:W22" si="0">SUM(K9:K11)</f>
        <v>0</v>
      </c>
      <c r="L22" s="352">
        <f t="shared" si="0"/>
        <v>0</v>
      </c>
      <c r="M22" s="352">
        <f t="shared" si="0"/>
        <v>0</v>
      </c>
      <c r="N22" s="352">
        <f t="shared" si="0"/>
        <v>0</v>
      </c>
      <c r="O22" s="352">
        <f t="shared" si="0"/>
        <v>0</v>
      </c>
      <c r="P22" s="352">
        <f t="shared" si="0"/>
        <v>0</v>
      </c>
      <c r="Q22" s="352">
        <f t="shared" si="0"/>
        <v>0</v>
      </c>
      <c r="R22" s="352">
        <f t="shared" si="0"/>
        <v>0</v>
      </c>
      <c r="S22" s="352">
        <f t="shared" si="0"/>
        <v>0</v>
      </c>
      <c r="T22" s="352">
        <f t="shared" si="0"/>
        <v>0</v>
      </c>
      <c r="U22" s="352">
        <f t="shared" si="0"/>
        <v>0</v>
      </c>
      <c r="V22" s="352">
        <f t="shared" si="0"/>
        <v>0</v>
      </c>
      <c r="W22" s="352">
        <f t="shared" si="0"/>
        <v>0</v>
      </c>
      <c r="X22" s="352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53"/>
      <c r="G23" s="353"/>
      <c r="H23" s="353"/>
      <c r="I23" s="353"/>
      <c r="J23" s="355"/>
      <c r="K23" s="353"/>
      <c r="L23" s="353"/>
      <c r="M23" s="353"/>
      <c r="N23" s="353"/>
      <c r="O23" s="353"/>
      <c r="P23" s="353"/>
      <c r="Q23" s="353"/>
      <c r="R23" s="353"/>
      <c r="S23" s="353"/>
      <c r="T23" s="353"/>
      <c r="U23" s="353"/>
      <c r="V23" s="353"/>
      <c r="W23" s="353"/>
      <c r="X23" s="353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11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11" t="s">
        <v>234</v>
      </c>
    </row>
    <row r="26" spans="1:31" ht="14.5" x14ac:dyDescent="0.35">
      <c r="A26" s="6"/>
      <c r="B26" s="311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11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11" t="s">
        <v>184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11" t="s">
        <v>167</v>
      </c>
    </row>
  </sheetData>
  <mergeCells count="41"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N7:N8"/>
    <mergeCell ref="O7:O8"/>
    <mergeCell ref="X22:X23"/>
    <mergeCell ref="R22:R23"/>
    <mergeCell ref="S22:S23"/>
    <mergeCell ref="T22:T23"/>
    <mergeCell ref="U22:U23"/>
    <mergeCell ref="V22:V23"/>
    <mergeCell ref="W22:W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44"/>
  <sheetViews>
    <sheetView view="pageBreakPreview" topLeftCell="E4" zoomScale="85" zoomScaleNormal="100" zoomScaleSheetLayoutView="85" workbookViewId="0">
      <selection activeCell="W17" sqref="W17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62" t="s">
        <v>142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95"/>
    </row>
    <row r="3" spans="2:29" ht="12.75" customHeight="1" x14ac:dyDescent="0.25">
      <c r="B3" s="363" t="s">
        <v>230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72" t="s">
        <v>7</v>
      </c>
      <c r="C5" s="372" t="s">
        <v>66</v>
      </c>
      <c r="D5" s="372" t="s">
        <v>21</v>
      </c>
      <c r="E5" s="372" t="s">
        <v>166</v>
      </c>
      <c r="F5" s="372" t="s">
        <v>70</v>
      </c>
      <c r="G5" s="372" t="s">
        <v>0</v>
      </c>
      <c r="H5" s="372" t="s">
        <v>2</v>
      </c>
      <c r="I5" s="372" t="s">
        <v>67</v>
      </c>
      <c r="J5" s="372" t="s">
        <v>140</v>
      </c>
      <c r="K5" s="372" t="s">
        <v>141</v>
      </c>
      <c r="L5" s="378" t="s">
        <v>68</v>
      </c>
      <c r="M5" s="402" t="s">
        <v>144</v>
      </c>
      <c r="N5" s="372" t="s">
        <v>143</v>
      </c>
      <c r="O5" s="372" t="s">
        <v>95</v>
      </c>
      <c r="P5" s="372" t="s">
        <v>56</v>
      </c>
      <c r="Q5" s="387" t="s">
        <v>153</v>
      </c>
      <c r="R5" s="388"/>
      <c r="S5" s="388"/>
      <c r="T5" s="388"/>
      <c r="U5" s="389"/>
      <c r="V5" s="372" t="s">
        <v>154</v>
      </c>
      <c r="W5" s="372" t="s">
        <v>189</v>
      </c>
      <c r="X5" s="372" t="s">
        <v>82</v>
      </c>
      <c r="Y5" s="107"/>
    </row>
    <row r="6" spans="2:29" ht="96" customHeight="1" thickBot="1" x14ac:dyDescent="0.3">
      <c r="B6" s="373"/>
      <c r="C6" s="374"/>
      <c r="D6" s="374"/>
      <c r="E6" s="373"/>
      <c r="F6" s="373"/>
      <c r="G6" s="374"/>
      <c r="H6" s="374"/>
      <c r="I6" s="374"/>
      <c r="J6" s="373"/>
      <c r="K6" s="373"/>
      <c r="L6" s="379"/>
      <c r="M6" s="403"/>
      <c r="N6" s="373"/>
      <c r="O6" s="373"/>
      <c r="P6" s="373"/>
      <c r="Q6" s="236" t="s">
        <v>216</v>
      </c>
      <c r="R6" s="236" t="s">
        <v>217</v>
      </c>
      <c r="S6" s="236" t="s">
        <v>219</v>
      </c>
      <c r="T6" s="343" t="s">
        <v>225</v>
      </c>
      <c r="U6" s="341" t="s">
        <v>218</v>
      </c>
      <c r="V6" s="373"/>
      <c r="W6" s="373"/>
      <c r="X6" s="373"/>
      <c r="Y6" s="107"/>
      <c r="Z6" t="s">
        <v>179</v>
      </c>
      <c r="AA6" t="s">
        <v>236</v>
      </c>
      <c r="AB6" t="s">
        <v>236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131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156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6">
        <v>0</v>
      </c>
      <c r="F8" s="81" t="s">
        <v>197</v>
      </c>
      <c r="G8" s="131" t="s">
        <v>33</v>
      </c>
      <c r="H8" s="130" t="s">
        <v>35</v>
      </c>
      <c r="I8" s="97">
        <v>3370645</v>
      </c>
      <c r="J8" s="98">
        <v>4706000</v>
      </c>
      <c r="K8" s="98">
        <v>2755000</v>
      </c>
      <c r="L8" s="99">
        <f t="shared" ref="L8:L18" si="0">SUM(I8:K8)</f>
        <v>10831645</v>
      </c>
      <c r="M8" s="100">
        <v>33706</v>
      </c>
      <c r="N8" s="88">
        <v>101119</v>
      </c>
      <c r="O8" s="152">
        <v>0</v>
      </c>
      <c r="P8" s="88">
        <v>0</v>
      </c>
      <c r="Q8" s="88">
        <v>0</v>
      </c>
      <c r="R8" s="88">
        <v>0</v>
      </c>
      <c r="S8" s="88">
        <f>K8*2.88%</f>
        <v>79344</v>
      </c>
      <c r="T8" s="88">
        <f>K8*30%</f>
        <v>826500</v>
      </c>
      <c r="U8" s="88">
        <f t="shared" ref="U8:U18" si="1">10%*K8</f>
        <v>275500</v>
      </c>
      <c r="V8" s="88">
        <v>0</v>
      </c>
      <c r="W8" s="88">
        <f>M8+N8+Q8+R8+S8+T8+U8+V8</f>
        <v>1316169</v>
      </c>
      <c r="X8" s="154">
        <f t="shared" ref="X8:X18" si="2">L8-(M8+N8+Q8+R8+S8+T8+U8+V8)</f>
        <v>9515476</v>
      </c>
      <c r="Y8" s="104"/>
      <c r="Z8" s="20">
        <f t="shared" ref="Z8:Z19" si="3">SUM(M8:V8)</f>
        <v>1316169</v>
      </c>
      <c r="AA8" s="20">
        <f t="shared" ref="AA8:AA19" si="4">L8-Z8</f>
        <v>9515476</v>
      </c>
      <c r="AB8" s="91">
        <f>SUM(S8:U8)</f>
        <v>1181344</v>
      </c>
      <c r="AC8" s="91">
        <f>K8*42.88%</f>
        <v>1181344</v>
      </c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5">
        <v>0</v>
      </c>
      <c r="F9" s="81" t="s">
        <v>197</v>
      </c>
      <c r="G9" s="131" t="s">
        <v>37</v>
      </c>
      <c r="H9" s="130" t="s">
        <v>35</v>
      </c>
      <c r="I9" s="97">
        <f t="shared" ref="I9" si="5">I8</f>
        <v>3370645</v>
      </c>
      <c r="J9" s="98">
        <v>4706000</v>
      </c>
      <c r="K9" s="98">
        <v>2755000</v>
      </c>
      <c r="L9" s="99">
        <f t="shared" si="0"/>
        <v>10831645</v>
      </c>
      <c r="M9" s="100">
        <v>33706</v>
      </c>
      <c r="N9" s="88">
        <v>101119</v>
      </c>
      <c r="O9" s="152">
        <v>0</v>
      </c>
      <c r="P9" s="88">
        <v>0</v>
      </c>
      <c r="Q9" s="88">
        <v>0</v>
      </c>
      <c r="R9" s="88">
        <v>0</v>
      </c>
      <c r="S9" s="88">
        <f t="shared" ref="S9:S18" si="6">K9*2.88%</f>
        <v>79344</v>
      </c>
      <c r="T9" s="88">
        <f t="shared" ref="T9:T18" si="7">K9*30%</f>
        <v>826500</v>
      </c>
      <c r="U9" s="88">
        <f t="shared" si="1"/>
        <v>275500</v>
      </c>
      <c r="V9" s="88">
        <v>0</v>
      </c>
      <c r="W9" s="88">
        <f>M9+N9+Q9+R9+S9+T9+U9+V9</f>
        <v>1316169</v>
      </c>
      <c r="X9" s="154">
        <f t="shared" si="2"/>
        <v>9515476</v>
      </c>
      <c r="Y9" s="104"/>
      <c r="Z9" s="20">
        <f t="shared" si="3"/>
        <v>1316169</v>
      </c>
      <c r="AA9" s="20">
        <f t="shared" si="4"/>
        <v>9515476</v>
      </c>
      <c r="AB9" s="91">
        <f t="shared" ref="AB9:AB18" si="8">SUM(S9:U9)</f>
        <v>1181344</v>
      </c>
      <c r="AC9" s="91">
        <f t="shared" ref="AC9:AC18" si="9">K9*42.88%</f>
        <v>1181344</v>
      </c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55">
        <v>0.10208333333333335</v>
      </c>
      <c r="F10" s="81" t="s">
        <v>72</v>
      </c>
      <c r="G10" s="82" t="s">
        <v>62</v>
      </c>
      <c r="H10" s="350" t="s">
        <v>31</v>
      </c>
      <c r="I10" s="84">
        <v>3370645</v>
      </c>
      <c r="J10" s="85">
        <f>[2]Sheet1!$O$19</f>
        <v>2533000</v>
      </c>
      <c r="K10" s="85">
        <f>[2]Sheet1!$Q$19</f>
        <v>527000</v>
      </c>
      <c r="L10" s="86">
        <f t="shared" si="0"/>
        <v>6430645</v>
      </c>
      <c r="M10" s="214">
        <f t="shared" ref="M10:M17" si="10">M9</f>
        <v>33706</v>
      </c>
      <c r="N10" s="87">
        <v>101119</v>
      </c>
      <c r="O10" s="152">
        <v>0</v>
      </c>
      <c r="P10" s="88">
        <v>0</v>
      </c>
      <c r="Q10" s="88">
        <f>10%*K10</f>
        <v>52700</v>
      </c>
      <c r="R10" s="88">
        <v>0</v>
      </c>
      <c r="S10" s="88">
        <f t="shared" si="6"/>
        <v>15177.6</v>
      </c>
      <c r="T10" s="88">
        <f t="shared" si="7"/>
        <v>158100</v>
      </c>
      <c r="U10" s="88">
        <f t="shared" si="1"/>
        <v>52700</v>
      </c>
      <c r="V10" s="346">
        <v>48338</v>
      </c>
      <c r="W10" s="88">
        <f t="shared" ref="W10:W19" si="11">SUM(M10:V10)</f>
        <v>461840.6</v>
      </c>
      <c r="X10" s="154">
        <f t="shared" si="2"/>
        <v>5968804.4000000004</v>
      </c>
      <c r="Y10" s="105"/>
      <c r="Z10" s="20">
        <f t="shared" si="3"/>
        <v>461840.6</v>
      </c>
      <c r="AA10" s="20">
        <f t="shared" si="4"/>
        <v>5968804.4000000004</v>
      </c>
      <c r="AB10" s="91">
        <f t="shared" si="8"/>
        <v>225977.60000000001</v>
      </c>
      <c r="AC10" s="91">
        <f t="shared" si="9"/>
        <v>225977.60000000001</v>
      </c>
    </row>
    <row r="11" spans="2:29" ht="18" customHeight="1" x14ac:dyDescent="0.35">
      <c r="B11" s="129">
        <v>4</v>
      </c>
      <c r="C11" s="79" t="s">
        <v>81</v>
      </c>
      <c r="D11" s="80" t="s">
        <v>51</v>
      </c>
      <c r="E11" s="255">
        <v>1.8749999999999999E-2</v>
      </c>
      <c r="F11" s="81" t="s">
        <v>206</v>
      </c>
      <c r="G11" s="82" t="s">
        <v>73</v>
      </c>
      <c r="H11" s="83" t="s">
        <v>34</v>
      </c>
      <c r="I11" s="84">
        <f t="shared" ref="I11:I12" si="12">I10</f>
        <v>3370645</v>
      </c>
      <c r="J11" s="85">
        <v>2815000</v>
      </c>
      <c r="K11" s="85">
        <v>944000</v>
      </c>
      <c r="L11" s="86">
        <f t="shared" si="0"/>
        <v>7129645</v>
      </c>
      <c r="M11" s="214">
        <f t="shared" si="10"/>
        <v>33706</v>
      </c>
      <c r="N11" s="87">
        <v>101119</v>
      </c>
      <c r="O11" s="152">
        <v>0</v>
      </c>
      <c r="P11" s="88">
        <v>0</v>
      </c>
      <c r="Q11" s="88">
        <v>0</v>
      </c>
      <c r="R11" s="88">
        <v>0</v>
      </c>
      <c r="S11" s="88">
        <f t="shared" si="6"/>
        <v>27187.200000000001</v>
      </c>
      <c r="T11" s="88">
        <f t="shared" si="7"/>
        <v>283200</v>
      </c>
      <c r="U11" s="88">
        <f t="shared" si="1"/>
        <v>94400</v>
      </c>
      <c r="V11" s="88">
        <v>0</v>
      </c>
      <c r="W11" s="88">
        <f t="shared" si="11"/>
        <v>539612.19999999995</v>
      </c>
      <c r="X11" s="154">
        <f t="shared" si="2"/>
        <v>6590032.7999999998</v>
      </c>
      <c r="Y11" s="105"/>
      <c r="Z11" s="20">
        <f t="shared" si="3"/>
        <v>539612.19999999995</v>
      </c>
      <c r="AA11" s="20">
        <f t="shared" si="4"/>
        <v>6590032.7999999998</v>
      </c>
      <c r="AB11" s="91">
        <f t="shared" si="8"/>
        <v>404787.20000000001</v>
      </c>
      <c r="AC11" s="91">
        <f t="shared" si="9"/>
        <v>404787.20000000001</v>
      </c>
    </row>
    <row r="12" spans="2:29" ht="20.149999999999999" customHeight="1" x14ac:dyDescent="0.35">
      <c r="B12" s="129">
        <v>5</v>
      </c>
      <c r="C12" s="132" t="s">
        <v>96</v>
      </c>
      <c r="D12" s="133" t="s">
        <v>50</v>
      </c>
      <c r="E12" s="344">
        <v>0.15277777777777776</v>
      </c>
      <c r="F12" s="134" t="s">
        <v>72</v>
      </c>
      <c r="G12" s="135" t="s">
        <v>101</v>
      </c>
      <c r="H12" s="136" t="s">
        <v>35</v>
      </c>
      <c r="I12" s="137">
        <f t="shared" si="12"/>
        <v>3370645</v>
      </c>
      <c r="J12" s="138">
        <v>2533000</v>
      </c>
      <c r="K12" s="138">
        <v>527000</v>
      </c>
      <c r="L12" s="139">
        <f t="shared" si="0"/>
        <v>6430645</v>
      </c>
      <c r="M12" s="215">
        <f t="shared" si="10"/>
        <v>33706</v>
      </c>
      <c r="N12" s="140">
        <v>101119</v>
      </c>
      <c r="O12" s="152">
        <v>0</v>
      </c>
      <c r="P12" s="142">
        <v>0</v>
      </c>
      <c r="Q12" s="88">
        <f>10%*K12</f>
        <v>52700</v>
      </c>
      <c r="R12" s="142">
        <v>0</v>
      </c>
      <c r="S12" s="88">
        <f t="shared" si="6"/>
        <v>15177.6</v>
      </c>
      <c r="T12" s="88">
        <f t="shared" si="7"/>
        <v>158100</v>
      </c>
      <c r="U12" s="142">
        <f t="shared" si="1"/>
        <v>52700</v>
      </c>
      <c r="V12" s="347">
        <v>9076</v>
      </c>
      <c r="W12" s="88">
        <f t="shared" si="11"/>
        <v>422578.6</v>
      </c>
      <c r="X12" s="154">
        <f t="shared" si="2"/>
        <v>6008066.4000000004</v>
      </c>
      <c r="Y12" s="105"/>
      <c r="Z12" s="20">
        <f t="shared" si="3"/>
        <v>422578.6</v>
      </c>
      <c r="AA12" s="20">
        <f t="shared" si="4"/>
        <v>6008066.4000000004</v>
      </c>
      <c r="AB12" s="91">
        <f t="shared" si="8"/>
        <v>225977.60000000001</v>
      </c>
      <c r="AC12" s="91">
        <f t="shared" si="9"/>
        <v>225977.60000000001</v>
      </c>
    </row>
    <row r="13" spans="2:29" ht="20.149999999999999" customHeight="1" x14ac:dyDescent="0.35">
      <c r="B13" s="129">
        <v>6</v>
      </c>
      <c r="C13" s="79" t="s">
        <v>102</v>
      </c>
      <c r="D13" s="80" t="s">
        <v>52</v>
      </c>
      <c r="E13" s="284" t="s">
        <v>227</v>
      </c>
      <c r="F13" s="81" t="s">
        <v>72</v>
      </c>
      <c r="G13" s="82" t="s">
        <v>106</v>
      </c>
      <c r="H13" s="83" t="s">
        <v>35</v>
      </c>
      <c r="I13" s="84">
        <f>I11</f>
        <v>3370645</v>
      </c>
      <c r="J13" s="84">
        <v>2533000</v>
      </c>
      <c r="K13" s="84">
        <v>527000</v>
      </c>
      <c r="L13" s="86">
        <f t="shared" si="0"/>
        <v>6430645</v>
      </c>
      <c r="M13" s="214">
        <f t="shared" si="10"/>
        <v>33706</v>
      </c>
      <c r="N13" s="87">
        <v>101119</v>
      </c>
      <c r="O13" s="152">
        <v>0</v>
      </c>
      <c r="P13" s="88">
        <v>0</v>
      </c>
      <c r="Q13" s="296">
        <f>10%*K13</f>
        <v>52700</v>
      </c>
      <c r="R13" s="88">
        <v>0</v>
      </c>
      <c r="S13" s="88">
        <f t="shared" si="6"/>
        <v>15177.6</v>
      </c>
      <c r="T13" s="88">
        <f t="shared" si="7"/>
        <v>158100</v>
      </c>
      <c r="U13" s="88">
        <f t="shared" si="1"/>
        <v>52700</v>
      </c>
      <c r="V13" s="338">
        <v>75567</v>
      </c>
      <c r="W13" s="88">
        <f t="shared" si="11"/>
        <v>489069.6</v>
      </c>
      <c r="X13" s="154">
        <f t="shared" si="2"/>
        <v>5941575.4000000004</v>
      </c>
      <c r="Y13" s="105"/>
      <c r="Z13" s="20">
        <f t="shared" si="3"/>
        <v>489069.6</v>
      </c>
      <c r="AA13" s="20">
        <f t="shared" si="4"/>
        <v>5941575.4000000004</v>
      </c>
      <c r="AB13" s="91">
        <f t="shared" si="8"/>
        <v>225977.60000000001</v>
      </c>
      <c r="AC13" s="91">
        <f t="shared" si="9"/>
        <v>225977.60000000001</v>
      </c>
    </row>
    <row r="14" spans="2:29" ht="20.149999999999999" customHeight="1" x14ac:dyDescent="0.35">
      <c r="B14" s="129">
        <v>7</v>
      </c>
      <c r="C14" s="79" t="s">
        <v>103</v>
      </c>
      <c r="D14" s="80" t="s">
        <v>86</v>
      </c>
      <c r="E14" s="284">
        <v>0.5131944444444444</v>
      </c>
      <c r="F14" s="81" t="s">
        <v>72</v>
      </c>
      <c r="G14" s="82" t="s">
        <v>107</v>
      </c>
      <c r="H14" s="83" t="s">
        <v>1</v>
      </c>
      <c r="I14" s="84">
        <f>I11</f>
        <v>3370645</v>
      </c>
      <c r="J14" s="84">
        <v>2533000</v>
      </c>
      <c r="K14" s="84">
        <v>527000</v>
      </c>
      <c r="L14" s="86">
        <f t="shared" si="0"/>
        <v>6430645</v>
      </c>
      <c r="M14" s="214">
        <f t="shared" si="10"/>
        <v>33706</v>
      </c>
      <c r="N14" s="87">
        <v>101119</v>
      </c>
      <c r="O14" s="152">
        <v>0</v>
      </c>
      <c r="P14" s="88">
        <v>0</v>
      </c>
      <c r="Q14" s="296">
        <f>10%*K14</f>
        <v>52700</v>
      </c>
      <c r="R14" s="88">
        <f>40%*K14</f>
        <v>210800</v>
      </c>
      <c r="S14" s="88">
        <f t="shared" si="6"/>
        <v>15177.6</v>
      </c>
      <c r="T14" s="88">
        <f t="shared" si="7"/>
        <v>158100</v>
      </c>
      <c r="U14" s="88">
        <f t="shared" si="1"/>
        <v>52700</v>
      </c>
      <c r="V14" s="338">
        <v>75251</v>
      </c>
      <c r="W14" s="88">
        <f t="shared" si="11"/>
        <v>699553.6</v>
      </c>
      <c r="X14" s="154">
        <f t="shared" si="2"/>
        <v>5731091.4000000004</v>
      </c>
      <c r="Y14" s="105"/>
      <c r="Z14" s="20">
        <f t="shared" si="3"/>
        <v>699553.6</v>
      </c>
      <c r="AA14" s="20">
        <f t="shared" si="4"/>
        <v>5731091.4000000004</v>
      </c>
      <c r="AB14" s="91">
        <f t="shared" si="8"/>
        <v>225977.60000000001</v>
      </c>
      <c r="AC14" s="91">
        <f t="shared" si="9"/>
        <v>225977.60000000001</v>
      </c>
    </row>
    <row r="15" spans="2:29" ht="20.149999999999999" customHeight="1" x14ac:dyDescent="0.35">
      <c r="B15" s="129">
        <v>8</v>
      </c>
      <c r="C15" s="79" t="s">
        <v>104</v>
      </c>
      <c r="D15" s="80" t="s">
        <v>52</v>
      </c>
      <c r="E15" s="255">
        <v>2.0833333333333333E-3</v>
      </c>
      <c r="F15" s="81" t="s">
        <v>72</v>
      </c>
      <c r="G15" s="82" t="s">
        <v>105</v>
      </c>
      <c r="H15" s="350" t="s">
        <v>45</v>
      </c>
      <c r="I15" s="84">
        <f>I11</f>
        <v>3370645</v>
      </c>
      <c r="J15" s="84">
        <v>2533000</v>
      </c>
      <c r="K15" s="84">
        <v>527000</v>
      </c>
      <c r="L15" s="86">
        <f t="shared" si="0"/>
        <v>6430645</v>
      </c>
      <c r="M15" s="214">
        <f t="shared" si="10"/>
        <v>33706</v>
      </c>
      <c r="N15" s="87">
        <v>101119</v>
      </c>
      <c r="O15" s="152">
        <v>0</v>
      </c>
      <c r="P15" s="88">
        <v>0</v>
      </c>
      <c r="Q15" s="297">
        <v>0</v>
      </c>
      <c r="R15" s="88">
        <v>0</v>
      </c>
      <c r="S15" s="88">
        <f t="shared" si="6"/>
        <v>15177.6</v>
      </c>
      <c r="T15" s="88">
        <f t="shared" si="7"/>
        <v>158100</v>
      </c>
      <c r="U15" s="88">
        <f t="shared" si="1"/>
        <v>52700</v>
      </c>
      <c r="V15" s="88">
        <v>0</v>
      </c>
      <c r="W15" s="88">
        <f t="shared" si="11"/>
        <v>360802.6</v>
      </c>
      <c r="X15" s="154">
        <f t="shared" si="2"/>
        <v>6069842.4000000004</v>
      </c>
      <c r="Y15" s="105"/>
      <c r="Z15" s="20">
        <f t="shared" si="3"/>
        <v>360802.6</v>
      </c>
      <c r="AA15" s="20">
        <f t="shared" si="4"/>
        <v>6069842.4000000004</v>
      </c>
      <c r="AB15" s="91">
        <f t="shared" si="8"/>
        <v>225977.60000000001</v>
      </c>
      <c r="AC15" s="91">
        <f t="shared" si="9"/>
        <v>225977.60000000001</v>
      </c>
    </row>
    <row r="16" spans="2:29" ht="20.149999999999999" customHeight="1" x14ac:dyDescent="0.35">
      <c r="B16" s="129">
        <v>9</v>
      </c>
      <c r="C16" s="143" t="s">
        <v>112</v>
      </c>
      <c r="D16" s="144" t="s">
        <v>86</v>
      </c>
      <c r="E16" s="342" t="s">
        <v>228</v>
      </c>
      <c r="F16" s="145" t="s">
        <v>72</v>
      </c>
      <c r="G16" s="146" t="s">
        <v>113</v>
      </c>
      <c r="H16" s="351" t="s">
        <v>34</v>
      </c>
      <c r="I16" s="84">
        <v>3330000</v>
      </c>
      <c r="J16" s="84">
        <v>2533000</v>
      </c>
      <c r="K16" s="84">
        <v>527000</v>
      </c>
      <c r="L16" s="147">
        <f t="shared" si="0"/>
        <v>6390000</v>
      </c>
      <c r="M16" s="216">
        <f t="shared" si="10"/>
        <v>33706</v>
      </c>
      <c r="N16" s="156">
        <v>101119</v>
      </c>
      <c r="O16" s="148">
        <v>0</v>
      </c>
      <c r="P16" s="149">
        <v>0</v>
      </c>
      <c r="Q16" s="296">
        <f>10%*K16</f>
        <v>52700</v>
      </c>
      <c r="R16" s="149">
        <v>0</v>
      </c>
      <c r="S16" s="88">
        <f t="shared" si="6"/>
        <v>15177.6</v>
      </c>
      <c r="T16" s="88">
        <f t="shared" si="7"/>
        <v>158100</v>
      </c>
      <c r="U16" s="149">
        <f t="shared" si="1"/>
        <v>52700</v>
      </c>
      <c r="V16" s="88">
        <v>0</v>
      </c>
      <c r="W16" s="88">
        <f t="shared" si="11"/>
        <v>413502.6</v>
      </c>
      <c r="X16" s="154">
        <f t="shared" si="2"/>
        <v>5976497.4000000004</v>
      </c>
      <c r="Y16" s="105"/>
      <c r="Z16" s="20">
        <f t="shared" si="3"/>
        <v>413502.6</v>
      </c>
      <c r="AA16" s="20">
        <f t="shared" si="4"/>
        <v>5976497.4000000004</v>
      </c>
      <c r="AB16" s="91">
        <f t="shared" si="8"/>
        <v>225977.60000000001</v>
      </c>
      <c r="AC16" s="91">
        <f t="shared" si="9"/>
        <v>225977.60000000001</v>
      </c>
    </row>
    <row r="17" spans="2:29" ht="20.149999999999999" customHeight="1" x14ac:dyDescent="0.35">
      <c r="B17" s="129">
        <v>10</v>
      </c>
      <c r="C17" s="79" t="s">
        <v>127</v>
      </c>
      <c r="D17" s="80" t="s">
        <v>50</v>
      </c>
      <c r="E17" s="255">
        <v>0.30624999999999997</v>
      </c>
      <c r="F17" s="81" t="s">
        <v>72</v>
      </c>
      <c r="G17" s="82" t="s">
        <v>128</v>
      </c>
      <c r="H17" s="351" t="s">
        <v>34</v>
      </c>
      <c r="I17" s="84">
        <f>I11</f>
        <v>3370645</v>
      </c>
      <c r="J17" s="84">
        <v>2533000</v>
      </c>
      <c r="K17" s="84">
        <v>527000</v>
      </c>
      <c r="L17" s="86">
        <f t="shared" si="0"/>
        <v>6430645</v>
      </c>
      <c r="M17" s="214">
        <f t="shared" si="10"/>
        <v>33706</v>
      </c>
      <c r="N17" s="87">
        <f>N16</f>
        <v>101119</v>
      </c>
      <c r="O17" s="141">
        <v>0</v>
      </c>
      <c r="P17" s="88">
        <v>0</v>
      </c>
      <c r="Q17" s="297">
        <f>10%*K17</f>
        <v>52700</v>
      </c>
      <c r="R17" s="88">
        <v>0</v>
      </c>
      <c r="S17" s="88">
        <f t="shared" si="6"/>
        <v>15177.6</v>
      </c>
      <c r="T17" s="88">
        <f t="shared" si="7"/>
        <v>158100</v>
      </c>
      <c r="U17" s="88">
        <f t="shared" si="1"/>
        <v>52700</v>
      </c>
      <c r="V17" s="338">
        <v>12665</v>
      </c>
      <c r="W17" s="88">
        <f t="shared" si="11"/>
        <v>426167.6</v>
      </c>
      <c r="X17" s="154">
        <f t="shared" si="2"/>
        <v>6004477.4000000004</v>
      </c>
      <c r="Y17" s="105"/>
      <c r="Z17" s="20">
        <f t="shared" si="3"/>
        <v>426167.6</v>
      </c>
      <c r="AA17" s="20">
        <f t="shared" si="4"/>
        <v>6004477.4000000004</v>
      </c>
      <c r="AB17" s="91">
        <f t="shared" si="8"/>
        <v>225977.60000000001</v>
      </c>
      <c r="AC17" s="91">
        <f t="shared" si="9"/>
        <v>225977.60000000001</v>
      </c>
    </row>
    <row r="18" spans="2:29" ht="20.149999999999999" customHeight="1" x14ac:dyDescent="0.35">
      <c r="B18" s="129">
        <v>11</v>
      </c>
      <c r="C18" s="79" t="s">
        <v>90</v>
      </c>
      <c r="D18" s="80" t="s">
        <v>51</v>
      </c>
      <c r="E18" s="255">
        <v>9.3055555555555558E-2</v>
      </c>
      <c r="F18" s="81" t="s">
        <v>72</v>
      </c>
      <c r="G18" s="82" t="s">
        <v>91</v>
      </c>
      <c r="H18" s="350" t="s">
        <v>1</v>
      </c>
      <c r="I18" s="84">
        <f>I17</f>
        <v>3370645</v>
      </c>
      <c r="J18" s="85">
        <f>J17</f>
        <v>2533000</v>
      </c>
      <c r="K18" s="85">
        <f>K17</f>
        <v>527000</v>
      </c>
      <c r="L18" s="86">
        <f t="shared" si="0"/>
        <v>6430645</v>
      </c>
      <c r="M18" s="214">
        <f>M16</f>
        <v>33706</v>
      </c>
      <c r="N18" s="87">
        <f>N17</f>
        <v>101119</v>
      </c>
      <c r="O18" s="262">
        <v>0</v>
      </c>
      <c r="P18" s="88">
        <v>0</v>
      </c>
      <c r="Q18" s="297">
        <f>10%*K18</f>
        <v>52700</v>
      </c>
      <c r="R18" s="88">
        <v>0</v>
      </c>
      <c r="S18" s="88">
        <f t="shared" si="6"/>
        <v>15177.6</v>
      </c>
      <c r="T18" s="88">
        <f t="shared" si="7"/>
        <v>158100</v>
      </c>
      <c r="U18" s="88">
        <f t="shared" si="1"/>
        <v>52700</v>
      </c>
      <c r="V18" s="338">
        <v>2427</v>
      </c>
      <c r="W18" s="88">
        <f t="shared" si="11"/>
        <v>415929.59999999998</v>
      </c>
      <c r="X18" s="154">
        <f t="shared" si="2"/>
        <v>6014715.4000000004</v>
      </c>
      <c r="Y18" s="20">
        <f>SUM(L18:V18)</f>
        <v>6846574.5999999996</v>
      </c>
      <c r="Z18" s="20">
        <f t="shared" si="3"/>
        <v>415929.59999999998</v>
      </c>
      <c r="AA18" s="20">
        <f t="shared" si="4"/>
        <v>6014715.4000000004</v>
      </c>
      <c r="AB18" s="91">
        <f t="shared" si="8"/>
        <v>225977.60000000001</v>
      </c>
      <c r="AC18" s="91">
        <f t="shared" si="9"/>
        <v>225977.60000000001</v>
      </c>
    </row>
    <row r="19" spans="2:29" ht="20.149999999999999" customHeight="1" x14ac:dyDescent="0.35">
      <c r="B19" s="150">
        <v>12</v>
      </c>
      <c r="C19" s="293" t="s">
        <v>198</v>
      </c>
      <c r="D19" s="168" t="s">
        <v>199</v>
      </c>
      <c r="E19" s="345">
        <v>0</v>
      </c>
      <c r="F19" s="169" t="str">
        <f>F18</f>
        <v>Madya Grade 2</v>
      </c>
      <c r="G19" s="294" t="s">
        <v>200</v>
      </c>
      <c r="H19" s="295" t="s">
        <v>35</v>
      </c>
      <c r="I19" s="288">
        <v>3370645</v>
      </c>
      <c r="J19" s="289">
        <f>20%*J18</f>
        <v>506600</v>
      </c>
      <c r="K19" s="289">
        <v>527000</v>
      </c>
      <c r="L19" s="290">
        <f>I19+J19+K19</f>
        <v>4404245</v>
      </c>
      <c r="M19" s="291">
        <v>33706</v>
      </c>
      <c r="N19" s="292">
        <v>101119</v>
      </c>
      <c r="O19" s="155"/>
      <c r="P19" s="173"/>
      <c r="Q19" s="298">
        <v>0</v>
      </c>
      <c r="R19" s="173">
        <v>0</v>
      </c>
      <c r="S19" s="173">
        <v>0</v>
      </c>
      <c r="T19" s="88">
        <v>0</v>
      </c>
      <c r="U19" s="173">
        <v>0</v>
      </c>
      <c r="V19" s="88">
        <v>0</v>
      </c>
      <c r="W19" s="173">
        <f t="shared" si="11"/>
        <v>134825</v>
      </c>
      <c r="X19" s="167">
        <f>L19-(M19+N19+Q19+R19+S19+U19+V19)</f>
        <v>4269420</v>
      </c>
      <c r="Y19" s="20"/>
      <c r="Z19" s="20">
        <f t="shared" si="3"/>
        <v>134825</v>
      </c>
      <c r="AA19" s="20">
        <f t="shared" si="4"/>
        <v>4269420</v>
      </c>
      <c r="AB19" s="91"/>
    </row>
    <row r="20" spans="2:29" ht="10.5" customHeight="1" x14ac:dyDescent="0.35">
      <c r="B20" s="74"/>
      <c r="C20" s="74"/>
      <c r="D20" s="74"/>
      <c r="E20" s="74"/>
      <c r="F20" s="74"/>
      <c r="G20" s="73"/>
      <c r="H20" s="21"/>
      <c r="I20" s="400">
        <f t="shared" ref="I20:N20" si="13">SUM(I8:I19)</f>
        <v>40407095</v>
      </c>
      <c r="J20" s="400">
        <f t="shared" si="13"/>
        <v>32997600</v>
      </c>
      <c r="K20" s="400">
        <f t="shared" si="13"/>
        <v>11197000</v>
      </c>
      <c r="L20" s="404">
        <f t="shared" si="13"/>
        <v>84601695</v>
      </c>
      <c r="M20" s="406">
        <f t="shared" si="13"/>
        <v>404472</v>
      </c>
      <c r="N20" s="397">
        <f t="shared" si="13"/>
        <v>1213428</v>
      </c>
      <c r="O20" s="397">
        <f t="shared" ref="O20:P20" si="14">SUM(O8:O18)</f>
        <v>0</v>
      </c>
      <c r="P20" s="397">
        <f t="shared" si="14"/>
        <v>0</v>
      </c>
      <c r="Q20" s="392">
        <f t="shared" ref="Q20:X20" si="15">SUM(Q8:Q19)</f>
        <v>368900</v>
      </c>
      <c r="R20" s="392">
        <f t="shared" si="15"/>
        <v>210800</v>
      </c>
      <c r="S20" s="392">
        <f t="shared" si="15"/>
        <v>307296</v>
      </c>
      <c r="T20" s="396">
        <f t="shared" si="15"/>
        <v>3201000</v>
      </c>
      <c r="U20" s="392">
        <f t="shared" si="15"/>
        <v>1067000</v>
      </c>
      <c r="V20" s="392">
        <f>SUM(V8:V19)</f>
        <v>223324</v>
      </c>
      <c r="W20" s="394">
        <f t="shared" si="15"/>
        <v>6996219.9999999981</v>
      </c>
      <c r="X20" s="409">
        <f t="shared" si="15"/>
        <v>77605475</v>
      </c>
      <c r="Y20" s="106"/>
      <c r="Z20" s="93"/>
      <c r="AA20" s="20"/>
    </row>
    <row r="21" spans="2:29" ht="10.5" customHeight="1" thickBot="1" x14ac:dyDescent="0.4">
      <c r="B21" s="75"/>
      <c r="C21" s="75"/>
      <c r="D21" s="75"/>
      <c r="E21" s="75"/>
      <c r="F21" s="75"/>
      <c r="G21" s="76"/>
      <c r="H21" s="77"/>
      <c r="I21" s="401"/>
      <c r="J21" s="401"/>
      <c r="K21" s="401"/>
      <c r="L21" s="405"/>
      <c r="M21" s="407"/>
      <c r="N21" s="398"/>
      <c r="O21" s="398"/>
      <c r="P21" s="398"/>
      <c r="Q21" s="393"/>
      <c r="R21" s="393"/>
      <c r="S21" s="393"/>
      <c r="T21" s="393"/>
      <c r="U21" s="393"/>
      <c r="V21" s="393"/>
      <c r="W21" s="395"/>
      <c r="X21" s="410"/>
      <c r="Y21" s="106"/>
      <c r="Z21" s="20">
        <f>SUM(Z8:Z19)</f>
        <v>6996219.9999999981</v>
      </c>
      <c r="AA21" s="93">
        <f>SUM(AA8:AA19)</f>
        <v>77605475</v>
      </c>
      <c r="AB21" s="20"/>
    </row>
    <row r="22" spans="2:29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9" ht="12.75" customHeight="1" x14ac:dyDescent="0.35">
      <c r="B23" s="26" t="s">
        <v>237</v>
      </c>
      <c r="C23" s="26"/>
      <c r="D23" s="26"/>
      <c r="E23" s="26"/>
      <c r="F23" s="26"/>
      <c r="G23" s="26"/>
      <c r="H23" s="28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77605475</v>
      </c>
    </row>
    <row r="24" spans="2:29" ht="12.75" customHeight="1" x14ac:dyDescent="0.35">
      <c r="B24" s="26" t="s">
        <v>238</v>
      </c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408" t="s">
        <v>232</v>
      </c>
      <c r="W24" s="408"/>
      <c r="X24" s="408"/>
      <c r="Y24" s="6"/>
    </row>
    <row r="25" spans="2:29" ht="13.5" customHeight="1" x14ac:dyDescent="0.35">
      <c r="B25" s="26" t="s">
        <v>239</v>
      </c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408" t="s">
        <v>36</v>
      </c>
      <c r="W25" s="408"/>
      <c r="X25" s="408"/>
    </row>
    <row r="26" spans="2:29" ht="6" customHeight="1" x14ac:dyDescent="0.35">
      <c r="C26" s="6"/>
      <c r="D26" s="6"/>
      <c r="E26" s="6"/>
      <c r="F26" s="6"/>
      <c r="G26" s="6" t="s">
        <v>137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9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9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399"/>
      <c r="W28" s="399"/>
      <c r="X28" s="399"/>
    </row>
    <row r="29" spans="2:29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9" ht="13" x14ac:dyDescent="0.3">
      <c r="J30" s="20"/>
      <c r="V30" s="377" t="s">
        <v>167</v>
      </c>
      <c r="W30" s="377"/>
      <c r="X30" s="377"/>
    </row>
    <row r="32" spans="2:29" x14ac:dyDescent="0.25">
      <c r="J32" s="20">
        <f>J20+K20</f>
        <v>44194600</v>
      </c>
    </row>
    <row r="40" spans="22:23" ht="13" x14ac:dyDescent="0.3">
      <c r="V40" s="253"/>
      <c r="W40" s="253">
        <f>10-7.12</f>
        <v>2.88</v>
      </c>
    </row>
    <row r="41" spans="22:23" ht="13" x14ac:dyDescent="0.3">
      <c r="V41" s="253"/>
      <c r="W41" s="253">
        <f>W40+30+10</f>
        <v>42.88</v>
      </c>
    </row>
    <row r="42" spans="22:23" ht="13" x14ac:dyDescent="0.3">
      <c r="V42" s="120"/>
      <c r="W42" s="120">
        <f>50-W41</f>
        <v>7.1199999999999974</v>
      </c>
    </row>
    <row r="43" spans="22:23" ht="13" x14ac:dyDescent="0.3">
      <c r="V43" s="120">
        <f>100-V44</f>
        <v>42.88</v>
      </c>
      <c r="W43" s="120"/>
    </row>
    <row r="44" spans="22:23" ht="13" x14ac:dyDescent="0.3">
      <c r="V44" s="120">
        <f>50+W42</f>
        <v>57.12</v>
      </c>
      <c r="W44" s="120"/>
    </row>
  </sheetData>
  <mergeCells count="41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view="pageBreakPreview" zoomScale="60" zoomScaleNormal="100" workbookViewId="0">
      <selection activeCell="X43" sqref="X43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6" t="s">
        <v>42</v>
      </c>
      <c r="B1" s="35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0"/>
      <c r="B2" s="16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57" t="s">
        <v>139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</row>
    <row r="5" spans="1:28" ht="16.5" customHeight="1" x14ac:dyDescent="0.25">
      <c r="A5" s="13"/>
      <c r="B5" s="357" t="s">
        <v>230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8" t="s">
        <v>7</v>
      </c>
      <c r="B7" s="358" t="s">
        <v>66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61" t="s">
        <v>24</v>
      </c>
    </row>
    <row r="8" spans="1:28" ht="20.149999999999999" customHeight="1" x14ac:dyDescent="0.25">
      <c r="A8" s="359"/>
      <c r="B8" s="360"/>
      <c r="C8" s="360"/>
      <c r="D8" s="360"/>
      <c r="E8" s="360"/>
      <c r="F8" s="360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1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117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118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73666078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164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184</v>
      </c>
      <c r="C12" s="36" t="s">
        <v>185</v>
      </c>
      <c r="D12" s="37"/>
      <c r="E12" s="38"/>
      <c r="F12" s="39"/>
      <c r="G12" s="40"/>
      <c r="H12" s="40"/>
      <c r="I12" s="40"/>
      <c r="J12" s="41">
        <f>'NET DIREKSI '!V11</f>
        <v>65880000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188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92</v>
      </c>
      <c r="C13" s="36" t="s">
        <v>48</v>
      </c>
      <c r="D13" s="37"/>
      <c r="E13" s="38"/>
      <c r="F13" s="39"/>
      <c r="G13" s="40"/>
      <c r="H13" s="40"/>
      <c r="I13" s="40"/>
      <c r="J13" s="179">
        <f>'NET DIREKSI '!V12</f>
        <v>59054297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94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52">
        <f>SUM(F9:F13)</f>
        <v>0</v>
      </c>
      <c r="G14" s="352">
        <f>SUM(G9:G13)</f>
        <v>0</v>
      </c>
      <c r="H14" s="352">
        <f>SUM(H9:H13)</f>
        <v>0</v>
      </c>
      <c r="I14" s="352">
        <f>SUM(I9:I13)</f>
        <v>0</v>
      </c>
      <c r="J14" s="354">
        <f>SUM(J11:J13)</f>
        <v>198600375</v>
      </c>
      <c r="K14" s="352">
        <f t="shared" ref="K14:W14" si="0">SUM(K9:K13)</f>
        <v>0</v>
      </c>
      <c r="L14" s="352">
        <f t="shared" si="0"/>
        <v>0</v>
      </c>
      <c r="M14" s="352">
        <f t="shared" si="0"/>
        <v>0</v>
      </c>
      <c r="N14" s="352">
        <f t="shared" si="0"/>
        <v>0</v>
      </c>
      <c r="O14" s="352">
        <f t="shared" si="0"/>
        <v>0</v>
      </c>
      <c r="P14" s="352">
        <f t="shared" si="0"/>
        <v>0</v>
      </c>
      <c r="Q14" s="352">
        <f t="shared" si="0"/>
        <v>0</v>
      </c>
      <c r="R14" s="352">
        <f t="shared" si="0"/>
        <v>0</v>
      </c>
      <c r="S14" s="352">
        <f t="shared" si="0"/>
        <v>0</v>
      </c>
      <c r="T14" s="352">
        <f t="shared" si="0"/>
        <v>0</v>
      </c>
      <c r="U14" s="352">
        <f t="shared" si="0"/>
        <v>0</v>
      </c>
      <c r="V14" s="352">
        <f t="shared" si="0"/>
        <v>0</v>
      </c>
      <c r="W14" s="352">
        <f t="shared" si="0"/>
        <v>0</v>
      </c>
      <c r="X14" s="352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53"/>
      <c r="G15" s="353"/>
      <c r="H15" s="353"/>
      <c r="I15" s="353"/>
      <c r="J15" s="355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79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1" t="s">
        <v>233</v>
      </c>
    </row>
    <row r="18" spans="1:24" ht="14.5" x14ac:dyDescent="0.35">
      <c r="A18" s="6"/>
      <c r="B18" s="279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1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79" t="s">
        <v>184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1" t="s">
        <v>167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view="pageBreakPreview" zoomScaleNormal="90" zoomScaleSheetLayoutView="100" workbookViewId="0">
      <pane xSplit="4" topLeftCell="E1" activePane="topRight" state="frozen"/>
      <selection pane="topRight" activeCell="O32" sqref="O32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4" t="s">
        <v>15</v>
      </c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163"/>
    </row>
    <row r="3" spans="2:27" ht="12.75" customHeight="1" x14ac:dyDescent="0.25">
      <c r="B3" s="362" t="s">
        <v>145</v>
      </c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164"/>
    </row>
    <row r="4" spans="2:27" ht="12.75" customHeight="1" x14ac:dyDescent="0.25">
      <c r="B4" s="363" t="s">
        <v>230</v>
      </c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165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72" t="s">
        <v>7</v>
      </c>
      <c r="C6" s="372" t="s">
        <v>66</v>
      </c>
      <c r="D6" s="372" t="s">
        <v>21</v>
      </c>
      <c r="E6" s="372" t="s">
        <v>0</v>
      </c>
      <c r="F6" s="372" t="s">
        <v>2</v>
      </c>
      <c r="G6" s="372" t="s">
        <v>67</v>
      </c>
      <c r="H6" s="372" t="s">
        <v>17</v>
      </c>
      <c r="I6" s="372" t="s">
        <v>18</v>
      </c>
      <c r="J6" s="372" t="s">
        <v>30</v>
      </c>
      <c r="K6" s="372" t="s">
        <v>29</v>
      </c>
      <c r="L6" s="372" t="s">
        <v>6</v>
      </c>
      <c r="M6" s="372" t="s">
        <v>47</v>
      </c>
      <c r="N6" s="378" t="s">
        <v>68</v>
      </c>
      <c r="O6" s="402" t="s">
        <v>83</v>
      </c>
      <c r="P6" s="372" t="s">
        <v>60</v>
      </c>
      <c r="Q6" s="372" t="s">
        <v>190</v>
      </c>
      <c r="R6" s="372" t="s">
        <v>95</v>
      </c>
      <c r="S6" s="372" t="s">
        <v>56</v>
      </c>
      <c r="T6" s="372" t="s">
        <v>49</v>
      </c>
      <c r="U6" s="372" t="s">
        <v>46</v>
      </c>
      <c r="V6" s="372" t="s">
        <v>82</v>
      </c>
      <c r="W6" s="107"/>
    </row>
    <row r="7" spans="2:27" ht="36" customHeight="1" thickBot="1" x14ac:dyDescent="0.3">
      <c r="B7" s="373"/>
      <c r="C7" s="374"/>
      <c r="D7" s="374"/>
      <c r="E7" s="374"/>
      <c r="F7" s="374"/>
      <c r="G7" s="374"/>
      <c r="H7" s="373"/>
      <c r="I7" s="373"/>
      <c r="J7" s="373"/>
      <c r="K7" s="373"/>
      <c r="L7" s="373"/>
      <c r="M7" s="373"/>
      <c r="N7" s="379"/>
      <c r="O7" s="403"/>
      <c r="P7" s="373"/>
      <c r="Q7" s="373"/>
      <c r="R7" s="373"/>
      <c r="S7" s="373"/>
      <c r="T7" s="373"/>
      <c r="U7" s="373"/>
      <c r="V7" s="373"/>
      <c r="W7" s="107"/>
      <c r="X7" t="s">
        <v>161</v>
      </c>
      <c r="Y7" t="s">
        <v>162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07" t="s">
        <v>131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130</v>
      </c>
      <c r="W8" s="102"/>
    </row>
    <row r="9" spans="2:27" ht="20.149999999999999" hidden="1" customHeight="1" x14ac:dyDescent="0.25">
      <c r="B9" s="217" t="s">
        <v>32</v>
      </c>
      <c r="C9" s="218"/>
      <c r="D9" s="218" t="s">
        <v>14</v>
      </c>
      <c r="E9" s="219"/>
      <c r="F9" s="220"/>
      <c r="G9" s="221">
        <f>60000000</f>
        <v>60000000</v>
      </c>
      <c r="H9" s="222">
        <f>15000000</f>
        <v>15000000</v>
      </c>
      <c r="I9" s="222">
        <v>0</v>
      </c>
      <c r="J9" s="222">
        <v>0</v>
      </c>
      <c r="K9" s="222">
        <v>0</v>
      </c>
      <c r="L9" s="222">
        <v>0</v>
      </c>
      <c r="M9" s="222">
        <v>0</v>
      </c>
      <c r="N9" s="223">
        <f>SUM(G9:M9)</f>
        <v>75000000</v>
      </c>
      <c r="O9" s="224">
        <v>710506</v>
      </c>
      <c r="P9" s="225">
        <v>495057</v>
      </c>
      <c r="Q9" s="224"/>
      <c r="R9" s="226">
        <v>0</v>
      </c>
      <c r="S9" s="225">
        <v>0</v>
      </c>
      <c r="T9" s="225">
        <v>0</v>
      </c>
      <c r="U9" s="227">
        <v>16243042</v>
      </c>
      <c r="V9" s="228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6" t="s">
        <v>32</v>
      </c>
      <c r="C10" s="80" t="s">
        <v>157</v>
      </c>
      <c r="D10" s="80" t="s">
        <v>14</v>
      </c>
      <c r="E10" s="81" t="s">
        <v>158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527916</v>
      </c>
      <c r="Q10" s="88">
        <v>50000</v>
      </c>
      <c r="R10" s="262">
        <v>0</v>
      </c>
      <c r="S10" s="88"/>
      <c r="T10" s="88">
        <v>0</v>
      </c>
      <c r="U10" s="101"/>
      <c r="V10" s="154">
        <f>N10-(SUM(O10:T10))</f>
        <v>73666078</v>
      </c>
      <c r="W10" s="104"/>
      <c r="X10" s="20">
        <f>O10+P10+Q10</f>
        <v>1333922</v>
      </c>
      <c r="Y10" s="20">
        <f>N10-(O10+P10+Q10+R10+T10)</f>
        <v>73666078</v>
      </c>
      <c r="Z10" s="91"/>
      <c r="AA10" s="90"/>
    </row>
    <row r="11" spans="2:27" ht="20.149999999999999" customHeight="1" x14ac:dyDescent="0.25">
      <c r="B11" s="176" t="s">
        <v>38</v>
      </c>
      <c r="C11" s="80" t="s">
        <v>184</v>
      </c>
      <c r="D11" s="80" t="s">
        <v>185</v>
      </c>
      <c r="E11" s="81" t="s">
        <v>186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120000</v>
      </c>
      <c r="Q11" s="88"/>
      <c r="R11" s="262">
        <v>0</v>
      </c>
      <c r="S11" s="88"/>
      <c r="T11" s="88">
        <v>0</v>
      </c>
      <c r="U11" s="101"/>
      <c r="V11" s="154">
        <f t="shared" ref="V11:V12" si="0">N11-(SUM(O11:T11))</f>
        <v>65880000</v>
      </c>
      <c r="W11" s="104"/>
      <c r="X11" s="20">
        <f>O11+P11+Q11+R11+T11</f>
        <v>120000</v>
      </c>
      <c r="Y11" s="20">
        <f>N11-(O11+P11+Q11+R11+T11)</f>
        <v>65880000</v>
      </c>
      <c r="Z11" s="91"/>
      <c r="AA11" s="90"/>
    </row>
    <row r="12" spans="2:27" ht="20.149999999999999" customHeight="1" x14ac:dyDescent="0.25">
      <c r="B12" s="177" t="s">
        <v>187</v>
      </c>
      <c r="C12" s="168" t="s">
        <v>92</v>
      </c>
      <c r="D12" s="168" t="s">
        <v>22</v>
      </c>
      <c r="E12" s="169" t="s">
        <v>93</v>
      </c>
      <c r="F12" s="170" t="s">
        <v>34</v>
      </c>
      <c r="G12" s="171">
        <f>85%*G9</f>
        <v>51000000</v>
      </c>
      <c r="H12" s="172">
        <f>15000000</f>
        <v>15000000</v>
      </c>
      <c r="I12" s="172">
        <v>0</v>
      </c>
      <c r="J12" s="172">
        <v>0</v>
      </c>
      <c r="K12" s="172">
        <v>0</v>
      </c>
      <c r="L12" s="172">
        <v>0</v>
      </c>
      <c r="M12" s="172">
        <v>0</v>
      </c>
      <c r="N12" s="308">
        <f>SUM(G12:M12)</f>
        <v>66000000</v>
      </c>
      <c r="O12" s="306">
        <v>0</v>
      </c>
      <c r="P12" s="173">
        <v>0</v>
      </c>
      <c r="Q12" s="173"/>
      <c r="R12" s="174">
        <v>6945703</v>
      </c>
      <c r="S12" s="173">
        <v>0</v>
      </c>
      <c r="T12" s="173">
        <v>0</v>
      </c>
      <c r="U12" s="175">
        <v>14316667</v>
      </c>
      <c r="V12" s="154">
        <f t="shared" si="0"/>
        <v>59054297</v>
      </c>
      <c r="W12" s="104"/>
      <c r="X12" s="20">
        <f>SUM(O12:T12)</f>
        <v>6945703</v>
      </c>
      <c r="Y12" s="20">
        <f>N12-(O12+P12+Q12+R12+T12)</f>
        <v>59054297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400">
        <f>SUM(G10:G12)</f>
        <v>162000000</v>
      </c>
      <c r="H13" s="400">
        <f>SUM(H10:H12)</f>
        <v>45000000</v>
      </c>
      <c r="I13" s="400">
        <f>SUM(I9:I12)</f>
        <v>0</v>
      </c>
      <c r="J13" s="413">
        <f>SUM(J9:J12)</f>
        <v>0</v>
      </c>
      <c r="K13" s="400">
        <f>SUM(K9:K12)</f>
        <v>0</v>
      </c>
      <c r="L13" s="400">
        <f>SUM(L9:L12)</f>
        <v>0</v>
      </c>
      <c r="M13" s="400">
        <f>SUM(M9:M12)</f>
        <v>0</v>
      </c>
      <c r="N13" s="404">
        <f>SUM(N10:N12)</f>
        <v>207000000</v>
      </c>
      <c r="O13" s="406">
        <f>O10+O11+O12</f>
        <v>756006</v>
      </c>
      <c r="P13" s="397">
        <f>P10+P11+P12</f>
        <v>647916</v>
      </c>
      <c r="Q13" s="396">
        <f>Q10+Q11+Q12</f>
        <v>50000</v>
      </c>
      <c r="R13" s="397">
        <f>SUM(R9:R12)</f>
        <v>6945703</v>
      </c>
      <c r="S13" s="397">
        <f>SUM(S9:S12)</f>
        <v>0</v>
      </c>
      <c r="T13" s="412">
        <f>SUM(T9:T12)</f>
        <v>0</v>
      </c>
      <c r="U13" s="400">
        <f>SUM(U9:U12)</f>
        <v>30559709</v>
      </c>
      <c r="V13" s="409">
        <f>SUM(V10:V12)</f>
        <v>198600375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401"/>
      <c r="H14" s="401"/>
      <c r="I14" s="401"/>
      <c r="J14" s="401"/>
      <c r="K14" s="401"/>
      <c r="L14" s="401"/>
      <c r="M14" s="401"/>
      <c r="N14" s="405"/>
      <c r="O14" s="407"/>
      <c r="P14" s="398"/>
      <c r="Q14" s="393"/>
      <c r="R14" s="398"/>
      <c r="S14" s="398"/>
      <c r="T14" s="398"/>
      <c r="U14" s="401"/>
      <c r="V14" s="410"/>
      <c r="W14" s="106"/>
      <c r="X14" s="20">
        <f>X10+X11+X12</f>
        <v>8399625</v>
      </c>
      <c r="Y14" s="93">
        <f>N13-X14</f>
        <v>198600375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7"/>
      <c r="D17" s="237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7"/>
      <c r="D18" s="237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399" t="s">
        <v>232</v>
      </c>
      <c r="S18" s="399"/>
      <c r="T18" s="399"/>
      <c r="U18" s="399"/>
      <c r="V18" s="399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7"/>
      <c r="D19" s="237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99"/>
      <c r="P19" s="399"/>
      <c r="Q19" s="399"/>
      <c r="R19" s="399"/>
      <c r="S19" s="399"/>
      <c r="T19" s="399"/>
      <c r="U19" s="399"/>
      <c r="V19" s="399"/>
      <c r="W19" s="162"/>
    </row>
    <row r="20" spans="2:27" ht="15" customHeight="1" x14ac:dyDescent="0.35">
      <c r="B20" s="27"/>
      <c r="C20" s="237"/>
      <c r="D20" s="237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99" t="s">
        <v>36</v>
      </c>
      <c r="S20" s="399"/>
      <c r="T20" s="399"/>
      <c r="U20" s="399"/>
      <c r="V20" s="399"/>
      <c r="W20" s="6"/>
    </row>
    <row r="21" spans="2:27" ht="24.75" customHeight="1" x14ac:dyDescent="0.3">
      <c r="B21" s="29"/>
      <c r="C21" s="237"/>
      <c r="D21" s="237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7"/>
      <c r="D22" s="237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09"/>
      <c r="Q23" s="309"/>
      <c r="R23" s="377" t="s">
        <v>167</v>
      </c>
      <c r="S23" s="377"/>
      <c r="T23" s="377"/>
      <c r="U23" s="377"/>
      <c r="V23" s="377"/>
    </row>
    <row r="24" spans="2:27" ht="14.5" x14ac:dyDescent="0.35">
      <c r="C24" s="6"/>
      <c r="D24" s="6"/>
      <c r="E24" s="6" t="s">
        <v>137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  <row r="32" spans="2:27" x14ac:dyDescent="0.25">
      <c r="O32" s="20"/>
    </row>
  </sheetData>
  <mergeCells count="44"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" right="0.118110236220472" top="0.118110236220472" bottom="0.35433070866141703" header="0.31496062992126" footer="0.31496062992126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view="pageBreakPreview" zoomScale="60" zoomScaleNormal="100" workbookViewId="0">
      <selection activeCell="Y21" sqref="Y21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6" t="s">
        <v>42</v>
      </c>
      <c r="B1" s="35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0"/>
      <c r="B2" s="16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7" t="s">
        <v>138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</row>
    <row r="5" spans="1:27" ht="16.5" customHeight="1" x14ac:dyDescent="0.25">
      <c r="A5" s="13"/>
      <c r="B5" s="357" t="s">
        <v>230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151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8" t="s">
        <v>7</v>
      </c>
      <c r="B7" s="358" t="s">
        <v>66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61" t="s">
        <v>24</v>
      </c>
    </row>
    <row r="8" spans="1:27" ht="20.149999999999999" customHeight="1" x14ac:dyDescent="0.25">
      <c r="A8" s="359"/>
      <c r="B8" s="360"/>
      <c r="C8" s="360"/>
      <c r="D8" s="360"/>
      <c r="E8" s="360"/>
      <c r="F8" s="360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1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196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KOMISARIS'!$Q$8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163</v>
      </c>
    </row>
    <row r="11" spans="1:27" ht="19.5" customHeight="1" x14ac:dyDescent="0.35">
      <c r="A11" s="122">
        <v>1</v>
      </c>
      <c r="B11" s="46" t="s">
        <v>159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KOMISARIS'!$Q$9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160</v>
      </c>
    </row>
    <row r="12" spans="1:27" ht="20.149999999999999" customHeight="1" x14ac:dyDescent="0.35">
      <c r="A12" s="126">
        <v>2</v>
      </c>
      <c r="B12" s="46" t="s">
        <v>39</v>
      </c>
      <c r="C12" s="36" t="s">
        <v>220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KOMISARIS'!$Q$10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73">
        <v>3</v>
      </c>
      <c r="B13" s="268" t="s">
        <v>191</v>
      </c>
      <c r="C13" s="274" t="s">
        <v>44</v>
      </c>
      <c r="D13" s="275"/>
      <c r="E13" s="276"/>
      <c r="F13" s="277"/>
      <c r="G13" s="267"/>
      <c r="H13" s="267"/>
      <c r="I13" s="267"/>
      <c r="J13" s="179">
        <f>'NET KOMISARIS'!Q11</f>
        <v>9450000</v>
      </c>
      <c r="K13" s="278"/>
      <c r="L13" s="278"/>
      <c r="M13" s="278"/>
      <c r="N13" s="277"/>
      <c r="O13" s="269"/>
      <c r="P13" s="278"/>
      <c r="Q13" s="277"/>
      <c r="R13" s="277"/>
      <c r="S13" s="269"/>
      <c r="T13" s="269"/>
      <c r="U13" s="269"/>
      <c r="V13" s="269"/>
      <c r="W13" s="269"/>
      <c r="X13" s="269" t="s">
        <v>194</v>
      </c>
    </row>
    <row r="14" spans="1:27" ht="15" customHeight="1" x14ac:dyDescent="0.35">
      <c r="A14" s="53"/>
      <c r="B14" s="54"/>
      <c r="C14" s="54"/>
      <c r="D14" s="55"/>
      <c r="E14" s="56"/>
      <c r="F14" s="352">
        <f>SUM(F9:F12)</f>
        <v>18000000</v>
      </c>
      <c r="G14" s="352">
        <f>SUM(G9:G12)</f>
        <v>0</v>
      </c>
      <c r="H14" s="352">
        <f>SUM(H9:H12)</f>
        <v>1000000</v>
      </c>
      <c r="I14" s="352">
        <f>SUM(I9:I12)</f>
        <v>0</v>
      </c>
      <c r="J14" s="354">
        <f>SUM(J11:J13)</f>
        <v>67770000</v>
      </c>
      <c r="K14" s="352">
        <f t="shared" ref="K14:W14" si="0">SUM(K9:K12)</f>
        <v>0</v>
      </c>
      <c r="L14" s="352">
        <f t="shared" si="0"/>
        <v>0</v>
      </c>
      <c r="M14" s="352">
        <f t="shared" si="0"/>
        <v>0</v>
      </c>
      <c r="N14" s="352">
        <f t="shared" si="0"/>
        <v>29160000</v>
      </c>
      <c r="O14" s="352">
        <f t="shared" si="0"/>
        <v>500000</v>
      </c>
      <c r="P14" s="352">
        <f t="shared" si="0"/>
        <v>0</v>
      </c>
      <c r="Q14" s="352">
        <f t="shared" si="0"/>
        <v>500000</v>
      </c>
      <c r="R14" s="352">
        <f t="shared" si="0"/>
        <v>28660000</v>
      </c>
      <c r="S14" s="352">
        <f t="shared" si="0"/>
        <v>1433000</v>
      </c>
      <c r="T14" s="352">
        <f t="shared" si="0"/>
        <v>0</v>
      </c>
      <c r="U14" s="352">
        <f t="shared" si="0"/>
        <v>0</v>
      </c>
      <c r="V14" s="352">
        <f t="shared" si="0"/>
        <v>0</v>
      </c>
      <c r="W14" s="352">
        <f t="shared" si="0"/>
        <v>1433000</v>
      </c>
      <c r="X14" s="352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53"/>
      <c r="G15" s="353"/>
      <c r="H15" s="353"/>
      <c r="I15" s="353"/>
      <c r="J15" s="355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61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1" t="s">
        <v>235</v>
      </c>
      <c r="Y17" s="151" t="s">
        <v>43</v>
      </c>
    </row>
    <row r="18" spans="1:25" ht="14.5" x14ac:dyDescent="0.35">
      <c r="A18" s="6"/>
      <c r="B18" s="161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1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61" t="s">
        <v>184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61" t="s">
        <v>167</v>
      </c>
    </row>
    <row r="28" spans="1:25" x14ac:dyDescent="0.25">
      <c r="X28" s="151" t="s">
        <v>43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2022-03-25T02:22:47Z</cp:lastPrinted>
  <dcterms:created xsi:type="dcterms:W3CDTF">1999-12-02T03:49:52Z</dcterms:created>
  <dcterms:modified xsi:type="dcterms:W3CDTF">2022-03-25T09:38:25Z</dcterms:modified>
</cp:coreProperties>
</file>