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2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(0) PT PTP\(12) GAJI\GAJI 2022\"/>
    </mc:Choice>
  </mc:AlternateContent>
  <xr:revisionPtr revIDLastSave="0" documentId="13_ncr:1_{E53E3ED4-D3DD-4588-B3B3-556C8808F6FA}" xr6:coauthVersionLast="36" xr6:coauthVersionMax="36" xr10:uidLastSave="{00000000-0000-0000-0000-000000000000}"/>
  <bookViews>
    <workbookView xWindow="0" yWindow="0" windowWidth="19200" windowHeight="6810" tabRatio="661" firstSheet="1" activeTab="1" xr2:uid="{00000000-000D-0000-FFFF-FFFF00000000}"/>
  </bookViews>
  <sheets>
    <sheet name="0000" sheetId="37" state="veryHidden" r:id="rId1"/>
    <sheet name="NET PEG PELINDO DIPERBANTUKAN" sheetId="68" r:id="rId2"/>
    <sheet name="NET PEGAWAI PTP" sheetId="59" r:id="rId3"/>
  </sheets>
  <externalReferences>
    <externalReference r:id="rId4"/>
    <externalReference r:id="rId5"/>
  </externalReferences>
  <definedNames>
    <definedName name="_xlnm.Print_Area" localSheetId="1">'NET PEG PELINDO DIPERBANTUKAN'!$B$1:$W$25</definedName>
    <definedName name="_xlnm.Print_Area" localSheetId="2">'NET PEGAWAI PTP'!$B$1:$U$21</definedName>
  </definedNames>
  <calcPr calcId="191029"/>
  <fileRecoveryPr autoRecover="0"/>
</workbook>
</file>

<file path=xl/calcChain.xml><?xml version="1.0" encoding="utf-8"?>
<calcChain xmlns="http://schemas.openxmlformats.org/spreadsheetml/2006/main">
  <c r="R21" i="68" l="1"/>
  <c r="R22" i="68"/>
  <c r="R23" i="68"/>
  <c r="P7" i="59"/>
  <c r="U34" i="68" l="1"/>
  <c r="U31" i="68"/>
  <c r="R26" i="59"/>
  <c r="Q7" i="59" l="1"/>
  <c r="S21" i="68"/>
  <c r="S22" i="68"/>
  <c r="S23" i="68"/>
  <c r="Q21" i="68" l="1"/>
  <c r="Q32" i="68" l="1"/>
  <c r="O24" i="59"/>
  <c r="T24" i="68" l="1"/>
  <c r="H17" i="59" l="1"/>
  <c r="P17" i="59" s="1"/>
  <c r="H16" i="59"/>
  <c r="P16" i="59" s="1"/>
  <c r="H15" i="59"/>
  <c r="P15" i="59" s="1"/>
  <c r="H14" i="59"/>
  <c r="P14" i="59" s="1"/>
  <c r="H13" i="59"/>
  <c r="P13" i="59" s="1"/>
  <c r="H12" i="59"/>
  <c r="P12" i="59" s="1"/>
  <c r="H11" i="59"/>
  <c r="P11" i="59" s="1"/>
  <c r="H10" i="59"/>
  <c r="P10" i="59" s="1"/>
  <c r="G12" i="59"/>
  <c r="G16" i="59" s="1"/>
  <c r="G13" i="59"/>
  <c r="G17" i="59" s="1"/>
  <c r="G14" i="59"/>
  <c r="G11" i="59"/>
  <c r="U32" i="68"/>
  <c r="W32" i="68" s="1"/>
  <c r="N29" i="59"/>
  <c r="N30" i="59" s="1"/>
  <c r="Q14" i="59" l="1"/>
  <c r="Q11" i="59"/>
  <c r="Q12" i="59"/>
  <c r="Q16" i="59"/>
  <c r="Q10" i="59"/>
  <c r="Q15" i="59"/>
  <c r="Q13" i="59"/>
  <c r="Q17" i="59"/>
  <c r="N13" i="59"/>
  <c r="M11" i="59"/>
  <c r="R29" i="59"/>
  <c r="W34" i="68"/>
  <c r="W35" i="68" s="1"/>
  <c r="O25" i="59" l="1"/>
  <c r="R27" i="59"/>
  <c r="T27" i="59" s="1"/>
  <c r="T18" i="59" l="1"/>
  <c r="V21" i="68" l="1"/>
  <c r="AA8" i="59"/>
  <c r="G24" i="68"/>
  <c r="I24" i="68"/>
  <c r="J24" i="68"/>
  <c r="K24" i="68"/>
  <c r="F24" i="68"/>
  <c r="F10" i="59"/>
  <c r="F16" i="59" s="1"/>
  <c r="F17" i="59" s="1"/>
  <c r="F18" i="59" s="1"/>
  <c r="I18" i="59" s="1"/>
  <c r="F8" i="59"/>
  <c r="U18" i="59" l="1"/>
  <c r="V22" i="68"/>
  <c r="V23" i="68"/>
  <c r="F13" i="59"/>
  <c r="F12" i="59"/>
  <c r="F14" i="59"/>
  <c r="F11" i="59"/>
  <c r="H19" i="68" l="1"/>
  <c r="R19" i="68" s="1"/>
  <c r="H14" i="68"/>
  <c r="R14" i="68" s="1"/>
  <c r="H13" i="68"/>
  <c r="R13" i="68" s="1"/>
  <c r="H12" i="68"/>
  <c r="R12" i="68" s="1"/>
  <c r="H10" i="68"/>
  <c r="R10" i="68" s="1"/>
  <c r="B11" i="68"/>
  <c r="B12" i="68" s="1"/>
  <c r="B13" i="68" s="1"/>
  <c r="B14" i="68" s="1"/>
  <c r="B15" i="68" s="1"/>
  <c r="B16" i="68" s="1"/>
  <c r="B17" i="68" s="1"/>
  <c r="B18" i="68" s="1"/>
  <c r="B19" i="68" s="1"/>
  <c r="B20" i="68" s="1"/>
  <c r="B21" i="68" s="1"/>
  <c r="B22" i="68" s="1"/>
  <c r="B23" i="68" s="1"/>
  <c r="E19" i="68"/>
  <c r="E14" i="68"/>
  <c r="E13" i="68"/>
  <c r="E22" i="68"/>
  <c r="N22" i="68" s="1"/>
  <c r="E10" i="68"/>
  <c r="E12" i="68"/>
  <c r="O13" i="68" l="1"/>
  <c r="O19" i="68"/>
  <c r="S12" i="68"/>
  <c r="S13" i="68"/>
  <c r="S14" i="68"/>
  <c r="S19" i="68"/>
  <c r="S10" i="68"/>
  <c r="L10" i="68"/>
  <c r="O14" i="68"/>
  <c r="L12" i="68"/>
  <c r="L14" i="68"/>
  <c r="L13" i="68"/>
  <c r="L19" i="68"/>
  <c r="V19" i="68" l="1"/>
  <c r="W19" i="68" s="1"/>
  <c r="V13" i="68"/>
  <c r="W13" i="68" s="1"/>
  <c r="V10" i="68"/>
  <c r="V12" i="68"/>
  <c r="W12" i="68" s="1"/>
  <c r="Q30" i="68"/>
  <c r="V14" i="68"/>
  <c r="W14" i="68" s="1"/>
  <c r="M7" i="59"/>
  <c r="M8" i="59"/>
  <c r="W10" i="68" l="1"/>
  <c r="Z17" i="68"/>
  <c r="E21" i="68" l="1"/>
  <c r="N21" i="68" s="1"/>
  <c r="L22" i="68"/>
  <c r="W22" i="68" s="1"/>
  <c r="L21" i="68" l="1"/>
  <c r="W21" i="68" s="1"/>
  <c r="E11" i="68"/>
  <c r="N11" i="68" s="1"/>
  <c r="E23" i="68"/>
  <c r="N23" i="68" s="1"/>
  <c r="E20" i="68"/>
  <c r="N20" i="68" s="1"/>
  <c r="E18" i="68"/>
  <c r="N18" i="68" s="1"/>
  <c r="E17" i="68"/>
  <c r="N17" i="68" s="1"/>
  <c r="E16" i="68"/>
  <c r="N16" i="68" s="1"/>
  <c r="E15" i="68"/>
  <c r="N15" i="68" s="1"/>
  <c r="E17" i="59"/>
  <c r="L17" i="59" s="1"/>
  <c r="E16" i="59"/>
  <c r="L16" i="59" s="1"/>
  <c r="E15" i="59"/>
  <c r="L15" i="59" s="1"/>
  <c r="E14" i="59"/>
  <c r="L14" i="59" s="1"/>
  <c r="E13" i="59"/>
  <c r="L13" i="59" s="1"/>
  <c r="E12" i="59"/>
  <c r="L12" i="59" s="1"/>
  <c r="E11" i="59"/>
  <c r="L11" i="59" s="1"/>
  <c r="E10" i="59"/>
  <c r="L10" i="59" s="1"/>
  <c r="E9" i="59"/>
  <c r="L9" i="59" s="1"/>
  <c r="E8" i="59"/>
  <c r="L8" i="59" s="1"/>
  <c r="E7" i="59"/>
  <c r="L7" i="59" s="1"/>
  <c r="S19" i="59" l="1"/>
  <c r="B14" i="59" l="1"/>
  <c r="B15" i="59" s="1"/>
  <c r="B16" i="59" s="1"/>
  <c r="B17" i="59" s="1"/>
  <c r="H18" i="68" l="1"/>
  <c r="R18" i="68" s="1"/>
  <c r="H20" i="68"/>
  <c r="R20" i="68" s="1"/>
  <c r="H16" i="68"/>
  <c r="R16" i="68" s="1"/>
  <c r="H17" i="68"/>
  <c r="R17" i="68" s="1"/>
  <c r="H15" i="68"/>
  <c r="R15" i="68" s="1"/>
  <c r="H11" i="68"/>
  <c r="R11" i="68" s="1"/>
  <c r="H9" i="68"/>
  <c r="L9" i="68" s="1"/>
  <c r="W9" i="68" s="1"/>
  <c r="H9" i="59"/>
  <c r="P9" i="59" s="1"/>
  <c r="G9" i="59"/>
  <c r="M9" i="59" l="1"/>
  <c r="P24" i="68"/>
  <c r="Q9" i="59"/>
  <c r="S17" i="68"/>
  <c r="S16" i="68"/>
  <c r="S11" i="68"/>
  <c r="S20" i="68"/>
  <c r="S15" i="68"/>
  <c r="S18" i="68"/>
  <c r="L16" i="68"/>
  <c r="H24" i="68"/>
  <c r="U24" i="68"/>
  <c r="H8" i="59"/>
  <c r="P8" i="59" s="1"/>
  <c r="T7" i="59"/>
  <c r="J9" i="59"/>
  <c r="Z15" i="68"/>
  <c r="Z18" i="68" s="1"/>
  <c r="AA34" i="59"/>
  <c r="L20" i="68"/>
  <c r="L18" i="68"/>
  <c r="L17" i="68"/>
  <c r="L11" i="68"/>
  <c r="I9" i="59"/>
  <c r="I7" i="59"/>
  <c r="V20" i="68" l="1"/>
  <c r="W20" i="68" s="1"/>
  <c r="P19" i="59"/>
  <c r="Q8" i="59"/>
  <c r="Q19" i="59" s="1"/>
  <c r="R24" i="68"/>
  <c r="V18" i="68"/>
  <c r="W18" i="68" s="1"/>
  <c r="Q31" i="68"/>
  <c r="V17" i="68"/>
  <c r="W17" i="68" s="1"/>
  <c r="V16" i="68"/>
  <c r="W16" i="68" s="1"/>
  <c r="O26" i="59"/>
  <c r="V11" i="68"/>
  <c r="T9" i="59"/>
  <c r="U9" i="59" s="1"/>
  <c r="S24" i="68"/>
  <c r="V15" i="68"/>
  <c r="T10" i="59"/>
  <c r="U7" i="59"/>
  <c r="I8" i="59"/>
  <c r="O24" i="68"/>
  <c r="I27" i="59"/>
  <c r="M16" i="59"/>
  <c r="AA35" i="59"/>
  <c r="AA37" i="59" s="1"/>
  <c r="I10" i="59"/>
  <c r="L15" i="68"/>
  <c r="L23" i="68"/>
  <c r="W23" i="68" s="1"/>
  <c r="W11" i="68" l="1"/>
  <c r="V24" i="68"/>
  <c r="T8" i="59"/>
  <c r="U8" i="59" s="1"/>
  <c r="W15" i="68"/>
  <c r="G28" i="59"/>
  <c r="T14" i="59"/>
  <c r="M13" i="59"/>
  <c r="N19" i="59"/>
  <c r="L24" i="68"/>
  <c r="T11" i="59"/>
  <c r="M12" i="59"/>
  <c r="M17" i="59"/>
  <c r="T16" i="59"/>
  <c r="U10" i="59"/>
  <c r="J12" i="59"/>
  <c r="J13" i="59"/>
  <c r="AA9" i="59"/>
  <c r="AA11" i="59" s="1"/>
  <c r="I11" i="59"/>
  <c r="G15" i="59"/>
  <c r="I14" i="59"/>
  <c r="I16" i="59"/>
  <c r="I12" i="59"/>
  <c r="I13" i="59"/>
  <c r="F19" i="59"/>
  <c r="W24" i="68" l="1"/>
  <c r="U14" i="59"/>
  <c r="R19" i="59"/>
  <c r="T29" i="59"/>
  <c r="T30" i="59" s="1"/>
  <c r="M15" i="59"/>
  <c r="T15" i="59" s="1"/>
  <c r="U11" i="59"/>
  <c r="I17" i="59"/>
  <c r="I15" i="59"/>
  <c r="T12" i="59"/>
  <c r="H19" i="59"/>
  <c r="T13" i="59"/>
  <c r="U13" i="59" s="1"/>
  <c r="U16" i="59"/>
  <c r="J17" i="59"/>
  <c r="T17" i="59" s="1"/>
  <c r="O19" i="59"/>
  <c r="G19" i="59"/>
  <c r="Y25" i="68"/>
  <c r="I19" i="59" l="1"/>
  <c r="U12" i="59"/>
  <c r="U15" i="59"/>
  <c r="U17" i="59"/>
  <c r="J19" i="59"/>
  <c r="M19" i="59"/>
  <c r="U19" i="59" l="1"/>
  <c r="T19" i="59"/>
</calcChain>
</file>

<file path=xl/sharedStrings.xml><?xml version="1.0" encoding="utf-8"?>
<sst xmlns="http://schemas.openxmlformats.org/spreadsheetml/2006/main" count="85" uniqueCount="64">
  <si>
    <t>NO</t>
  </si>
  <si>
    <t>ADINDA SURYA PUTRI</t>
  </si>
  <si>
    <t>ADE HASDINA</t>
  </si>
  <si>
    <t>TUNJANGAN JABATAN</t>
  </si>
  <si>
    <t xml:space="preserve"> </t>
  </si>
  <si>
    <t>SEKRETARIS DEWAN KOMISARIS</t>
  </si>
  <si>
    <t>PANDAPOTAN PULUNGAN</t>
  </si>
  <si>
    <r>
      <t>CATATAN</t>
    </r>
    <r>
      <rPr>
        <b/>
        <i/>
        <sz val="10"/>
        <rFont val="Calibri"/>
        <family val="2"/>
      </rPr>
      <t xml:space="preserve"> :</t>
    </r>
  </si>
  <si>
    <t>SURYA DARMA</t>
  </si>
  <si>
    <t xml:space="preserve">NAMA </t>
  </si>
  <si>
    <t>GAJI POKOK</t>
  </si>
  <si>
    <t>JUMLAH TAKE HOME PAY</t>
  </si>
  <si>
    <t>IFSAN ROSADY</t>
  </si>
  <si>
    <t>FARIS HILMAN</t>
  </si>
  <si>
    <t>MARIHOT SIMARMATA</t>
  </si>
  <si>
    <t>M. FIKRI AL HAKIM</t>
  </si>
  <si>
    <t>SINDY NOVITA HARYATI</t>
  </si>
  <si>
    <t>AUGUSTO DWIFA DANIEL</t>
  </si>
  <si>
    <t>ANDAREAS SIAGIAN</t>
  </si>
  <si>
    <t>YOLANDA EVANS SIMORANGKIR</t>
  </si>
  <si>
    <t>FRIDOLIN SIAHAAN</t>
  </si>
  <si>
    <t>REZA AL KAUTSAR LUBIS</t>
  </si>
  <si>
    <t>BILLY AZ ZAHRY</t>
  </si>
  <si>
    <t>WAHYU MAULANA</t>
  </si>
  <si>
    <t>M. RIDHO FAKHROZI</t>
  </si>
  <si>
    <t>SYAIFUL</t>
  </si>
  <si>
    <t>FAHMI IDRIS SITOMPUL</t>
  </si>
  <si>
    <t>TUNJANGAN POSISI</t>
  </si>
  <si>
    <t>TUNJANGAN KINERJA</t>
  </si>
  <si>
    <t>DAFTAR GAJI PEGAWAI PT PRIMA TERMINAL PETIKEMAS</t>
  </si>
  <si>
    <t>UANG PENGGANTI FASILITAS KENDARAAN</t>
  </si>
  <si>
    <t>TUNJANGAN TELEPON</t>
  </si>
  <si>
    <t>DAFTAR GAJI PEGAWAI PELINDO YANG DIPERBANTUKAN</t>
  </si>
  <si>
    <t>POTONGAN TUNJANGAN POSISI</t>
  </si>
  <si>
    <t>Potongan Tunjangan Posisi</t>
  </si>
  <si>
    <t>IKH</t>
  </si>
  <si>
    <t>STP</t>
  </si>
  <si>
    <t>Ikh</t>
  </si>
  <si>
    <t>JKW</t>
  </si>
  <si>
    <t xml:space="preserve">JUMLAH </t>
  </si>
  <si>
    <t>POTONGAN TUNJANGAN KINERJA</t>
  </si>
  <si>
    <t>Potongan 10 % Keterlambatan</t>
  </si>
  <si>
    <t>Total Potongan Tunjangan Kinerja + Tunjangan Posisi</t>
  </si>
  <si>
    <t>HOTMA TAMBUNAN</t>
  </si>
  <si>
    <t>TRISNA WARDANI</t>
  </si>
  <si>
    <t>SAMSU RIZAL</t>
  </si>
  <si>
    <t>RUSCHAN</t>
  </si>
  <si>
    <t>YUSUF SUDARSONO</t>
  </si>
  <si>
    <t>-</t>
  </si>
  <si>
    <t>KARINA CITA LESTARI</t>
  </si>
  <si>
    <t>AHMAD YANI</t>
  </si>
  <si>
    <t>NURSAN</t>
  </si>
  <si>
    <t>Tunjangan Jabatan</t>
  </si>
  <si>
    <t xml:space="preserve">JUMLAH KETERLAMBATAN SELAMA 1 BULAN (JAM) </t>
  </si>
  <si>
    <t xml:space="preserve">JUMLAH KETERLAMBATAN SELAMA 1 BULAN (JAM)
</t>
  </si>
  <si>
    <t>Potongan 10 % Disiplin Kerja</t>
  </si>
  <si>
    <t xml:space="preserve">Potongan 40% Tidak Mengumpulkan/minimal tidak mendapatkan kategori Baik ( C ) </t>
  </si>
  <si>
    <t>Potongan 10% Apabila Pendapatan Usaha tidak tercapai</t>
  </si>
  <si>
    <t>BULAN JANUARI 2022</t>
  </si>
  <si>
    <t>23:10</t>
  </si>
  <si>
    <t>00:42</t>
  </si>
  <si>
    <t>05:09</t>
  </si>
  <si>
    <t>Potongan Maksimal 30% Laba Bersih tidak tercapai</t>
  </si>
  <si>
    <t>Potongan 10% Pencairan Piutang tidak tercapai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</si>
</sst>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8">
    <numFmt numFmtId="164" formatCode="_(* #,##0_);_(* \(#,##0\);_(* &quot;-&quot;_);_(@_)"/>
    <numFmt numFmtId="165" formatCode="_(* #,##0.00_);_(* \(#,##0.00\);_(* &quot;-&quot;??_);_(@_)"/>
    <numFmt numFmtId="166" formatCode="&quot;$&quot;#,##0.00;[Red]\-&quot;$&quot;#,##0.00"/>
    <numFmt numFmtId="167" formatCode="_(* #,##0_);_(* \(#,##0\);_(* &quot;-&quot;??_);_(@_)"/>
    <numFmt numFmtId="168" formatCode="0%;\(0%\)"/>
    <numFmt numFmtId="169" formatCode="_(* #,##0_);[Red]_(* \(#,##0\);_(* &quot;&quot;&quot;&quot;&quot;&quot;&quot;&quot;\ \-\ &quot;&quot;&quot;&quot;&quot;&quot;&quot;&quot;_);_(@_)"/>
    <numFmt numFmtId="170" formatCode="_(* #,##0,_);[Red]_(* \(#,##0,\);_(* &quot;&quot;&quot;&quot;&quot;&quot;&quot;&quot;\ \-\ &quot;&quot;&quot;&quot;&quot;&quot;&quot;&quot;_);_(@_)"/>
    <numFmt numFmtId="171" formatCode="0%;\(0%\);;"/>
    <numFmt numFmtId="172" formatCode="0%;\(0%\);&quot;-&quot;"/>
    <numFmt numFmtId="173" formatCode="#,##0_);[Red]\(#,##0\);&quot;-&quot;"/>
    <numFmt numFmtId="174" formatCode="*-"/>
    <numFmt numFmtId="175" formatCode="*\&quot;-&quot;"/>
    <numFmt numFmtId="176" formatCode="#,##0;\-#,##0;&quot;-&quot;"/>
    <numFmt numFmtId="177" formatCode="&quot;Perhitungan PPh Pasal 21&quot;\ \-\ mmmm\ yyyy"/>
    <numFmt numFmtId="178" formatCode="#,##0.000"/>
    <numFmt numFmtId="179" formatCode="_-* #,##0.000_-;\-* #,##0.000_-;_-* &quot;-&quot;???_-;_-@_-"/>
    <numFmt numFmtId="180" formatCode="_(* #,##0.00_);_(* \(#,##0.00\);_(* &quot;-&quot;_);_(@_)"/>
    <numFmt numFmtId="181" formatCode="[$-13809]hh:mm;@"/>
  </numFmts>
  <fonts count="31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2"/>
      <name val="Tms Rmn"/>
    </font>
    <font>
      <sz val="10"/>
      <color indexed="12"/>
      <name val="Arial"/>
      <family val="2"/>
    </font>
    <font>
      <b/>
      <sz val="12"/>
      <name val="Arial"/>
      <family val="2"/>
    </font>
    <font>
      <sz val="10"/>
      <color indexed="14"/>
      <name val="Arial"/>
      <family val="2"/>
    </font>
    <font>
      <sz val="10"/>
      <color indexed="10"/>
      <name val="Arial"/>
      <family val="2"/>
    </font>
    <font>
      <b/>
      <i/>
      <sz val="8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i/>
      <sz val="10"/>
      <name val="Calibri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Calibri"/>
      <family val="2"/>
      <scheme val="minor"/>
    </font>
    <font>
      <b/>
      <i/>
      <u/>
      <sz val="10"/>
      <name val="Calibri"/>
      <family val="2"/>
      <scheme val="minor"/>
    </font>
    <font>
      <i/>
      <sz val="8"/>
      <name val="Calibri"/>
      <family val="2"/>
      <scheme val="minor"/>
    </font>
    <font>
      <sz val="10"/>
      <color theme="3" tint="0.39997558519241921"/>
      <name val="Arial"/>
      <family val="2"/>
    </font>
    <font>
      <b/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</borders>
  <cellStyleXfs count="44">
    <xf numFmtId="0" fontId="0" fillId="0" borderId="0"/>
    <xf numFmtId="176" fontId="5" fillId="0" borderId="0" applyFill="0" applyBorder="0" applyAlignment="0"/>
    <xf numFmtId="169" fontId="3" fillId="0" borderId="0" applyFill="0" applyBorder="0" applyAlignment="0"/>
    <xf numFmtId="170" fontId="3" fillId="0" borderId="0" applyFill="0" applyBorder="0" applyAlignment="0"/>
    <xf numFmtId="171" fontId="3" fillId="0" borderId="0" applyFill="0" applyBorder="0" applyAlignment="0"/>
    <xf numFmtId="172" fontId="3" fillId="0" borderId="0" applyFill="0" applyBorder="0" applyAlignment="0"/>
    <xf numFmtId="176" fontId="5" fillId="0" borderId="0" applyFill="0" applyBorder="0" applyAlignment="0"/>
    <xf numFmtId="173" fontId="3" fillId="0" borderId="0" applyFill="0" applyBorder="0" applyAlignment="0"/>
    <xf numFmtId="169" fontId="3" fillId="0" borderId="0" applyFill="0" applyBorder="0" applyAlignment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76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6" fontId="7" fillId="0" borderId="1"/>
    <xf numFmtId="169" fontId="3" fillId="0" borderId="0" applyFont="0" applyFill="0" applyBorder="0" applyAlignment="0" applyProtection="0"/>
    <xf numFmtId="14" fontId="5" fillId="0" borderId="0" applyFill="0" applyBorder="0" applyAlignment="0"/>
    <xf numFmtId="176" fontId="8" fillId="0" borderId="0" applyFill="0" applyBorder="0" applyAlignment="0"/>
    <xf numFmtId="169" fontId="3" fillId="0" borderId="0" applyFill="0" applyBorder="0" applyAlignment="0"/>
    <xf numFmtId="176" fontId="8" fillId="0" borderId="0" applyFill="0" applyBorder="0" applyAlignment="0"/>
    <xf numFmtId="173" fontId="3" fillId="0" borderId="0" applyFill="0" applyBorder="0" applyAlignment="0"/>
    <xf numFmtId="169" fontId="3" fillId="0" borderId="0" applyFill="0" applyBorder="0" applyAlignment="0"/>
    <xf numFmtId="38" fontId="4" fillId="2" borderId="0" applyNumberFormat="0" applyBorder="0" applyAlignment="0" applyProtection="0"/>
    <xf numFmtId="0" fontId="9" fillId="0" borderId="2" applyNumberFormat="0" applyAlignment="0" applyProtection="0">
      <alignment horizontal="left" vertical="center"/>
    </xf>
    <xf numFmtId="0" fontId="9" fillId="0" borderId="3">
      <alignment horizontal="left" vertical="center"/>
    </xf>
    <xf numFmtId="10" fontId="4" fillId="3" borderId="1" applyNumberFormat="0" applyBorder="0" applyAlignment="0" applyProtection="0"/>
    <xf numFmtId="176" fontId="10" fillId="0" borderId="0" applyFill="0" applyBorder="0" applyAlignment="0"/>
    <xf numFmtId="169" fontId="3" fillId="0" borderId="0" applyFill="0" applyBorder="0" applyAlignment="0"/>
    <xf numFmtId="176" fontId="10" fillId="0" borderId="0" applyFill="0" applyBorder="0" applyAlignment="0"/>
    <xf numFmtId="173" fontId="3" fillId="0" borderId="0" applyFill="0" applyBorder="0" applyAlignment="0"/>
    <xf numFmtId="169" fontId="3" fillId="0" borderId="0" applyFill="0" applyBorder="0" applyAlignment="0"/>
    <xf numFmtId="168" fontId="3" fillId="0" borderId="0"/>
    <xf numFmtId="172" fontId="3" fillId="0" borderId="0" applyFont="0" applyFill="0" applyBorder="0" applyAlignment="0" applyProtection="0"/>
    <xf numFmtId="168" fontId="6" fillId="0" borderId="0" applyFont="0" applyFill="0" applyBorder="0" applyAlignment="0" applyProtection="0"/>
    <xf numFmtId="10" fontId="3" fillId="0" borderId="0" applyFont="0" applyFill="0" applyBorder="0" applyAlignment="0" applyProtection="0"/>
    <xf numFmtId="176" fontId="11" fillId="0" borderId="0" applyFill="0" applyBorder="0" applyAlignment="0"/>
    <xf numFmtId="169" fontId="3" fillId="0" borderId="0" applyFill="0" applyBorder="0" applyAlignment="0"/>
    <xf numFmtId="176" fontId="11" fillId="0" borderId="0" applyFill="0" applyBorder="0" applyAlignment="0"/>
    <xf numFmtId="173" fontId="3" fillId="0" borderId="0" applyFill="0" applyBorder="0" applyAlignment="0"/>
    <xf numFmtId="169" fontId="3" fillId="0" borderId="0" applyFill="0" applyBorder="0" applyAlignment="0"/>
    <xf numFmtId="0" fontId="12" fillId="0" borderId="4"/>
    <xf numFmtId="0" fontId="13" fillId="0" borderId="5"/>
    <xf numFmtId="49" fontId="5" fillId="0" borderId="0" applyFill="0" applyBorder="0" applyAlignment="0"/>
    <xf numFmtId="174" fontId="3" fillId="0" borderId="0" applyFill="0" applyBorder="0" applyAlignment="0"/>
    <xf numFmtId="175" fontId="3" fillId="0" borderId="0" applyFill="0" applyBorder="0" applyAlignment="0"/>
  </cellStyleXfs>
  <cellXfs count="177">
    <xf numFmtId="0" fontId="0" fillId="0" borderId="0" xfId="0"/>
    <xf numFmtId="0" fontId="20" fillId="0" borderId="0" xfId="0" applyFont="1" applyAlignment="1" applyProtection="1">
      <alignment horizontal="left"/>
    </xf>
    <xf numFmtId="0" fontId="20" fillId="0" borderId="0" xfId="0" applyFont="1" applyProtection="1"/>
    <xf numFmtId="165" fontId="20" fillId="0" borderId="0" xfId="0" applyNumberFormat="1" applyFont="1" applyProtection="1"/>
    <xf numFmtId="167" fontId="20" fillId="0" borderId="0" xfId="0" applyNumberFormat="1" applyFont="1" applyProtection="1"/>
    <xf numFmtId="0" fontId="20" fillId="0" borderId="0" xfId="0" applyFont="1"/>
    <xf numFmtId="167" fontId="20" fillId="0" borderId="0" xfId="0" applyNumberFormat="1" applyFont="1"/>
    <xf numFmtId="0" fontId="21" fillId="0" borderId="0" xfId="0" applyFont="1"/>
    <xf numFmtId="167" fontId="0" fillId="0" borderId="0" xfId="0" applyNumberFormat="1"/>
    <xf numFmtId="0" fontId="22" fillId="0" borderId="0" xfId="0" applyFont="1"/>
    <xf numFmtId="0" fontId="22" fillId="0" borderId="0" xfId="0" quotePrefix="1" applyFont="1" applyAlignment="1">
      <alignment horizontal="center"/>
    </xf>
    <xf numFmtId="167" fontId="22" fillId="0" borderId="0" xfId="0" applyNumberFormat="1" applyFont="1"/>
    <xf numFmtId="0" fontId="22" fillId="0" borderId="0" xfId="0" quotePrefix="1" applyFont="1"/>
    <xf numFmtId="0" fontId="23" fillId="0" borderId="0" xfId="0" applyFont="1"/>
    <xf numFmtId="0" fontId="20" fillId="5" borderId="6" xfId="0" quotePrefix="1" applyFont="1" applyFill="1" applyBorder="1" applyAlignment="1" applyProtection="1"/>
    <xf numFmtId="0" fontId="20" fillId="5" borderId="10" xfId="0" quotePrefix="1" applyFont="1" applyFill="1" applyBorder="1" applyAlignment="1" applyProtection="1"/>
    <xf numFmtId="165" fontId="17" fillId="0" borderId="7" xfId="9" applyFont="1" applyFill="1" applyBorder="1" applyAlignment="1" applyProtection="1">
      <alignment horizontal="left" vertical="center"/>
    </xf>
    <xf numFmtId="165" fontId="20" fillId="0" borderId="7" xfId="9" applyFont="1" applyFill="1" applyBorder="1" applyAlignment="1" applyProtection="1">
      <alignment vertical="center"/>
    </xf>
    <xf numFmtId="167" fontId="17" fillId="0" borderId="7" xfId="9" applyNumberFormat="1" applyFont="1" applyFill="1" applyBorder="1" applyAlignment="1" applyProtection="1">
      <alignment vertical="center"/>
    </xf>
    <xf numFmtId="167" fontId="17" fillId="0" borderId="7" xfId="9" applyNumberFormat="1" applyFont="1" applyFill="1" applyBorder="1" applyAlignment="1" applyProtection="1">
      <alignment vertical="center"/>
      <protection hidden="1"/>
    </xf>
    <xf numFmtId="167" fontId="18" fillId="0" borderId="12" xfId="9" applyNumberFormat="1" applyFont="1" applyFill="1" applyBorder="1" applyAlignment="1" applyProtection="1">
      <alignment vertical="center"/>
    </xf>
    <xf numFmtId="3" fontId="22" fillId="0" borderId="0" xfId="0" applyNumberFormat="1" applyFont="1"/>
    <xf numFmtId="0" fontId="25" fillId="0" borderId="0" xfId="0" applyFont="1"/>
    <xf numFmtId="167" fontId="25" fillId="0" borderId="0" xfId="0" applyNumberFormat="1" applyFont="1"/>
    <xf numFmtId="167" fontId="16" fillId="0" borderId="0" xfId="0" applyNumberFormat="1" applyFont="1"/>
    <xf numFmtId="177" fontId="21" fillId="0" borderId="0" xfId="0" applyNumberFormat="1" applyFont="1" applyFill="1" applyBorder="1" applyAlignment="1" applyProtection="1">
      <alignment horizontal="center" vertical="center"/>
    </xf>
    <xf numFmtId="0" fontId="21" fillId="0" borderId="0" xfId="0" applyFont="1" applyAlignment="1">
      <alignment horizontal="center" vertical="center"/>
    </xf>
    <xf numFmtId="167" fontId="20" fillId="0" borderId="7" xfId="9" applyNumberFormat="1" applyFont="1" applyFill="1" applyBorder="1" applyAlignment="1" applyProtection="1">
      <alignment vertical="center"/>
    </xf>
    <xf numFmtId="167" fontId="20" fillId="0" borderId="7" xfId="9" applyNumberFormat="1" applyFont="1" applyFill="1" applyBorder="1" applyAlignment="1" applyProtection="1">
      <alignment vertical="center"/>
      <protection hidden="1"/>
    </xf>
    <xf numFmtId="167" fontId="21" fillId="0" borderId="12" xfId="9" applyNumberFormat="1" applyFont="1" applyFill="1" applyBorder="1" applyAlignment="1" applyProtection="1">
      <alignment vertical="center"/>
    </xf>
    <xf numFmtId="167" fontId="21" fillId="5" borderId="0" xfId="9" applyNumberFormat="1" applyFont="1" applyFill="1" applyBorder="1" applyAlignment="1" applyProtection="1">
      <alignment vertical="center" shrinkToFit="1"/>
    </xf>
    <xf numFmtId="167" fontId="18" fillId="5" borderId="0" xfId="9" applyNumberFormat="1" applyFont="1" applyFill="1" applyBorder="1" applyAlignment="1" applyProtection="1">
      <alignment vertical="center" shrinkToFit="1"/>
    </xf>
    <xf numFmtId="167" fontId="21" fillId="5" borderId="0" xfId="9" applyNumberFormat="1" applyFont="1" applyFill="1" applyBorder="1" applyAlignment="1" applyProtection="1">
      <alignment vertical="center" wrapText="1"/>
    </xf>
    <xf numFmtId="0" fontId="21" fillId="0" borderId="0" xfId="0" applyFont="1" applyFill="1" applyBorder="1" applyAlignment="1" applyProtection="1">
      <alignment horizontal="center" vertical="center" wrapText="1"/>
    </xf>
    <xf numFmtId="0" fontId="22" fillId="0" borderId="7" xfId="0" applyFont="1" applyFill="1" applyBorder="1" applyAlignment="1" applyProtection="1">
      <alignment horizontal="center" vertical="center"/>
    </xf>
    <xf numFmtId="165" fontId="17" fillId="0" borderId="6" xfId="9" applyFont="1" applyFill="1" applyBorder="1" applyAlignment="1" applyProtection="1">
      <alignment horizontal="left" vertical="center"/>
    </xf>
    <xf numFmtId="167" fontId="18" fillId="0" borderId="17" xfId="9" applyNumberFormat="1" applyFont="1" applyFill="1" applyBorder="1" applyAlignment="1" applyProtection="1">
      <alignment vertical="center"/>
    </xf>
    <xf numFmtId="165" fontId="17" fillId="0" borderId="8" xfId="9" applyFont="1" applyFill="1" applyBorder="1" applyAlignment="1" applyProtection="1">
      <alignment horizontal="left" vertical="center"/>
    </xf>
    <xf numFmtId="167" fontId="18" fillId="0" borderId="15" xfId="9" applyNumberFormat="1" applyFont="1" applyFill="1" applyBorder="1" applyAlignment="1" applyProtection="1">
      <alignment vertical="center"/>
    </xf>
    <xf numFmtId="0" fontId="3" fillId="0" borderId="0" xfId="0" applyFont="1"/>
    <xf numFmtId="3" fontId="22" fillId="0" borderId="0" xfId="0" applyNumberFormat="1" applyFont="1" applyAlignment="1">
      <alignment horizontal="left"/>
    </xf>
    <xf numFmtId="167" fontId="22" fillId="0" borderId="7" xfId="9" applyNumberFormat="1" applyFont="1" applyFill="1" applyBorder="1" applyAlignment="1" applyProtection="1">
      <alignment vertical="center"/>
      <protection hidden="1"/>
    </xf>
    <xf numFmtId="3" fontId="0" fillId="0" borderId="0" xfId="0" applyNumberFormat="1"/>
    <xf numFmtId="0" fontId="26" fillId="0" borderId="0" xfId="0" applyFont="1" applyAlignment="1">
      <alignment horizontal="center"/>
    </xf>
    <xf numFmtId="178" fontId="0" fillId="0" borderId="0" xfId="0" applyNumberFormat="1"/>
    <xf numFmtId="179" fontId="0" fillId="0" borderId="0" xfId="0" applyNumberFormat="1"/>
    <xf numFmtId="167" fontId="30" fillId="0" borderId="13" xfId="9" applyNumberFormat="1" applyFont="1" applyFill="1" applyBorder="1" applyAlignment="1" applyProtection="1">
      <alignment horizontal="right" vertical="center"/>
    </xf>
    <xf numFmtId="167" fontId="30" fillId="0" borderId="7" xfId="9" applyNumberFormat="1" applyFont="1" applyFill="1" applyBorder="1" applyAlignment="1" applyProtection="1">
      <alignment horizontal="right" vertical="center"/>
    </xf>
    <xf numFmtId="3" fontId="19" fillId="0" borderId="7" xfId="9" applyNumberFormat="1" applyFont="1" applyFill="1" applyBorder="1" applyAlignment="1" applyProtection="1">
      <alignment horizontal="right" vertical="center"/>
    </xf>
    <xf numFmtId="3" fontId="19" fillId="0" borderId="6" xfId="9" applyNumberFormat="1" applyFont="1" applyFill="1" applyBorder="1" applyAlignment="1" applyProtection="1">
      <alignment horizontal="right" vertical="center"/>
    </xf>
    <xf numFmtId="167" fontId="18" fillId="0" borderId="7" xfId="9" applyNumberFormat="1" applyFont="1" applyFill="1" applyBorder="1" applyAlignment="1" applyProtection="1">
      <alignment horizontal="right" vertical="center"/>
    </xf>
    <xf numFmtId="167" fontId="30" fillId="0" borderId="8" xfId="9" applyNumberFormat="1" applyFont="1" applyFill="1" applyBorder="1" applyAlignment="1" applyProtection="1">
      <alignment horizontal="right" vertical="center"/>
    </xf>
    <xf numFmtId="167" fontId="18" fillId="0" borderId="8" xfId="9" applyNumberFormat="1" applyFont="1" applyFill="1" applyBorder="1" applyAlignment="1" applyProtection="1">
      <alignment horizontal="right" vertical="center"/>
    </xf>
    <xf numFmtId="167" fontId="30" fillId="0" borderId="14" xfId="9" applyNumberFormat="1" applyFont="1" applyFill="1" applyBorder="1" applyAlignment="1" applyProtection="1">
      <alignment horizontal="right" vertical="center"/>
    </xf>
    <xf numFmtId="167" fontId="18" fillId="0" borderId="14" xfId="9" applyNumberFormat="1" applyFont="1" applyFill="1" applyBorder="1" applyAlignment="1" applyProtection="1">
      <alignment horizontal="right" vertical="center"/>
    </xf>
    <xf numFmtId="167" fontId="21" fillId="4" borderId="7" xfId="9" applyNumberFormat="1" applyFont="1" applyFill="1" applyBorder="1" applyAlignment="1" applyProtection="1">
      <alignment horizontal="right" vertical="center"/>
    </xf>
    <xf numFmtId="167" fontId="27" fillId="0" borderId="7" xfId="9" applyNumberFormat="1" applyFont="1" applyFill="1" applyBorder="1" applyAlignment="1" applyProtection="1">
      <alignment vertical="center"/>
    </xf>
    <xf numFmtId="0" fontId="21" fillId="0" borderId="0" xfId="0" applyFont="1" applyAlignment="1">
      <alignment horizontal="center"/>
    </xf>
    <xf numFmtId="0" fontId="21" fillId="0" borderId="0" xfId="0" applyFont="1" applyAlignment="1">
      <alignment horizontal="center" vertical="center"/>
    </xf>
    <xf numFmtId="167" fontId="21" fillId="5" borderId="20" xfId="9" applyNumberFormat="1" applyFont="1" applyFill="1" applyBorder="1" applyAlignment="1" applyProtection="1">
      <alignment horizontal="center" vertical="center" wrapText="1"/>
    </xf>
    <xf numFmtId="167" fontId="21" fillId="5" borderId="11" xfId="9" applyNumberFormat="1" applyFont="1" applyFill="1" applyBorder="1" applyAlignment="1" applyProtection="1">
      <alignment horizontal="center" vertical="center" wrapText="1"/>
    </xf>
    <xf numFmtId="180" fontId="30" fillId="0" borderId="13" xfId="10" applyNumberFormat="1" applyFont="1" applyFill="1" applyBorder="1" applyAlignment="1" applyProtection="1">
      <alignment horizontal="right" vertical="center"/>
    </xf>
    <xf numFmtId="180" fontId="30" fillId="0" borderId="7" xfId="10" applyNumberFormat="1" applyFont="1" applyFill="1" applyBorder="1" applyAlignment="1" applyProtection="1">
      <alignment horizontal="right" vertical="center"/>
    </xf>
    <xf numFmtId="180" fontId="19" fillId="0" borderId="7" xfId="10" applyNumberFormat="1" applyFont="1" applyFill="1" applyBorder="1" applyAlignment="1" applyProtection="1">
      <alignment horizontal="right" vertical="center"/>
    </xf>
    <xf numFmtId="180" fontId="19" fillId="0" borderId="6" xfId="10" applyNumberFormat="1" applyFont="1" applyFill="1" applyBorder="1" applyAlignment="1" applyProtection="1">
      <alignment horizontal="right" vertical="center"/>
    </xf>
    <xf numFmtId="180" fontId="30" fillId="0" borderId="8" xfId="10" applyNumberFormat="1" applyFont="1" applyFill="1" applyBorder="1" applyAlignment="1" applyProtection="1">
      <alignment horizontal="right" vertical="center"/>
    </xf>
    <xf numFmtId="180" fontId="30" fillId="0" borderId="14" xfId="10" applyNumberFormat="1" applyFont="1" applyFill="1" applyBorder="1" applyAlignment="1" applyProtection="1">
      <alignment horizontal="right" vertical="center"/>
    </xf>
    <xf numFmtId="20" fontId="20" fillId="0" borderId="7" xfId="9" applyNumberFormat="1" applyFont="1" applyFill="1" applyBorder="1" applyAlignment="1" applyProtection="1">
      <alignment horizontal="center" vertical="center"/>
    </xf>
    <xf numFmtId="20" fontId="20" fillId="0" borderId="6" xfId="9" applyNumberFormat="1" applyFont="1" applyFill="1" applyBorder="1" applyAlignment="1" applyProtection="1">
      <alignment horizontal="center" vertical="center"/>
    </xf>
    <xf numFmtId="180" fontId="20" fillId="0" borderId="7" xfId="10" applyNumberFormat="1" applyFont="1" applyFill="1" applyBorder="1" applyAlignment="1" applyProtection="1">
      <alignment horizontal="center" vertical="center"/>
    </xf>
    <xf numFmtId="180" fontId="20" fillId="0" borderId="6" xfId="10" applyNumberFormat="1" applyFont="1" applyFill="1" applyBorder="1" applyAlignment="1" applyProtection="1">
      <alignment horizontal="center" vertical="center"/>
    </xf>
    <xf numFmtId="180" fontId="20" fillId="0" borderId="14" xfId="10" applyNumberFormat="1" applyFont="1" applyFill="1" applyBorder="1" applyAlignment="1" applyProtection="1">
      <alignment horizontal="center" vertical="center"/>
    </xf>
    <xf numFmtId="0" fontId="21" fillId="6" borderId="1" xfId="0" applyFont="1" applyFill="1" applyBorder="1" applyAlignment="1" applyProtection="1">
      <alignment horizontal="center" vertical="center" wrapText="1"/>
    </xf>
    <xf numFmtId="0" fontId="21" fillId="6" borderId="1" xfId="0" applyFont="1" applyFill="1" applyBorder="1" applyAlignment="1" applyProtection="1">
      <alignment horizontal="center" vertical="center" wrapText="1"/>
    </xf>
    <xf numFmtId="0" fontId="21" fillId="6" borderId="1" xfId="0" applyFont="1" applyFill="1" applyBorder="1" applyAlignment="1" applyProtection="1">
      <alignment vertical="center" wrapText="1"/>
    </xf>
    <xf numFmtId="0" fontId="21" fillId="6" borderId="1" xfId="0" applyFont="1" applyFill="1" applyBorder="1" applyAlignment="1" applyProtection="1">
      <alignment vertical="center"/>
    </xf>
    <xf numFmtId="164" fontId="30" fillId="0" borderId="13" xfId="10" applyNumberFormat="1" applyFont="1" applyFill="1" applyBorder="1" applyAlignment="1" applyProtection="1">
      <alignment horizontal="right" vertical="center"/>
    </xf>
    <xf numFmtId="164" fontId="30" fillId="0" borderId="7" xfId="10" applyNumberFormat="1" applyFont="1" applyFill="1" applyBorder="1" applyAlignment="1" applyProtection="1">
      <alignment horizontal="right" vertical="center"/>
    </xf>
    <xf numFmtId="164" fontId="19" fillId="0" borderId="7" xfId="10" applyNumberFormat="1" applyFont="1" applyFill="1" applyBorder="1" applyAlignment="1" applyProtection="1">
      <alignment horizontal="right" vertical="center"/>
    </xf>
    <xf numFmtId="167" fontId="21" fillId="0" borderId="8" xfId="9" applyNumberFormat="1" applyFont="1" applyFill="1" applyBorder="1" applyAlignment="1" applyProtection="1">
      <alignment horizontal="right" vertical="center"/>
    </xf>
    <xf numFmtId="167" fontId="21" fillId="4" borderId="8" xfId="9" applyNumberFormat="1" applyFont="1" applyFill="1" applyBorder="1" applyAlignment="1" applyProtection="1">
      <alignment horizontal="right" vertical="center"/>
    </xf>
    <xf numFmtId="0" fontId="20" fillId="5" borderId="1" xfId="0" quotePrefix="1" applyFont="1" applyFill="1" applyBorder="1" applyAlignment="1" applyProtection="1"/>
    <xf numFmtId="167" fontId="26" fillId="5" borderId="1" xfId="9" applyNumberFormat="1" applyFont="1" applyFill="1" applyBorder="1" applyAlignment="1" applyProtection="1">
      <alignment vertical="center" wrapText="1"/>
    </xf>
    <xf numFmtId="0" fontId="24" fillId="4" borderId="1" xfId="0" applyFont="1" applyFill="1" applyBorder="1" applyAlignment="1" applyProtection="1">
      <alignment horizontal="center" vertical="center" wrapText="1"/>
    </xf>
    <xf numFmtId="0" fontId="24" fillId="4" borderId="1" xfId="0" applyFont="1" applyFill="1" applyBorder="1" applyAlignment="1" applyProtection="1">
      <alignment horizontal="center" vertical="center"/>
    </xf>
    <xf numFmtId="0" fontId="24" fillId="0" borderId="1" xfId="0" applyFont="1" applyBorder="1" applyAlignment="1">
      <alignment horizontal="center"/>
    </xf>
    <xf numFmtId="0" fontId="22" fillId="4" borderId="1" xfId="0" applyFont="1" applyFill="1" applyBorder="1" applyAlignment="1" applyProtection="1">
      <alignment horizontal="center" vertical="center"/>
    </xf>
    <xf numFmtId="165" fontId="22" fillId="5" borderId="1" xfId="9" applyFont="1" applyFill="1" applyBorder="1" applyAlignment="1" applyProtection="1">
      <alignment vertical="center"/>
    </xf>
    <xf numFmtId="167" fontId="22" fillId="5" borderId="1" xfId="9" applyNumberFormat="1" applyFont="1" applyFill="1" applyBorder="1" applyProtection="1"/>
    <xf numFmtId="167" fontId="22" fillId="5" borderId="1" xfId="9" applyNumberFormat="1" applyFont="1" applyFill="1" applyBorder="1" applyAlignment="1" applyProtection="1">
      <alignment vertical="center"/>
      <protection hidden="1"/>
    </xf>
    <xf numFmtId="167" fontId="26" fillId="5" borderId="1" xfId="9" applyNumberFormat="1" applyFont="1" applyFill="1" applyBorder="1" applyAlignment="1" applyProtection="1">
      <alignment vertical="center"/>
    </xf>
    <xf numFmtId="167" fontId="22" fillId="0" borderId="1" xfId="0" applyNumberFormat="1" applyFont="1" applyBorder="1"/>
    <xf numFmtId="0" fontId="22" fillId="0" borderId="1" xfId="0" applyFont="1" applyFill="1" applyBorder="1" applyAlignment="1" applyProtection="1">
      <alignment horizontal="center" vertical="center"/>
    </xf>
    <xf numFmtId="165" fontId="22" fillId="0" borderId="1" xfId="9" applyFont="1" applyFill="1" applyBorder="1" applyAlignment="1" applyProtection="1">
      <alignment vertical="center"/>
    </xf>
    <xf numFmtId="20" fontId="22" fillId="0" borderId="1" xfId="9" applyNumberFormat="1" applyFont="1" applyFill="1" applyBorder="1" applyAlignment="1" applyProtection="1">
      <alignment horizontal="center" vertical="center"/>
    </xf>
    <xf numFmtId="180" fontId="22" fillId="0" borderId="1" xfId="10" applyNumberFormat="1" applyFont="1" applyFill="1" applyBorder="1" applyAlignment="1" applyProtection="1">
      <alignment horizontal="center" vertical="center"/>
    </xf>
    <xf numFmtId="167" fontId="22" fillId="0" borderId="1" xfId="9" applyNumberFormat="1" applyFont="1" applyFill="1" applyBorder="1" applyAlignment="1" applyProtection="1">
      <alignment vertical="center"/>
    </xf>
    <xf numFmtId="167" fontId="22" fillId="0" borderId="1" xfId="9" applyNumberFormat="1" applyFont="1" applyFill="1" applyBorder="1" applyAlignment="1" applyProtection="1">
      <alignment vertical="center"/>
      <protection hidden="1"/>
    </xf>
    <xf numFmtId="167" fontId="26" fillId="0" borderId="1" xfId="9" applyNumberFormat="1" applyFont="1" applyFill="1" applyBorder="1" applyAlignment="1" applyProtection="1">
      <alignment vertical="center"/>
    </xf>
    <xf numFmtId="180" fontId="26" fillId="0" borderId="1" xfId="10" applyNumberFormat="1" applyFont="1" applyFill="1" applyBorder="1" applyAlignment="1" applyProtection="1">
      <alignment vertical="center"/>
    </xf>
    <xf numFmtId="167" fontId="27" fillId="0" borderId="1" xfId="9" applyNumberFormat="1" applyFont="1" applyFill="1" applyBorder="1" applyAlignment="1" applyProtection="1">
      <alignment vertical="center"/>
    </xf>
    <xf numFmtId="167" fontId="27" fillId="0" borderId="1" xfId="9" applyNumberFormat="1" applyFont="1" applyFill="1" applyBorder="1" applyAlignment="1" applyProtection="1">
      <alignment horizontal="center" vertical="center"/>
    </xf>
    <xf numFmtId="167" fontId="22" fillId="0" borderId="1" xfId="0" applyNumberFormat="1" applyFont="1" applyBorder="1" applyAlignment="1">
      <alignment vertical="center"/>
    </xf>
    <xf numFmtId="164" fontId="27" fillId="0" borderId="1" xfId="10" applyNumberFormat="1" applyFont="1" applyFill="1" applyBorder="1" applyAlignment="1" applyProtection="1">
      <alignment vertical="center"/>
    </xf>
    <xf numFmtId="165" fontId="28" fillId="0" borderId="1" xfId="9" applyFont="1" applyFill="1" applyBorder="1" applyAlignment="1" applyProtection="1">
      <alignment horizontal="left" vertical="center"/>
    </xf>
    <xf numFmtId="167" fontId="28" fillId="0" borderId="1" xfId="9" applyNumberFormat="1" applyFont="1" applyFill="1" applyBorder="1" applyAlignment="1" applyProtection="1">
      <alignment vertical="center"/>
    </xf>
    <xf numFmtId="167" fontId="28" fillId="0" borderId="1" xfId="9" applyNumberFormat="1" applyFont="1" applyFill="1" applyBorder="1" applyAlignment="1" applyProtection="1">
      <alignment vertical="center"/>
      <protection hidden="1"/>
    </xf>
    <xf numFmtId="167" fontId="29" fillId="0" borderId="1" xfId="9" applyNumberFormat="1" applyFont="1" applyFill="1" applyBorder="1" applyAlignment="1" applyProtection="1">
      <alignment vertical="center"/>
    </xf>
    <xf numFmtId="180" fontId="29" fillId="0" borderId="1" xfId="10" applyNumberFormat="1" applyFont="1" applyFill="1" applyBorder="1" applyAlignment="1" applyProtection="1">
      <alignment vertical="center"/>
    </xf>
    <xf numFmtId="181" fontId="22" fillId="0" borderId="1" xfId="9" applyNumberFormat="1" applyFont="1" applyFill="1" applyBorder="1" applyAlignment="1" applyProtection="1">
      <alignment horizontal="center" vertical="center"/>
    </xf>
    <xf numFmtId="165" fontId="22" fillId="5" borderId="7" xfId="9" applyFont="1" applyFill="1" applyBorder="1" applyAlignment="1" applyProtection="1">
      <alignment vertical="center"/>
    </xf>
    <xf numFmtId="165" fontId="28" fillId="0" borderId="7" xfId="9" applyFont="1" applyFill="1" applyBorder="1" applyAlignment="1" applyProtection="1">
      <alignment horizontal="left" vertical="center"/>
    </xf>
    <xf numFmtId="167" fontId="2" fillId="0" borderId="7" xfId="9" applyNumberFormat="1" applyFont="1" applyFill="1" applyBorder="1" applyAlignment="1" applyProtection="1">
      <alignment vertical="center"/>
    </xf>
    <xf numFmtId="167" fontId="2" fillId="0" borderId="16" xfId="9" applyNumberFormat="1" applyFont="1" applyFill="1" applyBorder="1" applyAlignment="1" applyProtection="1">
      <alignment vertical="center"/>
    </xf>
    <xf numFmtId="167" fontId="22" fillId="5" borderId="1" xfId="9" applyNumberFormat="1" applyFont="1" applyFill="1" applyBorder="1" applyAlignment="1" applyProtection="1">
      <alignment vertical="center"/>
    </xf>
    <xf numFmtId="167" fontId="22" fillId="0" borderId="1" xfId="9" applyNumberFormat="1" applyFont="1" applyFill="1" applyBorder="1" applyAlignment="1" applyProtection="1">
      <alignment horizontal="center" vertical="center"/>
    </xf>
    <xf numFmtId="20" fontId="20" fillId="0" borderId="6" xfId="9" quotePrefix="1" applyNumberFormat="1" applyFont="1" applyFill="1" applyBorder="1" applyAlignment="1" applyProtection="1">
      <alignment horizontal="center" vertical="center"/>
    </xf>
    <xf numFmtId="167" fontId="18" fillId="0" borderId="26" xfId="9" applyNumberFormat="1" applyFont="1" applyFill="1" applyBorder="1" applyAlignment="1" applyProtection="1">
      <alignment vertical="center"/>
    </xf>
    <xf numFmtId="3" fontId="19" fillId="0" borderId="27" xfId="9" applyNumberFormat="1" applyFont="1" applyFill="1" applyBorder="1" applyAlignment="1" applyProtection="1">
      <alignment horizontal="right" vertical="center"/>
    </xf>
    <xf numFmtId="167" fontId="30" fillId="0" borderId="27" xfId="9" applyNumberFormat="1" applyFont="1" applyFill="1" applyBorder="1" applyAlignment="1" applyProtection="1">
      <alignment horizontal="right" vertical="center"/>
    </xf>
    <xf numFmtId="180" fontId="30" fillId="0" borderId="27" xfId="10" applyNumberFormat="1" applyFont="1" applyFill="1" applyBorder="1" applyAlignment="1" applyProtection="1">
      <alignment horizontal="right" vertical="center"/>
    </xf>
    <xf numFmtId="164" fontId="30" fillId="0" borderId="6" xfId="10" applyNumberFormat="1" applyFont="1" applyFill="1" applyBorder="1" applyAlignment="1" applyProtection="1">
      <alignment horizontal="right" vertical="center"/>
    </xf>
    <xf numFmtId="167" fontId="27" fillId="0" borderId="6" xfId="9" applyNumberFormat="1" applyFont="1" applyFill="1" applyBorder="1" applyAlignment="1" applyProtection="1">
      <alignment vertical="center"/>
    </xf>
    <xf numFmtId="167" fontId="27" fillId="0" borderId="9" xfId="9" applyNumberFormat="1" applyFont="1" applyFill="1" applyBorder="1" applyAlignment="1" applyProtection="1">
      <alignment vertical="center"/>
    </xf>
    <xf numFmtId="167" fontId="18" fillId="0" borderId="6" xfId="9" applyNumberFormat="1" applyFont="1" applyFill="1" applyBorder="1" applyAlignment="1" applyProtection="1">
      <alignment horizontal="right" vertical="center"/>
    </xf>
    <xf numFmtId="167" fontId="21" fillId="0" borderId="6" xfId="9" applyNumberFormat="1" applyFont="1" applyFill="1" applyBorder="1" applyAlignment="1" applyProtection="1">
      <alignment horizontal="right" vertical="center"/>
    </xf>
    <xf numFmtId="167" fontId="21" fillId="4" borderId="6" xfId="9" applyNumberFormat="1" applyFont="1" applyFill="1" applyBorder="1" applyAlignment="1" applyProtection="1">
      <alignment horizontal="right" vertical="center"/>
    </xf>
    <xf numFmtId="165" fontId="0" fillId="0" borderId="0" xfId="0" applyNumberFormat="1"/>
    <xf numFmtId="0" fontId="21" fillId="6" borderId="1" xfId="0" applyFont="1" applyFill="1" applyBorder="1" applyAlignment="1" applyProtection="1">
      <alignment horizontal="center" vertical="center" wrapText="1"/>
    </xf>
    <xf numFmtId="165" fontId="28" fillId="5" borderId="1" xfId="9" applyFont="1" applyFill="1" applyBorder="1" applyAlignment="1" applyProtection="1">
      <alignment horizontal="left" vertical="center"/>
    </xf>
    <xf numFmtId="0" fontId="22" fillId="5" borderId="1" xfId="0" applyFont="1" applyFill="1" applyBorder="1" applyAlignment="1" applyProtection="1">
      <alignment horizontal="center" vertical="center"/>
    </xf>
    <xf numFmtId="20" fontId="22" fillId="0" borderId="1" xfId="9" quotePrefix="1" applyNumberFormat="1" applyFont="1" applyFill="1" applyBorder="1" applyAlignment="1" applyProtection="1">
      <alignment horizontal="center" vertical="center"/>
    </xf>
    <xf numFmtId="20" fontId="20" fillId="0" borderId="7" xfId="9" quotePrefix="1" applyNumberFormat="1" applyFont="1" applyFill="1" applyBorder="1" applyAlignment="1" applyProtection="1">
      <alignment horizontal="center" vertical="center"/>
    </xf>
    <xf numFmtId="0" fontId="21" fillId="6" borderId="1" xfId="0" applyFont="1" applyFill="1" applyBorder="1" applyAlignment="1" applyProtection="1">
      <alignment horizontal="center" vertical="center" wrapText="1"/>
    </xf>
    <xf numFmtId="0" fontId="22" fillId="0" borderId="28" xfId="0" applyFont="1" applyFill="1" applyBorder="1" applyAlignment="1" applyProtection="1">
      <alignment horizontal="center" vertical="center"/>
    </xf>
    <xf numFmtId="167" fontId="27" fillId="0" borderId="8" xfId="9" applyNumberFormat="1" applyFont="1" applyFill="1" applyBorder="1" applyAlignment="1" applyProtection="1">
      <alignment vertical="center"/>
    </xf>
    <xf numFmtId="164" fontId="30" fillId="0" borderId="16" xfId="10" applyNumberFormat="1" applyFont="1" applyFill="1" applyBorder="1" applyAlignment="1" applyProtection="1">
      <alignment horizontal="right" vertical="center"/>
    </xf>
    <xf numFmtId="0" fontId="22" fillId="0" borderId="14" xfId="0" applyFont="1" applyFill="1" applyBorder="1" applyAlignment="1" applyProtection="1">
      <alignment horizontal="center" vertical="center"/>
    </xf>
    <xf numFmtId="165" fontId="1" fillId="0" borderId="29" xfId="9" applyFont="1" applyFill="1" applyBorder="1" applyAlignment="1" applyProtection="1">
      <alignment horizontal="left" vertical="center"/>
    </xf>
    <xf numFmtId="20" fontId="20" fillId="0" borderId="29" xfId="9" applyNumberFormat="1" applyFont="1" applyFill="1" applyBorder="1" applyAlignment="1" applyProtection="1">
      <alignment horizontal="center" vertical="center"/>
    </xf>
    <xf numFmtId="167" fontId="2" fillId="0" borderId="29" xfId="9" applyNumberFormat="1" applyFont="1" applyFill="1" applyBorder="1" applyAlignment="1" applyProtection="1">
      <alignment vertical="center"/>
    </xf>
    <xf numFmtId="167" fontId="17" fillId="0" borderId="16" xfId="9" applyNumberFormat="1" applyFont="1" applyFill="1" applyBorder="1" applyAlignment="1" applyProtection="1">
      <alignment vertical="center"/>
      <protection hidden="1"/>
    </xf>
    <xf numFmtId="167" fontId="17" fillId="0" borderId="29" xfId="9" applyNumberFormat="1" applyFont="1" applyFill="1" applyBorder="1" applyAlignment="1" applyProtection="1">
      <alignment vertical="center"/>
      <protection hidden="1"/>
    </xf>
    <xf numFmtId="165" fontId="17" fillId="0" borderId="30" xfId="9" applyFont="1" applyFill="1" applyBorder="1" applyAlignment="1" applyProtection="1">
      <alignment horizontal="left" vertical="center"/>
    </xf>
    <xf numFmtId="0" fontId="21" fillId="6" borderId="1" xfId="0" applyFont="1" applyFill="1" applyBorder="1" applyAlignment="1" applyProtection="1">
      <alignment horizontal="center" vertical="center" wrapText="1"/>
    </xf>
    <xf numFmtId="0" fontId="21" fillId="6" borderId="1" xfId="0" applyFont="1" applyFill="1" applyBorder="1" applyAlignment="1" applyProtection="1">
      <alignment vertical="center" wrapText="1"/>
    </xf>
    <xf numFmtId="164" fontId="0" fillId="0" borderId="0" xfId="0" applyNumberFormat="1"/>
    <xf numFmtId="0" fontId="21" fillId="0" borderId="0" xfId="0" applyNumberFormat="1" applyFont="1" applyFill="1" applyBorder="1" applyAlignment="1" applyProtection="1">
      <alignment horizontal="center" vertical="center"/>
    </xf>
    <xf numFmtId="0" fontId="21" fillId="6" borderId="1" xfId="0" applyFont="1" applyFill="1" applyBorder="1" applyAlignment="1" applyProtection="1">
      <alignment horizontal="center" vertical="center" wrapText="1"/>
    </xf>
    <xf numFmtId="167" fontId="26" fillId="5" borderId="1" xfId="9" applyNumberFormat="1" applyFont="1" applyFill="1" applyBorder="1" applyAlignment="1" applyProtection="1">
      <alignment horizontal="center" vertical="center" wrapText="1"/>
    </xf>
    <xf numFmtId="167" fontId="26" fillId="5" borderId="9" xfId="9" applyNumberFormat="1" applyFont="1" applyFill="1" applyBorder="1" applyAlignment="1" applyProtection="1">
      <alignment horizontal="center" vertical="center" wrapText="1"/>
    </xf>
    <xf numFmtId="167" fontId="26" fillId="5" borderId="14" xfId="9" applyNumberFormat="1" applyFont="1" applyFill="1" applyBorder="1" applyAlignment="1" applyProtection="1">
      <alignment horizontal="center" vertical="center" wrapText="1"/>
    </xf>
    <xf numFmtId="177" fontId="21" fillId="0" borderId="0" xfId="0" applyNumberFormat="1" applyFont="1" applyFill="1" applyBorder="1" applyAlignment="1" applyProtection="1">
      <alignment horizontal="center" vertical="center"/>
    </xf>
    <xf numFmtId="17" fontId="21" fillId="0" borderId="0" xfId="0" applyNumberFormat="1" applyFont="1" applyFill="1" applyBorder="1" applyAlignment="1" applyProtection="1">
      <alignment horizontal="center" vertical="center"/>
    </xf>
    <xf numFmtId="0" fontId="26" fillId="6" borderId="1" xfId="0" applyFont="1" applyFill="1" applyBorder="1" applyAlignment="1">
      <alignment horizontal="center" vertical="center" wrapText="1"/>
    </xf>
    <xf numFmtId="167" fontId="26" fillId="0" borderId="1" xfId="0" applyNumberFormat="1" applyFont="1" applyBorder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167" fontId="22" fillId="5" borderId="1" xfId="9" applyNumberFormat="1" applyFont="1" applyFill="1" applyBorder="1" applyAlignment="1" applyProtection="1">
      <alignment vertical="center" wrapText="1"/>
    </xf>
    <xf numFmtId="0" fontId="21" fillId="6" borderId="1" xfId="0" applyFont="1" applyFill="1" applyBorder="1" applyAlignment="1" applyProtection="1">
      <alignment vertical="center" wrapText="1"/>
    </xf>
    <xf numFmtId="0" fontId="20" fillId="5" borderId="1" xfId="0" quotePrefix="1" applyFont="1" applyFill="1" applyBorder="1" applyAlignment="1" applyProtection="1">
      <alignment horizontal="center"/>
    </xf>
    <xf numFmtId="167" fontId="21" fillId="5" borderId="9" xfId="9" applyNumberFormat="1" applyFont="1" applyFill="1" applyBorder="1" applyAlignment="1" applyProtection="1">
      <alignment horizontal="center" vertical="center" wrapText="1"/>
    </xf>
    <xf numFmtId="167" fontId="21" fillId="5" borderId="10" xfId="9" applyNumberFormat="1" applyFont="1" applyFill="1" applyBorder="1" applyAlignment="1" applyProtection="1">
      <alignment horizontal="center" vertical="center" wrapText="1"/>
    </xf>
    <xf numFmtId="167" fontId="20" fillId="5" borderId="9" xfId="9" applyNumberFormat="1" applyFont="1" applyFill="1" applyBorder="1" applyAlignment="1" applyProtection="1">
      <alignment vertical="center" wrapText="1"/>
    </xf>
    <xf numFmtId="167" fontId="20" fillId="5" borderId="10" xfId="9" applyNumberFormat="1" applyFont="1" applyFill="1" applyBorder="1" applyAlignment="1" applyProtection="1">
      <alignment vertical="center" wrapText="1"/>
    </xf>
    <xf numFmtId="167" fontId="20" fillId="5" borderId="6" xfId="9" applyNumberFormat="1" applyFont="1" applyFill="1" applyBorder="1" applyAlignment="1" applyProtection="1">
      <alignment vertical="center" wrapText="1"/>
    </xf>
    <xf numFmtId="167" fontId="21" fillId="5" borderId="19" xfId="9" applyNumberFormat="1" applyFont="1" applyFill="1" applyBorder="1" applyAlignment="1" applyProtection="1">
      <alignment vertical="center" wrapText="1"/>
    </xf>
    <xf numFmtId="167" fontId="21" fillId="5" borderId="21" xfId="9" applyNumberFormat="1" applyFont="1" applyFill="1" applyBorder="1" applyAlignment="1" applyProtection="1">
      <alignment vertical="center" wrapText="1"/>
    </xf>
    <xf numFmtId="167" fontId="21" fillId="5" borderId="6" xfId="9" applyNumberFormat="1" applyFont="1" applyFill="1" applyBorder="1" applyAlignment="1" applyProtection="1">
      <alignment horizontal="right" vertical="center" wrapText="1"/>
    </xf>
    <xf numFmtId="167" fontId="21" fillId="5" borderId="10" xfId="9" applyNumberFormat="1" applyFont="1" applyFill="1" applyBorder="1" applyAlignment="1" applyProtection="1">
      <alignment horizontal="right" vertical="center" wrapText="1"/>
    </xf>
    <xf numFmtId="0" fontId="21" fillId="6" borderId="9" xfId="0" applyFont="1" applyFill="1" applyBorder="1" applyAlignment="1" applyProtection="1">
      <alignment horizontal="center" vertical="center" wrapText="1"/>
    </xf>
    <xf numFmtId="0" fontId="21" fillId="6" borderId="18" xfId="0" applyFont="1" applyFill="1" applyBorder="1" applyAlignment="1" applyProtection="1">
      <alignment horizontal="center" vertical="center" wrapText="1"/>
    </xf>
    <xf numFmtId="0" fontId="21" fillId="6" borderId="18" xfId="0" applyFont="1" applyFill="1" applyBorder="1" applyAlignment="1" applyProtection="1">
      <alignment vertical="center" wrapText="1"/>
    </xf>
    <xf numFmtId="0" fontId="21" fillId="6" borderId="24" xfId="0" applyFont="1" applyFill="1" applyBorder="1" applyAlignment="1" applyProtection="1">
      <alignment horizontal="center" vertical="center" wrapText="1"/>
    </xf>
    <xf numFmtId="0" fontId="21" fillId="6" borderId="25" xfId="0" applyFont="1" applyFill="1" applyBorder="1" applyAlignment="1" applyProtection="1">
      <alignment horizontal="center" vertical="center" wrapText="1"/>
    </xf>
    <xf numFmtId="0" fontId="21" fillId="6" borderId="14" xfId="0" applyFont="1" applyFill="1" applyBorder="1" applyAlignment="1" applyProtection="1">
      <alignment horizontal="center" vertical="center" wrapText="1"/>
    </xf>
    <xf numFmtId="167" fontId="21" fillId="5" borderId="22" xfId="9" applyNumberFormat="1" applyFont="1" applyFill="1" applyBorder="1" applyAlignment="1" applyProtection="1">
      <alignment horizontal="center" vertical="center" wrapText="1"/>
    </xf>
    <xf numFmtId="167" fontId="21" fillId="5" borderId="23" xfId="9" applyNumberFormat="1" applyFont="1" applyFill="1" applyBorder="1" applyAlignment="1" applyProtection="1">
      <alignment horizontal="center" vertical="center" wrapText="1"/>
    </xf>
  </cellXfs>
  <cellStyles count="44">
    <cellStyle name="Calc Currency (0)" xfId="1" xr:uid="{00000000-0005-0000-0000-000000000000}"/>
    <cellStyle name="Calc Currency (2)" xfId="2" xr:uid="{00000000-0005-0000-0000-000001000000}"/>
    <cellStyle name="Calc Percent (0)" xfId="3" xr:uid="{00000000-0005-0000-0000-000002000000}"/>
    <cellStyle name="Calc Percent (1)" xfId="4" xr:uid="{00000000-0005-0000-0000-000003000000}"/>
    <cellStyle name="Calc Percent (2)" xfId="5" xr:uid="{00000000-0005-0000-0000-000004000000}"/>
    <cellStyle name="Calc Units (0)" xfId="6" xr:uid="{00000000-0005-0000-0000-000005000000}"/>
    <cellStyle name="Calc Units (1)" xfId="7" xr:uid="{00000000-0005-0000-0000-000006000000}"/>
    <cellStyle name="Calc Units (2)" xfId="8" xr:uid="{00000000-0005-0000-0000-000007000000}"/>
    <cellStyle name="Comma" xfId="9" builtinId="3"/>
    <cellStyle name="Comma [0]" xfId="10" builtinId="6"/>
    <cellStyle name="Comma [00]" xfId="11" xr:uid="{00000000-0005-0000-0000-00000A000000}"/>
    <cellStyle name="Comma 2" xfId="12" xr:uid="{00000000-0005-0000-0000-00000B000000}"/>
    <cellStyle name="Currency (0.00)" xfId="13" xr:uid="{00000000-0005-0000-0000-00000C000000}"/>
    <cellStyle name="Currency [00]" xfId="14" xr:uid="{00000000-0005-0000-0000-00000D000000}"/>
    <cellStyle name="Date Short" xfId="15" xr:uid="{00000000-0005-0000-0000-00000E000000}"/>
    <cellStyle name="Enter Currency (0)" xfId="16" xr:uid="{00000000-0005-0000-0000-00000F000000}"/>
    <cellStyle name="Enter Currency (2)" xfId="17" xr:uid="{00000000-0005-0000-0000-000010000000}"/>
    <cellStyle name="Enter Units (0)" xfId="18" xr:uid="{00000000-0005-0000-0000-000011000000}"/>
    <cellStyle name="Enter Units (1)" xfId="19" xr:uid="{00000000-0005-0000-0000-000012000000}"/>
    <cellStyle name="Enter Units (2)" xfId="20" xr:uid="{00000000-0005-0000-0000-000013000000}"/>
    <cellStyle name="Grey" xfId="21" xr:uid="{00000000-0005-0000-0000-000014000000}"/>
    <cellStyle name="Header1" xfId="22" xr:uid="{00000000-0005-0000-0000-000015000000}"/>
    <cellStyle name="Header2" xfId="23" xr:uid="{00000000-0005-0000-0000-000016000000}"/>
    <cellStyle name="Input [yellow]" xfId="24" xr:uid="{00000000-0005-0000-0000-000017000000}"/>
    <cellStyle name="Link Currency (0)" xfId="25" xr:uid="{00000000-0005-0000-0000-000018000000}"/>
    <cellStyle name="Link Currency (2)" xfId="26" xr:uid="{00000000-0005-0000-0000-000019000000}"/>
    <cellStyle name="Link Units (0)" xfId="27" xr:uid="{00000000-0005-0000-0000-00001A000000}"/>
    <cellStyle name="Link Units (1)" xfId="28" xr:uid="{00000000-0005-0000-0000-00001B000000}"/>
    <cellStyle name="Link Units (2)" xfId="29" xr:uid="{00000000-0005-0000-0000-00001C000000}"/>
    <cellStyle name="Normal" xfId="0" builtinId="0"/>
    <cellStyle name="Normal - Style1" xfId="30" xr:uid="{00000000-0005-0000-0000-00001E000000}"/>
    <cellStyle name="Percent [0]" xfId="31" xr:uid="{00000000-0005-0000-0000-00001F000000}"/>
    <cellStyle name="Percent [00]" xfId="32" xr:uid="{00000000-0005-0000-0000-000020000000}"/>
    <cellStyle name="Percent [2]" xfId="33" xr:uid="{00000000-0005-0000-0000-000021000000}"/>
    <cellStyle name="PrePop Currency (0)" xfId="34" xr:uid="{00000000-0005-0000-0000-000022000000}"/>
    <cellStyle name="PrePop Currency (2)" xfId="35" xr:uid="{00000000-0005-0000-0000-000023000000}"/>
    <cellStyle name="PrePop Units (0)" xfId="36" xr:uid="{00000000-0005-0000-0000-000024000000}"/>
    <cellStyle name="PrePop Units (1)" xfId="37" xr:uid="{00000000-0005-0000-0000-000025000000}"/>
    <cellStyle name="PrePop Units (2)" xfId="38" xr:uid="{00000000-0005-0000-0000-000026000000}"/>
    <cellStyle name="sbt2" xfId="39" xr:uid="{00000000-0005-0000-0000-000027000000}"/>
    <cellStyle name="subt1" xfId="40" xr:uid="{00000000-0005-0000-0000-000028000000}"/>
    <cellStyle name="Text Indent A" xfId="41" xr:uid="{00000000-0005-0000-0000-000029000000}"/>
    <cellStyle name="Text Indent B" xfId="42" xr:uid="{00000000-0005-0000-0000-00002A000000}"/>
    <cellStyle name="Text Indent C" xfId="43" xr:uid="{00000000-0005-0000-0000-00002B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495301</xdr:colOff>
      <xdr:row>0</xdr:row>
      <xdr:rowOff>44449</xdr:rowOff>
    </xdr:from>
    <xdr:to>
      <xdr:col>11</xdr:col>
      <xdr:colOff>590550</xdr:colOff>
      <xdr:row>1</xdr:row>
      <xdr:rowOff>234949</xdr:rowOff>
    </xdr:to>
    <xdr:pic>
      <xdr:nvPicPr>
        <xdr:cNvPr id="17417" name="Picture 1">
          <a:extLst>
            <a:ext uri="{FF2B5EF4-FFF2-40B4-BE49-F238E27FC236}">
              <a16:creationId xmlns:a16="http://schemas.microsoft.com/office/drawing/2014/main" id="{00000000-0008-0000-0300-0000094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86601" y="44449"/>
          <a:ext cx="1828799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773206</xdr:colOff>
      <xdr:row>0</xdr:row>
      <xdr:rowOff>11206</xdr:rowOff>
    </xdr:from>
    <xdr:to>
      <xdr:col>13</xdr:col>
      <xdr:colOff>286372</xdr:colOff>
      <xdr:row>0</xdr:row>
      <xdr:rowOff>561538</xdr:rowOff>
    </xdr:to>
    <xdr:pic>
      <xdr:nvPicPr>
        <xdr:cNvPr id="10396" name="Picture 1">
          <a:extLst>
            <a:ext uri="{FF2B5EF4-FFF2-40B4-BE49-F238E27FC236}">
              <a16:creationId xmlns:a16="http://schemas.microsoft.com/office/drawing/2014/main" id="{00000000-0008-0000-0400-00009C2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6853" y="11206"/>
          <a:ext cx="2168960" cy="5503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INZ%20DOC\PT%20PRIMA%20TERMINAL%20PETIKEMAS\2020\UMUM\NOTA%20DINAS\MANAJER%20UMUM\MEI\MN\THR%20PEG%20PELINDO%20YG%20DIPERBANTUKA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P\AppData\Roaming\Microsoft\Excel\TABEL%20GAJI%20DAN%20TUNJANGAN%20REKRUT%20PTP%20(version%201)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R PEG PELINDO"/>
      <sheetName val="PTP"/>
      <sheetName val="Versi 2 PTP"/>
      <sheetName val="tABEL PERSENTASE"/>
      <sheetName val="Pejelasan"/>
      <sheetName val="Sheet2"/>
      <sheetName val="Operator"/>
    </sheetNames>
    <sheetDataSet>
      <sheetData sheetId="0" refreshError="1">
        <row r="8">
          <cell r="F8">
            <v>9739000</v>
          </cell>
        </row>
        <row r="10">
          <cell r="G10">
            <v>4342000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 refreshError="1">
        <row r="18">
          <cell r="H18">
            <v>3223000</v>
          </cell>
        </row>
        <row r="19">
          <cell r="O19">
            <v>2533000</v>
          </cell>
          <cell r="Q19">
            <v>527000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"/>
  <sheetViews>
    <sheetView showGridLines="0" showRowColHeaders="0" showZeros="0" showOutlineSymbols="0" topLeftCell="B14130" zoomScaleSheetLayoutView="6" workbookViewId="0"/>
  </sheetViews>
  <sheetFormatPr defaultRowHeight="12.5" x14ac:dyDescent="0.25"/>
  <sheetData/>
  <phoneticPr fontId="14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44"/>
  <sheetViews>
    <sheetView tabSelected="1" view="pageBreakPreview" topLeftCell="L1" zoomScaleNormal="100" zoomScaleSheetLayoutView="100" workbookViewId="0">
      <selection activeCell="Q7" sqref="Q7"/>
    </sheetView>
  </sheetViews>
  <sheetFormatPr defaultRowHeight="12.5" x14ac:dyDescent="0.25"/>
  <cols>
    <col min="1" max="1" width="2.453125" customWidth="1"/>
    <col min="2" max="2" width="5.1796875" customWidth="1"/>
    <col min="3" max="3" width="22.1796875" customWidth="1"/>
    <col min="4" max="4" width="13.7265625" customWidth="1"/>
    <col min="5" max="5" width="14.54296875" hidden="1" customWidth="1"/>
    <col min="6" max="6" width="11.1796875" customWidth="1"/>
    <col min="7" max="7" width="12.1796875" customWidth="1"/>
    <col min="8" max="10" width="12.453125" customWidth="1"/>
    <col min="11" max="11" width="13.54296875" customWidth="1"/>
    <col min="12" max="12" width="14.54296875" customWidth="1"/>
    <col min="13" max="14" width="14.81640625" hidden="1" customWidth="1"/>
    <col min="15" max="15" width="14.81640625" customWidth="1"/>
    <col min="16" max="17" width="20.54296875" customWidth="1"/>
    <col min="18" max="18" width="13.453125" customWidth="1"/>
    <col min="19" max="20" width="15" customWidth="1"/>
    <col min="21" max="21" width="12.54296875" customWidth="1"/>
    <col min="22" max="22" width="14" customWidth="1"/>
    <col min="23" max="23" width="15.81640625" customWidth="1"/>
    <col min="25" max="25" width="12.26953125" bestFit="1" customWidth="1"/>
    <col min="26" max="26" width="10.26953125" bestFit="1" customWidth="1"/>
  </cols>
  <sheetData>
    <row r="1" spans="1:26" ht="24.75" customHeight="1" x14ac:dyDescent="0.25"/>
    <row r="2" spans="1:26" ht="24.75" customHeight="1" x14ac:dyDescent="0.35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</row>
    <row r="3" spans="1:26" ht="12.75" customHeight="1" x14ac:dyDescent="0.25">
      <c r="A3" s="152" t="s">
        <v>32</v>
      </c>
      <c r="B3" s="152"/>
      <c r="C3" s="152"/>
      <c r="D3" s="152"/>
      <c r="E3" s="152"/>
      <c r="F3" s="152"/>
      <c r="G3" s="152"/>
      <c r="H3" s="152"/>
      <c r="I3" s="152"/>
      <c r="J3" s="152"/>
      <c r="K3" s="152"/>
      <c r="L3" s="152"/>
      <c r="M3" s="152"/>
      <c r="N3" s="152"/>
      <c r="O3" s="152"/>
      <c r="P3" s="152"/>
      <c r="Q3" s="152"/>
      <c r="R3" s="152"/>
      <c r="S3" s="152"/>
      <c r="T3" s="152"/>
      <c r="U3" s="152"/>
      <c r="V3" s="152"/>
      <c r="W3" s="152"/>
    </row>
    <row r="4" spans="1:26" ht="13.5" customHeight="1" x14ac:dyDescent="0.25">
      <c r="A4" s="153" t="s">
        <v>58</v>
      </c>
      <c r="B4" s="153"/>
      <c r="C4" s="153"/>
      <c r="D4" s="153"/>
      <c r="E4" s="153"/>
      <c r="F4" s="153"/>
      <c r="G4" s="153"/>
      <c r="H4" s="153"/>
      <c r="I4" s="153"/>
      <c r="J4" s="153"/>
      <c r="K4" s="153"/>
      <c r="L4" s="153"/>
      <c r="M4" s="153"/>
      <c r="N4" s="153"/>
      <c r="O4" s="153"/>
      <c r="P4" s="153"/>
      <c r="Q4" s="153"/>
      <c r="R4" s="153"/>
      <c r="S4" s="153"/>
      <c r="T4" s="153"/>
      <c r="U4" s="153"/>
      <c r="V4" s="153"/>
      <c r="W4" s="153"/>
    </row>
    <row r="5" spans="1:26" ht="10.5" customHeight="1" x14ac:dyDescent="0.25"/>
    <row r="6" spans="1:26" ht="38.25" customHeight="1" x14ac:dyDescent="0.25">
      <c r="B6" s="148" t="s">
        <v>0</v>
      </c>
      <c r="C6" s="148" t="s">
        <v>9</v>
      </c>
      <c r="D6" s="148" t="s">
        <v>53</v>
      </c>
      <c r="E6" s="73"/>
      <c r="F6" s="148" t="s">
        <v>10</v>
      </c>
      <c r="G6" s="148" t="s">
        <v>27</v>
      </c>
      <c r="H6" s="148" t="s">
        <v>28</v>
      </c>
      <c r="I6" s="148" t="s">
        <v>31</v>
      </c>
      <c r="J6" s="148" t="s">
        <v>3</v>
      </c>
      <c r="K6" s="148" t="s">
        <v>30</v>
      </c>
      <c r="L6" s="148" t="s">
        <v>11</v>
      </c>
      <c r="M6" s="148" t="s">
        <v>38</v>
      </c>
      <c r="N6" s="148" t="s">
        <v>37</v>
      </c>
      <c r="O6" s="148" t="s">
        <v>40</v>
      </c>
      <c r="P6" s="148"/>
      <c r="Q6" s="148"/>
      <c r="R6" s="148"/>
      <c r="S6" s="148"/>
      <c r="T6" s="128"/>
      <c r="U6" s="148" t="s">
        <v>34</v>
      </c>
      <c r="V6" s="148" t="s">
        <v>42</v>
      </c>
      <c r="W6" s="154" t="s">
        <v>39</v>
      </c>
    </row>
    <row r="7" spans="1:26" ht="91.5" customHeight="1" x14ac:dyDescent="0.25">
      <c r="B7" s="148"/>
      <c r="C7" s="158"/>
      <c r="D7" s="148"/>
      <c r="E7" s="73"/>
      <c r="F7" s="148"/>
      <c r="G7" s="148"/>
      <c r="H7" s="148"/>
      <c r="I7" s="148"/>
      <c r="J7" s="148"/>
      <c r="K7" s="148"/>
      <c r="L7" s="148"/>
      <c r="M7" s="148"/>
      <c r="N7" s="148"/>
      <c r="O7" s="145" t="s">
        <v>55</v>
      </c>
      <c r="P7" s="144" t="s">
        <v>56</v>
      </c>
      <c r="Q7" s="144" t="s">
        <v>57</v>
      </c>
      <c r="R7" s="144" t="s">
        <v>62</v>
      </c>
      <c r="S7" s="144" t="s">
        <v>63</v>
      </c>
      <c r="T7" s="128" t="s">
        <v>52</v>
      </c>
      <c r="U7" s="148"/>
      <c r="V7" s="148"/>
      <c r="W7" s="154"/>
      <c r="Y7" s="67">
        <v>4.2361111111111106E-2</v>
      </c>
    </row>
    <row r="8" spans="1:26" ht="9.75" customHeight="1" x14ac:dyDescent="0.25">
      <c r="B8" s="83"/>
      <c r="C8" s="83"/>
      <c r="D8" s="83"/>
      <c r="E8" s="83"/>
      <c r="F8" s="83"/>
      <c r="G8" s="83"/>
      <c r="H8" s="83"/>
      <c r="I8" s="83"/>
      <c r="J8" s="83"/>
      <c r="K8" s="83"/>
      <c r="L8" s="84"/>
      <c r="M8" s="84"/>
      <c r="N8" s="84"/>
      <c r="O8" s="84"/>
      <c r="P8" s="84"/>
      <c r="Q8" s="84"/>
      <c r="R8" s="84"/>
      <c r="S8" s="84"/>
      <c r="T8" s="84"/>
      <c r="U8" s="84"/>
      <c r="V8" s="84"/>
      <c r="W8" s="85"/>
    </row>
    <row r="9" spans="1:26" ht="18.75" hidden="1" customHeight="1" x14ac:dyDescent="0.3">
      <c r="B9" s="86">
        <v>1</v>
      </c>
      <c r="C9" s="87" t="s">
        <v>25</v>
      </c>
      <c r="D9" s="87" t="s">
        <v>5</v>
      </c>
      <c r="E9" s="87"/>
      <c r="F9" s="88">
        <v>9000000</v>
      </c>
      <c r="G9" s="89">
        <v>0</v>
      </c>
      <c r="H9" s="89">
        <f>5%*F9</f>
        <v>450000</v>
      </c>
      <c r="I9" s="89">
        <v>0</v>
      </c>
      <c r="J9" s="89"/>
      <c r="K9" s="89">
        <v>0</v>
      </c>
      <c r="L9" s="90">
        <f>SUM(F9:H9)</f>
        <v>9450000</v>
      </c>
      <c r="M9" s="90"/>
      <c r="N9" s="90"/>
      <c r="O9" s="90"/>
      <c r="P9" s="90"/>
      <c r="Q9" s="90"/>
      <c r="R9" s="90"/>
      <c r="S9" s="90"/>
      <c r="T9" s="90"/>
      <c r="U9" s="90"/>
      <c r="V9" s="90"/>
      <c r="W9" s="91">
        <f>L9</f>
        <v>9450000</v>
      </c>
    </row>
    <row r="10" spans="1:26" ht="18.75" customHeight="1" x14ac:dyDescent="0.25">
      <c r="B10" s="86">
        <v>1</v>
      </c>
      <c r="C10" s="110" t="s">
        <v>44</v>
      </c>
      <c r="D10" s="94">
        <v>1.3888888888888889E-3</v>
      </c>
      <c r="E10" s="95">
        <f>D10*24</f>
        <v>3.3333333333333333E-2</v>
      </c>
      <c r="F10" s="114">
        <v>9739000</v>
      </c>
      <c r="G10" s="89">
        <v>4612000</v>
      </c>
      <c r="H10" s="97">
        <f t="shared" ref="H10:H15" si="0">12300000</f>
        <v>12300000</v>
      </c>
      <c r="I10" s="97">
        <v>600000</v>
      </c>
      <c r="J10" s="97">
        <v>4000000</v>
      </c>
      <c r="K10" s="97">
        <v>4500000</v>
      </c>
      <c r="L10" s="98">
        <f t="shared" ref="L10:L20" si="1">SUM(F10:K10)</f>
        <v>35751000</v>
      </c>
      <c r="M10" s="90"/>
      <c r="N10" s="90"/>
      <c r="O10" s="100">
        <v>0</v>
      </c>
      <c r="P10" s="100">
        <v>0</v>
      </c>
      <c r="Q10" s="100">
        <v>0</v>
      </c>
      <c r="R10" s="100">
        <f>H10*7.3%</f>
        <v>897900</v>
      </c>
      <c r="S10" s="101">
        <f>H10*10%</f>
        <v>1230000</v>
      </c>
      <c r="T10" s="101"/>
      <c r="U10" s="103"/>
      <c r="V10" s="100">
        <f>SUM(O10:U10)</f>
        <v>2127900</v>
      </c>
      <c r="W10" s="102">
        <f>L10-V10</f>
        <v>33623100</v>
      </c>
    </row>
    <row r="11" spans="1:26" ht="18.75" customHeight="1" x14ac:dyDescent="0.25">
      <c r="B11" s="92">
        <f>B10+1</f>
        <v>2</v>
      </c>
      <c r="C11" s="93" t="s">
        <v>6</v>
      </c>
      <c r="D11" s="94">
        <v>3.472222222222222E-3</v>
      </c>
      <c r="E11" s="95">
        <f>D11*24</f>
        <v>8.3333333333333329E-2</v>
      </c>
      <c r="F11" s="96">
        <v>10454000</v>
      </c>
      <c r="G11" s="97">
        <v>4612000</v>
      </c>
      <c r="H11" s="97">
        <f t="shared" si="0"/>
        <v>12300000</v>
      </c>
      <c r="I11" s="97">
        <v>600000</v>
      </c>
      <c r="J11" s="97">
        <v>4000000</v>
      </c>
      <c r="K11" s="97">
        <v>4500000</v>
      </c>
      <c r="L11" s="98">
        <f t="shared" si="1"/>
        <v>36466000</v>
      </c>
      <c r="M11" s="98">
        <v>136</v>
      </c>
      <c r="N11" s="99">
        <f>(M11-E11)/M11</f>
        <v>0.99938725490196068</v>
      </c>
      <c r="O11" s="100">
        <v>0</v>
      </c>
      <c r="P11" s="100">
        <v>0</v>
      </c>
      <c r="Q11" s="100">
        <v>0</v>
      </c>
      <c r="R11" s="100">
        <f t="shared" ref="R11:R23" si="2">H11*7.3%</f>
        <v>897900</v>
      </c>
      <c r="S11" s="101">
        <f t="shared" ref="S11:S23" si="3">H11*10%</f>
        <v>1230000</v>
      </c>
      <c r="T11" s="101">
        <v>0</v>
      </c>
      <c r="U11" s="100">
        <v>0</v>
      </c>
      <c r="V11" s="100">
        <f>SUM(O11:U11)</f>
        <v>2127900</v>
      </c>
      <c r="W11" s="102">
        <f t="shared" ref="W11:W23" si="4">L11-V11</f>
        <v>34338100</v>
      </c>
      <c r="Y11" s="8"/>
    </row>
    <row r="12" spans="1:26" ht="18.75" customHeight="1" x14ac:dyDescent="0.25">
      <c r="B12" s="92">
        <f t="shared" ref="B12:B23" si="5">B11+1</f>
        <v>3</v>
      </c>
      <c r="C12" s="93" t="s">
        <v>43</v>
      </c>
      <c r="D12" s="94">
        <v>0</v>
      </c>
      <c r="E12" s="95">
        <f>D12*24</f>
        <v>0</v>
      </c>
      <c r="F12" s="96">
        <v>8203000</v>
      </c>
      <c r="G12" s="97">
        <v>4342000</v>
      </c>
      <c r="H12" s="97">
        <f t="shared" si="0"/>
        <v>12300000</v>
      </c>
      <c r="I12" s="97">
        <v>600000</v>
      </c>
      <c r="J12" s="97">
        <v>4000000</v>
      </c>
      <c r="K12" s="97">
        <v>4500000</v>
      </c>
      <c r="L12" s="98">
        <f t="shared" si="1"/>
        <v>33945000</v>
      </c>
      <c r="M12" s="98"/>
      <c r="N12" s="99"/>
      <c r="O12" s="100">
        <v>0</v>
      </c>
      <c r="P12" s="100">
        <v>0</v>
      </c>
      <c r="Q12" s="100">
        <v>0</v>
      </c>
      <c r="R12" s="100">
        <f t="shared" si="2"/>
        <v>897900</v>
      </c>
      <c r="S12" s="101">
        <f t="shared" si="3"/>
        <v>1230000</v>
      </c>
      <c r="T12" s="101"/>
      <c r="U12" s="103"/>
      <c r="V12" s="100">
        <f>SUM(O12:U12)</f>
        <v>2127900</v>
      </c>
      <c r="W12" s="102">
        <f t="shared" si="4"/>
        <v>31817100</v>
      </c>
      <c r="Y12" s="8"/>
    </row>
    <row r="13" spans="1:26" ht="18.75" customHeight="1" x14ac:dyDescent="0.25">
      <c r="B13" s="92">
        <f t="shared" si="5"/>
        <v>4</v>
      </c>
      <c r="C13" s="93" t="s">
        <v>45</v>
      </c>
      <c r="D13" s="109">
        <v>0.16874999999999998</v>
      </c>
      <c r="E13" s="95">
        <f>D13*24</f>
        <v>4.05</v>
      </c>
      <c r="F13" s="96">
        <v>9017000</v>
      </c>
      <c r="G13" s="97">
        <v>4612000</v>
      </c>
      <c r="H13" s="97">
        <f t="shared" si="0"/>
        <v>12300000</v>
      </c>
      <c r="I13" s="97">
        <v>600000</v>
      </c>
      <c r="J13" s="97">
        <v>4000000</v>
      </c>
      <c r="K13" s="97">
        <v>4500000</v>
      </c>
      <c r="L13" s="98">
        <f t="shared" si="1"/>
        <v>35029000</v>
      </c>
      <c r="M13" s="98"/>
      <c r="N13" s="99"/>
      <c r="O13" s="100">
        <f>H13*10%</f>
        <v>1230000</v>
      </c>
      <c r="P13" s="100">
        <v>0</v>
      </c>
      <c r="Q13" s="100">
        <v>0</v>
      </c>
      <c r="R13" s="100">
        <f t="shared" si="2"/>
        <v>897900</v>
      </c>
      <c r="S13" s="101">
        <f t="shared" si="3"/>
        <v>1230000</v>
      </c>
      <c r="T13" s="101">
        <v>0</v>
      </c>
      <c r="U13" s="103">
        <v>45869</v>
      </c>
      <c r="V13" s="100">
        <f>SUM(O13:U13)</f>
        <v>3403769</v>
      </c>
      <c r="W13" s="102">
        <f t="shared" si="4"/>
        <v>31625231</v>
      </c>
      <c r="Y13" s="8"/>
    </row>
    <row r="14" spans="1:26" ht="18.75" customHeight="1" x14ac:dyDescent="0.25">
      <c r="B14" s="130">
        <f t="shared" si="5"/>
        <v>5</v>
      </c>
      <c r="C14" s="87" t="s">
        <v>46</v>
      </c>
      <c r="D14" s="131" t="s">
        <v>60</v>
      </c>
      <c r="E14" s="95">
        <f>D14*24</f>
        <v>0.7</v>
      </c>
      <c r="F14" s="96">
        <v>9017000</v>
      </c>
      <c r="G14" s="97">
        <v>4612000</v>
      </c>
      <c r="H14" s="97">
        <f t="shared" si="0"/>
        <v>12300000</v>
      </c>
      <c r="I14" s="97">
        <v>600000</v>
      </c>
      <c r="J14" s="97">
        <v>4000000</v>
      </c>
      <c r="K14" s="97">
        <v>4500000</v>
      </c>
      <c r="L14" s="98">
        <f t="shared" si="1"/>
        <v>35029000</v>
      </c>
      <c r="M14" s="98"/>
      <c r="N14" s="99"/>
      <c r="O14" s="100">
        <f>H14*10%</f>
        <v>1230000</v>
      </c>
      <c r="P14" s="100">
        <v>0</v>
      </c>
      <c r="Q14" s="100">
        <v>0</v>
      </c>
      <c r="R14" s="100">
        <f t="shared" si="2"/>
        <v>897900</v>
      </c>
      <c r="S14" s="101">
        <f t="shared" si="3"/>
        <v>1230000</v>
      </c>
      <c r="T14" s="101">
        <v>0</v>
      </c>
      <c r="U14" s="103">
        <v>0</v>
      </c>
      <c r="V14" s="100">
        <f>SUM(O14:U14)</f>
        <v>3357900</v>
      </c>
      <c r="W14" s="102">
        <f t="shared" si="4"/>
        <v>31671100</v>
      </c>
      <c r="Y14" s="8"/>
    </row>
    <row r="15" spans="1:26" ht="18.75" customHeight="1" x14ac:dyDescent="0.25">
      <c r="B15" s="92">
        <f t="shared" si="5"/>
        <v>6</v>
      </c>
      <c r="C15" s="93" t="s">
        <v>20</v>
      </c>
      <c r="D15" s="94">
        <v>4.8611111111111112E-3</v>
      </c>
      <c r="E15" s="95">
        <f t="shared" ref="E15:E23" si="6">D15*24</f>
        <v>0.11666666666666667</v>
      </c>
      <c r="F15" s="96">
        <v>7823000</v>
      </c>
      <c r="G15" s="97">
        <v>4114000</v>
      </c>
      <c r="H15" s="97">
        <f t="shared" si="0"/>
        <v>12300000</v>
      </c>
      <c r="I15" s="97">
        <v>600000</v>
      </c>
      <c r="J15" s="97">
        <v>4000000</v>
      </c>
      <c r="K15" s="97">
        <v>4500000</v>
      </c>
      <c r="L15" s="98">
        <f t="shared" si="1"/>
        <v>33337000</v>
      </c>
      <c r="M15" s="98">
        <v>136</v>
      </c>
      <c r="N15" s="99">
        <f t="shared" ref="N15:N23" si="7">(M15-E15)/M15</f>
        <v>0.99914215686274499</v>
      </c>
      <c r="O15" s="100">
        <v>0</v>
      </c>
      <c r="P15" s="100">
        <v>0</v>
      </c>
      <c r="Q15" s="100">
        <v>0</v>
      </c>
      <c r="R15" s="100">
        <f t="shared" si="2"/>
        <v>897900</v>
      </c>
      <c r="S15" s="101">
        <f t="shared" si="3"/>
        <v>1230000</v>
      </c>
      <c r="T15" s="101"/>
      <c r="U15" s="103"/>
      <c r="V15" s="100">
        <f t="shared" ref="V15:V23" si="8">SUM(O15:U15)</f>
        <v>2127900</v>
      </c>
      <c r="W15" s="102">
        <f t="shared" si="4"/>
        <v>31209100</v>
      </c>
      <c r="Y15" s="8"/>
      <c r="Z15" s="8" t="e">
        <f>#REF!-#REF!</f>
        <v>#REF!</v>
      </c>
    </row>
    <row r="16" spans="1:26" ht="19.5" customHeight="1" x14ac:dyDescent="0.25">
      <c r="B16" s="92">
        <f t="shared" si="5"/>
        <v>7</v>
      </c>
      <c r="C16" s="104" t="s">
        <v>12</v>
      </c>
      <c r="D16" s="94">
        <v>1.6666666666666666E-2</v>
      </c>
      <c r="E16" s="95">
        <f t="shared" si="6"/>
        <v>0.4</v>
      </c>
      <c r="F16" s="105">
        <v>6918000</v>
      </c>
      <c r="G16" s="106">
        <v>4114000</v>
      </c>
      <c r="H16" s="106">
        <f>7800000</f>
        <v>7800000</v>
      </c>
      <c r="I16" s="106">
        <v>350000</v>
      </c>
      <c r="J16" s="106">
        <v>2800000</v>
      </c>
      <c r="K16" s="106">
        <v>2000000</v>
      </c>
      <c r="L16" s="107">
        <f t="shared" si="1"/>
        <v>23982000</v>
      </c>
      <c r="M16" s="107">
        <v>136</v>
      </c>
      <c r="N16" s="108">
        <f t="shared" si="7"/>
        <v>0.99705882352941178</v>
      </c>
      <c r="O16" s="100">
        <v>0</v>
      </c>
      <c r="P16" s="100">
        <v>0</v>
      </c>
      <c r="Q16" s="100">
        <v>0</v>
      </c>
      <c r="R16" s="100">
        <f t="shared" si="2"/>
        <v>569400</v>
      </c>
      <c r="S16" s="101">
        <f t="shared" si="3"/>
        <v>780000</v>
      </c>
      <c r="T16" s="101"/>
      <c r="U16" s="103"/>
      <c r="V16" s="100">
        <f t="shared" si="8"/>
        <v>1349400</v>
      </c>
      <c r="W16" s="102">
        <f t="shared" si="4"/>
        <v>22632600</v>
      </c>
      <c r="Y16" s="8"/>
    </row>
    <row r="17" spans="2:26" ht="18.75" customHeight="1" x14ac:dyDescent="0.25">
      <c r="B17" s="92">
        <f t="shared" si="5"/>
        <v>8</v>
      </c>
      <c r="C17" s="93" t="s">
        <v>15</v>
      </c>
      <c r="D17" s="94">
        <v>1.3888888888888889E-3</v>
      </c>
      <c r="E17" s="95">
        <f t="shared" si="6"/>
        <v>3.3333333333333333E-2</v>
      </c>
      <c r="F17" s="96">
        <v>5867000</v>
      </c>
      <c r="G17" s="97">
        <v>3919000</v>
      </c>
      <c r="H17" s="97">
        <f>7800000</f>
        <v>7800000</v>
      </c>
      <c r="I17" s="97">
        <v>350000</v>
      </c>
      <c r="J17" s="97">
        <v>2800000</v>
      </c>
      <c r="K17" s="97">
        <v>2000000</v>
      </c>
      <c r="L17" s="98">
        <f t="shared" si="1"/>
        <v>22736000</v>
      </c>
      <c r="M17" s="98">
        <v>136</v>
      </c>
      <c r="N17" s="99">
        <f t="shared" si="7"/>
        <v>0.99975490196078431</v>
      </c>
      <c r="O17" s="100">
        <v>0</v>
      </c>
      <c r="P17" s="100">
        <v>0</v>
      </c>
      <c r="Q17" s="100">
        <v>0</v>
      </c>
      <c r="R17" s="100">
        <f t="shared" si="2"/>
        <v>569400</v>
      </c>
      <c r="S17" s="101">
        <f t="shared" si="3"/>
        <v>780000</v>
      </c>
      <c r="T17" s="101">
        <v>0</v>
      </c>
      <c r="U17" s="103">
        <v>0</v>
      </c>
      <c r="V17" s="100">
        <f t="shared" si="8"/>
        <v>1349400</v>
      </c>
      <c r="W17" s="102">
        <f t="shared" si="4"/>
        <v>21386600</v>
      </c>
      <c r="Y17" s="8"/>
      <c r="Z17" s="41">
        <f>'[1]THR PEG PELINDO'!$G$10</f>
        <v>4342000</v>
      </c>
    </row>
    <row r="18" spans="2:26" ht="18.75" customHeight="1" x14ac:dyDescent="0.25">
      <c r="B18" s="92">
        <f t="shared" si="5"/>
        <v>9</v>
      </c>
      <c r="C18" s="104" t="s">
        <v>50</v>
      </c>
      <c r="D18" s="94">
        <v>0</v>
      </c>
      <c r="E18" s="95">
        <f t="shared" si="6"/>
        <v>0</v>
      </c>
      <c r="F18" s="105">
        <v>6918000</v>
      </c>
      <c r="G18" s="106">
        <v>3919000</v>
      </c>
      <c r="H18" s="106">
        <f>7800000</f>
        <v>7800000</v>
      </c>
      <c r="I18" s="106">
        <v>350000</v>
      </c>
      <c r="J18" s="106">
        <v>2800000</v>
      </c>
      <c r="K18" s="106">
        <v>2000000</v>
      </c>
      <c r="L18" s="107">
        <f t="shared" si="1"/>
        <v>23787000</v>
      </c>
      <c r="M18" s="107">
        <v>136</v>
      </c>
      <c r="N18" s="108">
        <f t="shared" si="7"/>
        <v>1</v>
      </c>
      <c r="O18" s="100">
        <v>0</v>
      </c>
      <c r="P18" s="100">
        <v>0</v>
      </c>
      <c r="Q18" s="100">
        <v>0</v>
      </c>
      <c r="R18" s="100">
        <f t="shared" si="2"/>
        <v>569400</v>
      </c>
      <c r="S18" s="101">
        <f t="shared" si="3"/>
        <v>780000</v>
      </c>
      <c r="T18" s="101"/>
      <c r="U18" s="103"/>
      <c r="V18" s="100">
        <f t="shared" si="8"/>
        <v>1349400</v>
      </c>
      <c r="W18" s="102">
        <f t="shared" si="4"/>
        <v>22437600</v>
      </c>
      <c r="Y18" s="8"/>
      <c r="Z18" s="8" t="e">
        <f>Z17-Z15</f>
        <v>#REF!</v>
      </c>
    </row>
    <row r="19" spans="2:26" ht="18.75" customHeight="1" x14ac:dyDescent="0.25">
      <c r="B19" s="92">
        <f t="shared" si="5"/>
        <v>10</v>
      </c>
      <c r="C19" s="111" t="s">
        <v>47</v>
      </c>
      <c r="D19" s="94">
        <v>2.1527777777777781E-2</v>
      </c>
      <c r="E19" s="95">
        <f>D19*24</f>
        <v>0.51666666666666672</v>
      </c>
      <c r="F19" s="105">
        <v>7230000</v>
      </c>
      <c r="G19" s="106">
        <v>4114000</v>
      </c>
      <c r="H19" s="106">
        <f>7800000</f>
        <v>7800000</v>
      </c>
      <c r="I19" s="106">
        <v>350000</v>
      </c>
      <c r="J19" s="106">
        <v>2800000</v>
      </c>
      <c r="K19" s="106">
        <v>2000000</v>
      </c>
      <c r="L19" s="107">
        <f t="shared" si="1"/>
        <v>24294000</v>
      </c>
      <c r="M19" s="107"/>
      <c r="N19" s="108"/>
      <c r="O19" s="100">
        <f>H19*10%</f>
        <v>780000</v>
      </c>
      <c r="P19" s="100"/>
      <c r="Q19" s="100">
        <v>0</v>
      </c>
      <c r="R19" s="100">
        <f t="shared" si="2"/>
        <v>569400</v>
      </c>
      <c r="S19" s="101">
        <f t="shared" si="3"/>
        <v>780000</v>
      </c>
      <c r="T19" s="101"/>
      <c r="U19" s="103"/>
      <c r="V19" s="100">
        <f>SUM(O19:U19)</f>
        <v>2129400</v>
      </c>
      <c r="W19" s="102">
        <f t="shared" si="4"/>
        <v>22164600</v>
      </c>
      <c r="Y19" s="8"/>
      <c r="Z19" s="8"/>
    </row>
    <row r="20" spans="2:26" ht="18.75" customHeight="1" x14ac:dyDescent="0.25">
      <c r="B20" s="130">
        <f t="shared" si="5"/>
        <v>11</v>
      </c>
      <c r="C20" s="129" t="s">
        <v>51</v>
      </c>
      <c r="D20" s="109">
        <v>9.0277777777777787E-3</v>
      </c>
      <c r="E20" s="95">
        <f t="shared" si="6"/>
        <v>0.21666666666666667</v>
      </c>
      <c r="F20" s="105">
        <v>5400000</v>
      </c>
      <c r="G20" s="106">
        <v>3435000</v>
      </c>
      <c r="H20" s="106">
        <f>7800000</f>
        <v>7800000</v>
      </c>
      <c r="I20" s="106">
        <v>350000</v>
      </c>
      <c r="J20" s="106">
        <v>2800000</v>
      </c>
      <c r="K20" s="106">
        <v>2000000</v>
      </c>
      <c r="L20" s="107">
        <f t="shared" si="1"/>
        <v>21785000</v>
      </c>
      <c r="M20" s="107">
        <v>136</v>
      </c>
      <c r="N20" s="108">
        <f t="shared" si="7"/>
        <v>0.99840686274509804</v>
      </c>
      <c r="O20" s="100">
        <v>0</v>
      </c>
      <c r="P20" s="100">
        <v>0</v>
      </c>
      <c r="Q20" s="100">
        <v>0</v>
      </c>
      <c r="R20" s="100">
        <f t="shared" si="2"/>
        <v>569400</v>
      </c>
      <c r="S20" s="101">
        <f t="shared" si="3"/>
        <v>780000</v>
      </c>
      <c r="T20" s="101">
        <v>0</v>
      </c>
      <c r="U20" s="103">
        <v>0</v>
      </c>
      <c r="V20" s="100">
        <f>SUM(O20:U20)</f>
        <v>1349400</v>
      </c>
      <c r="W20" s="102">
        <f t="shared" si="4"/>
        <v>20435600</v>
      </c>
      <c r="Y20" s="8"/>
    </row>
    <row r="21" spans="2:26" ht="18.75" hidden="1" customHeight="1" x14ac:dyDescent="0.25">
      <c r="B21" s="92">
        <f t="shared" si="5"/>
        <v>12</v>
      </c>
      <c r="C21" s="93" t="s">
        <v>16</v>
      </c>
      <c r="D21" s="94">
        <v>0</v>
      </c>
      <c r="E21" s="95">
        <f t="shared" si="6"/>
        <v>0</v>
      </c>
      <c r="F21" s="115" t="s">
        <v>48</v>
      </c>
      <c r="G21" s="97">
        <v>0</v>
      </c>
      <c r="H21" s="97">
        <v>6000000</v>
      </c>
      <c r="I21" s="97">
        <v>0</v>
      </c>
      <c r="J21" s="97">
        <v>0</v>
      </c>
      <c r="K21" s="97">
        <v>0</v>
      </c>
      <c r="L21" s="98">
        <f t="shared" ref="L21:L23" si="9">SUM(F21:H21)</f>
        <v>6000000</v>
      </c>
      <c r="M21" s="98">
        <v>136</v>
      </c>
      <c r="N21" s="99">
        <f t="shared" si="7"/>
        <v>1</v>
      </c>
      <c r="O21" s="100">
        <v>0</v>
      </c>
      <c r="P21" s="100">
        <v>0</v>
      </c>
      <c r="Q21" s="100">
        <f t="shared" ref="Q21" si="10">H21*15%</f>
        <v>900000</v>
      </c>
      <c r="R21" s="100">
        <f t="shared" si="2"/>
        <v>438000</v>
      </c>
      <c r="S21" s="101">
        <f t="shared" si="3"/>
        <v>600000</v>
      </c>
      <c r="T21" s="101"/>
      <c r="U21" s="103"/>
      <c r="V21" s="100">
        <f t="shared" si="8"/>
        <v>1938000</v>
      </c>
      <c r="W21" s="102">
        <f t="shared" si="4"/>
        <v>4062000</v>
      </c>
      <c r="Y21" s="8"/>
    </row>
    <row r="22" spans="2:26" ht="18.75" customHeight="1" x14ac:dyDescent="0.25">
      <c r="B22" s="92">
        <f t="shared" si="5"/>
        <v>13</v>
      </c>
      <c r="C22" s="104" t="s">
        <v>17</v>
      </c>
      <c r="D22" s="109">
        <v>4.1666666666666666E-3</v>
      </c>
      <c r="E22" s="95">
        <f t="shared" si="6"/>
        <v>0.1</v>
      </c>
      <c r="F22" s="96">
        <v>4543000</v>
      </c>
      <c r="G22" s="97">
        <v>3435000</v>
      </c>
      <c r="H22" s="97">
        <v>6000000</v>
      </c>
      <c r="I22" s="97">
        <v>0</v>
      </c>
      <c r="J22" s="97">
        <v>0</v>
      </c>
      <c r="K22" s="97">
        <v>0</v>
      </c>
      <c r="L22" s="107">
        <f t="shared" si="9"/>
        <v>13978000</v>
      </c>
      <c r="M22" s="107">
        <v>136</v>
      </c>
      <c r="N22" s="108">
        <f t="shared" si="7"/>
        <v>0.99926470588235294</v>
      </c>
      <c r="O22" s="100">
        <v>0</v>
      </c>
      <c r="P22" s="100">
        <v>0</v>
      </c>
      <c r="Q22" s="100">
        <v>0</v>
      </c>
      <c r="R22" s="100">
        <f t="shared" si="2"/>
        <v>438000</v>
      </c>
      <c r="S22" s="101">
        <f t="shared" si="3"/>
        <v>600000</v>
      </c>
      <c r="T22" s="101"/>
      <c r="U22" s="103">
        <v>0</v>
      </c>
      <c r="V22" s="100">
        <f t="shared" si="8"/>
        <v>1038000</v>
      </c>
      <c r="W22" s="102">
        <f t="shared" si="4"/>
        <v>12940000</v>
      </c>
      <c r="Y22" s="8"/>
    </row>
    <row r="23" spans="2:26" ht="18.75" customHeight="1" x14ac:dyDescent="0.25">
      <c r="B23" s="92">
        <f t="shared" si="5"/>
        <v>14</v>
      </c>
      <c r="C23" s="104" t="s">
        <v>13</v>
      </c>
      <c r="D23" s="109">
        <v>3.472222222222222E-3</v>
      </c>
      <c r="E23" s="95">
        <f t="shared" si="6"/>
        <v>8.3333333333333329E-2</v>
      </c>
      <c r="F23" s="96">
        <v>4543000</v>
      </c>
      <c r="G23" s="97">
        <v>3435000</v>
      </c>
      <c r="H23" s="97">
        <v>6000000</v>
      </c>
      <c r="I23" s="97">
        <v>0</v>
      </c>
      <c r="J23" s="97">
        <v>0</v>
      </c>
      <c r="K23" s="97">
        <v>0</v>
      </c>
      <c r="L23" s="107">
        <f t="shared" si="9"/>
        <v>13978000</v>
      </c>
      <c r="M23" s="107">
        <v>136</v>
      </c>
      <c r="N23" s="108">
        <f t="shared" si="7"/>
        <v>0.99938725490196068</v>
      </c>
      <c r="O23" s="100">
        <v>0</v>
      </c>
      <c r="P23" s="100">
        <v>0</v>
      </c>
      <c r="Q23" s="100">
        <v>0</v>
      </c>
      <c r="R23" s="100">
        <f t="shared" si="2"/>
        <v>438000</v>
      </c>
      <c r="S23" s="101">
        <f t="shared" si="3"/>
        <v>600000</v>
      </c>
      <c r="T23" s="101"/>
      <c r="U23" s="103"/>
      <c r="V23" s="100">
        <f t="shared" si="8"/>
        <v>1038000</v>
      </c>
      <c r="W23" s="102">
        <f t="shared" si="4"/>
        <v>12940000</v>
      </c>
      <c r="Y23" s="8"/>
    </row>
    <row r="24" spans="2:26" ht="14.5" x14ac:dyDescent="0.35">
      <c r="B24" s="159"/>
      <c r="C24" s="159"/>
      <c r="D24" s="159"/>
      <c r="E24" s="81"/>
      <c r="F24" s="157">
        <f>SUM(F10:F23)</f>
        <v>95672000</v>
      </c>
      <c r="G24" s="157">
        <f t="shared" ref="G24:L24" si="11">SUM(G10:G23)</f>
        <v>53275000</v>
      </c>
      <c r="H24" s="157">
        <f t="shared" si="11"/>
        <v>130800000</v>
      </c>
      <c r="I24" s="157">
        <f t="shared" si="11"/>
        <v>5350000</v>
      </c>
      <c r="J24" s="157">
        <f t="shared" si="11"/>
        <v>38000000</v>
      </c>
      <c r="K24" s="157">
        <f t="shared" si="11"/>
        <v>37000000</v>
      </c>
      <c r="L24" s="157">
        <f t="shared" si="11"/>
        <v>360097000</v>
      </c>
      <c r="M24" s="82"/>
      <c r="N24" s="82"/>
      <c r="O24" s="149">
        <f>SUM(O11:O23)</f>
        <v>3240000</v>
      </c>
      <c r="P24" s="149">
        <f t="shared" ref="P24:S24" si="12">SUM(P11:P23)</f>
        <v>0</v>
      </c>
      <c r="Q24" s="150"/>
      <c r="R24" s="149">
        <f t="shared" ref="R24" si="13">SUM(R11:R23)</f>
        <v>8650500</v>
      </c>
      <c r="S24" s="149">
        <f t="shared" si="12"/>
        <v>11850000</v>
      </c>
      <c r="T24" s="149">
        <f t="shared" ref="T24" si="14">SUM(T11:T23)</f>
        <v>0</v>
      </c>
      <c r="U24" s="149">
        <f>SUM(U11:U23)</f>
        <v>45869</v>
      </c>
      <c r="V24" s="149">
        <f>SUM(V10:V23)</f>
        <v>26814269</v>
      </c>
      <c r="W24" s="155">
        <f>SUM(W11:W23)</f>
        <v>299659631</v>
      </c>
      <c r="Y24" s="8"/>
    </row>
    <row r="25" spans="2:26" ht="14.5" x14ac:dyDescent="0.35">
      <c r="B25" s="159"/>
      <c r="C25" s="159"/>
      <c r="D25" s="159"/>
      <c r="E25" s="81"/>
      <c r="F25" s="157"/>
      <c r="G25" s="157"/>
      <c r="H25" s="157"/>
      <c r="I25" s="157"/>
      <c r="J25" s="157"/>
      <c r="K25" s="157"/>
      <c r="L25" s="157"/>
      <c r="M25" s="82"/>
      <c r="N25" s="82"/>
      <c r="O25" s="149"/>
      <c r="P25" s="149"/>
      <c r="Q25" s="151"/>
      <c r="R25" s="149"/>
      <c r="S25" s="149"/>
      <c r="T25" s="149"/>
      <c r="U25" s="149"/>
      <c r="V25" s="149"/>
      <c r="W25" s="156"/>
      <c r="Y25" s="24" t="e">
        <f>L24-(#REF!+#REF!)</f>
        <v>#REF!</v>
      </c>
    </row>
    <row r="27" spans="2:26" ht="13" x14ac:dyDescent="0.3">
      <c r="B27" s="13"/>
      <c r="C27" s="9"/>
      <c r="D27" s="9"/>
      <c r="E27" s="9"/>
      <c r="F27" s="9"/>
      <c r="G27" s="9"/>
    </row>
    <row r="28" spans="2:26" ht="13" x14ac:dyDescent="0.3">
      <c r="B28" s="10"/>
      <c r="C28" s="9"/>
      <c r="D28" s="9"/>
      <c r="E28" s="9"/>
      <c r="F28" s="9"/>
      <c r="G28" s="111"/>
      <c r="H28" s="44"/>
      <c r="W28" s="9"/>
    </row>
    <row r="29" spans="2:26" ht="13" x14ac:dyDescent="0.3">
      <c r="B29" s="9"/>
      <c r="C29" s="9"/>
      <c r="D29" s="9"/>
      <c r="E29" s="9"/>
      <c r="F29" s="9"/>
      <c r="G29" s="11"/>
      <c r="H29" s="45"/>
      <c r="W29" s="43"/>
    </row>
    <row r="30" spans="2:26" ht="13" x14ac:dyDescent="0.3">
      <c r="B30" s="9"/>
      <c r="C30" s="9"/>
      <c r="D30" s="9"/>
      <c r="E30" s="9"/>
      <c r="F30" s="9"/>
      <c r="G30" s="11"/>
      <c r="H30" s="42"/>
      <c r="Q30" s="8">
        <f>SUM(Q10:S10)</f>
        <v>2127900</v>
      </c>
      <c r="W30" s="43"/>
    </row>
    <row r="31" spans="2:26" ht="13" x14ac:dyDescent="0.3">
      <c r="B31" s="9"/>
      <c r="C31" s="9"/>
      <c r="D31" s="21"/>
      <c r="E31" s="21"/>
      <c r="F31" s="9"/>
      <c r="G31" s="11"/>
      <c r="H31" s="42"/>
      <c r="Q31" s="8">
        <f>SUM(Q16:S16)</f>
        <v>1349400</v>
      </c>
      <c r="S31" t="s">
        <v>37</v>
      </c>
      <c r="U31">
        <f>23*8</f>
        <v>184</v>
      </c>
      <c r="W31">
        <v>3.05</v>
      </c>
    </row>
    <row r="32" spans="2:26" ht="13" x14ac:dyDescent="0.3">
      <c r="B32" s="9"/>
      <c r="C32" s="9"/>
      <c r="D32" s="9"/>
      <c r="E32" s="9"/>
      <c r="F32" s="9"/>
      <c r="G32" s="9"/>
      <c r="H32" s="42"/>
      <c r="Q32" s="8">
        <f>SUM(Q22:S22)</f>
        <v>1038000</v>
      </c>
      <c r="U32" s="42">
        <f>U31-W31</f>
        <v>180.95</v>
      </c>
      <c r="W32">
        <f>U32/U31</f>
        <v>0.9834239130434782</v>
      </c>
    </row>
    <row r="33" spans="2:23" ht="13" x14ac:dyDescent="0.3">
      <c r="B33" s="9"/>
      <c r="C33" s="9"/>
      <c r="D33" s="9"/>
      <c r="E33" s="9"/>
      <c r="F33" s="9"/>
      <c r="G33" s="9"/>
    </row>
    <row r="34" spans="2:23" ht="13" x14ac:dyDescent="0.3">
      <c r="B34" s="9"/>
      <c r="C34" s="9"/>
      <c r="D34" s="9"/>
      <c r="E34" s="9"/>
      <c r="F34" s="9"/>
      <c r="G34" s="9"/>
      <c r="U34" s="8">
        <f>G13*60%</f>
        <v>2767200</v>
      </c>
      <c r="W34" s="127">
        <f>W32*U34</f>
        <v>2721330.6521739131</v>
      </c>
    </row>
    <row r="35" spans="2:23" x14ac:dyDescent="0.25">
      <c r="W35" s="127">
        <f>U34-W34</f>
        <v>45869.347826086916</v>
      </c>
    </row>
    <row r="36" spans="2:23" ht="13" x14ac:dyDescent="0.3">
      <c r="B36" s="10"/>
      <c r="C36" s="9"/>
      <c r="D36" s="9"/>
      <c r="E36" s="9"/>
      <c r="F36" s="9"/>
      <c r="G36" s="9"/>
    </row>
    <row r="37" spans="2:23" ht="13" x14ac:dyDescent="0.3">
      <c r="B37" s="10"/>
      <c r="C37" s="9"/>
      <c r="D37" s="9"/>
      <c r="E37" s="9"/>
      <c r="F37" s="9"/>
      <c r="G37" s="9"/>
    </row>
    <row r="38" spans="2:23" ht="13" x14ac:dyDescent="0.3">
      <c r="B38" s="10"/>
      <c r="C38" s="9"/>
      <c r="D38" s="40"/>
      <c r="E38" s="40"/>
      <c r="F38" s="9"/>
      <c r="G38" s="9"/>
      <c r="H38" s="42"/>
    </row>
    <row r="39" spans="2:23" ht="13" x14ac:dyDescent="0.3">
      <c r="B39" s="10"/>
      <c r="C39" s="9"/>
      <c r="D39" s="9"/>
      <c r="E39" s="9"/>
      <c r="F39" s="9"/>
      <c r="G39" s="9"/>
    </row>
    <row r="40" spans="2:23" ht="13" x14ac:dyDescent="0.3">
      <c r="B40" s="10"/>
      <c r="C40" s="9"/>
      <c r="D40" s="9"/>
      <c r="E40" s="9"/>
      <c r="F40" s="9"/>
      <c r="G40" s="9"/>
    </row>
    <row r="41" spans="2:23" ht="13" x14ac:dyDescent="0.3">
      <c r="B41" s="10"/>
      <c r="C41" s="9"/>
      <c r="D41" s="9"/>
      <c r="E41" s="9"/>
      <c r="F41" s="9"/>
      <c r="G41" s="9"/>
    </row>
    <row r="42" spans="2:23" ht="13" x14ac:dyDescent="0.3">
      <c r="B42" s="9"/>
      <c r="C42" s="9"/>
      <c r="D42" s="9"/>
      <c r="E42" s="9"/>
      <c r="F42" s="9"/>
      <c r="G42" s="9"/>
    </row>
    <row r="43" spans="2:23" ht="13" x14ac:dyDescent="0.3">
      <c r="B43" s="9"/>
      <c r="C43" s="9"/>
      <c r="D43" s="9"/>
      <c r="E43" s="9"/>
      <c r="F43" s="9"/>
      <c r="G43" s="9"/>
    </row>
    <row r="44" spans="2:23" ht="13" x14ac:dyDescent="0.3">
      <c r="B44" s="9"/>
      <c r="C44" s="9"/>
      <c r="D44" s="9"/>
      <c r="E44" s="9"/>
      <c r="F44" s="9"/>
      <c r="G44" s="9"/>
    </row>
  </sheetData>
  <mergeCells count="35">
    <mergeCell ref="B24:D25"/>
    <mergeCell ref="K24:K25"/>
    <mergeCell ref="J6:J7"/>
    <mergeCell ref="I6:I7"/>
    <mergeCell ref="I24:I25"/>
    <mergeCell ref="J24:J25"/>
    <mergeCell ref="A3:W3"/>
    <mergeCell ref="A4:W4"/>
    <mergeCell ref="W6:W7"/>
    <mergeCell ref="W24:W25"/>
    <mergeCell ref="L24:L25"/>
    <mergeCell ref="B6:B7"/>
    <mergeCell ref="C6:C7"/>
    <mergeCell ref="D6:D7"/>
    <mergeCell ref="K6:K7"/>
    <mergeCell ref="F24:F25"/>
    <mergeCell ref="G24:G25"/>
    <mergeCell ref="H24:H25"/>
    <mergeCell ref="L6:L7"/>
    <mergeCell ref="F6:F7"/>
    <mergeCell ref="G6:G7"/>
    <mergeCell ref="H6:H7"/>
    <mergeCell ref="U6:U7"/>
    <mergeCell ref="U24:U25"/>
    <mergeCell ref="M6:M7"/>
    <mergeCell ref="N6:N7"/>
    <mergeCell ref="V6:V7"/>
    <mergeCell ref="O24:O25"/>
    <mergeCell ref="V24:V25"/>
    <mergeCell ref="O6:S6"/>
    <mergeCell ref="P24:P25"/>
    <mergeCell ref="R24:R25"/>
    <mergeCell ref="S24:S25"/>
    <mergeCell ref="T24:T25"/>
    <mergeCell ref="Q24:Q25"/>
  </mergeCells>
  <printOptions horizontalCentered="1"/>
  <pageMargins left="0" right="0" top="0" bottom="0.74803149606299213" header="0.31496062992125984" footer="0.31496062992125984"/>
  <pageSetup paperSize="9" scale="54" orientation="landscape" r:id="rId1"/>
  <colBreaks count="1" manualBreakCount="1">
    <brk id="23" max="1048575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B1:AC42"/>
  <sheetViews>
    <sheetView view="pageBreakPreview" topLeftCell="A4" zoomScale="85" zoomScaleNormal="90" zoomScaleSheetLayoutView="85" workbookViewId="0">
      <pane xSplit="4" topLeftCell="G1" activePane="topRight" state="frozen"/>
      <selection pane="topRight" activeCell="A16" sqref="A16:XFD16"/>
    </sheetView>
  </sheetViews>
  <sheetFormatPr defaultRowHeight="12.5" x14ac:dyDescent="0.25"/>
  <cols>
    <col min="1" max="1" width="2.7265625" customWidth="1"/>
    <col min="2" max="2" width="3.81640625" customWidth="1"/>
    <col min="3" max="3" width="30.1796875" customWidth="1"/>
    <col min="4" max="4" width="16.26953125" customWidth="1"/>
    <col min="5" max="5" width="16.26953125" hidden="1" customWidth="1"/>
    <col min="6" max="6" width="15.453125" customWidth="1"/>
    <col min="7" max="7" width="12.81640625" customWidth="1"/>
    <col min="8" max="8" width="12.1796875" customWidth="1"/>
    <col min="9" max="9" width="12.81640625" customWidth="1"/>
    <col min="10" max="12" width="14.81640625" hidden="1" customWidth="1"/>
    <col min="13" max="13" width="14.81640625" customWidth="1"/>
    <col min="14" max="14" width="21.26953125" customWidth="1"/>
    <col min="15" max="18" width="14.81640625" customWidth="1"/>
    <col min="19" max="19" width="12.81640625" hidden="1" customWidth="1"/>
    <col min="20" max="21" width="12.81640625" customWidth="1"/>
    <col min="22" max="22" width="2.7265625" customWidth="1"/>
    <col min="23" max="26" width="13.26953125" bestFit="1" customWidth="1"/>
    <col min="27" max="27" width="11.1796875" bestFit="1" customWidth="1"/>
    <col min="28" max="29" width="10.54296875" bestFit="1" customWidth="1"/>
  </cols>
  <sheetData>
    <row r="1" spans="2:28" ht="45.75" customHeight="1" x14ac:dyDescent="0.35"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</row>
    <row r="2" spans="2:28" ht="12.75" customHeight="1" x14ac:dyDescent="0.25">
      <c r="B2" s="152" t="s">
        <v>29</v>
      </c>
      <c r="C2" s="152"/>
      <c r="D2" s="152"/>
      <c r="E2" s="152"/>
      <c r="F2" s="152"/>
      <c r="G2" s="152"/>
      <c r="H2" s="152"/>
      <c r="I2" s="152"/>
      <c r="J2" s="152"/>
      <c r="K2" s="152"/>
      <c r="L2" s="152"/>
      <c r="M2" s="152"/>
      <c r="N2" s="152"/>
      <c r="O2" s="152"/>
      <c r="P2" s="152"/>
      <c r="Q2" s="152"/>
      <c r="R2" s="152"/>
      <c r="S2" s="152"/>
      <c r="T2" s="152"/>
      <c r="U2" s="152"/>
      <c r="V2" s="25"/>
    </row>
    <row r="3" spans="2:28" ht="12.75" customHeight="1" x14ac:dyDescent="0.25">
      <c r="B3" s="153" t="s">
        <v>58</v>
      </c>
      <c r="C3" s="153"/>
      <c r="D3" s="153"/>
      <c r="E3" s="153"/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3"/>
      <c r="Q3" s="153"/>
      <c r="R3" s="153"/>
      <c r="S3" s="153"/>
      <c r="T3" s="153"/>
      <c r="U3" s="153"/>
      <c r="V3" s="147"/>
    </row>
    <row r="4" spans="2:28" ht="6" customHeight="1" x14ac:dyDescent="0.35">
      <c r="B4" s="1"/>
      <c r="C4" s="2"/>
      <c r="D4" s="2"/>
      <c r="E4" s="2"/>
      <c r="F4" s="3"/>
      <c r="G4" s="2"/>
      <c r="H4" s="2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2"/>
      <c r="V4" s="2"/>
    </row>
    <row r="5" spans="2:28" ht="36" customHeight="1" x14ac:dyDescent="0.25">
      <c r="B5" s="169" t="s">
        <v>0</v>
      </c>
      <c r="C5" s="169" t="s">
        <v>9</v>
      </c>
      <c r="D5" s="169" t="s">
        <v>54</v>
      </c>
      <c r="E5" s="169"/>
      <c r="F5" s="169" t="s">
        <v>10</v>
      </c>
      <c r="G5" s="169" t="s">
        <v>27</v>
      </c>
      <c r="H5" s="169" t="s">
        <v>28</v>
      </c>
      <c r="I5" s="172" t="s">
        <v>11</v>
      </c>
      <c r="J5" s="75"/>
      <c r="K5" s="169" t="s">
        <v>38</v>
      </c>
      <c r="L5" s="169" t="s">
        <v>37</v>
      </c>
      <c r="M5" s="148" t="s">
        <v>40</v>
      </c>
      <c r="N5" s="148"/>
      <c r="O5" s="148"/>
      <c r="P5" s="148"/>
      <c r="Q5" s="148"/>
      <c r="R5" s="148" t="s">
        <v>33</v>
      </c>
      <c r="S5" s="148" t="s">
        <v>33</v>
      </c>
      <c r="T5" s="148" t="s">
        <v>42</v>
      </c>
      <c r="U5" s="148" t="s">
        <v>39</v>
      </c>
      <c r="V5" s="33"/>
    </row>
    <row r="6" spans="2:28" ht="78.75" customHeight="1" thickBot="1" x14ac:dyDescent="0.3">
      <c r="B6" s="170"/>
      <c r="C6" s="171"/>
      <c r="D6" s="170"/>
      <c r="E6" s="170"/>
      <c r="F6" s="171"/>
      <c r="G6" s="170"/>
      <c r="H6" s="170"/>
      <c r="I6" s="173"/>
      <c r="J6" s="74" t="s">
        <v>41</v>
      </c>
      <c r="K6" s="174"/>
      <c r="L6" s="174"/>
      <c r="M6" s="74" t="s">
        <v>55</v>
      </c>
      <c r="N6" s="72" t="s">
        <v>56</v>
      </c>
      <c r="O6" s="133" t="s">
        <v>57</v>
      </c>
      <c r="P6" s="133" t="s">
        <v>62</v>
      </c>
      <c r="Q6" s="133" t="s">
        <v>63</v>
      </c>
      <c r="R6" s="148"/>
      <c r="S6" s="148"/>
      <c r="T6" s="148"/>
      <c r="U6" s="148"/>
      <c r="V6" s="33"/>
      <c r="W6" s="67">
        <v>4.2361111111111106E-2</v>
      </c>
    </row>
    <row r="7" spans="2:28" ht="20.149999999999999" customHeight="1" x14ac:dyDescent="0.25">
      <c r="B7" s="34">
        <v>1</v>
      </c>
      <c r="C7" s="17" t="s">
        <v>1</v>
      </c>
      <c r="D7" s="67">
        <v>0</v>
      </c>
      <c r="E7" s="69">
        <f>D7*24</f>
        <v>0</v>
      </c>
      <c r="F7" s="27">
        <v>3330000</v>
      </c>
      <c r="G7" s="28">
        <v>4706000</v>
      </c>
      <c r="H7" s="28">
        <v>2755000</v>
      </c>
      <c r="I7" s="29">
        <f t="shared" ref="I7:I17" si="0">SUM(F7:H7)</f>
        <v>10791000</v>
      </c>
      <c r="J7" s="46">
        <v>0</v>
      </c>
      <c r="K7" s="46">
        <v>136</v>
      </c>
      <c r="L7" s="61">
        <f>(K7-E7)/K7</f>
        <v>1</v>
      </c>
      <c r="M7" s="76">
        <f t="shared" ref="M7:M8" si="1">J7</f>
        <v>0</v>
      </c>
      <c r="N7" s="56">
        <v>0</v>
      </c>
      <c r="O7" s="123">
        <v>0</v>
      </c>
      <c r="P7" s="122">
        <f>H7*7.3%</f>
        <v>201115</v>
      </c>
      <c r="Q7" s="56">
        <f>H7*10%</f>
        <v>275500</v>
      </c>
      <c r="R7" s="135">
        <v>0</v>
      </c>
      <c r="S7" s="79">
        <v>0</v>
      </c>
      <c r="T7" s="79">
        <f>SUM(M7:R7)</f>
        <v>476615</v>
      </c>
      <c r="U7" s="80">
        <f>T7-I7</f>
        <v>-10314385</v>
      </c>
      <c r="V7" s="30"/>
      <c r="W7" s="8"/>
      <c r="X7" s="8"/>
      <c r="Y7" s="22"/>
      <c r="Z7" s="22"/>
    </row>
    <row r="8" spans="2:28" ht="20.149999999999999" customHeight="1" x14ac:dyDescent="0.25">
      <c r="B8" s="34">
        <v>2</v>
      </c>
      <c r="C8" s="17" t="s">
        <v>2</v>
      </c>
      <c r="D8" s="67">
        <v>0</v>
      </c>
      <c r="E8" s="69">
        <f t="shared" ref="E8:E17" si="2">D8*24</f>
        <v>0</v>
      </c>
      <c r="F8" s="27">
        <f t="shared" ref="F8" si="3">F7</f>
        <v>3330000</v>
      </c>
      <c r="G8" s="28">
        <v>4706000</v>
      </c>
      <c r="H8" s="28">
        <f t="shared" ref="H8" si="4">H7</f>
        <v>2755000</v>
      </c>
      <c r="I8" s="29">
        <f t="shared" si="0"/>
        <v>10791000</v>
      </c>
      <c r="J8" s="47">
        <v>0</v>
      </c>
      <c r="K8" s="47">
        <v>136</v>
      </c>
      <c r="L8" s="62">
        <f t="shared" ref="L8:L17" si="5">(K8-E8)/K8</f>
        <v>1</v>
      </c>
      <c r="M8" s="136">
        <f t="shared" si="1"/>
        <v>0</v>
      </c>
      <c r="N8" s="56">
        <v>0</v>
      </c>
      <c r="O8" s="56">
        <v>0</v>
      </c>
      <c r="P8" s="122">
        <f t="shared" ref="P8:P17" si="6">H8*7.3%</f>
        <v>201115</v>
      </c>
      <c r="Q8" s="56">
        <f t="shared" ref="Q8:Q17" si="7">H8*10%</f>
        <v>275500</v>
      </c>
      <c r="R8" s="135">
        <v>0</v>
      </c>
      <c r="S8" s="47">
        <v>0</v>
      </c>
      <c r="T8" s="79">
        <f t="shared" ref="T8:T17" si="8">SUM(M8:R8)</f>
        <v>476615</v>
      </c>
      <c r="U8" s="55">
        <f t="shared" ref="U8:U18" si="9">T8-I8</f>
        <v>-10314385</v>
      </c>
      <c r="V8" s="30"/>
      <c r="W8" s="8"/>
      <c r="X8" s="8"/>
      <c r="Y8" s="22"/>
      <c r="Z8" s="22" t="s">
        <v>35</v>
      </c>
      <c r="AA8">
        <f>(132-18.14)/136</f>
        <v>0.83720588235294113</v>
      </c>
      <c r="AB8" s="39"/>
    </row>
    <row r="9" spans="2:28" ht="20.149999999999999" customHeight="1" x14ac:dyDescent="0.25">
      <c r="B9" s="34">
        <v>3</v>
      </c>
      <c r="C9" s="16" t="s">
        <v>8</v>
      </c>
      <c r="D9" s="67">
        <v>0.23750000000000002</v>
      </c>
      <c r="E9" s="69">
        <f t="shared" si="2"/>
        <v>5.7</v>
      </c>
      <c r="F9" s="112">
        <v>3330000</v>
      </c>
      <c r="G9" s="19">
        <f>[2]Sheet1!$O$19</f>
        <v>2533000</v>
      </c>
      <c r="H9" s="19">
        <f>[2]Sheet1!$Q$19</f>
        <v>527000</v>
      </c>
      <c r="I9" s="20">
        <f t="shared" si="0"/>
        <v>6390000</v>
      </c>
      <c r="J9" s="48">
        <f t="shared" ref="J9" si="10">H9*10%</f>
        <v>52700</v>
      </c>
      <c r="K9" s="48">
        <v>136</v>
      </c>
      <c r="L9" s="63">
        <f t="shared" si="5"/>
        <v>0.95808823529411768</v>
      </c>
      <c r="M9" s="78">
        <f>H9*10%</f>
        <v>52700</v>
      </c>
      <c r="N9" s="56">
        <v>0</v>
      </c>
      <c r="O9" s="56">
        <v>0</v>
      </c>
      <c r="P9" s="122">
        <f t="shared" si="6"/>
        <v>38471</v>
      </c>
      <c r="Q9" s="56">
        <f t="shared" si="7"/>
        <v>52700</v>
      </c>
      <c r="R9" s="135">
        <v>38820</v>
      </c>
      <c r="S9" s="48">
        <v>202715</v>
      </c>
      <c r="T9" s="79">
        <f t="shared" si="8"/>
        <v>182691</v>
      </c>
      <c r="U9" s="55">
        <f t="shared" si="9"/>
        <v>-6207309</v>
      </c>
      <c r="V9" s="31"/>
      <c r="W9" s="8"/>
      <c r="X9" s="8"/>
      <c r="Y9" s="22"/>
      <c r="Z9" s="22"/>
      <c r="AA9" s="8" t="e">
        <f>AA8*#REF!</f>
        <v>#REF!</v>
      </c>
      <c r="AB9" s="8"/>
    </row>
    <row r="10" spans="2:28" ht="20.149999999999999" customHeight="1" x14ac:dyDescent="0.25">
      <c r="B10" s="34">
        <v>4</v>
      </c>
      <c r="C10" s="16" t="s">
        <v>14</v>
      </c>
      <c r="D10" s="67">
        <v>1.6666666666666666E-2</v>
      </c>
      <c r="E10" s="69">
        <f t="shared" si="2"/>
        <v>0.4</v>
      </c>
      <c r="F10" s="112">
        <f t="shared" ref="F10:F11" si="11">F9</f>
        <v>3330000</v>
      </c>
      <c r="G10" s="19">
        <v>2815000</v>
      </c>
      <c r="H10" s="19">
        <f>944000</f>
        <v>944000</v>
      </c>
      <c r="I10" s="20">
        <f t="shared" si="0"/>
        <v>7089000</v>
      </c>
      <c r="J10" s="47">
        <v>0</v>
      </c>
      <c r="K10" s="47">
        <v>136</v>
      </c>
      <c r="L10" s="62">
        <f t="shared" si="5"/>
        <v>0.99705882352941178</v>
      </c>
      <c r="M10" s="78">
        <v>0</v>
      </c>
      <c r="N10" s="56">
        <v>0</v>
      </c>
      <c r="O10" s="135">
        <v>0</v>
      </c>
      <c r="P10" s="122">
        <f t="shared" si="6"/>
        <v>68912</v>
      </c>
      <c r="Q10" s="56">
        <f t="shared" si="7"/>
        <v>94400</v>
      </c>
      <c r="R10" s="135">
        <v>0</v>
      </c>
      <c r="S10" s="47">
        <v>0</v>
      </c>
      <c r="T10" s="79">
        <f>SUM(M10:R10)</f>
        <v>163312</v>
      </c>
      <c r="U10" s="55">
        <f t="shared" si="9"/>
        <v>-6925688</v>
      </c>
      <c r="V10" s="31"/>
      <c r="W10" s="8"/>
      <c r="X10" s="8"/>
      <c r="Y10" s="23"/>
      <c r="Z10" s="22" t="s">
        <v>36</v>
      </c>
      <c r="AA10" s="42">
        <v>2533000</v>
      </c>
    </row>
    <row r="11" spans="2:28" ht="20.149999999999999" customHeight="1" x14ac:dyDescent="0.25">
      <c r="B11" s="34">
        <v>5</v>
      </c>
      <c r="C11" s="35" t="s">
        <v>19</v>
      </c>
      <c r="D11" s="68">
        <v>4.7916666666666663E-2</v>
      </c>
      <c r="E11" s="70">
        <f t="shared" si="2"/>
        <v>1.1499999999999999</v>
      </c>
      <c r="F11" s="113">
        <f t="shared" si="11"/>
        <v>3330000</v>
      </c>
      <c r="G11" s="19">
        <f>[2]Sheet1!$O$19</f>
        <v>2533000</v>
      </c>
      <c r="H11" s="19">
        <f>[2]Sheet1!$Q$19</f>
        <v>527000</v>
      </c>
      <c r="I11" s="36">
        <f t="shared" si="0"/>
        <v>6390000</v>
      </c>
      <c r="J11" s="47">
        <v>0</v>
      </c>
      <c r="K11" s="49">
        <v>136</v>
      </c>
      <c r="L11" s="64">
        <f t="shared" si="5"/>
        <v>0.99154411764705874</v>
      </c>
      <c r="M11" s="78">
        <f>H11*10%</f>
        <v>52700</v>
      </c>
      <c r="N11" s="56">
        <v>0</v>
      </c>
      <c r="O11" s="56">
        <v>0</v>
      </c>
      <c r="P11" s="122">
        <f t="shared" si="6"/>
        <v>38471</v>
      </c>
      <c r="Q11" s="56">
        <f t="shared" si="7"/>
        <v>52700</v>
      </c>
      <c r="R11" s="135">
        <v>1238</v>
      </c>
      <c r="S11" s="49">
        <v>15980</v>
      </c>
      <c r="T11" s="79">
        <f t="shared" si="8"/>
        <v>145109</v>
      </c>
      <c r="U11" s="55">
        <f t="shared" si="9"/>
        <v>-6244891</v>
      </c>
      <c r="V11" s="31"/>
      <c r="W11" s="8"/>
      <c r="X11" s="8"/>
      <c r="Y11" s="23"/>
      <c r="AA11" s="8" t="e">
        <f>AA10-#REF!</f>
        <v>#REF!</v>
      </c>
    </row>
    <row r="12" spans="2:28" ht="20.149999999999999" customHeight="1" x14ac:dyDescent="0.25">
      <c r="B12" s="34">
        <v>6</v>
      </c>
      <c r="C12" s="16" t="s">
        <v>21</v>
      </c>
      <c r="D12" s="116" t="s">
        <v>59</v>
      </c>
      <c r="E12" s="70">
        <f t="shared" si="2"/>
        <v>23.166666666666668</v>
      </c>
      <c r="F12" s="112">
        <f>F10</f>
        <v>3330000</v>
      </c>
      <c r="G12" s="19">
        <f>[2]Sheet1!$O$19</f>
        <v>2533000</v>
      </c>
      <c r="H12" s="19">
        <f>[2]Sheet1!$Q$19</f>
        <v>527000</v>
      </c>
      <c r="I12" s="20">
        <f t="shared" si="0"/>
        <v>6390000</v>
      </c>
      <c r="J12" s="48">
        <f t="shared" ref="J12:J13" si="12">H12*10%</f>
        <v>52700</v>
      </c>
      <c r="K12" s="49">
        <v>136</v>
      </c>
      <c r="L12" s="64">
        <f t="shared" si="5"/>
        <v>0.82965686274509798</v>
      </c>
      <c r="M12" s="78">
        <f t="shared" ref="M12:M17" si="13">H12*10%</f>
        <v>52700</v>
      </c>
      <c r="N12" s="56">
        <v>0</v>
      </c>
      <c r="O12" s="122">
        <v>0</v>
      </c>
      <c r="P12" s="122">
        <f t="shared" si="6"/>
        <v>38471</v>
      </c>
      <c r="Q12" s="56">
        <f t="shared" si="7"/>
        <v>52700</v>
      </c>
      <c r="R12" s="48">
        <v>183036</v>
      </c>
      <c r="S12" s="48">
        <v>0</v>
      </c>
      <c r="T12" s="79">
        <f t="shared" si="8"/>
        <v>326907</v>
      </c>
      <c r="U12" s="55">
        <f t="shared" si="9"/>
        <v>-6063093</v>
      </c>
      <c r="V12" s="31"/>
      <c r="W12" s="8"/>
      <c r="X12" s="8"/>
      <c r="Y12" s="23"/>
    </row>
    <row r="13" spans="2:28" ht="20.149999999999999" customHeight="1" x14ac:dyDescent="0.25">
      <c r="B13" s="34">
        <v>7</v>
      </c>
      <c r="C13" s="16" t="s">
        <v>22</v>
      </c>
      <c r="D13" s="116">
        <v>0.27847222222222223</v>
      </c>
      <c r="E13" s="69">
        <f t="shared" si="2"/>
        <v>6.6833333333333336</v>
      </c>
      <c r="F13" s="112">
        <f>F10</f>
        <v>3330000</v>
      </c>
      <c r="G13" s="19">
        <f>[2]Sheet1!$O$19</f>
        <v>2533000</v>
      </c>
      <c r="H13" s="19">
        <f>[2]Sheet1!$Q$19</f>
        <v>527000</v>
      </c>
      <c r="I13" s="20">
        <f t="shared" si="0"/>
        <v>6390000</v>
      </c>
      <c r="J13" s="48">
        <f t="shared" si="12"/>
        <v>52700</v>
      </c>
      <c r="K13" s="49">
        <v>136</v>
      </c>
      <c r="L13" s="64">
        <f t="shared" si="5"/>
        <v>0.95085784313725485</v>
      </c>
      <c r="M13" s="78">
        <f t="shared" si="13"/>
        <v>52700</v>
      </c>
      <c r="N13" s="56">
        <f>H13*40%</f>
        <v>210800</v>
      </c>
      <c r="O13" s="56">
        <v>0</v>
      </c>
      <c r="P13" s="122">
        <f t="shared" si="6"/>
        <v>38471</v>
      </c>
      <c r="Q13" s="56">
        <f t="shared" si="7"/>
        <v>52700</v>
      </c>
      <c r="R13" s="48">
        <v>46915</v>
      </c>
      <c r="S13" s="48">
        <v>218248</v>
      </c>
      <c r="T13" s="79">
        <f t="shared" si="8"/>
        <v>401586</v>
      </c>
      <c r="U13" s="55">
        <f t="shared" si="9"/>
        <v>-5988414</v>
      </c>
      <c r="V13" s="31"/>
      <c r="W13" s="8"/>
      <c r="X13" s="8"/>
      <c r="Y13" s="23"/>
    </row>
    <row r="14" spans="2:28" ht="20.149999999999999" customHeight="1" x14ac:dyDescent="0.25">
      <c r="B14" s="34">
        <f t="shared" ref="B14:B17" si="14">B13+1</f>
        <v>8</v>
      </c>
      <c r="C14" s="16" t="s">
        <v>23</v>
      </c>
      <c r="D14" s="67">
        <v>0</v>
      </c>
      <c r="E14" s="69">
        <f t="shared" si="2"/>
        <v>0</v>
      </c>
      <c r="F14" s="112">
        <f>F10</f>
        <v>3330000</v>
      </c>
      <c r="G14" s="19">
        <f>[2]Sheet1!$O$19</f>
        <v>2533000</v>
      </c>
      <c r="H14" s="19">
        <f>[2]Sheet1!$Q$19</f>
        <v>527000</v>
      </c>
      <c r="I14" s="20">
        <f t="shared" si="0"/>
        <v>6390000</v>
      </c>
      <c r="J14" s="47">
        <v>0</v>
      </c>
      <c r="K14" s="47">
        <v>136</v>
      </c>
      <c r="L14" s="62">
        <f t="shared" si="5"/>
        <v>1</v>
      </c>
      <c r="M14" s="77">
        <v>0</v>
      </c>
      <c r="N14" s="56">
        <v>0</v>
      </c>
      <c r="O14" s="56">
        <v>0</v>
      </c>
      <c r="P14" s="122">
        <f t="shared" si="6"/>
        <v>38471</v>
      </c>
      <c r="Q14" s="56">
        <f t="shared" si="7"/>
        <v>52700</v>
      </c>
      <c r="R14" s="135">
        <v>0</v>
      </c>
      <c r="S14" s="50">
        <v>0</v>
      </c>
      <c r="T14" s="79">
        <f t="shared" si="8"/>
        <v>91171</v>
      </c>
      <c r="U14" s="55">
        <f t="shared" si="9"/>
        <v>-6298829</v>
      </c>
      <c r="V14" s="31"/>
      <c r="W14" s="8"/>
      <c r="X14" s="8"/>
      <c r="Y14" s="23"/>
    </row>
    <row r="15" spans="2:28" ht="20.149999999999999" customHeight="1" x14ac:dyDescent="0.25">
      <c r="B15" s="34">
        <f t="shared" si="14"/>
        <v>9</v>
      </c>
      <c r="C15" s="37" t="s">
        <v>24</v>
      </c>
      <c r="D15" s="132" t="s">
        <v>61</v>
      </c>
      <c r="E15" s="69">
        <f t="shared" si="2"/>
        <v>5.15</v>
      </c>
      <c r="F15" s="112">
        <v>3330000</v>
      </c>
      <c r="G15" s="18">
        <f t="shared" ref="G15" si="15">G11</f>
        <v>2533000</v>
      </c>
      <c r="H15" s="19">
        <f>[2]Sheet1!$Q$19</f>
        <v>527000</v>
      </c>
      <c r="I15" s="38">
        <f t="shared" si="0"/>
        <v>6390000</v>
      </c>
      <c r="J15" s="51">
        <v>0</v>
      </c>
      <c r="K15" s="51">
        <v>136</v>
      </c>
      <c r="L15" s="65">
        <f t="shared" si="5"/>
        <v>0.96213235294117638</v>
      </c>
      <c r="M15" s="78">
        <f t="shared" si="13"/>
        <v>52700</v>
      </c>
      <c r="N15" s="56">
        <v>0</v>
      </c>
      <c r="O15" s="122">
        <v>0</v>
      </c>
      <c r="P15" s="122">
        <f t="shared" si="6"/>
        <v>38471</v>
      </c>
      <c r="Q15" s="56">
        <f t="shared" si="7"/>
        <v>52700</v>
      </c>
      <c r="R15" s="48">
        <v>34278</v>
      </c>
      <c r="S15" s="52">
        <v>0</v>
      </c>
      <c r="T15" s="79">
        <f>SUM(M15:R15)</f>
        <v>178149</v>
      </c>
      <c r="U15" s="55">
        <f t="shared" si="9"/>
        <v>-6211851</v>
      </c>
      <c r="V15" s="31"/>
      <c r="W15" s="8" t="s">
        <v>4</v>
      </c>
      <c r="X15" s="8"/>
      <c r="Y15" s="23"/>
      <c r="AA15" s="8"/>
    </row>
    <row r="16" spans="2:28" ht="20.149999999999999" customHeight="1" x14ac:dyDescent="0.25">
      <c r="B16" s="34">
        <f t="shared" si="14"/>
        <v>10</v>
      </c>
      <c r="C16" s="16" t="s">
        <v>26</v>
      </c>
      <c r="D16" s="67">
        <v>0.28125</v>
      </c>
      <c r="E16" s="69">
        <f t="shared" si="2"/>
        <v>6.75</v>
      </c>
      <c r="F16" s="112">
        <f>F10</f>
        <v>3330000</v>
      </c>
      <c r="G16" s="18">
        <f t="shared" ref="G16" si="16">G12</f>
        <v>2533000</v>
      </c>
      <c r="H16" s="19">
        <f>[2]Sheet1!$Q$19</f>
        <v>527000</v>
      </c>
      <c r="I16" s="20">
        <f t="shared" si="0"/>
        <v>6390000</v>
      </c>
      <c r="J16" s="47">
        <v>0</v>
      </c>
      <c r="K16" s="47">
        <v>136</v>
      </c>
      <c r="L16" s="62">
        <f t="shared" si="5"/>
        <v>0.95036764705882348</v>
      </c>
      <c r="M16" s="78">
        <f t="shared" si="13"/>
        <v>52700</v>
      </c>
      <c r="N16" s="56">
        <v>0</v>
      </c>
      <c r="O16" s="56">
        <v>0</v>
      </c>
      <c r="P16" s="122">
        <f t="shared" si="6"/>
        <v>38471</v>
      </c>
      <c r="Q16" s="56">
        <f t="shared" si="7"/>
        <v>52700</v>
      </c>
      <c r="R16" s="48">
        <v>47493</v>
      </c>
      <c r="S16" s="50">
        <v>0</v>
      </c>
      <c r="T16" s="79">
        <f t="shared" si="8"/>
        <v>191364</v>
      </c>
      <c r="U16" s="55">
        <f t="shared" si="9"/>
        <v>-6198636</v>
      </c>
      <c r="V16" s="31"/>
      <c r="W16" s="8"/>
      <c r="X16" s="8"/>
      <c r="Y16" s="23"/>
    </row>
    <row r="17" spans="2:29" ht="20.149999999999999" customHeight="1" x14ac:dyDescent="0.25">
      <c r="B17" s="134">
        <f t="shared" si="14"/>
        <v>11</v>
      </c>
      <c r="C17" s="143" t="s">
        <v>18</v>
      </c>
      <c r="D17" s="67">
        <v>5.6944444444444443E-2</v>
      </c>
      <c r="E17" s="71">
        <f t="shared" si="2"/>
        <v>1.3666666666666667</v>
      </c>
      <c r="F17" s="112">
        <f>F16</f>
        <v>3330000</v>
      </c>
      <c r="G17" s="18">
        <f t="shared" ref="G17" si="17">G13</f>
        <v>2533000</v>
      </c>
      <c r="H17" s="19">
        <f>[2]Sheet1!$Q$19</f>
        <v>527000</v>
      </c>
      <c r="I17" s="117">
        <f t="shared" si="0"/>
        <v>6390000</v>
      </c>
      <c r="J17" s="48">
        <f t="shared" ref="J17" si="18">H17*10%</f>
        <v>52700</v>
      </c>
      <c r="K17" s="53">
        <v>136</v>
      </c>
      <c r="L17" s="66">
        <f t="shared" si="5"/>
        <v>0.98995098039215679</v>
      </c>
      <c r="M17" s="78">
        <f t="shared" si="13"/>
        <v>52700</v>
      </c>
      <c r="N17" s="56">
        <v>0</v>
      </c>
      <c r="O17" s="135">
        <v>0</v>
      </c>
      <c r="P17" s="122">
        <f t="shared" si="6"/>
        <v>38471</v>
      </c>
      <c r="Q17" s="56">
        <f t="shared" si="7"/>
        <v>52700</v>
      </c>
      <c r="R17" s="48">
        <v>2973</v>
      </c>
      <c r="S17" s="54">
        <v>0</v>
      </c>
      <c r="T17" s="79">
        <f t="shared" si="8"/>
        <v>146844</v>
      </c>
      <c r="U17" s="55">
        <f t="shared" si="9"/>
        <v>-6243156</v>
      </c>
      <c r="V17" s="31"/>
      <c r="W17" s="8"/>
      <c r="X17" s="8"/>
      <c r="Y17" s="8"/>
    </row>
    <row r="18" spans="2:29" ht="20.149999999999999" customHeight="1" x14ac:dyDescent="0.25">
      <c r="B18" s="137">
        <v>12</v>
      </c>
      <c r="C18" s="138" t="s">
        <v>49</v>
      </c>
      <c r="D18" s="139">
        <v>0</v>
      </c>
      <c r="E18" s="71"/>
      <c r="F18" s="140">
        <f>F17</f>
        <v>3330000</v>
      </c>
      <c r="G18" s="141">
        <v>506600</v>
      </c>
      <c r="H18" s="142">
        <v>527000</v>
      </c>
      <c r="I18" s="36">
        <f>SUM(F18:H18)</f>
        <v>4363600</v>
      </c>
      <c r="J18" s="118"/>
      <c r="K18" s="119"/>
      <c r="L18" s="120"/>
      <c r="M18" s="121">
        <v>0</v>
      </c>
      <c r="N18" s="122">
        <v>0</v>
      </c>
      <c r="O18" s="122">
        <v>0</v>
      </c>
      <c r="P18" s="122">
        <v>0</v>
      </c>
      <c r="Q18" s="56">
        <v>0</v>
      </c>
      <c r="R18" s="135">
        <v>0</v>
      </c>
      <c r="S18" s="124"/>
      <c r="T18" s="125">
        <f>M18+R18</f>
        <v>0</v>
      </c>
      <c r="U18" s="126">
        <f t="shared" si="9"/>
        <v>-4363600</v>
      </c>
      <c r="V18" s="31"/>
      <c r="W18" s="8"/>
      <c r="X18" s="8"/>
      <c r="Y18" s="8"/>
    </row>
    <row r="19" spans="2:29" ht="10.5" customHeight="1" x14ac:dyDescent="0.35">
      <c r="B19" s="14"/>
      <c r="C19" s="14"/>
      <c r="D19" s="14"/>
      <c r="E19" s="14"/>
      <c r="F19" s="162">
        <f>SUM(F7:F17)</f>
        <v>36630000</v>
      </c>
      <c r="G19" s="162">
        <f>SUM(G7:G17)</f>
        <v>32491000</v>
      </c>
      <c r="H19" s="164">
        <f>SUM(H7:H17)</f>
        <v>10670000</v>
      </c>
      <c r="I19" s="165">
        <f>SUM(I7:I18)</f>
        <v>84154600</v>
      </c>
      <c r="J19" s="175">
        <f>SUM(J7:J17)</f>
        <v>210800</v>
      </c>
      <c r="K19" s="59"/>
      <c r="L19" s="59"/>
      <c r="M19" s="160">
        <f t="shared" ref="M19:S19" si="19">SUM(M7:M17)</f>
        <v>368900</v>
      </c>
      <c r="N19" s="160">
        <f t="shared" si="19"/>
        <v>210800</v>
      </c>
      <c r="O19" s="160">
        <f t="shared" si="19"/>
        <v>0</v>
      </c>
      <c r="P19" s="160">
        <f t="shared" ref="P19" si="20">SUM(P7:P17)</f>
        <v>778910</v>
      </c>
      <c r="Q19" s="160">
        <f t="shared" si="19"/>
        <v>1067000</v>
      </c>
      <c r="R19" s="160">
        <f t="shared" si="19"/>
        <v>354753</v>
      </c>
      <c r="S19" s="160">
        <f t="shared" si="19"/>
        <v>436943</v>
      </c>
      <c r="T19" s="160">
        <f>SUM(T7:T18)</f>
        <v>2780363</v>
      </c>
      <c r="U19" s="167">
        <f>SUM(U7:U18)</f>
        <v>-81374237</v>
      </c>
      <c r="V19" s="32"/>
      <c r="W19" s="8"/>
      <c r="X19" s="8"/>
    </row>
    <row r="20" spans="2:29" ht="10.5" customHeight="1" thickBot="1" x14ac:dyDescent="0.4">
      <c r="B20" s="15"/>
      <c r="C20" s="15"/>
      <c r="D20" s="15"/>
      <c r="E20" s="15"/>
      <c r="F20" s="163"/>
      <c r="G20" s="163"/>
      <c r="H20" s="163"/>
      <c r="I20" s="166"/>
      <c r="J20" s="176"/>
      <c r="K20" s="60"/>
      <c r="L20" s="60"/>
      <c r="M20" s="161"/>
      <c r="N20" s="161"/>
      <c r="O20" s="161"/>
      <c r="P20" s="161"/>
      <c r="Q20" s="161"/>
      <c r="R20" s="161"/>
      <c r="S20" s="161"/>
      <c r="T20" s="161"/>
      <c r="U20" s="168"/>
      <c r="V20" s="32"/>
      <c r="W20" s="8"/>
      <c r="X20" s="24"/>
      <c r="Y20" s="8"/>
    </row>
    <row r="21" spans="2:29" ht="6.75" customHeight="1" thickTop="1" x14ac:dyDescent="0.35">
      <c r="B21" s="5"/>
      <c r="C21" s="5"/>
      <c r="D21" s="5"/>
      <c r="E21" s="5"/>
      <c r="F21" s="5"/>
      <c r="G21" s="5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5"/>
      <c r="V21" s="5"/>
    </row>
    <row r="22" spans="2:29" ht="12.75" customHeight="1" x14ac:dyDescent="0.35">
      <c r="B22" s="13" t="s">
        <v>7</v>
      </c>
      <c r="C22" s="9"/>
      <c r="D22" s="9"/>
      <c r="E22" s="9"/>
      <c r="F22" s="9"/>
      <c r="G22" s="9"/>
      <c r="H22" s="9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</row>
    <row r="23" spans="2:29" ht="3.75" customHeight="1" x14ac:dyDescent="0.35">
      <c r="B23" s="9"/>
      <c r="C23" s="9"/>
      <c r="D23" s="9"/>
      <c r="E23" s="9"/>
      <c r="F23" s="9"/>
      <c r="G23" s="9"/>
      <c r="H23" s="9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8"/>
      <c r="V23" s="26"/>
    </row>
    <row r="24" spans="2:29" ht="13.5" customHeight="1" x14ac:dyDescent="0.35">
      <c r="B24" s="12"/>
      <c r="C24" s="9"/>
      <c r="D24" s="9"/>
      <c r="E24" s="9"/>
      <c r="F24" s="9"/>
      <c r="G24" s="9"/>
      <c r="H24" s="9"/>
      <c r="O24" s="8">
        <f>SUM(O7:Q7)</f>
        <v>476615</v>
      </c>
      <c r="U24" s="57"/>
    </row>
    <row r="25" spans="2:29" ht="14.5" x14ac:dyDescent="0.35">
      <c r="C25" s="5"/>
      <c r="D25" s="5"/>
      <c r="E25" s="5"/>
      <c r="F25" s="8"/>
      <c r="I25" s="8"/>
      <c r="M25" s="146"/>
      <c r="O25" s="8">
        <f>SUM(O10:Q10)</f>
        <v>163312</v>
      </c>
      <c r="U25" s="7"/>
      <c r="Z25" s="8"/>
    </row>
    <row r="26" spans="2:29" ht="14.5" x14ac:dyDescent="0.35">
      <c r="C26" s="5"/>
      <c r="D26" s="5"/>
      <c r="E26" s="5"/>
      <c r="O26" s="8">
        <f>SUM(O9:Q9)</f>
        <v>91171</v>
      </c>
      <c r="Q26" t="s">
        <v>37</v>
      </c>
      <c r="R26">
        <f>23*8</f>
        <v>184</v>
      </c>
      <c r="T26">
        <v>4.1500000000000004</v>
      </c>
      <c r="U26" s="7"/>
      <c r="Y26" s="39" t="s">
        <v>4</v>
      </c>
      <c r="Z26" s="8"/>
    </row>
    <row r="27" spans="2:29" ht="14.5" x14ac:dyDescent="0.35">
      <c r="C27" s="5"/>
      <c r="D27" s="5"/>
      <c r="E27" s="5"/>
      <c r="I27" s="8">
        <f>G14*60%</f>
        <v>1519800</v>
      </c>
      <c r="R27" s="42">
        <f>R26-T26</f>
        <v>179.85</v>
      </c>
      <c r="T27">
        <f>R27/R26</f>
        <v>0.97744565217391299</v>
      </c>
      <c r="U27" s="7"/>
      <c r="Z27" s="8"/>
    </row>
    <row r="28" spans="2:29" ht="14.5" x14ac:dyDescent="0.35">
      <c r="C28" s="5"/>
      <c r="D28" s="5"/>
      <c r="E28" s="5"/>
      <c r="G28" s="8">
        <f>F13+G13</f>
        <v>5863000</v>
      </c>
      <c r="U28" s="57"/>
      <c r="AB28" s="8"/>
      <c r="AC28" s="8"/>
    </row>
    <row r="29" spans="2:29" x14ac:dyDescent="0.25">
      <c r="N29">
        <f>8*60</f>
        <v>480</v>
      </c>
      <c r="R29" s="8">
        <f>G12*60%</f>
        <v>1519800</v>
      </c>
      <c r="T29" s="127">
        <f>T27*R29</f>
        <v>1485521.9021739129</v>
      </c>
    </row>
    <row r="30" spans="2:29" x14ac:dyDescent="0.25">
      <c r="N30">
        <f>N29+52</f>
        <v>532</v>
      </c>
      <c r="T30" s="127">
        <f>R29-T29</f>
        <v>34278.097826087149</v>
      </c>
      <c r="Z30" s="42"/>
      <c r="AA30" s="8"/>
      <c r="AC30" s="8"/>
    </row>
    <row r="31" spans="2:29" x14ac:dyDescent="0.25">
      <c r="AA31" s="8"/>
    </row>
    <row r="34" spans="26:27" x14ac:dyDescent="0.25">
      <c r="Z34">
        <v>13.933</v>
      </c>
      <c r="AA34" s="8">
        <f>G9*60%</f>
        <v>1519800</v>
      </c>
    </row>
    <row r="35" spans="26:27" x14ac:dyDescent="0.25">
      <c r="Z35">
        <v>0.89700000000000002</v>
      </c>
      <c r="AA35" s="8">
        <f>Z35*AA30</f>
        <v>0</v>
      </c>
    </row>
    <row r="37" spans="26:27" x14ac:dyDescent="0.25">
      <c r="AA37" s="8">
        <f>AA34-AA35</f>
        <v>1519800</v>
      </c>
    </row>
    <row r="42" spans="26:27" x14ac:dyDescent="0.25">
      <c r="Z42">
        <v>13.54</v>
      </c>
    </row>
  </sheetData>
  <mergeCells count="31">
    <mergeCell ref="U19:U20"/>
    <mergeCell ref="B2:U2"/>
    <mergeCell ref="B3:U3"/>
    <mergeCell ref="B5:B6"/>
    <mergeCell ref="C5:C6"/>
    <mergeCell ref="H5:H6"/>
    <mergeCell ref="D5:D6"/>
    <mergeCell ref="U5:U6"/>
    <mergeCell ref="F5:F6"/>
    <mergeCell ref="G5:G6"/>
    <mergeCell ref="I5:I6"/>
    <mergeCell ref="L5:L6"/>
    <mergeCell ref="R5:R6"/>
    <mergeCell ref="K5:K6"/>
    <mergeCell ref="E5:E6"/>
    <mergeCell ref="J19:J20"/>
    <mergeCell ref="F19:F20"/>
    <mergeCell ref="G19:G20"/>
    <mergeCell ref="H19:H20"/>
    <mergeCell ref="I19:I20"/>
    <mergeCell ref="R19:R20"/>
    <mergeCell ref="M19:M20"/>
    <mergeCell ref="P19:P20"/>
    <mergeCell ref="T5:T6"/>
    <mergeCell ref="N19:N20"/>
    <mergeCell ref="O19:O20"/>
    <mergeCell ref="Q19:Q20"/>
    <mergeCell ref="S5:S6"/>
    <mergeCell ref="M5:Q5"/>
    <mergeCell ref="T19:T20"/>
    <mergeCell ref="S19:S20"/>
  </mergeCells>
  <printOptions horizontalCentered="1"/>
  <pageMargins left="0.11811023622047245" right="0.11811023622047245" top="0.11811023622047245" bottom="0.35433070866141736" header="0.31496062992125984" footer="0.31496062992125984"/>
  <pageSetup paperSize="9" scale="69" orientation="landscape" r:id="rId1"/>
  <colBreaks count="1" manualBreakCount="1">
    <brk id="22" max="21" man="1"/>
  </colBreaks>
  <ignoredErrors>
    <ignoredError sqref="I11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NET PEG PELINDO DIPERBANTUKAN</vt:lpstr>
      <vt:lpstr>NET PEGAWAI PTP</vt:lpstr>
      <vt:lpstr>'NET PEG PELINDO DIPERBANTUKAN'!Print_Area</vt:lpstr>
      <vt:lpstr>'NET PEGAWAI PTP'!Print_Area</vt:lpstr>
    </vt:vector>
  </TitlesOfParts>
  <Company>KAWASAKI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KMN RACING TEAM</dc:creator>
  <cp:lastModifiedBy>Asus</cp:lastModifiedBy>
  <cp:lastPrinted>2020-12-07T03:46:18Z</cp:lastPrinted>
  <dcterms:created xsi:type="dcterms:W3CDTF">1999-12-02T03:49:52Z</dcterms:created>
  <dcterms:modified xsi:type="dcterms:W3CDTF">2022-01-28T06:23:23Z</dcterms:modified>
</cp:coreProperties>
</file>