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P 2022\"/>
    </mc:Choice>
  </mc:AlternateContent>
  <xr:revisionPtr revIDLastSave="0" documentId="8_{8BDD0066-11FF-42EC-B1D1-DE6A827DBB1D}" xr6:coauthVersionLast="47" xr6:coauthVersionMax="47" xr10:uidLastSave="{00000000-0000-0000-0000-000000000000}"/>
  <bookViews>
    <workbookView xWindow="-110" yWindow="-110" windowWidth="19420" windowHeight="10420" xr2:uid="{280529D3-FB06-4C41-8B92-D435F9A53CEE}"/>
  </bookViews>
  <sheets>
    <sheet name="K" sheetId="2" r:id="rId1"/>
    <sheet name="JAN" sheetId="1" r:id="rId2"/>
  </sheets>
  <externalReferences>
    <externalReference r:id="rId3"/>
  </externalReferences>
  <definedNames>
    <definedName name="_xlnm.Print_Area" localSheetId="1">JAN!$A$2:$S$60</definedName>
    <definedName name="_xlnm.Print_Area" localSheetId="0">K!#REF!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9" i="2" l="1"/>
  <c r="T17" i="2" l="1"/>
  <c r="S17" i="2"/>
  <c r="G17" i="2"/>
  <c r="K23" i="2"/>
  <c r="AP16" i="2"/>
  <c r="AD16" i="2"/>
  <c r="AC16" i="2"/>
  <c r="AA16" i="2" s="1"/>
  <c r="AB16" i="2"/>
  <c r="Y16" i="2"/>
  <c r="Z16" i="2" s="1"/>
  <c r="U16" i="2"/>
  <c r="T16" i="2"/>
  <c r="S16" i="2"/>
  <c r="R16" i="2"/>
  <c r="B16" i="2" s="1"/>
  <c r="P16" i="2"/>
  <c r="O16" i="2"/>
  <c r="N16" i="2"/>
  <c r="K16" i="2"/>
  <c r="I16" i="2"/>
  <c r="AP15" i="2"/>
  <c r="AD15" i="2"/>
  <c r="AC15" i="2"/>
  <c r="AA15" i="2" s="1"/>
  <c r="AB15" i="2"/>
  <c r="Y15" i="2"/>
  <c r="Z15" i="2" s="1"/>
  <c r="W15" i="2"/>
  <c r="U15" i="2"/>
  <c r="T15" i="2"/>
  <c r="S15" i="2"/>
  <c r="V15" i="2" s="1"/>
  <c r="R15" i="2"/>
  <c r="B15" i="2" s="1"/>
  <c r="P15" i="2"/>
  <c r="O15" i="2"/>
  <c r="N15" i="2"/>
  <c r="K15" i="2"/>
  <c r="M15" i="2" s="1"/>
  <c r="I15" i="2"/>
  <c r="AP14" i="2"/>
  <c r="AD14" i="2"/>
  <c r="AC14" i="2"/>
  <c r="AA14" i="2" s="1"/>
  <c r="AB14" i="2"/>
  <c r="Y14" i="2"/>
  <c r="Z14" i="2" s="1"/>
  <c r="U14" i="2"/>
  <c r="T14" i="2"/>
  <c r="S14" i="2"/>
  <c r="R14" i="2"/>
  <c r="B14" i="2" s="1"/>
  <c r="P14" i="2"/>
  <c r="O14" i="2"/>
  <c r="N14" i="2"/>
  <c r="K14" i="2"/>
  <c r="M14" i="2" s="1"/>
  <c r="I14" i="2"/>
  <c r="AP13" i="2"/>
  <c r="AD13" i="2"/>
  <c r="AC13" i="2"/>
  <c r="AA13" i="2" s="1"/>
  <c r="AB13" i="2"/>
  <c r="Z13" i="2"/>
  <c r="Y13" i="2"/>
  <c r="U13" i="2"/>
  <c r="T13" i="2"/>
  <c r="W13" i="2" s="1"/>
  <c r="S13" i="2"/>
  <c r="R13" i="2"/>
  <c r="B13" i="2" s="1"/>
  <c r="P13" i="2"/>
  <c r="O13" i="2"/>
  <c r="N13" i="2"/>
  <c r="K13" i="2"/>
  <c r="M13" i="2" s="1"/>
  <c r="I13" i="2"/>
  <c r="AP12" i="2"/>
  <c r="AD12" i="2"/>
  <c r="AC12" i="2"/>
  <c r="AA12" i="2" s="1"/>
  <c r="AB12" i="2"/>
  <c r="Y12" i="2"/>
  <c r="Z12" i="2" s="1"/>
  <c r="U12" i="2"/>
  <c r="T12" i="2"/>
  <c r="S12" i="2"/>
  <c r="R12" i="2"/>
  <c r="B12" i="2" s="1"/>
  <c r="P12" i="2"/>
  <c r="Q12" i="2" s="1"/>
  <c r="O12" i="2"/>
  <c r="N12" i="2"/>
  <c r="K12" i="2"/>
  <c r="M12" i="2" s="1"/>
  <c r="I12" i="2"/>
  <c r="AP11" i="2"/>
  <c r="AD11" i="2"/>
  <c r="AC11" i="2"/>
  <c r="AA11" i="2" s="1"/>
  <c r="AB11" i="2"/>
  <c r="Y11" i="2"/>
  <c r="Z11" i="2" s="1"/>
  <c r="U11" i="2"/>
  <c r="W11" i="2" s="1"/>
  <c r="AI11" i="2" s="1"/>
  <c r="T11" i="2"/>
  <c r="S11" i="2"/>
  <c r="R11" i="2"/>
  <c r="B11" i="2" s="1"/>
  <c r="P11" i="2"/>
  <c r="O11" i="2"/>
  <c r="N11" i="2"/>
  <c r="K11" i="2"/>
  <c r="M11" i="2" s="1"/>
  <c r="I11" i="2"/>
  <c r="AP10" i="2"/>
  <c r="AD10" i="2"/>
  <c r="AC10" i="2"/>
  <c r="AA10" i="2" s="1"/>
  <c r="AB10" i="2"/>
  <c r="Y10" i="2"/>
  <c r="U10" i="2"/>
  <c r="T10" i="2"/>
  <c r="S10" i="2"/>
  <c r="R10" i="2"/>
  <c r="P10" i="2"/>
  <c r="O10" i="2"/>
  <c r="N10" i="2"/>
  <c r="M10" i="2"/>
  <c r="K10" i="2"/>
  <c r="I10" i="2"/>
  <c r="B10" i="2"/>
  <c r="AP9" i="2"/>
  <c r="AD9" i="2"/>
  <c r="AC9" i="2"/>
  <c r="AA9" i="2" s="1"/>
  <c r="AB9" i="2"/>
  <c r="Y9" i="2"/>
  <c r="Z9" i="2" s="1"/>
  <c r="U9" i="2"/>
  <c r="T9" i="2"/>
  <c r="S9" i="2"/>
  <c r="R9" i="2"/>
  <c r="B9" i="2" s="1"/>
  <c r="P9" i="2"/>
  <c r="O9" i="2"/>
  <c r="N9" i="2"/>
  <c r="K9" i="2"/>
  <c r="M9" i="2" s="1"/>
  <c r="I9" i="2"/>
  <c r="AP8" i="2"/>
  <c r="AD8" i="2"/>
  <c r="AC8" i="2"/>
  <c r="AB8" i="2"/>
  <c r="Y8" i="2"/>
  <c r="Z8" i="2" s="1"/>
  <c r="U8" i="2"/>
  <c r="T8" i="2"/>
  <c r="S8" i="2"/>
  <c r="R8" i="2"/>
  <c r="P8" i="2"/>
  <c r="O8" i="2"/>
  <c r="N8" i="2"/>
  <c r="K8" i="2"/>
  <c r="I8" i="2"/>
  <c r="AT6" i="2"/>
  <c r="AT5" i="2"/>
  <c r="AT3" i="2"/>
  <c r="AT2" i="2"/>
  <c r="L2" i="2"/>
  <c r="G2" i="2"/>
  <c r="U2" i="2" l="1"/>
  <c r="Y2" i="2"/>
  <c r="V13" i="2"/>
  <c r="W14" i="2"/>
  <c r="AI14" i="2" s="1"/>
  <c r="N2" i="2"/>
  <c r="AI15" i="2"/>
  <c r="AF9" i="2"/>
  <c r="AE9" i="2" s="1"/>
  <c r="V12" i="2"/>
  <c r="Q10" i="2"/>
  <c r="X10" i="2" s="1"/>
  <c r="V11" i="2"/>
  <c r="W12" i="2"/>
  <c r="AI12" i="2" s="1"/>
  <c r="AH13" i="2"/>
  <c r="Q16" i="2"/>
  <c r="V10" i="2"/>
  <c r="AG11" i="2"/>
  <c r="AH11" i="2"/>
  <c r="AG14" i="2"/>
  <c r="AH14" i="2"/>
  <c r="Q15" i="2"/>
  <c r="B8" i="2"/>
  <c r="W8" i="2"/>
  <c r="Q11" i="2"/>
  <c r="X11" i="2" s="1"/>
  <c r="V14" i="2"/>
  <c r="W9" i="2"/>
  <c r="AI9" i="2" s="1"/>
  <c r="O2" i="2"/>
  <c r="W16" i="2"/>
  <c r="AI16" i="2" s="1"/>
  <c r="Z10" i="2"/>
  <c r="K2" i="2"/>
  <c r="P2" i="2"/>
  <c r="AI13" i="2"/>
  <c r="AD2" i="2"/>
  <c r="AA8" i="2"/>
  <c r="W10" i="2"/>
  <c r="AI10" i="2" s="1"/>
  <c r="Q13" i="2"/>
  <c r="X13" i="2" s="1"/>
  <c r="Q14" i="2"/>
  <c r="X14" i="2" s="1"/>
  <c r="X16" i="2"/>
  <c r="AB2" i="2"/>
  <c r="AH12" i="2"/>
  <c r="AG12" i="2"/>
  <c r="AF12" i="2"/>
  <c r="AE12" i="2" s="1"/>
  <c r="Z2" i="2"/>
  <c r="AH15" i="2"/>
  <c r="AG15" i="2"/>
  <c r="AF15" i="2"/>
  <c r="AE15" i="2" s="1"/>
  <c r="X15" i="2"/>
  <c r="R2" i="2"/>
  <c r="Q9" i="2"/>
  <c r="X9" i="2" s="1"/>
  <c r="AG9" i="2"/>
  <c r="M16" i="2"/>
  <c r="S2" i="2"/>
  <c r="AA2" i="2"/>
  <c r="M8" i="2"/>
  <c r="V16" i="2"/>
  <c r="T2" i="2"/>
  <c r="V8" i="2"/>
  <c r="AF10" i="2"/>
  <c r="AE10" i="2" s="1"/>
  <c r="AF13" i="2"/>
  <c r="AE13" i="2" s="1"/>
  <c r="AC2" i="2"/>
  <c r="AG10" i="2"/>
  <c r="AG13" i="2"/>
  <c r="Q8" i="2"/>
  <c r="V9" i="2"/>
  <c r="AF11" i="2"/>
  <c r="AE11" i="2" s="1"/>
  <c r="AF14" i="2"/>
  <c r="AE14" i="2" s="1"/>
  <c r="W2" i="2" l="1"/>
  <c r="AH10" i="2"/>
  <c r="AH9" i="2"/>
  <c r="AI8" i="2"/>
  <c r="V2" i="2"/>
  <c r="AH8" i="2"/>
  <c r="AG8" i="2"/>
  <c r="AF8" i="2"/>
  <c r="M2" i="2"/>
  <c r="AH16" i="2"/>
  <c r="AG16" i="2"/>
  <c r="AF16" i="2"/>
  <c r="AE16" i="2" s="1"/>
  <c r="X8" i="2"/>
  <c r="Q2" i="2"/>
  <c r="AI2" i="2"/>
  <c r="AG2" i="2" l="1"/>
  <c r="X2" i="2"/>
  <c r="AH2" i="2"/>
  <c r="AF2" i="2"/>
  <c r="AE8" i="2"/>
  <c r="AE2" i="2" l="1"/>
  <c r="S52" i="1" l="1"/>
  <c r="S51" i="1"/>
  <c r="S35" i="1"/>
  <c r="S34" i="1"/>
  <c r="S33" i="1"/>
  <c r="S30" i="1"/>
  <c r="S29" i="1"/>
  <c r="S28" i="1"/>
  <c r="S27" i="1"/>
  <c r="R32" i="1"/>
  <c r="R31" i="1" s="1"/>
  <c r="R37" i="1" s="1"/>
  <c r="Q32" i="1"/>
  <c r="Q31" i="1" s="1"/>
  <c r="Q37" i="1" s="1"/>
  <c r="P32" i="1"/>
  <c r="O32" i="1"/>
  <c r="N32" i="1"/>
  <c r="N31" i="1" s="1"/>
  <c r="N37" i="1" s="1"/>
  <c r="M32" i="1"/>
  <c r="M31" i="1" s="1"/>
  <c r="M37" i="1" s="1"/>
  <c r="L32" i="1"/>
  <c r="L31" i="1" s="1"/>
  <c r="L37" i="1" s="1"/>
  <c r="K32" i="1"/>
  <c r="K31" i="1" s="1"/>
  <c r="K37" i="1" s="1"/>
  <c r="P31" i="1"/>
  <c r="P37" i="1" s="1"/>
  <c r="O31" i="1"/>
  <c r="O37" i="1" s="1"/>
  <c r="R26" i="1"/>
  <c r="Q26" i="1"/>
  <c r="P26" i="1"/>
  <c r="O26" i="1"/>
  <c r="N26" i="1"/>
  <c r="M26" i="1"/>
  <c r="L26" i="1"/>
  <c r="K26" i="1"/>
  <c r="S26" i="1" s="1"/>
  <c r="J26" i="1"/>
  <c r="J32" i="1"/>
  <c r="J31" i="1" s="1"/>
  <c r="S31" i="1" s="1"/>
  <c r="S22" i="1"/>
  <c r="S21" i="1"/>
  <c r="E45" i="1"/>
  <c r="F45" i="1" s="1"/>
  <c r="G45" i="1" s="1"/>
  <c r="H45" i="1" s="1"/>
  <c r="H44" i="1"/>
  <c r="G44" i="1"/>
  <c r="F44" i="1"/>
  <c r="E44" i="1"/>
  <c r="E42" i="1"/>
  <c r="F42" i="1" s="1"/>
  <c r="G42" i="1" s="1"/>
  <c r="H42" i="1" s="1"/>
  <c r="H41" i="1"/>
  <c r="G41" i="1"/>
  <c r="F41" i="1"/>
  <c r="E41" i="1"/>
  <c r="H32" i="1"/>
  <c r="H31" i="1" s="1"/>
  <c r="G32" i="1"/>
  <c r="G31" i="1" s="1"/>
  <c r="G37" i="1" s="1"/>
  <c r="F32" i="1"/>
  <c r="F31" i="1" s="1"/>
  <c r="F37" i="1" s="1"/>
  <c r="E32" i="1"/>
  <c r="E31" i="1" s="1"/>
  <c r="E37" i="1" s="1"/>
  <c r="H26" i="1"/>
  <c r="G26" i="1"/>
  <c r="F26" i="1"/>
  <c r="E26" i="1"/>
  <c r="D26" i="1"/>
  <c r="R23" i="1"/>
  <c r="M23" i="1"/>
  <c r="J23" i="1"/>
  <c r="Q23" i="1"/>
  <c r="O23" i="1"/>
  <c r="N23" i="1"/>
  <c r="L23" i="1"/>
  <c r="M20" i="1"/>
  <c r="S20" i="1" s="1"/>
  <c r="H20" i="1"/>
  <c r="G20" i="1"/>
  <c r="F20" i="1"/>
  <c r="E20" i="1"/>
  <c r="S32" i="1" l="1"/>
  <c r="R36" i="1"/>
  <c r="Q36" i="1"/>
  <c r="P36" i="1"/>
  <c r="O36" i="1"/>
  <c r="N36" i="1"/>
  <c r="K36" i="1"/>
  <c r="L36" i="1"/>
  <c r="M36" i="1"/>
  <c r="J36" i="1"/>
  <c r="J37" i="1"/>
  <c r="S37" i="1" s="1"/>
  <c r="P23" i="1"/>
  <c r="E36" i="1"/>
  <c r="F36" i="1"/>
  <c r="H36" i="1"/>
  <c r="H37" i="1"/>
  <c r="K23" i="1"/>
  <c r="G36" i="1"/>
  <c r="S36" i="1" l="1"/>
  <c r="S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WIN10PC</author>
  </authors>
  <commentList>
    <comment ref="AA4" authorId="0" shapeId="0" xr:uid="{9659EA9B-DCD9-4EA7-80F7-8DB7823F24D3}">
      <text>
        <r>
          <rPr>
            <b/>
            <sz val="9"/>
            <color indexed="81"/>
            <rFont val="Tahoma"/>
            <family val="2"/>
          </rPr>
          <t>WIN10PC:
KSOP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4" authorId="0" shapeId="0" xr:uid="{0966EFBE-767B-4A22-811F-63AABA10794E}">
      <text>
        <r>
          <rPr>
            <b/>
            <sz val="9"/>
            <color indexed="81"/>
            <rFont val="Tahoma"/>
            <family val="2"/>
          </rPr>
          <t>WIN10PC:</t>
        </r>
        <r>
          <rPr>
            <sz val="9"/>
            <color indexed="81"/>
            <rFont val="Tahoma"/>
            <family val="2"/>
          </rPr>
          <t xml:space="preserve">
ksop</t>
        </r>
      </text>
    </comment>
  </commentList>
</comments>
</file>

<file path=xl/sharedStrings.xml><?xml version="1.0" encoding="utf-8"?>
<sst xmlns="http://schemas.openxmlformats.org/spreadsheetml/2006/main" count="200" uniqueCount="133">
  <si>
    <t>TPK BELAWAN FASE 2</t>
  </si>
  <si>
    <t>DERMAGA</t>
  </si>
  <si>
    <t xml:space="preserve">: TPK Prima </t>
  </si>
  <si>
    <t>PANJANG DERMAGA</t>
  </si>
  <si>
    <t>: 350 M</t>
  </si>
  <si>
    <t>No</t>
  </si>
  <si>
    <t xml:space="preserve"> Uraian</t>
  </si>
  <si>
    <t>Satuan</t>
  </si>
  <si>
    <t>Standar Kinerja OP</t>
  </si>
  <si>
    <t>TAHUN</t>
  </si>
  <si>
    <t>RATA-RATA</t>
  </si>
  <si>
    <t>TRW I</t>
  </si>
  <si>
    <t>TRW II</t>
  </si>
  <si>
    <t>TRW III</t>
  </si>
  <si>
    <t>TRW IV</t>
  </si>
  <si>
    <t>MATHU BHUM</t>
  </si>
  <si>
    <t>SC MEDFORD</t>
  </si>
  <si>
    <t>MSC TARA III</t>
  </si>
  <si>
    <t>A.</t>
  </si>
  <si>
    <t>TRAFIK</t>
  </si>
  <si>
    <t>1. Kunjungan Kapal</t>
  </si>
  <si>
    <t>Call</t>
  </si>
  <si>
    <t>2. Jumlah Bongkar muat</t>
  </si>
  <si>
    <t>Box</t>
  </si>
  <si>
    <t>Teus</t>
  </si>
  <si>
    <t>3. Rata-rata LOA</t>
  </si>
  <si>
    <t>Meter</t>
  </si>
  <si>
    <t>A</t>
  </si>
  <si>
    <t>TRAFFIC/TRAFIK</t>
  </si>
  <si>
    <t>2. Jumlah Bongkat Muat</t>
  </si>
  <si>
    <t xml:space="preserve">Box </t>
  </si>
  <si>
    <t>3. Rata-rata Box Per Kapal</t>
  </si>
  <si>
    <t>Box/Kapal</t>
  </si>
  <si>
    <t>B</t>
  </si>
  <si>
    <t>SERVICE TIME</t>
  </si>
  <si>
    <t>1.Waiting Time (WT)</t>
  </si>
  <si>
    <t>Jam/Kapal</t>
  </si>
  <si>
    <t xml:space="preserve">    a. Pilot</t>
  </si>
  <si>
    <t xml:space="preserve">    b. Dermaga</t>
  </si>
  <si>
    <t>2.Postpone Time (PT)</t>
  </si>
  <si>
    <t>3.Approach Time (AT)</t>
  </si>
  <si>
    <t>4.Berthing Time (BT)</t>
  </si>
  <si>
    <t xml:space="preserve">   a.Berth Working Time (BWT)</t>
  </si>
  <si>
    <t xml:space="preserve">        1) Effective Time (ET)</t>
  </si>
  <si>
    <t xml:space="preserve">        2) Idle Time (IT)</t>
  </si>
  <si>
    <t xml:space="preserve">   b.Non Operating Time (NOT)</t>
  </si>
  <si>
    <t>5.Turn Round Time (TRT)</t>
  </si>
  <si>
    <t>6. ET/BT</t>
  </si>
  <si>
    <t>%</t>
  </si>
  <si>
    <t>C</t>
  </si>
  <si>
    <t>UTILIZATION</t>
  </si>
  <si>
    <t>1.Dermaga</t>
  </si>
  <si>
    <t xml:space="preserve"> a. Berth Occupancy Ratio (BOR)</t>
  </si>
  <si>
    <t xml:space="preserve"> b. Berth Through Put (BTP)</t>
  </si>
  <si>
    <t>Teus/M</t>
  </si>
  <si>
    <t>2.Lapangan Penumpukan</t>
  </si>
  <si>
    <t xml:space="preserve"> a. Yard Occupancy Ratio (YOR)</t>
  </si>
  <si>
    <t xml:space="preserve"> b. Yard Through Put (YTP)</t>
  </si>
  <si>
    <t>Teus/M2</t>
  </si>
  <si>
    <t>3.Gudang Penumpukan</t>
  </si>
  <si>
    <t xml:space="preserve"> a. Shed Occupancy Ratio (SOR)</t>
  </si>
  <si>
    <t xml:space="preserve"> b. Shed Through Put (STP)</t>
  </si>
  <si>
    <t>Ton/M2</t>
  </si>
  <si>
    <t>D</t>
  </si>
  <si>
    <t>PRODUKTIVITY</t>
  </si>
  <si>
    <t xml:space="preserve">   Lapangan</t>
  </si>
  <si>
    <t>B/C/H</t>
  </si>
  <si>
    <t>B/S/H</t>
  </si>
  <si>
    <t xml:space="preserve">   Receiving</t>
  </si>
  <si>
    <t>Menit</t>
  </si>
  <si>
    <t xml:space="preserve">   Delivery</t>
  </si>
  <si>
    <t>E</t>
  </si>
  <si>
    <t>DWELLING TIME TERMINAL</t>
  </si>
  <si>
    <t>1. Import (Bongkar)</t>
  </si>
  <si>
    <t>Hari</t>
  </si>
  <si>
    <t>2. Ekport (Muat)</t>
  </si>
  <si>
    <t>KESIAPAN OPERASI PERALATAN</t>
  </si>
  <si>
    <t>JANUARI</t>
  </si>
  <si>
    <t>JAN</t>
  </si>
  <si>
    <t>0SR6GE</t>
  </si>
  <si>
    <t>HE152R</t>
  </si>
  <si>
    <t>HE201R</t>
  </si>
  <si>
    <t>291E</t>
  </si>
  <si>
    <t>HE202R</t>
  </si>
  <si>
    <t>0SR6OE</t>
  </si>
  <si>
    <t>HE203R</t>
  </si>
  <si>
    <t>292E</t>
  </si>
  <si>
    <t>HE204R</t>
  </si>
  <si>
    <t>KINERJA OPERASIONAL BULAN JANUARI TAHUN 2022</t>
  </si>
  <si>
    <t>JUMLAH</t>
  </si>
  <si>
    <t>Service Time Terminal Prima Terminal Petikemas</t>
  </si>
  <si>
    <t xml:space="preserve">  </t>
  </si>
  <si>
    <t>Periode : Tahun 2022</t>
  </si>
  <si>
    <t xml:space="preserve">       </t>
  </si>
  <si>
    <t>NO</t>
  </si>
  <si>
    <t>KAPAL</t>
  </si>
  <si>
    <t>VOY</t>
  </si>
  <si>
    <t>AGENT</t>
  </si>
  <si>
    <t>SANDAR</t>
  </si>
  <si>
    <t>OCH</t>
  </si>
  <si>
    <t>PROD</t>
  </si>
  <si>
    <t>BOX</t>
  </si>
  <si>
    <t>BCH</t>
  </si>
  <si>
    <t>BSH</t>
  </si>
  <si>
    <t>GT</t>
  </si>
  <si>
    <t>LOA</t>
  </si>
  <si>
    <t>+</t>
  </si>
  <si>
    <t>PT</t>
  </si>
  <si>
    <t>WT</t>
  </si>
  <si>
    <t>Total</t>
  </si>
  <si>
    <t>AT</t>
  </si>
  <si>
    <t>BT</t>
  </si>
  <si>
    <t>BWT</t>
  </si>
  <si>
    <t>IT</t>
  </si>
  <si>
    <t>NOT</t>
  </si>
  <si>
    <t>ET</t>
  </si>
  <si>
    <t>TRT</t>
  </si>
  <si>
    <t>ET:BT</t>
  </si>
  <si>
    <t>Keterangan</t>
  </si>
  <si>
    <t>TEUS</t>
  </si>
  <si>
    <t>Pilot</t>
  </si>
  <si>
    <t>Berth</t>
  </si>
  <si>
    <t>JAM</t>
  </si>
  <si>
    <t>HARI</t>
  </si>
  <si>
    <t>INSENTIF</t>
  </si>
  <si>
    <t>MV SC MEDFORD</t>
  </si>
  <si>
    <t>CMA</t>
  </si>
  <si>
    <t xml:space="preserve">MV MSC TARA III </t>
  </si>
  <si>
    <t>PANURJWAN</t>
  </si>
  <si>
    <t>MENUNGGU AIR TINGGI</t>
  </si>
  <si>
    <t>MV MATHU BHUM</t>
  </si>
  <si>
    <t>BBN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</si>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</sst>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0_ ;\-#,##0.00\ "/>
    <numFmt numFmtId="167" formatCode="d/m/yy\ h:mm"/>
    <numFmt numFmtId="168" formatCode="0.00;[Red]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Arial"/>
      <family val="2"/>
    </font>
    <font>
      <b/>
      <sz val="10"/>
      <color theme="3" tint="-0.499984740745262"/>
      <name val="Calibri"/>
      <family val="2"/>
    </font>
    <font>
      <b/>
      <sz val="10"/>
      <name val="Calibri"/>
      <family val="2"/>
    </font>
    <font>
      <sz val="10"/>
      <color theme="3" tint="-0.499984740745262"/>
      <name val="Calibri"/>
      <family val="2"/>
    </font>
    <font>
      <sz val="11"/>
      <color indexed="8"/>
      <name val="Arial"/>
      <family val="2"/>
    </font>
    <font>
      <sz val="10"/>
      <name val="Calibri"/>
      <family val="2"/>
      <scheme val="minor"/>
    </font>
    <font>
      <sz val="10"/>
      <color theme="3"/>
      <name val="Calibri"/>
      <family val="2"/>
      <scheme val="minor"/>
    </font>
    <font>
      <sz val="11"/>
      <color indexed="8"/>
      <name val="Calibri"/>
      <family val="2"/>
    </font>
    <font>
      <i/>
      <sz val="10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FFFF00"/>
        <bgColor theme="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3" tint="-0.499984740745262"/>
      </right>
      <top/>
      <bottom/>
      <diagonal/>
    </border>
    <border>
      <left style="thin">
        <color theme="3" tint="-0.499984740745262"/>
      </left>
      <right style="thin">
        <color theme="3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6" fillId="0" borderId="0"/>
    <xf numFmtId="0" fontId="8" fillId="0" borderId="0"/>
    <xf numFmtId="0" fontId="6" fillId="0" borderId="0"/>
    <xf numFmtId="164" fontId="12" fillId="0" borderId="0"/>
    <xf numFmtId="0" fontId="1" fillId="0" borderId="0"/>
    <xf numFmtId="165" fontId="1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</cellStyleXfs>
  <cellXfs count="240">
    <xf numFmtId="0" fontId="0" fillId="0" borderId="0" xfId="0"/>
    <xf numFmtId="0" fontId="2" fillId="0" borderId="0" xfId="2" applyFont="1" applyAlignment="1">
      <alignment horizontal="center"/>
    </xf>
    <xf numFmtId="0" fontId="3" fillId="0" borderId="0" xfId="2" applyFont="1"/>
    <xf numFmtId="0" fontId="2" fillId="0" borderId="0" xfId="2" applyFont="1" applyAlignment="1"/>
    <xf numFmtId="0" fontId="2" fillId="0" borderId="0" xfId="2" applyFont="1" applyAlignment="1">
      <alignment horizontal="left"/>
    </xf>
    <xf numFmtId="0" fontId="3" fillId="0" borderId="0" xfId="2" applyFont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4" fontId="2" fillId="3" borderId="9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2" fillId="2" borderId="6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3" borderId="6" xfId="2" applyFont="1" applyFill="1" applyBorder="1" applyAlignment="1">
      <alignment horizontal="center" vertical="center"/>
    </xf>
    <xf numFmtId="0" fontId="3" fillId="2" borderId="6" xfId="2" applyFont="1" applyFill="1" applyBorder="1"/>
    <xf numFmtId="0" fontId="3" fillId="2" borderId="6" xfId="2" applyFont="1" applyFill="1" applyBorder="1" applyAlignment="1">
      <alignment horizontal="center"/>
    </xf>
    <xf numFmtId="0" fontId="3" fillId="0" borderId="7" xfId="2" applyFont="1" applyBorder="1" applyAlignment="1">
      <alignment vertical="center"/>
    </xf>
    <xf numFmtId="0" fontId="2" fillId="0" borderId="8" xfId="2" applyFont="1" applyBorder="1" applyAlignment="1">
      <alignment vertical="center"/>
    </xf>
    <xf numFmtId="0" fontId="3" fillId="0" borderId="7" xfId="2" applyFont="1" applyBorder="1" applyAlignment="1">
      <alignment horizontal="center" vertical="center"/>
    </xf>
    <xf numFmtId="4" fontId="3" fillId="0" borderId="7" xfId="2" applyNumberFormat="1" applyFont="1" applyBorder="1" applyAlignment="1">
      <alignment horizontal="center" vertical="center"/>
    </xf>
    <xf numFmtId="4" fontId="3" fillId="0" borderId="11" xfId="2" applyNumberFormat="1" applyFont="1" applyBorder="1" applyAlignment="1">
      <alignment horizontal="center"/>
    </xf>
    <xf numFmtId="0" fontId="2" fillId="0" borderId="7" xfId="2" applyFont="1" applyBorder="1" applyAlignment="1">
      <alignment horizontal="center" vertical="center"/>
    </xf>
    <xf numFmtId="4" fontId="3" fillId="0" borderId="7" xfId="2" applyNumberFormat="1" applyFont="1" applyBorder="1" applyAlignment="1">
      <alignment horizontal="center"/>
    </xf>
    <xf numFmtId="4" fontId="3" fillId="0" borderId="0" xfId="2" applyNumberFormat="1" applyFont="1" applyAlignment="1">
      <alignment horizontal="center"/>
    </xf>
    <xf numFmtId="0" fontId="3" fillId="0" borderId="7" xfId="2" applyFont="1" applyBorder="1" applyAlignment="1">
      <alignment horizontal="left" vertical="center"/>
    </xf>
    <xf numFmtId="0" fontId="7" fillId="0" borderId="8" xfId="3" applyFont="1" applyFill="1" applyBorder="1" applyAlignment="1">
      <alignment vertical="center"/>
    </xf>
    <xf numFmtId="0" fontId="3" fillId="0" borderId="8" xfId="2" applyFont="1" applyBorder="1" applyAlignment="1">
      <alignment vertical="center"/>
    </xf>
    <xf numFmtId="0" fontId="9" fillId="0" borderId="7" xfId="4" applyFont="1" applyBorder="1" applyAlignment="1">
      <alignment horizontal="center" vertical="center"/>
    </xf>
    <xf numFmtId="0" fontId="10" fillId="0" borderId="8" xfId="3" applyFont="1" applyFill="1" applyBorder="1" applyAlignment="1">
      <alignment vertical="center"/>
    </xf>
    <xf numFmtId="0" fontId="3" fillId="0" borderId="7" xfId="2" applyFont="1" applyBorder="1"/>
    <xf numFmtId="4" fontId="3" fillId="0" borderId="12" xfId="2" applyNumberFormat="1" applyFont="1" applyBorder="1" applyAlignment="1">
      <alignment horizontal="center"/>
    </xf>
    <xf numFmtId="0" fontId="11" fillId="0" borderId="12" xfId="4" applyFont="1" applyBorder="1" applyAlignment="1">
      <alignment horizontal="left" vertical="center"/>
    </xf>
    <xf numFmtId="0" fontId="11" fillId="0" borderId="13" xfId="5" applyFont="1" applyFill="1" applyBorder="1" applyAlignment="1">
      <alignment vertical="center"/>
    </xf>
    <xf numFmtId="0" fontId="11" fillId="0" borderId="14" xfId="4" applyFont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3" fontId="3" fillId="0" borderId="7" xfId="2" applyNumberFormat="1" applyFont="1" applyBorder="1" applyAlignment="1">
      <alignment horizontal="center" vertical="center"/>
    </xf>
    <xf numFmtId="3" fontId="3" fillId="0" borderId="7" xfId="2" applyNumberFormat="1" applyFont="1" applyBorder="1" applyAlignment="1">
      <alignment horizontal="center"/>
    </xf>
    <xf numFmtId="3" fontId="3" fillId="0" borderId="12" xfId="2" applyNumberFormat="1" applyFont="1" applyBorder="1" applyAlignment="1">
      <alignment horizontal="center"/>
    </xf>
    <xf numFmtId="0" fontId="11" fillId="0" borderId="12" xfId="4" applyFont="1" applyBorder="1" applyAlignment="1">
      <alignment vertical="center"/>
    </xf>
    <xf numFmtId="4" fontId="3" fillId="0" borderId="12" xfId="2" applyNumberFormat="1" applyFont="1" applyBorder="1" applyAlignment="1">
      <alignment horizontal="center" vertical="center"/>
    </xf>
    <xf numFmtId="1" fontId="3" fillId="0" borderId="12" xfId="1" applyNumberFormat="1" applyFont="1" applyBorder="1" applyAlignment="1">
      <alignment horizontal="center"/>
    </xf>
    <xf numFmtId="0" fontId="3" fillId="0" borderId="12" xfId="2" applyFont="1" applyBorder="1" applyAlignment="1">
      <alignment vertical="center"/>
    </xf>
    <xf numFmtId="0" fontId="3" fillId="0" borderId="12" xfId="2" applyFont="1" applyBorder="1" applyAlignment="1">
      <alignment horizontal="center" vertical="center"/>
    </xf>
    <xf numFmtId="0" fontId="3" fillId="0" borderId="0" xfId="2" applyFont="1" applyBorder="1"/>
    <xf numFmtId="0" fontId="2" fillId="0" borderId="12" xfId="2" applyFont="1" applyBorder="1" applyAlignment="1">
      <alignment horizontal="center" vertical="center"/>
    </xf>
    <xf numFmtId="4" fontId="3" fillId="0" borderId="12" xfId="2" applyNumberFormat="1" applyFont="1" applyFill="1" applyBorder="1" applyAlignment="1">
      <alignment horizontal="center" vertical="center"/>
    </xf>
    <xf numFmtId="4" fontId="3" fillId="0" borderId="12" xfId="2" applyNumberFormat="1" applyFont="1" applyFill="1" applyBorder="1" applyAlignment="1">
      <alignment horizontal="center"/>
    </xf>
    <xf numFmtId="0" fontId="3" fillId="0" borderId="12" xfId="2" applyFont="1" applyFill="1" applyBorder="1" applyAlignment="1">
      <alignment vertical="center"/>
    </xf>
    <xf numFmtId="0" fontId="3" fillId="0" borderId="8" xfId="2" applyFont="1" applyFill="1" applyBorder="1" applyAlignment="1">
      <alignment vertical="center"/>
    </xf>
    <xf numFmtId="0" fontId="3" fillId="0" borderId="12" xfId="2" applyFont="1" applyFill="1" applyBorder="1" applyAlignment="1">
      <alignment horizontal="center" vertical="center"/>
    </xf>
    <xf numFmtId="0" fontId="3" fillId="0" borderId="0" xfId="2" applyFont="1" applyFill="1"/>
    <xf numFmtId="0" fontId="3" fillId="4" borderId="12" xfId="2" applyFont="1" applyFill="1" applyBorder="1" applyAlignment="1">
      <alignment vertical="center"/>
    </xf>
    <xf numFmtId="0" fontId="3" fillId="4" borderId="8" xfId="2" applyFont="1" applyFill="1" applyBorder="1" applyAlignment="1">
      <alignment vertical="center"/>
    </xf>
    <xf numFmtId="0" fontId="3" fillId="4" borderId="12" xfId="2" applyFont="1" applyFill="1" applyBorder="1" applyAlignment="1">
      <alignment horizontal="center" vertical="center"/>
    </xf>
    <xf numFmtId="0" fontId="3" fillId="4" borderId="0" xfId="2" applyFont="1" applyFill="1"/>
    <xf numFmtId="0" fontId="7" fillId="0" borderId="8" xfId="3" applyFont="1" applyFill="1" applyBorder="1" applyAlignment="1">
      <alignment horizontal="left" vertical="center" indent="1"/>
    </xf>
    <xf numFmtId="4" fontId="3" fillId="0" borderId="12" xfId="0" applyNumberFormat="1" applyFont="1" applyFill="1" applyBorder="1" applyAlignment="1">
      <alignment horizontal="center" vertical="center"/>
    </xf>
    <xf numFmtId="4" fontId="3" fillId="0" borderId="12" xfId="0" applyNumberFormat="1" applyFont="1" applyBorder="1" applyAlignment="1">
      <alignment horizontal="center" vertical="center"/>
    </xf>
    <xf numFmtId="0" fontId="3" fillId="0" borderId="12" xfId="1" applyNumberFormat="1" applyFont="1" applyFill="1" applyBorder="1" applyAlignment="1">
      <alignment horizontal="center"/>
    </xf>
    <xf numFmtId="0" fontId="3" fillId="0" borderId="12" xfId="1" applyNumberFormat="1" applyFont="1" applyBorder="1" applyAlignment="1">
      <alignment horizontal="center"/>
    </xf>
    <xf numFmtId="4" fontId="3" fillId="0" borderId="0" xfId="2" applyNumberFormat="1" applyFont="1" applyBorder="1" applyAlignment="1">
      <alignment horizontal="center"/>
    </xf>
    <xf numFmtId="0" fontId="5" fillId="0" borderId="8" xfId="7" applyFont="1" applyBorder="1" applyAlignment="1">
      <alignment vertical="center"/>
    </xf>
    <xf numFmtId="4" fontId="13" fillId="0" borderId="12" xfId="3" applyNumberFormat="1" applyFont="1" applyFill="1" applyBorder="1" applyAlignment="1">
      <alignment horizontal="center" vertical="center"/>
    </xf>
    <xf numFmtId="4" fontId="14" fillId="0" borderId="12" xfId="3" applyNumberFormat="1" applyFont="1" applyFill="1" applyBorder="1" applyAlignment="1">
      <alignment horizontal="center" vertical="center"/>
    </xf>
    <xf numFmtId="0" fontId="3" fillId="0" borderId="8" xfId="7" applyFont="1" applyBorder="1" applyAlignment="1">
      <alignment vertical="center"/>
    </xf>
    <xf numFmtId="4" fontId="13" fillId="0" borderId="12" xfId="2" applyNumberFormat="1" applyFont="1" applyFill="1" applyBorder="1" applyAlignment="1">
      <alignment horizontal="center"/>
    </xf>
    <xf numFmtId="0" fontId="3" fillId="0" borderId="9" xfId="2" applyFont="1" applyBorder="1" applyAlignment="1">
      <alignment vertical="center"/>
    </xf>
    <xf numFmtId="0" fontId="3" fillId="0" borderId="10" xfId="2" applyFont="1" applyBorder="1" applyAlignment="1">
      <alignment vertical="center"/>
    </xf>
    <xf numFmtId="0" fontId="3" fillId="0" borderId="9" xfId="2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horizontal="center" vertical="center"/>
    </xf>
    <xf numFmtId="4" fontId="3" fillId="0" borderId="9" xfId="2" applyNumberFormat="1" applyFont="1" applyFill="1" applyBorder="1" applyAlignment="1">
      <alignment horizontal="center"/>
    </xf>
    <xf numFmtId="4" fontId="3" fillId="0" borderId="9" xfId="2" applyNumberFormat="1" applyFont="1" applyBorder="1" applyAlignment="1">
      <alignment horizontal="center"/>
    </xf>
    <xf numFmtId="0" fontId="1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4" fontId="3" fillId="0" borderId="0" xfId="2" applyNumberFormat="1" applyFont="1"/>
    <xf numFmtId="0" fontId="3" fillId="0" borderId="0" xfId="0" applyFont="1" applyAlignment="1"/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2" fillId="0" borderId="0" xfId="0" applyFont="1" applyAlignment="1"/>
    <xf numFmtId="0" fontId="2" fillId="2" borderId="7" xfId="0" applyFont="1" applyFill="1" applyBorder="1" applyAlignment="1">
      <alignment horizontal="center" vertical="center" wrapText="1"/>
    </xf>
    <xf numFmtId="3" fontId="3" fillId="0" borderId="8" xfId="2" applyNumberFormat="1" applyFont="1" applyBorder="1" applyAlignment="1">
      <alignment horizontal="center"/>
    </xf>
    <xf numFmtId="4" fontId="3" fillId="0" borderId="11" xfId="2" applyNumberFormat="1" applyFont="1" applyBorder="1" applyAlignment="1">
      <alignment horizontal="center" vertical="center"/>
    </xf>
    <xf numFmtId="3" fontId="3" fillId="0" borderId="12" xfId="2" applyNumberFormat="1" applyFont="1" applyBorder="1" applyAlignment="1">
      <alignment horizontal="center" vertical="center"/>
    </xf>
    <xf numFmtId="166" fontId="3" fillId="0" borderId="12" xfId="1" applyNumberFormat="1" applyFont="1" applyBorder="1" applyAlignment="1">
      <alignment horizontal="center" vertical="center"/>
    </xf>
    <xf numFmtId="2" fontId="3" fillId="0" borderId="12" xfId="1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2" fontId="0" fillId="0" borderId="0" xfId="0" applyNumberFormat="1"/>
    <xf numFmtId="0" fontId="19" fillId="0" borderId="0" xfId="0" applyFont="1"/>
    <xf numFmtId="0" fontId="21" fillId="4" borderId="0" xfId="0" applyFont="1" applyFill="1" applyAlignment="1"/>
    <xf numFmtId="0" fontId="22" fillId="4" borderId="0" xfId="0" applyFont="1" applyFill="1" applyAlignment="1">
      <alignment horizontal="center"/>
    </xf>
    <xf numFmtId="4" fontId="21" fillId="4" borderId="0" xfId="0" applyNumberFormat="1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21" fillId="4" borderId="0" xfId="0" applyFont="1" applyFill="1"/>
    <xf numFmtId="2" fontId="0" fillId="4" borderId="0" xfId="0" applyNumberFormat="1" applyFill="1"/>
    <xf numFmtId="0" fontId="0" fillId="4" borderId="0" xfId="0" applyFill="1"/>
    <xf numFmtId="0" fontId="20" fillId="4" borderId="0" xfId="0" applyFont="1" applyFill="1" applyAlignment="1"/>
    <xf numFmtId="0" fontId="20" fillId="4" borderId="0" xfId="0" applyFont="1" applyFill="1" applyAlignment="1">
      <alignment horizontal="center"/>
    </xf>
    <xf numFmtId="2" fontId="21" fillId="5" borderId="0" xfId="0" applyNumberFormat="1" applyFont="1" applyFill="1" applyAlignment="1">
      <alignment horizontal="center"/>
    </xf>
    <xf numFmtId="2" fontId="21" fillId="4" borderId="0" xfId="0" applyNumberFormat="1" applyFont="1" applyFill="1" applyAlignment="1">
      <alignment horizontal="center"/>
    </xf>
    <xf numFmtId="2" fontId="22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/>
    <xf numFmtId="3" fontId="0" fillId="4" borderId="0" xfId="0" applyNumberFormat="1" applyFill="1" applyAlignment="1">
      <alignment horizontal="center"/>
    </xf>
    <xf numFmtId="167" fontId="0" fillId="4" borderId="0" xfId="0" applyNumberFormat="1" applyFill="1" applyAlignment="1">
      <alignment horizontal="center"/>
    </xf>
    <xf numFmtId="167" fontId="21" fillId="4" borderId="0" xfId="0" applyNumberFormat="1" applyFont="1" applyFill="1" applyAlignment="1">
      <alignment horizontal="center"/>
    </xf>
    <xf numFmtId="168" fontId="21" fillId="4" borderId="0" xfId="0" applyNumberFormat="1" applyFont="1" applyFill="1" applyAlignment="1">
      <alignment horizontal="center"/>
    </xf>
    <xf numFmtId="165" fontId="21" fillId="4" borderId="0" xfId="9" applyFont="1" applyFill="1" applyAlignment="1">
      <alignment horizontal="center"/>
    </xf>
    <xf numFmtId="2" fontId="18" fillId="0" borderId="0" xfId="0" applyNumberFormat="1" applyFont="1"/>
    <xf numFmtId="0" fontId="17" fillId="0" borderId="0" xfId="0" applyFont="1"/>
    <xf numFmtId="0" fontId="23" fillId="4" borderId="11" xfId="0" applyFont="1" applyFill="1" applyBorder="1" applyAlignment="1">
      <alignment horizontal="center" vertical="center"/>
    </xf>
    <xf numFmtId="4" fontId="24" fillId="4" borderId="11" xfId="0" applyNumberFormat="1" applyFont="1" applyFill="1" applyBorder="1" applyAlignment="1">
      <alignment horizontal="center" vertical="center"/>
    </xf>
    <xf numFmtId="0" fontId="25" fillId="4" borderId="11" xfId="0" applyFont="1" applyFill="1" applyBorder="1" applyAlignment="1">
      <alignment horizontal="center" vertical="center"/>
    </xf>
    <xf numFmtId="2" fontId="26" fillId="4" borderId="11" xfId="0" applyNumberFormat="1" applyFont="1" applyFill="1" applyBorder="1" applyAlignment="1">
      <alignment horizontal="center" vertical="center"/>
    </xf>
    <xf numFmtId="4" fontId="24" fillId="4" borderId="0" xfId="0" applyNumberFormat="1" applyFont="1" applyFill="1" applyBorder="1" applyAlignment="1">
      <alignment vertical="center"/>
    </xf>
    <xf numFmtId="0" fontId="27" fillId="4" borderId="0" xfId="0" applyFont="1" applyFill="1" applyAlignment="1">
      <alignment horizontal="center"/>
    </xf>
    <xf numFmtId="0" fontId="27" fillId="4" borderId="0" xfId="0" applyFont="1" applyFill="1"/>
    <xf numFmtId="2" fontId="18" fillId="4" borderId="0" xfId="0" applyNumberFormat="1" applyFont="1" applyFill="1"/>
    <xf numFmtId="0" fontId="18" fillId="4" borderId="0" xfId="0" applyFont="1" applyFill="1"/>
    <xf numFmtId="0" fontId="18" fillId="0" borderId="0" xfId="0" applyFont="1"/>
    <xf numFmtId="0" fontId="23" fillId="4" borderId="12" xfId="0" applyFont="1" applyFill="1" applyBorder="1" applyAlignment="1">
      <alignment horizontal="center" vertical="center"/>
    </xf>
    <xf numFmtId="4" fontId="24" fillId="4" borderId="12" xfId="0" applyNumberFormat="1" applyFont="1" applyFill="1" applyBorder="1" applyAlignment="1">
      <alignment horizontal="center" vertical="center"/>
    </xf>
    <xf numFmtId="2" fontId="24" fillId="4" borderId="11" xfId="0" applyNumberFormat="1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  <xf numFmtId="0" fontId="25" fillId="4" borderId="12" xfId="0" applyFont="1" applyFill="1" applyBorder="1" applyAlignment="1">
      <alignment horizontal="center" vertical="center"/>
    </xf>
    <xf numFmtId="2" fontId="26" fillId="4" borderId="12" xfId="0" applyNumberFormat="1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vertical="center"/>
    </xf>
    <xf numFmtId="0" fontId="24" fillId="4" borderId="6" xfId="0" applyFont="1" applyFill="1" applyBorder="1" applyAlignment="1">
      <alignment horizontal="center" vertical="center"/>
    </xf>
    <xf numFmtId="4" fontId="24" fillId="4" borderId="9" xfId="0" applyNumberFormat="1" applyFont="1" applyFill="1" applyBorder="1" applyAlignment="1">
      <alignment horizontal="center" vertical="center"/>
    </xf>
    <xf numFmtId="2" fontId="24" fillId="4" borderId="9" xfId="0" applyNumberFormat="1" applyFont="1" applyFill="1" applyBorder="1" applyAlignment="1">
      <alignment horizontal="center" vertical="center"/>
    </xf>
    <xf numFmtId="2" fontId="24" fillId="4" borderId="9" xfId="0" applyNumberFormat="1" applyFont="1" applyFill="1" applyBorder="1" applyAlignment="1">
      <alignment vertical="center"/>
    </xf>
    <xf numFmtId="2" fontId="24" fillId="4" borderId="6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2" fontId="26" fillId="4" borderId="9" xfId="0" applyNumberFormat="1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vertical="center"/>
    </xf>
    <xf numFmtId="167" fontId="23" fillId="4" borderId="6" xfId="0" applyNumberFormat="1" applyFont="1" applyFill="1" applyBorder="1" applyAlignment="1">
      <alignment horizontal="center" vertical="center"/>
    </xf>
    <xf numFmtId="167" fontId="24" fillId="4" borderId="6" xfId="0" applyNumberFormat="1" applyFont="1" applyFill="1" applyBorder="1" applyAlignment="1">
      <alignment horizontal="center" vertical="center"/>
    </xf>
    <xf numFmtId="4" fontId="24" fillId="4" borderId="6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/>
    </xf>
    <xf numFmtId="2" fontId="21" fillId="4" borderId="6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19" fillId="0" borderId="0" xfId="0" applyNumberFormat="1" applyFont="1"/>
    <xf numFmtId="0" fontId="0" fillId="5" borderId="6" xfId="0" applyFill="1" applyBorder="1" applyAlignment="1">
      <alignment horizontal="center"/>
    </xf>
    <xf numFmtId="0" fontId="21" fillId="7" borderId="6" xfId="0" applyFont="1" applyFill="1" applyBorder="1"/>
    <xf numFmtId="0" fontId="0" fillId="4" borderId="6" xfId="0" applyNumberFormat="1" applyFont="1" applyFill="1" applyBorder="1" applyAlignment="1">
      <alignment horizontal="center"/>
    </xf>
    <xf numFmtId="0" fontId="21" fillId="4" borderId="6" xfId="0" applyNumberFormat="1" applyFont="1" applyFill="1" applyBorder="1" applyAlignment="1">
      <alignment horizontal="center"/>
    </xf>
    <xf numFmtId="41" fontId="21" fillId="4" borderId="6" xfId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7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21" fillId="4" borderId="6" xfId="0" applyNumberFormat="1" applyFont="1" applyFill="1" applyBorder="1" applyAlignment="1">
      <alignment horizontal="center"/>
    </xf>
    <xf numFmtId="4" fontId="21" fillId="4" borderId="6" xfId="0" applyNumberFormat="1" applyFont="1" applyFill="1" applyBorder="1" applyAlignment="1">
      <alignment horizontal="center"/>
    </xf>
    <xf numFmtId="168" fontId="21" fillId="4" borderId="6" xfId="0" applyNumberFormat="1" applyFont="1" applyFill="1" applyBorder="1" applyAlignment="1">
      <alignment horizontal="center"/>
    </xf>
    <xf numFmtId="168" fontId="21" fillId="4" borderId="5" xfId="0" applyNumberFormat="1" applyFont="1" applyFill="1" applyBorder="1" applyAlignment="1">
      <alignment horizontal="center"/>
    </xf>
    <xf numFmtId="4" fontId="22" fillId="4" borderId="6" xfId="0" applyNumberFormat="1" applyFont="1" applyFill="1" applyBorder="1" applyAlignment="1">
      <alignment horizontal="center"/>
    </xf>
    <xf numFmtId="4" fontId="21" fillId="4" borderId="0" xfId="0" applyNumberFormat="1" applyFont="1" applyFill="1" applyAlignment="1"/>
    <xf numFmtId="168" fontId="0" fillId="4" borderId="6" xfId="0" applyNumberFormat="1" applyFill="1" applyBorder="1" applyAlignment="1">
      <alignment horizontal="center"/>
    </xf>
    <xf numFmtId="168" fontId="0" fillId="0" borderId="6" xfId="0" applyNumberFormat="1" applyFill="1" applyBorder="1" applyAlignment="1">
      <alignment horizontal="center"/>
    </xf>
    <xf numFmtId="0" fontId="21" fillId="0" borderId="6" xfId="0" applyFont="1" applyFill="1" applyBorder="1"/>
    <xf numFmtId="0" fontId="0" fillId="0" borderId="6" xfId="0" quotePrefix="1" applyNumberFormat="1" applyFont="1" applyFill="1" applyBorder="1" applyAlignment="1">
      <alignment horizontal="center"/>
    </xf>
    <xf numFmtId="0" fontId="21" fillId="0" borderId="6" xfId="0" applyNumberFormat="1" applyFont="1" applyFill="1" applyBorder="1" applyAlignment="1">
      <alignment horizontal="center"/>
    </xf>
    <xf numFmtId="41" fontId="21" fillId="0" borderId="6" xfId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7" fontId="0" fillId="0" borderId="6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" fontId="21" fillId="0" borderId="6" xfId="0" applyNumberFormat="1" applyFont="1" applyFill="1" applyBorder="1" applyAlignment="1">
      <alignment horizontal="center"/>
    </xf>
    <xf numFmtId="4" fontId="21" fillId="0" borderId="6" xfId="0" applyNumberFormat="1" applyFont="1" applyFill="1" applyBorder="1" applyAlignment="1">
      <alignment horizontal="center"/>
    </xf>
    <xf numFmtId="168" fontId="21" fillId="0" borderId="6" xfId="0" applyNumberFormat="1" applyFont="1" applyFill="1" applyBorder="1" applyAlignment="1">
      <alignment horizontal="center"/>
    </xf>
    <xf numFmtId="2" fontId="21" fillId="0" borderId="6" xfId="0" applyNumberFormat="1" applyFont="1" applyFill="1" applyBorder="1" applyAlignment="1">
      <alignment horizontal="center"/>
    </xf>
    <xf numFmtId="168" fontId="21" fillId="0" borderId="5" xfId="0" applyNumberFormat="1" applyFont="1" applyFill="1" applyBorder="1" applyAlignment="1">
      <alignment horizontal="center"/>
    </xf>
    <xf numFmtId="4" fontId="22" fillId="0" borderId="6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4" fontId="22" fillId="0" borderId="6" xfId="0" applyNumberFormat="1" applyFont="1" applyFill="1" applyBorder="1" applyAlignment="1">
      <alignment horizontal="left"/>
    </xf>
    <xf numFmtId="4" fontId="21" fillId="4" borderId="0" xfId="0" applyNumberFormat="1" applyFont="1" applyFill="1" applyBorder="1" applyAlignment="1"/>
    <xf numFmtId="0" fontId="21" fillId="8" borderId="6" xfId="0" applyFont="1" applyFill="1" applyBorder="1"/>
    <xf numFmtId="0" fontId="0" fillId="5" borderId="6" xfId="0" quotePrefix="1" applyNumberFormat="1" applyFont="1" applyFill="1" applyBorder="1" applyAlignment="1">
      <alignment horizontal="center"/>
    </xf>
    <xf numFmtId="0" fontId="21" fillId="5" borderId="6" xfId="0" applyNumberFormat="1" applyFont="1" applyFill="1" applyBorder="1" applyAlignment="1">
      <alignment horizontal="center"/>
    </xf>
    <xf numFmtId="41" fontId="21" fillId="5" borderId="6" xfId="1" applyFont="1" applyFill="1" applyBorder="1" applyAlignment="1">
      <alignment horizontal="center"/>
    </xf>
    <xf numFmtId="167" fontId="0" fillId="5" borderId="6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1" fontId="21" fillId="5" borderId="6" xfId="0" applyNumberFormat="1" applyFont="1" applyFill="1" applyBorder="1" applyAlignment="1">
      <alignment horizontal="center"/>
    </xf>
    <xf numFmtId="4" fontId="21" fillId="5" borderId="6" xfId="0" applyNumberFormat="1" applyFont="1" applyFill="1" applyBorder="1" applyAlignment="1">
      <alignment horizontal="center"/>
    </xf>
    <xf numFmtId="168" fontId="21" fillId="5" borderId="6" xfId="0" applyNumberFormat="1" applyFont="1" applyFill="1" applyBorder="1" applyAlignment="1">
      <alignment horizontal="center"/>
    </xf>
    <xf numFmtId="2" fontId="21" fillId="5" borderId="6" xfId="0" applyNumberFormat="1" applyFont="1" applyFill="1" applyBorder="1" applyAlignment="1">
      <alignment horizontal="center"/>
    </xf>
    <xf numFmtId="168" fontId="21" fillId="5" borderId="5" xfId="0" applyNumberFormat="1" applyFont="1" applyFill="1" applyBorder="1" applyAlignment="1">
      <alignment horizontal="center"/>
    </xf>
    <xf numFmtId="4" fontId="22" fillId="5" borderId="6" xfId="0" applyNumberFormat="1" applyFont="1" applyFill="1" applyBorder="1" applyAlignment="1">
      <alignment horizontal="center"/>
    </xf>
    <xf numFmtId="3" fontId="21" fillId="4" borderId="0" xfId="0" applyNumberFormat="1" applyFont="1" applyFill="1" applyAlignment="1">
      <alignment horizontal="center"/>
    </xf>
    <xf numFmtId="3" fontId="0" fillId="4" borderId="0" xfId="0" applyNumberFormat="1" applyFill="1" applyAlignment="1"/>
    <xf numFmtId="41" fontId="0" fillId="4" borderId="0" xfId="0" applyNumberFormat="1" applyFill="1" applyAlignment="1">
      <alignment horizontal="center"/>
    </xf>
    <xf numFmtId="41" fontId="21" fillId="4" borderId="0" xfId="0" applyNumberFormat="1" applyFont="1" applyFill="1" applyAlignment="1">
      <alignment horizontal="center"/>
    </xf>
    <xf numFmtId="0" fontId="20" fillId="4" borderId="0" xfId="0" applyFont="1" applyFill="1"/>
    <xf numFmtId="0" fontId="23" fillId="4" borderId="6" xfId="0" applyFont="1" applyFill="1" applyBorder="1" applyAlignment="1">
      <alignment horizontal="center" vertical="center"/>
    </xf>
    <xf numFmtId="167" fontId="23" fillId="4" borderId="11" xfId="0" applyNumberFormat="1" applyFont="1" applyFill="1" applyBorder="1" applyAlignment="1">
      <alignment horizontal="center" vertical="center"/>
    </xf>
    <xf numFmtId="167" fontId="23" fillId="4" borderId="12" xfId="0" applyNumberFormat="1" applyFont="1" applyFill="1" applyBorder="1" applyAlignment="1">
      <alignment horizontal="center" vertical="center"/>
    </xf>
    <xf numFmtId="167" fontId="23" fillId="4" borderId="9" xfId="0" applyNumberFormat="1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4" fillId="4" borderId="16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4" fontId="24" fillId="4" borderId="3" xfId="0" applyNumberFormat="1" applyFont="1" applyFill="1" applyBorder="1" applyAlignment="1">
      <alignment horizontal="center" vertical="center"/>
    </xf>
    <xf numFmtId="4" fontId="24" fillId="4" borderId="4" xfId="0" applyNumberFormat="1" applyFont="1" applyFill="1" applyBorder="1" applyAlignment="1">
      <alignment horizontal="center" vertical="center"/>
    </xf>
    <xf numFmtId="4" fontId="24" fillId="4" borderId="5" xfId="0" applyNumberFormat="1" applyFont="1" applyFill="1" applyBorder="1" applyAlignment="1">
      <alignment horizontal="center" vertical="center"/>
    </xf>
    <xf numFmtId="0" fontId="25" fillId="4" borderId="11" xfId="0" applyFont="1" applyFill="1" applyBorder="1" applyAlignment="1">
      <alignment horizontal="center" vertical="center"/>
    </xf>
    <xf numFmtId="0" fontId="25" fillId="4" borderId="12" xfId="0" applyFont="1" applyFill="1" applyBorder="1" applyAlignment="1">
      <alignment horizontal="center" vertical="center"/>
    </xf>
    <xf numFmtId="2" fontId="24" fillId="4" borderId="10" xfId="0" applyNumberFormat="1" applyFont="1" applyFill="1" applyBorder="1" applyAlignment="1">
      <alignment horizontal="center" vertical="center"/>
    </xf>
    <xf numFmtId="2" fontId="24" fillId="4" borderId="5" xfId="0" applyNumberFormat="1" applyFont="1" applyFill="1" applyBorder="1" applyAlignment="1">
      <alignment horizontal="center" vertical="center"/>
    </xf>
    <xf numFmtId="2" fontId="24" fillId="4" borderId="9" xfId="0" applyNumberFormat="1" applyFont="1" applyFill="1" applyBorder="1" applyAlignment="1">
      <alignment horizontal="center" vertical="center"/>
    </xf>
    <xf numFmtId="2" fontId="24" fillId="4" borderId="6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12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/>
    </xf>
    <xf numFmtId="0" fontId="24" fillId="6" borderId="11" xfId="0" applyFont="1" applyFill="1" applyBorder="1" applyAlignment="1">
      <alignment horizontal="center" vertical="center"/>
    </xf>
    <xf numFmtId="0" fontId="21" fillId="6" borderId="12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5" fillId="6" borderId="11" xfId="0" applyFont="1" applyFill="1" applyBorder="1" applyAlignment="1">
      <alignment horizontal="center" vertical="center"/>
    </xf>
    <xf numFmtId="0" fontId="25" fillId="6" borderId="12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 vertical="center"/>
    </xf>
    <xf numFmtId="1" fontId="21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0">
    <cellStyle name="Comma [0]" xfId="1" builtinId="6"/>
    <cellStyle name="Comma 2" xfId="9" xr:uid="{E30F6331-86E5-436E-8FE2-877BBE568342}"/>
    <cellStyle name="Comma 3 2" xfId="8" xr:uid="{FC7CFA9D-9350-47C3-822A-7C2D326BC110}"/>
    <cellStyle name="Excel Built-in Comma" xfId="6" xr:uid="{8ECB3A6C-6ABE-46CA-9536-68BCF1391EE3}"/>
    <cellStyle name="Normal" xfId="0" builtinId="0"/>
    <cellStyle name="Normal 2" xfId="4" xr:uid="{9E0ECC6B-3591-418F-BE0D-8CE623AE2575}"/>
    <cellStyle name="Normal 2 2" xfId="3" xr:uid="{7ACD779D-B8B8-4ABE-B796-B4FE859B0F37}"/>
    <cellStyle name="Normal 2 2 2" xfId="5" xr:uid="{0436A8B1-2C04-4C20-8CE4-FA3948278FE1}"/>
    <cellStyle name="Normal 3 10" xfId="7" xr:uid="{CA405A1B-537B-49FF-8211-FB1B01F1680A}"/>
    <cellStyle name="Normal 3 2" xfId="2" xr:uid="{FB19F021-E6B9-48A1-9D2D-2F51D91FF4C4}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%20YANI\laporan%20kinerja%20operasional\2022\Kertas%20kerja%20Kinop%20januari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P"/>
      <sheetName val="K"/>
      <sheetName val="TARA III 204"/>
      <sheetName val="M BHUM 292"/>
      <sheetName val="TARA III 203"/>
      <sheetName val=" medford 6OE"/>
      <sheetName val="TARA III 202"/>
      <sheetName val="M BHUM 291"/>
      <sheetName val=" TARA III 201"/>
      <sheetName val="TARA III 152"/>
      <sheetName val="medford 6GE"/>
      <sheetName val="Sheet1"/>
    </sheetNames>
    <sheetDataSet>
      <sheetData sheetId="0">
        <row r="8">
          <cell r="G8">
            <v>44562.322916666664</v>
          </cell>
          <cell r="H8">
            <v>44562.958333333336</v>
          </cell>
          <cell r="J8">
            <v>44562.958333333336</v>
          </cell>
          <cell r="L8">
            <v>44562.958333333336</v>
          </cell>
          <cell r="M8">
            <v>44562.958333333336</v>
          </cell>
          <cell r="N8">
            <v>44562.989583333336</v>
          </cell>
          <cell r="O8">
            <v>44563.068055555559</v>
          </cell>
          <cell r="P8">
            <v>44563.833333333336</v>
          </cell>
          <cell r="Q8">
            <v>44563.930555555555</v>
          </cell>
          <cell r="S8">
            <v>44563.951388888891</v>
          </cell>
        </row>
        <row r="9">
          <cell r="G9">
            <v>44563.117361111108</v>
          </cell>
          <cell r="H9">
            <v>44564.020833333336</v>
          </cell>
          <cell r="J9">
            <v>44564.020833333336</v>
          </cell>
          <cell r="L9">
            <v>44564.020833333336</v>
          </cell>
          <cell r="M9">
            <v>44564.020833333336</v>
          </cell>
          <cell r="N9">
            <v>44564.052083333336</v>
          </cell>
          <cell r="O9">
            <v>44564.12222222222</v>
          </cell>
          <cell r="P9">
            <v>44564.989583333336</v>
          </cell>
          <cell r="Q9">
            <v>44565.361111111109</v>
          </cell>
          <cell r="S9">
            <v>44565.381944444445</v>
          </cell>
        </row>
        <row r="10">
          <cell r="G10">
            <v>44568.756944444445</v>
          </cell>
          <cell r="H10">
            <v>44569.520833333336</v>
          </cell>
          <cell r="J10">
            <v>44569.520833333336</v>
          </cell>
          <cell r="L10">
            <v>44569.520833333336</v>
          </cell>
          <cell r="M10">
            <v>44569.520833333336</v>
          </cell>
          <cell r="N10">
            <v>44569.5625</v>
          </cell>
          <cell r="O10">
            <v>44569.606249999997</v>
          </cell>
          <cell r="P10">
            <v>44570.548611111109</v>
          </cell>
          <cell r="Q10">
            <v>44570.71875</v>
          </cell>
          <cell r="S10">
            <v>44570.736111111109</v>
          </cell>
        </row>
        <row r="11">
          <cell r="G11">
            <v>44573.373611111114</v>
          </cell>
          <cell r="H11">
            <v>44573.979166666664</v>
          </cell>
          <cell r="J11">
            <v>44573.979166666664</v>
          </cell>
          <cell r="L11">
            <v>44573.979166666664</v>
          </cell>
          <cell r="M11">
            <v>44573.982638888891</v>
          </cell>
          <cell r="N11">
            <v>44574.03125</v>
          </cell>
          <cell r="O11">
            <v>44574.086111111108</v>
          </cell>
          <cell r="P11">
            <v>44575.09375</v>
          </cell>
          <cell r="Q11">
            <v>44575.148611111108</v>
          </cell>
          <cell r="S11">
            <v>44575.165972222225</v>
          </cell>
        </row>
        <row r="12">
          <cell r="G12">
            <v>44576.5625</v>
          </cell>
          <cell r="H12">
            <v>44576.645833333336</v>
          </cell>
          <cell r="J12">
            <v>44576.645833333336</v>
          </cell>
          <cell r="L12">
            <v>44576.645833333336</v>
          </cell>
          <cell r="M12">
            <v>44576.645833333336</v>
          </cell>
          <cell r="N12">
            <v>44576.697916666664</v>
          </cell>
          <cell r="O12">
            <v>44576.740972222222</v>
          </cell>
          <cell r="P12">
            <v>44577.708333333336</v>
          </cell>
          <cell r="Q12">
            <v>44577.9375</v>
          </cell>
          <cell r="S12">
            <v>44577.957638888889</v>
          </cell>
        </row>
        <row r="13">
          <cell r="G13">
            <v>44580.927083333336</v>
          </cell>
          <cell r="H13">
            <v>44581.020833333336</v>
          </cell>
          <cell r="J13">
            <v>44581.020833333336</v>
          </cell>
          <cell r="L13">
            <v>44581.020833333336</v>
          </cell>
          <cell r="M13">
            <v>44581.024305555555</v>
          </cell>
          <cell r="N13">
            <v>44581.069444444445</v>
          </cell>
          <cell r="O13">
            <v>44581.115972222222</v>
          </cell>
          <cell r="P13">
            <v>44581.920138888891</v>
          </cell>
          <cell r="Q13">
            <v>44582.05972222222</v>
          </cell>
          <cell r="S13">
            <v>44582.079861111109</v>
          </cell>
        </row>
        <row r="14">
          <cell r="G14">
            <v>44583.316666666666</v>
          </cell>
          <cell r="H14">
            <v>44583.541666666664</v>
          </cell>
          <cell r="J14">
            <v>44583.541666666664</v>
          </cell>
          <cell r="L14">
            <v>44583.541666666664</v>
          </cell>
          <cell r="M14">
            <v>44583.541666666664</v>
          </cell>
          <cell r="N14">
            <v>44583.579861111109</v>
          </cell>
          <cell r="O14">
            <v>44583.604861111111</v>
          </cell>
          <cell r="P14">
            <v>44584.229166666664</v>
          </cell>
          <cell r="Q14">
            <v>44584.645833333336</v>
          </cell>
          <cell r="S14">
            <v>44584.663194444445</v>
          </cell>
        </row>
        <row r="15">
          <cell r="G15">
            <v>44588.576388888891</v>
          </cell>
          <cell r="H15">
            <v>44588.625</v>
          </cell>
          <cell r="J15">
            <v>44588.625</v>
          </cell>
          <cell r="L15">
            <v>44588.625</v>
          </cell>
          <cell r="M15">
            <v>44588.625</v>
          </cell>
          <cell r="N15">
            <v>44588.666666666664</v>
          </cell>
          <cell r="O15">
            <v>44588.715277777781</v>
          </cell>
          <cell r="P15">
            <v>44589.444444444445</v>
          </cell>
          <cell r="Q15">
            <v>44589.604166666664</v>
          </cell>
          <cell r="S15">
            <v>44589.621527777781</v>
          </cell>
        </row>
        <row r="16">
          <cell r="G16">
            <v>44590.25</v>
          </cell>
          <cell r="H16">
            <v>44590.458333333336</v>
          </cell>
          <cell r="J16">
            <v>44590.458333333336</v>
          </cell>
          <cell r="L16">
            <v>44590.458333333336</v>
          </cell>
          <cell r="M16">
            <v>44590.46875</v>
          </cell>
          <cell r="N16">
            <v>44590.510416666664</v>
          </cell>
          <cell r="O16">
            <v>44590.584722222222</v>
          </cell>
          <cell r="P16">
            <v>44591.301388888889</v>
          </cell>
          <cell r="Q16">
            <v>44591.5625</v>
          </cell>
          <cell r="S16">
            <v>44591.579861111109</v>
          </cell>
        </row>
      </sheetData>
      <sheetData sheetId="1"/>
      <sheetData sheetId="2">
        <row r="7">
          <cell r="J7">
            <v>0.51</v>
          </cell>
        </row>
        <row r="12">
          <cell r="AA12">
            <v>14.759075907556735</v>
          </cell>
          <cell r="AB12">
            <v>22.644887631260172</v>
          </cell>
          <cell r="AC12">
            <v>23.912218420118837</v>
          </cell>
        </row>
      </sheetData>
      <sheetData sheetId="3">
        <row r="7">
          <cell r="J7">
            <v>0.42000000000000004</v>
          </cell>
        </row>
        <row r="12">
          <cell r="AA12">
            <v>20.844444444444445</v>
          </cell>
          <cell r="AB12">
            <v>26.799999999999997</v>
          </cell>
          <cell r="AC12">
            <v>27.123869812275693</v>
          </cell>
        </row>
      </sheetData>
      <sheetData sheetId="4">
        <row r="7">
          <cell r="J7">
            <v>0.82</v>
          </cell>
        </row>
        <row r="12">
          <cell r="AA12">
            <v>12.325732898976062</v>
          </cell>
          <cell r="AB12">
            <v>25.91884953809647</v>
          </cell>
          <cell r="AC12">
            <v>28.081063056137285</v>
          </cell>
        </row>
      </sheetData>
      <sheetData sheetId="5">
        <row r="7">
          <cell r="J7">
            <v>0.18000000000000002</v>
          </cell>
        </row>
        <row r="12">
          <cell r="AA12">
            <v>16.521739130477943</v>
          </cell>
          <cell r="AB12">
            <v>20.603312299187294</v>
          </cell>
          <cell r="AC12">
            <v>21.086623100072543</v>
          </cell>
        </row>
      </sheetData>
      <sheetData sheetId="6">
        <row r="7">
          <cell r="J7">
            <v>0</v>
          </cell>
        </row>
        <row r="12">
          <cell r="AA12">
            <v>14.745098039186837</v>
          </cell>
          <cell r="AB12">
            <v>22.5222634994347</v>
          </cell>
          <cell r="AC12">
            <v>23.188283632257566</v>
          </cell>
        </row>
      </sheetData>
      <sheetData sheetId="7">
        <row r="7">
          <cell r="J7">
            <v>3</v>
          </cell>
        </row>
        <row r="12">
          <cell r="AA12">
            <v>13.088875077723991</v>
          </cell>
          <cell r="AB12">
            <v>24.581508113916399</v>
          </cell>
          <cell r="AC12">
            <v>26.636208452730035</v>
          </cell>
        </row>
      </sheetData>
      <sheetData sheetId="8">
        <row r="12">
          <cell r="AA12">
            <v>16.048048048048049</v>
          </cell>
          <cell r="AB12">
            <v>24.106779399113034</v>
          </cell>
          <cell r="AC12">
            <v>25.639311858865415</v>
          </cell>
          <cell r="AE12">
            <v>3.1100000000000003</v>
          </cell>
        </row>
      </sheetData>
      <sheetData sheetId="9">
        <row r="12">
          <cell r="AA12">
            <v>15.161803713574669</v>
          </cell>
          <cell r="AB12">
            <v>23.257548289762394</v>
          </cell>
          <cell r="AC12">
            <v>25.038741447006213</v>
          </cell>
          <cell r="AE12">
            <v>2.5900000000000003</v>
          </cell>
        </row>
      </sheetData>
      <sheetData sheetId="10">
        <row r="12">
          <cell r="AA12">
            <v>13.62361623620918</v>
          </cell>
          <cell r="AB12">
            <v>22.598265988527022</v>
          </cell>
          <cell r="AC12">
            <v>23.917447923846137</v>
          </cell>
          <cell r="AE12">
            <v>0.47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6810-64B2-414F-8996-5220876D3543}">
  <sheetPr>
    <tabColor rgb="FFCC99FF"/>
  </sheetPr>
  <dimension ref="A1:BC23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T20" sqref="T20"/>
    </sheetView>
  </sheetViews>
  <sheetFormatPr defaultRowHeight="14.5" x14ac:dyDescent="0.35"/>
  <cols>
    <col min="1" max="1" width="1.1796875" style="89" customWidth="1"/>
    <col min="2" max="2" width="3" style="90" hidden="1" customWidth="1"/>
    <col min="3" max="3" width="5.1796875" style="103" bestFit="1" customWidth="1"/>
    <col min="4" max="4" width="18.1796875" style="104" bestFit="1" customWidth="1"/>
    <col min="5" max="5" width="8.81640625" style="103" bestFit="1" customWidth="1"/>
    <col min="6" max="6" width="11.90625" style="103" bestFit="1" customWidth="1"/>
    <col min="7" max="7" width="10.1796875" style="103" customWidth="1"/>
    <col min="8" max="8" width="5.1796875" style="103" bestFit="1" customWidth="1"/>
    <col min="9" max="9" width="14.90625" style="106" bestFit="1" customWidth="1"/>
    <col min="10" max="10" width="5.453125" style="106" bestFit="1" customWidth="1"/>
    <col min="11" max="11" width="10" style="107" bestFit="1" customWidth="1"/>
    <col min="12" max="12" width="10" style="107" customWidth="1"/>
    <col min="13" max="13" width="12" style="93" customWidth="1"/>
    <col min="14" max="14" width="10" style="93" customWidth="1"/>
    <col min="15" max="15" width="10.1796875" style="93" customWidth="1"/>
    <col min="16" max="17" width="9.1796875" style="94" customWidth="1"/>
    <col min="18" max="18" width="8.81640625" style="101" customWidth="1"/>
    <col min="19" max="19" width="8.54296875" style="101" customWidth="1"/>
    <col min="20" max="20" width="9.54296875" style="94" customWidth="1"/>
    <col min="21" max="21" width="8.54296875" style="94" customWidth="1"/>
    <col min="22" max="22" width="11.54296875" style="94" bestFit="1" customWidth="1"/>
    <col min="23" max="23" width="9.1796875" style="94" customWidth="1"/>
    <col min="24" max="24" width="9.1796875" style="94" hidden="1" customWidth="1"/>
    <col min="25" max="25" width="8.1796875" style="101" customWidth="1"/>
    <col min="26" max="35" width="8.81640625" style="101" customWidth="1"/>
    <col min="36" max="36" width="29.1796875" style="102" customWidth="1"/>
    <col min="37" max="37" width="31" style="93" customWidth="1"/>
    <col min="38" max="39" width="8.90625" style="94"/>
    <col min="40" max="41" width="8.90625" style="95"/>
    <col min="42" max="42" width="8.90625" style="94"/>
    <col min="43" max="45" width="8.90625" style="95"/>
    <col min="46" max="46" width="8.90625" style="96"/>
    <col min="47" max="47" width="8.90625" style="97"/>
  </cols>
  <sheetData>
    <row r="1" spans="1:55" ht="20" x14ac:dyDescent="0.4">
      <c r="B1" s="90">
        <v>23.99</v>
      </c>
      <c r="C1" s="194" t="s">
        <v>90</v>
      </c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91" t="s">
        <v>91</v>
      </c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2"/>
    </row>
    <row r="2" spans="1:55" ht="20" x14ac:dyDescent="0.4">
      <c r="C2" s="98" t="s">
        <v>92</v>
      </c>
      <c r="D2" s="98"/>
      <c r="E2" s="98"/>
      <c r="F2" s="99"/>
      <c r="G2" s="100">
        <f>SUM(G8:G16)</f>
        <v>186909</v>
      </c>
      <c r="H2" s="101"/>
      <c r="I2" s="101"/>
      <c r="J2" s="101"/>
      <c r="K2" s="100">
        <f>SUM(K8:K16)</f>
        <v>9947</v>
      </c>
      <c r="L2" s="100">
        <f>SUM(L8:L16)</f>
        <v>12543</v>
      </c>
      <c r="M2" s="101">
        <f>SUM(M8:M16)</f>
        <v>10082</v>
      </c>
      <c r="N2" s="101">
        <f t="shared" ref="N2:Z2" si="0">AVERAGE(N8:N16)</f>
        <v>9.5129629629858155</v>
      </c>
      <c r="O2" s="101">
        <f t="shared" si="0"/>
        <v>4.6296296291984618E-2</v>
      </c>
      <c r="P2" s="101">
        <f t="shared" si="0"/>
        <v>0</v>
      </c>
      <c r="Q2" s="101">
        <f t="shared" si="0"/>
        <v>4.6296296291984618E-2</v>
      </c>
      <c r="R2" s="101">
        <f t="shared" si="0"/>
        <v>1.4407407407416031</v>
      </c>
      <c r="S2" s="101">
        <f t="shared" si="0"/>
        <v>26.157407407396629</v>
      </c>
      <c r="T2" s="101">
        <f t="shared" si="0"/>
        <v>19.798148148169275</v>
      </c>
      <c r="U2" s="101">
        <f t="shared" si="0"/>
        <v>1.2333333333333334</v>
      </c>
      <c r="V2" s="101">
        <f t="shared" si="0"/>
        <v>6.3592592592273531</v>
      </c>
      <c r="W2" s="101">
        <f t="shared" si="0"/>
        <v>18.564814814835945</v>
      </c>
      <c r="X2" s="101">
        <f t="shared" si="0"/>
        <v>37.616666666675883</v>
      </c>
      <c r="Y2" s="101">
        <f t="shared" si="0"/>
        <v>37.157407407416031</v>
      </c>
      <c r="Z2" s="101">
        <f t="shared" si="0"/>
        <v>1.5482253086423345</v>
      </c>
      <c r="AA2" s="101">
        <f>AVERAGE(AA8:AA16)</f>
        <v>23.670379417699721</v>
      </c>
      <c r="AB2" s="101">
        <f t="shared" ref="AB2:AI2" si="1">AVERAGE(AB8:AB16)</f>
        <v>15.235381499577544</v>
      </c>
      <c r="AC2" s="101">
        <f t="shared" si="1"/>
        <v>23.670379417699721</v>
      </c>
      <c r="AD2" s="101">
        <f t="shared" si="1"/>
        <v>24.958196411478859</v>
      </c>
      <c r="AE2" s="101">
        <f t="shared" si="1"/>
        <v>42.855534700599136</v>
      </c>
      <c r="AF2" s="101">
        <f t="shared" si="1"/>
        <v>42.855534700599136</v>
      </c>
      <c r="AG2" s="101">
        <f t="shared" si="1"/>
        <v>57.149312432127239</v>
      </c>
      <c r="AH2" s="101">
        <f t="shared" si="1"/>
        <v>60.932983238177975</v>
      </c>
      <c r="AI2" s="101">
        <f t="shared" si="1"/>
        <v>71.378923712546396</v>
      </c>
      <c r="AT2" s="96">
        <f>100127/13517</f>
        <v>7.4074868683879558</v>
      </c>
    </row>
    <row r="3" spans="1:55" x14ac:dyDescent="0.35">
      <c r="I3" s="105" t="s">
        <v>93</v>
      </c>
      <c r="U3" s="108"/>
      <c r="Y3" s="109"/>
      <c r="AT3" s="96">
        <f>28674/13458</f>
        <v>2.13062862238074</v>
      </c>
    </row>
    <row r="4" spans="1:55" s="121" customFormat="1" ht="15" x14ac:dyDescent="0.35">
      <c r="A4" s="110"/>
      <c r="B4" s="111"/>
      <c r="C4" s="195" t="s">
        <v>94</v>
      </c>
      <c r="D4" s="195" t="s">
        <v>95</v>
      </c>
      <c r="E4" s="195" t="s">
        <v>96</v>
      </c>
      <c r="F4" s="195" t="s">
        <v>97</v>
      </c>
      <c r="G4" s="112"/>
      <c r="H4" s="112"/>
      <c r="I4" s="196" t="s">
        <v>98</v>
      </c>
      <c r="J4" s="195" t="s">
        <v>99</v>
      </c>
      <c r="K4" s="199" t="s">
        <v>100</v>
      </c>
      <c r="L4" s="200"/>
      <c r="M4" s="113" t="s">
        <v>101</v>
      </c>
      <c r="N4" s="203" t="s">
        <v>34</v>
      </c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5"/>
      <c r="AA4" s="216" t="s">
        <v>102</v>
      </c>
      <c r="AB4" s="206" t="s">
        <v>102</v>
      </c>
      <c r="AC4" s="206" t="s">
        <v>102</v>
      </c>
      <c r="AD4" s="206" t="s">
        <v>102</v>
      </c>
      <c r="AE4" s="219" t="s">
        <v>103</v>
      </c>
      <c r="AF4" s="206" t="s">
        <v>103</v>
      </c>
      <c r="AG4" s="206" t="s">
        <v>103</v>
      </c>
      <c r="AH4" s="206" t="s">
        <v>103</v>
      </c>
      <c r="AI4" s="114"/>
      <c r="AJ4" s="115"/>
      <c r="AK4" s="116"/>
      <c r="AL4" s="117"/>
      <c r="AM4" s="117"/>
      <c r="AN4" s="118"/>
      <c r="AO4" s="118"/>
      <c r="AP4" s="117"/>
      <c r="AQ4" s="118"/>
      <c r="AR4" s="118"/>
      <c r="AS4" s="118"/>
      <c r="AT4" s="119"/>
      <c r="AU4" s="120"/>
    </row>
    <row r="5" spans="1:55" ht="15" x14ac:dyDescent="0.35">
      <c r="C5" s="195"/>
      <c r="D5" s="195"/>
      <c r="E5" s="195"/>
      <c r="F5" s="195"/>
      <c r="G5" s="122" t="s">
        <v>104</v>
      </c>
      <c r="H5" s="122" t="s">
        <v>105</v>
      </c>
      <c r="I5" s="197"/>
      <c r="J5" s="195"/>
      <c r="K5" s="201"/>
      <c r="L5" s="202"/>
      <c r="M5" s="123" t="s">
        <v>106</v>
      </c>
      <c r="N5" s="208" t="s">
        <v>107</v>
      </c>
      <c r="O5" s="124" t="s">
        <v>108</v>
      </c>
      <c r="P5" s="124" t="s">
        <v>108</v>
      </c>
      <c r="Q5" s="124" t="s">
        <v>109</v>
      </c>
      <c r="R5" s="208" t="s">
        <v>110</v>
      </c>
      <c r="S5" s="210" t="s">
        <v>111</v>
      </c>
      <c r="T5" s="212" t="s">
        <v>112</v>
      </c>
      <c r="U5" s="214" t="s">
        <v>113</v>
      </c>
      <c r="V5" s="212" t="s">
        <v>114</v>
      </c>
      <c r="W5" s="212" t="s">
        <v>115</v>
      </c>
      <c r="X5" s="125"/>
      <c r="Y5" s="215" t="s">
        <v>116</v>
      </c>
      <c r="Z5" s="209"/>
      <c r="AA5" s="217"/>
      <c r="AB5" s="207"/>
      <c r="AC5" s="207"/>
      <c r="AD5" s="207"/>
      <c r="AE5" s="220"/>
      <c r="AF5" s="207"/>
      <c r="AG5" s="207"/>
      <c r="AH5" s="207"/>
      <c r="AI5" s="126" t="s">
        <v>117</v>
      </c>
      <c r="AJ5" s="127" t="s">
        <v>118</v>
      </c>
      <c r="AK5" s="116"/>
      <c r="AT5" s="96">
        <f>102942/12794</f>
        <v>8.0461153665780838</v>
      </c>
    </row>
    <row r="6" spans="1:55" ht="14.4" customHeight="1" x14ac:dyDescent="0.35">
      <c r="C6" s="195"/>
      <c r="D6" s="195"/>
      <c r="E6" s="195"/>
      <c r="F6" s="195"/>
      <c r="G6" s="128"/>
      <c r="H6" s="128"/>
      <c r="I6" s="198"/>
      <c r="J6" s="195"/>
      <c r="K6" s="129" t="s">
        <v>101</v>
      </c>
      <c r="L6" s="130" t="s">
        <v>119</v>
      </c>
      <c r="M6" s="131" t="s">
        <v>99</v>
      </c>
      <c r="N6" s="209"/>
      <c r="O6" s="132" t="s">
        <v>120</v>
      </c>
      <c r="P6" s="133" t="s">
        <v>121</v>
      </c>
      <c r="Q6" s="132" t="s">
        <v>108</v>
      </c>
      <c r="R6" s="209"/>
      <c r="S6" s="211"/>
      <c r="T6" s="213"/>
      <c r="U6" s="212"/>
      <c r="V6" s="213"/>
      <c r="W6" s="213"/>
      <c r="X6" s="130"/>
      <c r="Y6" s="134" t="s">
        <v>122</v>
      </c>
      <c r="Z6" s="134" t="s">
        <v>123</v>
      </c>
      <c r="AA6" s="218"/>
      <c r="AB6" s="135" t="s">
        <v>111</v>
      </c>
      <c r="AC6" s="135" t="s">
        <v>112</v>
      </c>
      <c r="AD6" s="135" t="s">
        <v>115</v>
      </c>
      <c r="AE6" s="221"/>
      <c r="AF6" s="135" t="s">
        <v>111</v>
      </c>
      <c r="AG6" s="135" t="s">
        <v>112</v>
      </c>
      <c r="AH6" s="135" t="s">
        <v>115</v>
      </c>
      <c r="AI6" s="135"/>
      <c r="AJ6" s="136"/>
      <c r="AK6" s="116"/>
      <c r="AP6" s="94" t="s">
        <v>124</v>
      </c>
      <c r="AT6" s="96">
        <f>35401/15077</f>
        <v>2.3480135305432115</v>
      </c>
    </row>
    <row r="7" spans="1:55" ht="6.75" customHeight="1" x14ac:dyDescent="0.35">
      <c r="C7" s="137"/>
      <c r="D7" s="138"/>
      <c r="E7" s="137"/>
      <c r="F7" s="137"/>
      <c r="G7" s="137"/>
      <c r="H7" s="137"/>
      <c r="I7" s="139"/>
      <c r="J7" s="139"/>
      <c r="K7" s="140"/>
      <c r="L7" s="140"/>
      <c r="M7" s="141"/>
      <c r="N7" s="141"/>
      <c r="O7" s="141"/>
      <c r="P7" s="142"/>
      <c r="Q7" s="142"/>
      <c r="R7" s="143"/>
      <c r="S7" s="143"/>
      <c r="T7" s="142"/>
      <c r="U7" s="142"/>
      <c r="V7" s="142"/>
      <c r="W7" s="142"/>
      <c r="X7" s="142"/>
      <c r="Y7" s="143"/>
      <c r="Z7" s="143"/>
      <c r="AA7" s="143"/>
      <c r="AB7" s="143"/>
      <c r="AC7" s="143"/>
      <c r="AD7" s="143"/>
      <c r="AE7" s="143"/>
      <c r="AF7" s="143"/>
      <c r="AG7" s="143"/>
      <c r="AH7" s="144"/>
      <c r="AI7" s="144"/>
      <c r="AJ7" s="136"/>
    </row>
    <row r="8" spans="1:55" x14ac:dyDescent="0.35">
      <c r="B8" s="145">
        <f>R8/2</f>
        <v>0.62500000002910383</v>
      </c>
      <c r="C8" s="146">
        <v>1</v>
      </c>
      <c r="D8" s="147" t="s">
        <v>125</v>
      </c>
      <c r="E8" s="148" t="s">
        <v>79</v>
      </c>
      <c r="F8" s="149" t="s">
        <v>126</v>
      </c>
      <c r="G8" s="150">
        <v>14308</v>
      </c>
      <c r="H8" s="151">
        <v>155</v>
      </c>
      <c r="I8" s="152">
        <f>[1]LP!N8</f>
        <v>44562.989583333336</v>
      </c>
      <c r="J8" s="153">
        <v>13</v>
      </c>
      <c r="K8" s="154">
        <f>448+506</f>
        <v>954</v>
      </c>
      <c r="L8" s="154">
        <v>1342</v>
      </c>
      <c r="M8" s="154">
        <f>K8+J8</f>
        <v>967</v>
      </c>
      <c r="N8" s="155">
        <f>([1]LP!H8-[1]LP!G8)*24</f>
        <v>15.250000000116415</v>
      </c>
      <c r="O8" s="155">
        <f>([1]LP!M8-[1]LP!L8)*24</f>
        <v>0</v>
      </c>
      <c r="P8" s="156">
        <f>([1]LP!J8-[1]LP!H8)*24</f>
        <v>0</v>
      </c>
      <c r="Q8" s="143">
        <f t="shared" ref="Q8:Q16" si="2">P8+O8</f>
        <v>0</v>
      </c>
      <c r="R8" s="157">
        <f>(([1]LP!N8-[1]LP!M8)+([1]LP!S8-[1]LP!Q8))*24</f>
        <v>1.2500000000582077</v>
      </c>
      <c r="S8" s="156">
        <f>([1]LP!Q8-[1]LP!N8)*24</f>
        <v>22.583333333255723</v>
      </c>
      <c r="T8" s="156">
        <f>([1]LP!P8-[1]LP!O8)*24</f>
        <v>18.366666666639503</v>
      </c>
      <c r="U8" s="156">
        <f>'[1]medford 6GE'!AE12</f>
        <v>0.47</v>
      </c>
      <c r="V8" s="156">
        <f>S8-T8</f>
        <v>4.21666666661622</v>
      </c>
      <c r="W8" s="156">
        <f>T8-U8</f>
        <v>17.896666666639504</v>
      </c>
      <c r="X8" s="156">
        <f>N8+Q8+R8+S8</f>
        <v>39.083333333430346</v>
      </c>
      <c r="Y8" s="156">
        <f>([1]LP!S8-[1]LP!G8)*24</f>
        <v>39.083333333430346</v>
      </c>
      <c r="Z8" s="156">
        <f>Y8/24</f>
        <v>1.6284722222262644</v>
      </c>
      <c r="AA8" s="156">
        <f t="shared" ref="AA8:AA15" si="3">AC8</f>
        <v>22.598265988527022</v>
      </c>
      <c r="AB8" s="156">
        <f>'[1]medford 6GE'!AA12</f>
        <v>13.62361623620918</v>
      </c>
      <c r="AC8" s="156">
        <f>'[1]medford 6GE'!AB12</f>
        <v>22.598265988527022</v>
      </c>
      <c r="AD8" s="156">
        <f>'[1]medford 6GE'!AC12</f>
        <v>23.917447923846137</v>
      </c>
      <c r="AE8" s="156">
        <f>AF8</f>
        <v>42.819188192029074</v>
      </c>
      <c r="AF8" s="156">
        <f t="shared" ref="AF8:AF16" si="4">(M8/S8)</f>
        <v>42.819188192029074</v>
      </c>
      <c r="AG8" s="156">
        <f t="shared" ref="AG8:AG16" si="5">M8/T8</f>
        <v>52.649727767772966</v>
      </c>
      <c r="AH8" s="156">
        <f>M8/W8</f>
        <v>54.032408269778415</v>
      </c>
      <c r="AI8" s="156">
        <f>W8/S8*100</f>
        <v>79.247232472476796</v>
      </c>
      <c r="AJ8" s="158"/>
      <c r="AK8" s="159"/>
      <c r="AP8" s="94" t="e">
        <f>IF(#REF!&gt;=24,"OK","NO")</f>
        <v>#REF!</v>
      </c>
      <c r="AS8" s="156">
        <v>0</v>
      </c>
      <c r="AT8" s="160">
        <v>0</v>
      </c>
      <c r="AU8" s="160">
        <v>0</v>
      </c>
      <c r="AV8" s="161">
        <v>0</v>
      </c>
      <c r="AW8" s="161">
        <v>0</v>
      </c>
      <c r="AX8" s="161">
        <v>0</v>
      </c>
      <c r="AY8" s="161">
        <v>0</v>
      </c>
      <c r="AZ8" s="161">
        <v>0</v>
      </c>
      <c r="BA8" s="161">
        <v>0</v>
      </c>
      <c r="BB8" s="161">
        <v>0</v>
      </c>
      <c r="BC8" s="161">
        <v>0</v>
      </c>
    </row>
    <row r="9" spans="1:55" x14ac:dyDescent="0.35">
      <c r="B9" s="145">
        <f t="shared" ref="B9:B16" si="6">R9/2</f>
        <v>0.62500000002910383</v>
      </c>
      <c r="C9" s="146">
        <v>2</v>
      </c>
      <c r="D9" s="162" t="s">
        <v>127</v>
      </c>
      <c r="E9" s="163" t="s">
        <v>80</v>
      </c>
      <c r="F9" s="164" t="s">
        <v>128</v>
      </c>
      <c r="G9" s="165">
        <v>27227</v>
      </c>
      <c r="H9" s="166">
        <v>200</v>
      </c>
      <c r="I9" s="167">
        <f>[1]LP!N9</f>
        <v>44564.052083333336</v>
      </c>
      <c r="J9" s="168">
        <v>24</v>
      </c>
      <c r="K9" s="169">
        <f>972+419</f>
        <v>1391</v>
      </c>
      <c r="L9" s="169">
        <v>1646</v>
      </c>
      <c r="M9" s="169">
        <f t="shared" ref="M9:M15" si="7">K9+J9</f>
        <v>1415</v>
      </c>
      <c r="N9" s="170">
        <f>([1]LP!H9-[1]LP!G9)*24</f>
        <v>21.683333333465271</v>
      </c>
      <c r="O9" s="170">
        <f>([1]LP!M9-[1]LP!L9)*24</f>
        <v>0</v>
      </c>
      <c r="P9" s="171">
        <f>([1]LP!J9-[1]LP!H9)*24</f>
        <v>0</v>
      </c>
      <c r="Q9" s="172">
        <f t="shared" si="2"/>
        <v>0</v>
      </c>
      <c r="R9" s="173">
        <f>(([1]LP!N9-[1]LP!M9)+([1]LP!S9-[1]LP!Q9))*24</f>
        <v>1.2500000000582077</v>
      </c>
      <c r="S9" s="171">
        <f>([1]LP!Q9-[1]LP!N9)*24</f>
        <v>31.416666666569654</v>
      </c>
      <c r="T9" s="171">
        <f>([1]LP!P9-[1]LP!O9)*24</f>
        <v>20.81666666676756</v>
      </c>
      <c r="U9" s="171">
        <f>'[1]TARA III 152'!AE12</f>
        <v>2.5900000000000003</v>
      </c>
      <c r="V9" s="171">
        <f>S9-T9</f>
        <v>10.599999999802094</v>
      </c>
      <c r="W9" s="171">
        <f>T9-U9</f>
        <v>18.22666666676756</v>
      </c>
      <c r="X9" s="171">
        <f t="shared" ref="X9:X16" si="8">N9+Q9+R9+S9</f>
        <v>54.350000000093132</v>
      </c>
      <c r="Y9" s="171">
        <f>([1]LP!S9-[1]LP!G9)*24</f>
        <v>54.350000000093132</v>
      </c>
      <c r="Z9" s="171">
        <f>Y9/24</f>
        <v>2.2645833333372138</v>
      </c>
      <c r="AA9" s="171">
        <f t="shared" si="3"/>
        <v>23.257548289762394</v>
      </c>
      <c r="AB9" s="171">
        <f>'[1]TARA III 152'!AA12</f>
        <v>15.161803713574669</v>
      </c>
      <c r="AC9" s="171">
        <f>'[1]TARA III 152'!AB12</f>
        <v>23.257548289762394</v>
      </c>
      <c r="AD9" s="171">
        <f>'[1]TARA III 152'!AC12</f>
        <v>25.038741447006213</v>
      </c>
      <c r="AE9" s="171">
        <f t="shared" ref="AE9:AE16" si="9">AF9</f>
        <v>45.039787798547572</v>
      </c>
      <c r="AF9" s="171">
        <f t="shared" si="4"/>
        <v>45.039787798547572</v>
      </c>
      <c r="AG9" s="171">
        <f t="shared" si="5"/>
        <v>67.974379503273425</v>
      </c>
      <c r="AH9" s="171">
        <f t="shared" ref="AH9:AH16" si="10">M9/W9</f>
        <v>77.633504022979182</v>
      </c>
      <c r="AI9" s="171">
        <f t="shared" ref="AI9:AI16" si="11">W9/S9*100</f>
        <v>58.015915119863692</v>
      </c>
      <c r="AJ9" s="174"/>
      <c r="AK9" s="159" t="s">
        <v>129</v>
      </c>
      <c r="AP9" s="94" t="e">
        <f>IF(#REF!&gt;=24,"OK","NO")</f>
        <v>#REF!</v>
      </c>
      <c r="AS9" s="156">
        <v>0</v>
      </c>
      <c r="AT9" s="160">
        <v>0</v>
      </c>
      <c r="AU9" s="160">
        <v>0</v>
      </c>
      <c r="AV9" s="161">
        <v>0</v>
      </c>
      <c r="AW9" s="161">
        <v>0</v>
      </c>
      <c r="AX9" s="161">
        <v>0</v>
      </c>
      <c r="AY9" s="161">
        <v>0</v>
      </c>
      <c r="AZ9" s="161">
        <v>0</v>
      </c>
      <c r="BA9" s="161">
        <v>0</v>
      </c>
      <c r="BB9" s="161">
        <v>0</v>
      </c>
      <c r="BC9" s="161">
        <v>0</v>
      </c>
    </row>
    <row r="10" spans="1:55" x14ac:dyDescent="0.35">
      <c r="B10" s="145">
        <f t="shared" si="6"/>
        <v>0.70833333328482695</v>
      </c>
      <c r="C10" s="146">
        <v>3</v>
      </c>
      <c r="D10" s="162" t="s">
        <v>127</v>
      </c>
      <c r="E10" s="163" t="s">
        <v>81</v>
      </c>
      <c r="F10" s="164" t="s">
        <v>128</v>
      </c>
      <c r="G10" s="165">
        <v>27227</v>
      </c>
      <c r="H10" s="166">
        <v>200</v>
      </c>
      <c r="I10" s="167">
        <f>[1]LP!N10</f>
        <v>44569.5625</v>
      </c>
      <c r="J10" s="168">
        <v>18</v>
      </c>
      <c r="K10" s="169">
        <f>681+622</f>
        <v>1303</v>
      </c>
      <c r="L10" s="169">
        <v>1552</v>
      </c>
      <c r="M10" s="169">
        <f t="shared" si="7"/>
        <v>1321</v>
      </c>
      <c r="N10" s="170">
        <f>([1]LP!H10-[1]LP!G10)*24</f>
        <v>18.333333333372138</v>
      </c>
      <c r="O10" s="170">
        <f>([1]LP!M10-[1]LP!L10)*24</f>
        <v>0</v>
      </c>
      <c r="P10" s="171">
        <f>([1]LP!J10-[1]LP!H10)*24</f>
        <v>0</v>
      </c>
      <c r="Q10" s="172">
        <f t="shared" si="2"/>
        <v>0</v>
      </c>
      <c r="R10" s="173">
        <f>(([1]LP!N10-[1]LP!M10)+([1]LP!S10-[1]LP!Q10))*24</f>
        <v>1.4166666665696539</v>
      </c>
      <c r="S10" s="171">
        <f>([1]LP!Q10-[1]LP!N10)*24</f>
        <v>27.75</v>
      </c>
      <c r="T10" s="171">
        <f>([1]LP!P10-[1]LP!O10)*24</f>
        <v>22.616666666697711</v>
      </c>
      <c r="U10" s="171">
        <f>'[1] TARA III 201'!AE12</f>
        <v>3.1100000000000003</v>
      </c>
      <c r="V10" s="171">
        <f t="shared" ref="V10:W16" si="12">S10-T10</f>
        <v>5.1333333333022892</v>
      </c>
      <c r="W10" s="171">
        <f t="shared" si="12"/>
        <v>19.506666666697711</v>
      </c>
      <c r="X10" s="171">
        <f t="shared" si="8"/>
        <v>47.499999999941792</v>
      </c>
      <c r="Y10" s="171">
        <f>([1]LP!S10-[1]LP!G10)*24</f>
        <v>47.499999999941792</v>
      </c>
      <c r="Z10" s="171">
        <f>Y10/24</f>
        <v>1.9791666666642413</v>
      </c>
      <c r="AA10" s="171">
        <f t="shared" si="3"/>
        <v>24.106779399113034</v>
      </c>
      <c r="AB10" s="171">
        <f>'[1] TARA III 201'!AA12</f>
        <v>16.048048048048049</v>
      </c>
      <c r="AC10" s="171">
        <f>'[1] TARA III 201'!AB12</f>
        <v>24.106779399113034</v>
      </c>
      <c r="AD10" s="171">
        <f>'[1] TARA III 201'!AC12</f>
        <v>25.639311858865415</v>
      </c>
      <c r="AE10" s="171">
        <f t="shared" si="9"/>
        <v>47.603603603603602</v>
      </c>
      <c r="AF10" s="171">
        <f t="shared" si="4"/>
        <v>47.603603603603602</v>
      </c>
      <c r="AG10" s="171">
        <f t="shared" si="5"/>
        <v>58.408253500288289</v>
      </c>
      <c r="AH10" s="171">
        <f t="shared" si="10"/>
        <v>67.720437457171784</v>
      </c>
      <c r="AI10" s="171">
        <f t="shared" si="11"/>
        <v>70.294294294406171</v>
      </c>
      <c r="AJ10" s="174"/>
      <c r="AK10" s="159"/>
      <c r="AP10" s="94" t="e">
        <f>IF(#REF!&gt;=24,"OK","NO")</f>
        <v>#REF!</v>
      </c>
      <c r="AS10" s="156">
        <v>0</v>
      </c>
      <c r="AT10" s="160">
        <v>0</v>
      </c>
      <c r="AU10" s="160">
        <v>0</v>
      </c>
      <c r="AV10" s="161">
        <v>0</v>
      </c>
      <c r="AW10" s="161">
        <v>0</v>
      </c>
      <c r="AX10" s="161">
        <v>0</v>
      </c>
      <c r="AY10" s="161">
        <v>0</v>
      </c>
      <c r="AZ10" s="161">
        <v>0</v>
      </c>
      <c r="BA10" s="161">
        <v>0</v>
      </c>
      <c r="BB10" s="161">
        <v>0</v>
      </c>
      <c r="BC10" s="161">
        <v>0</v>
      </c>
    </row>
    <row r="11" spans="1:55" x14ac:dyDescent="0.35">
      <c r="B11" s="145">
        <f t="shared" si="6"/>
        <v>0.79166666671517305</v>
      </c>
      <c r="C11" s="146">
        <v>4</v>
      </c>
      <c r="D11" s="162" t="s">
        <v>130</v>
      </c>
      <c r="E11" s="175" t="s">
        <v>82</v>
      </c>
      <c r="F11" s="164" t="s">
        <v>131</v>
      </c>
      <c r="G11" s="165">
        <v>11079</v>
      </c>
      <c r="H11" s="166">
        <v>146</v>
      </c>
      <c r="I11" s="167">
        <f>[1]LP!N11</f>
        <v>44574.03125</v>
      </c>
      <c r="J11" s="168">
        <v>12</v>
      </c>
      <c r="K11" s="169">
        <f>547+503</f>
        <v>1050</v>
      </c>
      <c r="L11" s="169">
        <v>1404</v>
      </c>
      <c r="M11" s="169">
        <f t="shared" si="7"/>
        <v>1062</v>
      </c>
      <c r="N11" s="170">
        <f>([1]LP!H11-[1]LP!G11)*24</f>
        <v>14.533333333209157</v>
      </c>
      <c r="O11" s="170">
        <f>([1]LP!M11-[1]LP!L11)*24</f>
        <v>8.3333333430346102E-2</v>
      </c>
      <c r="P11" s="171">
        <f>([1]LP!J11-[1]LP!H11)*24</f>
        <v>0</v>
      </c>
      <c r="Q11" s="172">
        <f t="shared" si="2"/>
        <v>8.3333333430346102E-2</v>
      </c>
      <c r="R11" s="173">
        <f>(([1]LP!N11-[1]LP!M11)+([1]LP!S11-[1]LP!Q11))*24</f>
        <v>1.5833333334303461</v>
      </c>
      <c r="S11" s="171">
        <f>([1]LP!Q11-[1]LP!N11)*24</f>
        <v>26.816666666592937</v>
      </c>
      <c r="T11" s="171">
        <f>([1]LP!P11-[1]LP!O11)*24</f>
        <v>24.183333333407063</v>
      </c>
      <c r="U11" s="171">
        <f>'[1]M BHUM 291'!J7</f>
        <v>3</v>
      </c>
      <c r="V11" s="171">
        <f t="shared" si="12"/>
        <v>2.6333333331858739</v>
      </c>
      <c r="W11" s="171">
        <f t="shared" si="12"/>
        <v>21.183333333407063</v>
      </c>
      <c r="X11" s="171">
        <f t="shared" si="8"/>
        <v>43.016666666662786</v>
      </c>
      <c r="Y11" s="171">
        <f>([1]LP!S11-[1]LP!G11)*24</f>
        <v>43.016666666662786</v>
      </c>
      <c r="Z11" s="171">
        <f t="shared" ref="Z11:Z16" si="13">Y11/24</f>
        <v>1.7923611111109494</v>
      </c>
      <c r="AA11" s="171">
        <f t="shared" si="3"/>
        <v>24.581508113916399</v>
      </c>
      <c r="AB11" s="171">
        <f>'[1]M BHUM 291'!AA12</f>
        <v>13.088875077723991</v>
      </c>
      <c r="AC11" s="171">
        <f>'[1]M BHUM 291'!AB12</f>
        <v>24.581508113916399</v>
      </c>
      <c r="AD11" s="171">
        <f>'[1]M BHUM 291'!AC12</f>
        <v>26.636208452730035</v>
      </c>
      <c r="AE11" s="171">
        <f t="shared" si="9"/>
        <v>39.60223741465208</v>
      </c>
      <c r="AF11" s="171">
        <f t="shared" si="4"/>
        <v>39.60223741465208</v>
      </c>
      <c r="AG11" s="171">
        <f t="shared" si="5"/>
        <v>43.914541695248609</v>
      </c>
      <c r="AH11" s="171">
        <f t="shared" si="10"/>
        <v>50.133752950258234</v>
      </c>
      <c r="AI11" s="171">
        <f t="shared" si="11"/>
        <v>78.993163456054589</v>
      </c>
      <c r="AJ11" s="174"/>
      <c r="AK11" s="159"/>
      <c r="AP11" s="94" t="e">
        <f>IF(#REF!&gt;=24,"OK","NO")</f>
        <v>#REF!</v>
      </c>
      <c r="AS11" s="156">
        <v>0</v>
      </c>
      <c r="AT11" s="160">
        <v>0</v>
      </c>
      <c r="AU11" s="160">
        <v>0</v>
      </c>
      <c r="AV11" s="161">
        <v>0</v>
      </c>
      <c r="AW11" s="161">
        <v>0</v>
      </c>
      <c r="AX11" s="161">
        <v>0</v>
      </c>
      <c r="AY11" s="161">
        <v>0</v>
      </c>
      <c r="AZ11" s="161">
        <v>0</v>
      </c>
      <c r="BA11" s="161">
        <v>0</v>
      </c>
      <c r="BB11" s="161">
        <v>0</v>
      </c>
      <c r="BC11" s="161">
        <v>0</v>
      </c>
    </row>
    <row r="12" spans="1:55" x14ac:dyDescent="0.35">
      <c r="B12" s="145">
        <f t="shared" si="6"/>
        <v>0.86666666661039926</v>
      </c>
      <c r="C12" s="146">
        <v>5</v>
      </c>
      <c r="D12" s="162" t="s">
        <v>127</v>
      </c>
      <c r="E12" s="163" t="s">
        <v>83</v>
      </c>
      <c r="F12" s="164" t="s">
        <v>128</v>
      </c>
      <c r="G12" s="165">
        <v>27227</v>
      </c>
      <c r="H12" s="166">
        <v>200</v>
      </c>
      <c r="I12" s="167">
        <f>[1]LP!N12</f>
        <v>44576.697916666664</v>
      </c>
      <c r="J12" s="168">
        <v>12</v>
      </c>
      <c r="K12" s="169">
        <f>558+583</f>
        <v>1141</v>
      </c>
      <c r="L12" s="169">
        <v>1488</v>
      </c>
      <c r="M12" s="169">
        <f t="shared" si="7"/>
        <v>1153</v>
      </c>
      <c r="N12" s="170">
        <f>([1]LP!H12-[1]LP!G12)*24</f>
        <v>2.0000000000582077</v>
      </c>
      <c r="O12" s="170">
        <f>([1]LP!M12-[1]LP!L12)*24</f>
        <v>0</v>
      </c>
      <c r="P12" s="171">
        <f>([1]LP!J12-[1]LP!H12)*24</f>
        <v>0</v>
      </c>
      <c r="Q12" s="172">
        <f t="shared" si="2"/>
        <v>0</v>
      </c>
      <c r="R12" s="173">
        <f>(([1]LP!N12-[1]LP!M12)+([1]LP!S12-[1]LP!Q12))*24</f>
        <v>1.7333333332207985</v>
      </c>
      <c r="S12" s="171">
        <f>([1]LP!Q12-[1]LP!N12)*24</f>
        <v>29.750000000058208</v>
      </c>
      <c r="T12" s="171">
        <f>([1]LP!P12-[1]LP!O12)*24</f>
        <v>23.216666666732635</v>
      </c>
      <c r="U12" s="171">
        <f>'[1]TARA III 202'!J7</f>
        <v>0</v>
      </c>
      <c r="V12" s="171">
        <f t="shared" si="12"/>
        <v>6.5333333333255723</v>
      </c>
      <c r="W12" s="171">
        <f t="shared" si="12"/>
        <v>23.216666666732635</v>
      </c>
      <c r="X12" s="171"/>
      <c r="Y12" s="171">
        <f>([1]LP!S12-[1]LP!G12)*24</f>
        <v>33.483333333337214</v>
      </c>
      <c r="Z12" s="171">
        <f t="shared" si="13"/>
        <v>1.3951388888890506</v>
      </c>
      <c r="AA12" s="171">
        <f t="shared" si="3"/>
        <v>22.5222634994347</v>
      </c>
      <c r="AB12" s="171">
        <f>'[1]TARA III 202'!AA12</f>
        <v>14.745098039186837</v>
      </c>
      <c r="AC12" s="171">
        <f>'[1]TARA III 202'!AB12</f>
        <v>22.5222634994347</v>
      </c>
      <c r="AD12" s="171">
        <f>'[1]TARA III 202'!AC12</f>
        <v>23.188283632257566</v>
      </c>
      <c r="AE12" s="171">
        <f t="shared" si="9"/>
        <v>38.756302520932572</v>
      </c>
      <c r="AF12" s="171">
        <f t="shared" si="4"/>
        <v>38.756302520932572</v>
      </c>
      <c r="AG12" s="171">
        <f t="shared" si="5"/>
        <v>49.662598707683728</v>
      </c>
      <c r="AH12" s="171">
        <f t="shared" si="10"/>
        <v>49.662598707683728</v>
      </c>
      <c r="AI12" s="171">
        <f t="shared" si="11"/>
        <v>78.039215686343567</v>
      </c>
      <c r="AJ12" s="174"/>
      <c r="AK12" s="159" t="s">
        <v>129</v>
      </c>
      <c r="AP12" s="94" t="e">
        <f>IF(#REF!&gt;=24,"OK","NO")</f>
        <v>#REF!</v>
      </c>
      <c r="AS12" s="156">
        <v>0</v>
      </c>
      <c r="AT12" s="160">
        <v>0</v>
      </c>
      <c r="AU12" s="160">
        <v>0</v>
      </c>
      <c r="AV12" s="161">
        <v>0</v>
      </c>
      <c r="AW12" s="161">
        <v>0</v>
      </c>
      <c r="AX12" s="161">
        <v>0</v>
      </c>
      <c r="AY12" s="161">
        <v>0</v>
      </c>
      <c r="AZ12" s="161">
        <v>0</v>
      </c>
      <c r="BA12" s="161">
        <v>0</v>
      </c>
      <c r="BB12" s="161">
        <v>0</v>
      </c>
      <c r="BC12" s="161">
        <v>0</v>
      </c>
    </row>
    <row r="13" spans="1:55" x14ac:dyDescent="0.35">
      <c r="B13" s="145">
        <f t="shared" si="6"/>
        <v>0.78333333335467614</v>
      </c>
      <c r="C13" s="146">
        <v>6</v>
      </c>
      <c r="D13" s="162" t="s">
        <v>125</v>
      </c>
      <c r="E13" s="175" t="s">
        <v>84</v>
      </c>
      <c r="F13" s="164" t="s">
        <v>126</v>
      </c>
      <c r="G13" s="165">
        <v>14308</v>
      </c>
      <c r="H13" s="166">
        <v>155</v>
      </c>
      <c r="I13" s="167">
        <f>[1]LP!N13</f>
        <v>44581.069444444445</v>
      </c>
      <c r="J13" s="168">
        <v>13</v>
      </c>
      <c r="K13" s="169">
        <f>575+591</f>
        <v>1166</v>
      </c>
      <c r="L13" s="169">
        <v>1478</v>
      </c>
      <c r="M13" s="169">
        <f>K13+J13</f>
        <v>1179</v>
      </c>
      <c r="N13" s="170">
        <f>([1]LP!H13-[1]LP!G13)*24</f>
        <v>2.25</v>
      </c>
      <c r="O13" s="170">
        <f>([1]LP!M13-[1]LP!L13)*24</f>
        <v>8.3333333255723119E-2</v>
      </c>
      <c r="P13" s="171">
        <f>([1]LP!J13-[1]LP!H13)*24</f>
        <v>0</v>
      </c>
      <c r="Q13" s="172">
        <f t="shared" si="2"/>
        <v>8.3333333255723119E-2</v>
      </c>
      <c r="R13" s="173">
        <f>(([1]LP!N13-[1]LP!M13)+([1]LP!S13-[1]LP!Q13))*24</f>
        <v>1.5666666667093523</v>
      </c>
      <c r="S13" s="171">
        <f>([1]LP!Q13-[1]LP!N13)*24</f>
        <v>23.766666666604578</v>
      </c>
      <c r="T13" s="171">
        <f>([1]LP!P13-[1]LP!O13)*24</f>
        <v>19.300000000046566</v>
      </c>
      <c r="U13" s="171">
        <f>'[1] medford 6OE'!J7</f>
        <v>0.18000000000000002</v>
      </c>
      <c r="V13" s="171">
        <f t="shared" si="12"/>
        <v>4.4666666665580124</v>
      </c>
      <c r="W13" s="171">
        <f t="shared" si="12"/>
        <v>19.120000000046566</v>
      </c>
      <c r="X13" s="171">
        <f t="shared" si="8"/>
        <v>27.666666666569654</v>
      </c>
      <c r="Y13" s="171">
        <f>([1]LP!S13-[1]LP!G13)*24</f>
        <v>27.666666666569654</v>
      </c>
      <c r="Z13" s="171">
        <f t="shared" si="13"/>
        <v>1.1527777777737356</v>
      </c>
      <c r="AA13" s="171">
        <f t="shared" si="3"/>
        <v>20.603312299187294</v>
      </c>
      <c r="AB13" s="171">
        <f>'[1] medford 6OE'!AA12</f>
        <v>16.521739130477943</v>
      </c>
      <c r="AC13" s="171">
        <f>'[1] medford 6OE'!AB12</f>
        <v>20.603312299187294</v>
      </c>
      <c r="AD13" s="171">
        <f>'[1] medford 6OE'!AC12</f>
        <v>21.086623100072543</v>
      </c>
      <c r="AE13" s="171">
        <f t="shared" si="9"/>
        <v>49.607293127759327</v>
      </c>
      <c r="AF13" s="171">
        <f t="shared" si="4"/>
        <v>49.607293127759327</v>
      </c>
      <c r="AG13" s="171">
        <f t="shared" si="5"/>
        <v>61.088082901407013</v>
      </c>
      <c r="AH13" s="171">
        <f t="shared" si="10"/>
        <v>61.663179916167813</v>
      </c>
      <c r="AI13" s="171">
        <f t="shared" si="11"/>
        <v>80.448807854543546</v>
      </c>
      <c r="AJ13" s="176"/>
      <c r="AK13" s="177"/>
      <c r="AP13" s="94" t="e">
        <f>IF(#REF!&gt;=24,"OK","NO")</f>
        <v>#REF!</v>
      </c>
      <c r="AS13" s="156">
        <v>0</v>
      </c>
      <c r="AT13" s="160">
        <v>0</v>
      </c>
      <c r="AU13" s="160">
        <v>0</v>
      </c>
      <c r="AV13" s="161">
        <v>0</v>
      </c>
      <c r="AW13" s="161">
        <v>0</v>
      </c>
      <c r="AX13" s="161">
        <v>0</v>
      </c>
      <c r="AY13" s="161">
        <v>0</v>
      </c>
      <c r="AZ13" s="161">
        <v>0</v>
      </c>
      <c r="BA13" s="161">
        <v>0</v>
      </c>
      <c r="BB13" s="161">
        <v>0</v>
      </c>
      <c r="BC13" s="161">
        <v>0</v>
      </c>
    </row>
    <row r="14" spans="1:55" x14ac:dyDescent="0.35">
      <c r="B14" s="145">
        <f t="shared" si="6"/>
        <v>0.66666666665696539</v>
      </c>
      <c r="C14" s="146">
        <v>7</v>
      </c>
      <c r="D14" s="162" t="s">
        <v>127</v>
      </c>
      <c r="E14" s="163" t="s">
        <v>85</v>
      </c>
      <c r="F14" s="164" t="s">
        <v>128</v>
      </c>
      <c r="G14" s="165">
        <v>27227</v>
      </c>
      <c r="H14" s="166">
        <v>200</v>
      </c>
      <c r="I14" s="167">
        <f>[1]LP!N14</f>
        <v>44583.579861111109</v>
      </c>
      <c r="J14" s="168">
        <v>16</v>
      </c>
      <c r="K14" s="169">
        <f>220+698</f>
        <v>918</v>
      </c>
      <c r="L14" s="169">
        <v>1075</v>
      </c>
      <c r="M14" s="169">
        <f t="shared" si="7"/>
        <v>934</v>
      </c>
      <c r="N14" s="170">
        <f>([1]LP!H14-[1]LP!G14)*24</f>
        <v>5.3999999999650754</v>
      </c>
      <c r="O14" s="170">
        <f>([1]LP!M14-[1]LP!L14)*24</f>
        <v>0</v>
      </c>
      <c r="P14" s="171">
        <f>([1]LP!J14-[1]LP!H14)*24</f>
        <v>0</v>
      </c>
      <c r="Q14" s="172">
        <f t="shared" si="2"/>
        <v>0</v>
      </c>
      <c r="R14" s="173">
        <f>(([1]LP!N14-[1]LP!M14)+([1]LP!S14-[1]LP!Q14))*24</f>
        <v>1.3333333333139308</v>
      </c>
      <c r="S14" s="171">
        <f>([1]LP!Q14-[1]LP!N14)*24</f>
        <v>25.583333333430346</v>
      </c>
      <c r="T14" s="171">
        <f>([1]LP!P14-[1]LP!O14)*24</f>
        <v>14.983333333279006</v>
      </c>
      <c r="U14" s="171">
        <f>'[1]TARA III 203'!J7</f>
        <v>0.82</v>
      </c>
      <c r="V14" s="171">
        <f t="shared" si="12"/>
        <v>10.60000000015134</v>
      </c>
      <c r="W14" s="171">
        <f t="shared" si="12"/>
        <v>14.163333333279006</v>
      </c>
      <c r="X14" s="171">
        <f t="shared" si="8"/>
        <v>32.316666666709352</v>
      </c>
      <c r="Y14" s="171">
        <f>([1]LP!S14-[1]LP!G14)*24</f>
        <v>32.316666666709352</v>
      </c>
      <c r="Z14" s="171">
        <f t="shared" si="13"/>
        <v>1.3465277777795563</v>
      </c>
      <c r="AA14" s="171">
        <f t="shared" si="3"/>
        <v>25.91884953809647</v>
      </c>
      <c r="AB14" s="171">
        <f>'[1]TARA III 203'!AA12</f>
        <v>12.325732898976062</v>
      </c>
      <c r="AC14" s="171">
        <f>'[1]TARA III 203'!AB12</f>
        <v>25.91884953809647</v>
      </c>
      <c r="AD14" s="171">
        <f>'[1]TARA III 203'!AC12</f>
        <v>28.081063056137285</v>
      </c>
      <c r="AE14" s="171">
        <f t="shared" si="9"/>
        <v>36.508143322337133</v>
      </c>
      <c r="AF14" s="171">
        <f t="shared" si="4"/>
        <v>36.508143322337133</v>
      </c>
      <c r="AG14" s="171">
        <f t="shared" si="5"/>
        <v>62.335928810014671</v>
      </c>
      <c r="AH14" s="171">
        <f t="shared" si="10"/>
        <v>65.944928218657282</v>
      </c>
      <c r="AI14" s="171">
        <f t="shared" si="11"/>
        <v>55.361563517493018</v>
      </c>
      <c r="AJ14" s="174"/>
      <c r="AK14" s="159" t="s">
        <v>129</v>
      </c>
      <c r="AL14" s="91"/>
      <c r="AM14" s="91"/>
      <c r="AP14" s="94" t="e">
        <f>IF(#REF!&gt;=24,"OK","NO")</f>
        <v>#REF!</v>
      </c>
      <c r="AS14" s="156">
        <v>0</v>
      </c>
      <c r="AT14" s="160">
        <v>0</v>
      </c>
      <c r="AU14" s="160">
        <v>0</v>
      </c>
      <c r="AV14" s="161">
        <v>0</v>
      </c>
      <c r="AW14" s="161">
        <v>0</v>
      </c>
      <c r="AX14" s="161">
        <v>0</v>
      </c>
      <c r="AY14" s="161">
        <v>0</v>
      </c>
      <c r="AZ14" s="161">
        <v>0</v>
      </c>
      <c r="BA14" s="161">
        <v>0</v>
      </c>
      <c r="BB14" s="161">
        <v>0</v>
      </c>
      <c r="BC14" s="161">
        <v>0</v>
      </c>
    </row>
    <row r="15" spans="1:55" x14ac:dyDescent="0.35">
      <c r="B15" s="145">
        <f t="shared" si="6"/>
        <v>0.70833333337213844</v>
      </c>
      <c r="C15" s="146">
        <v>8</v>
      </c>
      <c r="D15" s="162" t="s">
        <v>130</v>
      </c>
      <c r="E15" s="175" t="s">
        <v>86</v>
      </c>
      <c r="F15" s="164" t="s">
        <v>131</v>
      </c>
      <c r="G15" s="165">
        <v>11079</v>
      </c>
      <c r="H15" s="166">
        <v>146</v>
      </c>
      <c r="I15" s="167">
        <f>[1]LP!N15</f>
        <v>44588.666666666664</v>
      </c>
      <c r="J15" s="168">
        <v>12</v>
      </c>
      <c r="K15" s="169">
        <f>377+548</f>
        <v>925</v>
      </c>
      <c r="L15" s="169">
        <v>1316</v>
      </c>
      <c r="M15" s="169">
        <f t="shared" si="7"/>
        <v>937</v>
      </c>
      <c r="N15" s="170">
        <f>([1]LP!H15-[1]LP!G15)*24</f>
        <v>1.1666666666278616</v>
      </c>
      <c r="O15" s="170">
        <f>([1]LP!M15-[1]LP!L15)*24</f>
        <v>0</v>
      </c>
      <c r="P15" s="171">
        <f>([1]LP!J15-[1]LP!H15)*24</f>
        <v>0</v>
      </c>
      <c r="Q15" s="172">
        <f t="shared" si="2"/>
        <v>0</v>
      </c>
      <c r="R15" s="173">
        <f>(([1]LP!N15-[1]LP!M15)+([1]LP!S15-[1]LP!Q15))*24</f>
        <v>1.4166666667442769</v>
      </c>
      <c r="S15" s="171">
        <f>([1]LP!Q15-[1]LP!N15)*24</f>
        <v>22.5</v>
      </c>
      <c r="T15" s="171">
        <f>([1]LP!P15-[1]LP!O15)*24</f>
        <v>17.499999999941792</v>
      </c>
      <c r="U15" s="171">
        <f>'[1]M BHUM 292'!J7</f>
        <v>0.42000000000000004</v>
      </c>
      <c r="V15" s="171">
        <f t="shared" si="12"/>
        <v>5.0000000000582077</v>
      </c>
      <c r="W15" s="171">
        <f t="shared" si="12"/>
        <v>17.079999999941791</v>
      </c>
      <c r="X15" s="171">
        <f t="shared" si="8"/>
        <v>25.083333333372138</v>
      </c>
      <c r="Y15" s="171">
        <f>([1]LP!S15-[1]LP!G15)*24</f>
        <v>25.083333333372138</v>
      </c>
      <c r="Z15" s="171">
        <f t="shared" si="13"/>
        <v>1.0451388888905058</v>
      </c>
      <c r="AA15" s="171">
        <f t="shared" si="3"/>
        <v>26.799999999999997</v>
      </c>
      <c r="AB15" s="171">
        <f>'[1]M BHUM 292'!AA12</f>
        <v>20.844444444444445</v>
      </c>
      <c r="AC15" s="171">
        <f>'[1]M BHUM 292'!AB12</f>
        <v>26.799999999999997</v>
      </c>
      <c r="AD15" s="171">
        <f>'[1]M BHUM 292'!AC12</f>
        <v>27.123869812275693</v>
      </c>
      <c r="AE15" s="171">
        <f t="shared" si="9"/>
        <v>41.644444444444446</v>
      </c>
      <c r="AF15" s="171">
        <f t="shared" si="4"/>
        <v>41.644444444444446</v>
      </c>
      <c r="AG15" s="171">
        <f t="shared" si="5"/>
        <v>53.542857143035235</v>
      </c>
      <c r="AH15" s="171">
        <f t="shared" si="10"/>
        <v>54.85948477770453</v>
      </c>
      <c r="AI15" s="171">
        <f t="shared" si="11"/>
        <v>75.911111110852403</v>
      </c>
      <c r="AJ15" s="174" t="s">
        <v>132</v>
      </c>
      <c r="AK15" s="177"/>
      <c r="AP15" s="94" t="e">
        <f>IF(#REF!&gt;=24,"OK","NO")</f>
        <v>#REF!</v>
      </c>
      <c r="AS15" s="156">
        <v>0</v>
      </c>
      <c r="AT15" s="160">
        <v>0</v>
      </c>
      <c r="AU15" s="160">
        <v>0</v>
      </c>
      <c r="AV15" s="161">
        <v>0</v>
      </c>
      <c r="AW15" s="161">
        <v>0</v>
      </c>
      <c r="AX15" s="161">
        <v>0</v>
      </c>
      <c r="AY15" s="161">
        <v>0</v>
      </c>
      <c r="AZ15" s="161">
        <v>0</v>
      </c>
      <c r="BA15" s="161">
        <v>0</v>
      </c>
      <c r="BB15" s="161">
        <v>0</v>
      </c>
      <c r="BC15" s="161">
        <v>0</v>
      </c>
    </row>
    <row r="16" spans="1:55" x14ac:dyDescent="0.35">
      <c r="B16" s="145">
        <f t="shared" si="6"/>
        <v>0.70833333328482695</v>
      </c>
      <c r="C16" s="146">
        <v>9</v>
      </c>
      <c r="D16" s="178" t="s">
        <v>127</v>
      </c>
      <c r="E16" s="179" t="s">
        <v>87</v>
      </c>
      <c r="F16" s="180" t="s">
        <v>128</v>
      </c>
      <c r="G16" s="181">
        <v>27227</v>
      </c>
      <c r="H16" s="146">
        <v>146</v>
      </c>
      <c r="I16" s="182">
        <f>[1]LP!N16</f>
        <v>44590.510416666664</v>
      </c>
      <c r="J16" s="183">
        <v>15</v>
      </c>
      <c r="K16" s="184">
        <f>551+548</f>
        <v>1099</v>
      </c>
      <c r="L16" s="184">
        <v>1242</v>
      </c>
      <c r="M16" s="184">
        <f>K16+J16</f>
        <v>1114</v>
      </c>
      <c r="N16" s="185">
        <f>([1]LP!H16-[1]LP!G16)*24</f>
        <v>5.0000000000582077</v>
      </c>
      <c r="O16" s="185">
        <f>([1]LP!M16-[1]LP!L16)*24</f>
        <v>0.24999999994179234</v>
      </c>
      <c r="P16" s="186">
        <f>([1]LP!J16-[1]LP!H16)*24</f>
        <v>0</v>
      </c>
      <c r="Q16" s="187">
        <f t="shared" si="2"/>
        <v>0.24999999994179234</v>
      </c>
      <c r="R16" s="188">
        <f>(([1]LP!N16-[1]LP!M16)+([1]LP!S16-[1]LP!Q16))*24</f>
        <v>1.4166666665696539</v>
      </c>
      <c r="S16" s="186">
        <f>([1]LP!Q16-[1]LP!N16)*24</f>
        <v>25.250000000058208</v>
      </c>
      <c r="T16" s="186">
        <f>([1]LP!P16-[1]LP!O16)*24</f>
        <v>17.200000000011642</v>
      </c>
      <c r="U16" s="186">
        <f>'[1]TARA III 204'!J7</f>
        <v>0.51</v>
      </c>
      <c r="V16" s="186">
        <f t="shared" si="12"/>
        <v>8.0500000000465661</v>
      </c>
      <c r="W16" s="186">
        <f t="shared" si="12"/>
        <v>16.69000000001164</v>
      </c>
      <c r="X16" s="186">
        <f t="shared" si="8"/>
        <v>31.916666666627862</v>
      </c>
      <c r="Y16" s="186">
        <f>([1]LP!S16-[1]LP!G16)*24</f>
        <v>31.916666666627862</v>
      </c>
      <c r="Z16" s="186">
        <f t="shared" si="13"/>
        <v>1.3298611111094942</v>
      </c>
      <c r="AA16" s="186">
        <f>AC16</f>
        <v>22.644887631260172</v>
      </c>
      <c r="AB16" s="186">
        <f>'[1]TARA III 204'!AA12</f>
        <v>14.759075907556735</v>
      </c>
      <c r="AC16" s="186">
        <f>'[1]TARA III 204'!AB12</f>
        <v>22.644887631260172</v>
      </c>
      <c r="AD16" s="186">
        <f>'[1]TARA III 204'!AC12</f>
        <v>23.912218420118837</v>
      </c>
      <c r="AE16" s="186">
        <f t="shared" si="9"/>
        <v>44.118811881086415</v>
      </c>
      <c r="AF16" s="186">
        <f t="shared" si="4"/>
        <v>44.118811881086415</v>
      </c>
      <c r="AG16" s="186">
        <f t="shared" si="5"/>
        <v>64.767441860421286</v>
      </c>
      <c r="AH16" s="186">
        <f t="shared" si="10"/>
        <v>66.74655482320091</v>
      </c>
      <c r="AI16" s="186">
        <f t="shared" si="11"/>
        <v>66.099009900883814</v>
      </c>
      <c r="AJ16" s="189"/>
      <c r="AK16" s="159" t="s">
        <v>129</v>
      </c>
      <c r="AP16" s="94" t="e">
        <f>IF(#REF!&gt;=24,"OK","NO")</f>
        <v>#REF!</v>
      </c>
      <c r="AS16" s="156">
        <v>0</v>
      </c>
      <c r="AT16" s="160">
        <v>0</v>
      </c>
      <c r="AU16" s="160">
        <v>0</v>
      </c>
      <c r="AV16" s="161">
        <v>0</v>
      </c>
      <c r="AW16" s="161">
        <v>0</v>
      </c>
      <c r="AX16" s="161">
        <v>0</v>
      </c>
      <c r="AY16" s="161">
        <v>0</v>
      </c>
      <c r="AZ16" s="161">
        <v>0</v>
      </c>
      <c r="BA16" s="161">
        <v>0</v>
      </c>
      <c r="BB16" s="161">
        <v>0</v>
      </c>
      <c r="BC16" s="161">
        <v>0</v>
      </c>
    </row>
    <row r="17" spans="4:20" x14ac:dyDescent="0.35">
      <c r="D17" s="191"/>
      <c r="G17" s="192">
        <f>SUM(G8:G16)</f>
        <v>186909</v>
      </c>
      <c r="I17" s="105"/>
      <c r="K17" s="190"/>
      <c r="L17" s="190"/>
      <c r="P17" s="93"/>
      <c r="S17" s="101">
        <f>AVERAGE(S8:S16)</f>
        <v>26.157407407396629</v>
      </c>
      <c r="T17" s="94">
        <f>S17/24</f>
        <v>1.0898919753081928</v>
      </c>
    </row>
    <row r="18" spans="4:20" x14ac:dyDescent="0.35">
      <c r="D18" s="191"/>
      <c r="I18" s="105"/>
      <c r="K18" s="190"/>
      <c r="L18" s="190"/>
      <c r="P18" s="222"/>
      <c r="Q18" s="222"/>
    </row>
    <row r="19" spans="4:20" x14ac:dyDescent="0.35">
      <c r="D19" s="191"/>
      <c r="I19" s="105"/>
      <c r="K19" s="190"/>
      <c r="L19" s="190"/>
      <c r="T19" s="193">
        <f>G17*T17</f>
        <v>203710.61921287901</v>
      </c>
    </row>
    <row r="20" spans="4:20" x14ac:dyDescent="0.35">
      <c r="D20" s="191"/>
      <c r="I20" s="105"/>
      <c r="K20" s="190"/>
      <c r="L20" s="190"/>
    </row>
    <row r="21" spans="4:20" x14ac:dyDescent="0.35">
      <c r="D21" s="191"/>
      <c r="I21" s="105"/>
      <c r="K21" s="190"/>
      <c r="L21" s="190"/>
    </row>
    <row r="22" spans="4:20" x14ac:dyDescent="0.35">
      <c r="D22" s="191"/>
      <c r="I22" s="105"/>
      <c r="K22" s="190"/>
      <c r="L22" s="190"/>
    </row>
    <row r="23" spans="4:20" x14ac:dyDescent="0.35">
      <c r="I23" s="105"/>
      <c r="K23" s="190">
        <f>SUM(K17:K22)</f>
        <v>0</v>
      </c>
      <c r="L23" s="190"/>
    </row>
  </sheetData>
  <mergeCells count="26">
    <mergeCell ref="P18:Q18"/>
    <mergeCell ref="AG4:AG5"/>
    <mergeCell ref="AH4:AH5"/>
    <mergeCell ref="N5:N6"/>
    <mergeCell ref="R5:R6"/>
    <mergeCell ref="S5:S6"/>
    <mergeCell ref="T5:T6"/>
    <mergeCell ref="U5:U6"/>
    <mergeCell ref="V5:V6"/>
    <mergeCell ref="W5:W6"/>
    <mergeCell ref="Y5:Z5"/>
    <mergeCell ref="AA4:AA6"/>
    <mergeCell ref="AB4:AB5"/>
    <mergeCell ref="AC4:AC5"/>
    <mergeCell ref="AD4:AD5"/>
    <mergeCell ref="AE4:AE6"/>
    <mergeCell ref="AF4:AF5"/>
    <mergeCell ref="C1:R1"/>
    <mergeCell ref="C4:C6"/>
    <mergeCell ref="D4:D6"/>
    <mergeCell ref="E4:E6"/>
    <mergeCell ref="F4:F6"/>
    <mergeCell ref="I4:I6"/>
    <mergeCell ref="J4:J6"/>
    <mergeCell ref="K4:L5"/>
    <mergeCell ref="N4:Z4"/>
  </mergeCells>
  <conditionalFormatting sqref="AS8:BC16">
    <cfRule type="expression" dxfId="2" priority="5">
      <formula>$P$8:$Z$16&lt;$AS$8:$AS$16</formula>
    </cfRule>
    <cfRule type="containsErrors" dxfId="1" priority="6">
      <formula>ISERROR(AS8)</formula>
    </cfRule>
  </conditionalFormatting>
  <conditionalFormatting sqref="Y8:Y16">
    <cfRule type="duplicateValues" dxfId="0" priority="7"/>
  </conditionalFormatting>
  <printOptions horizontalCentered="1"/>
  <pageMargins left="0.19685039370078741" right="0.11811023622047245" top="0.74803149606299213" bottom="0.74803149606299213" header="0.31496062992125984" footer="0.31496062992125984"/>
  <pageSetup paperSize="9"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F59E-EBED-47CD-AF33-D7285CC83FC6}">
  <dimension ref="A1:S74"/>
  <sheetViews>
    <sheetView showGridLines="0" view="pageBreakPreview" zoomScale="80" zoomScaleNormal="80" zoomScaleSheetLayoutView="80" workbookViewId="0">
      <pane xSplit="9" ySplit="11" topLeftCell="J12" activePane="bottomRight" state="frozen"/>
      <selection activeCell="T52" sqref="T52"/>
      <selection pane="topRight" activeCell="T52" sqref="T52"/>
      <selection pane="bottomLeft" activeCell="T52" sqref="T52"/>
      <selection pane="bottomRight" activeCell="S25" sqref="S25"/>
    </sheetView>
  </sheetViews>
  <sheetFormatPr defaultColWidth="9.08984375" defaultRowHeight="13" x14ac:dyDescent="0.3"/>
  <cols>
    <col min="1" max="1" width="5" style="2" customWidth="1"/>
    <col min="2" max="2" width="30.36328125" style="2" customWidth="1"/>
    <col min="3" max="3" width="11.453125" style="2" bestFit="1" customWidth="1"/>
    <col min="4" max="4" width="11.453125" style="2" customWidth="1"/>
    <col min="5" max="8" width="9.6328125" style="2" hidden="1" customWidth="1"/>
    <col min="9" max="9" width="10.90625" style="2" hidden="1" customWidth="1"/>
    <col min="10" max="10" width="11.6328125" style="2" bestFit="1" customWidth="1"/>
    <col min="11" max="12" width="11.36328125" style="2" bestFit="1" customWidth="1"/>
    <col min="13" max="13" width="12.81640625" style="2" bestFit="1" customWidth="1"/>
    <col min="14" max="14" width="11.36328125" style="2" bestFit="1" customWidth="1"/>
    <col min="15" max="15" width="11.6328125" style="2" bestFit="1" customWidth="1"/>
    <col min="16" max="16" width="11.36328125" style="2" bestFit="1" customWidth="1"/>
    <col min="17" max="17" width="12.81640625" style="2" bestFit="1" customWidth="1"/>
    <col min="18" max="18" width="11.36328125" style="2" bestFit="1" customWidth="1"/>
    <col min="19" max="19" width="9.90625" style="2" customWidth="1"/>
    <col min="20" max="16384" width="9.08984375" style="2"/>
  </cols>
  <sheetData>
    <row r="1" spans="1:19" x14ac:dyDescent="0.3">
      <c r="A1" s="1"/>
      <c r="B1" s="1"/>
      <c r="C1" s="1"/>
      <c r="D1" s="1"/>
      <c r="E1" s="1"/>
      <c r="F1" s="1"/>
      <c r="G1" s="1"/>
      <c r="H1" s="1"/>
      <c r="I1" s="1"/>
    </row>
    <row r="2" spans="1:19" ht="14.4" customHeight="1" x14ac:dyDescent="0.3">
      <c r="A2" s="3" t="s">
        <v>88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</row>
    <row r="5" spans="1:19" x14ac:dyDescent="0.3">
      <c r="A5" s="3" t="s">
        <v>1</v>
      </c>
      <c r="C5" s="4" t="s">
        <v>2</v>
      </c>
      <c r="D5" s="4"/>
      <c r="E5" s="4"/>
      <c r="F5" s="4"/>
      <c r="G5" s="4"/>
      <c r="H5" s="4"/>
      <c r="I5" s="4"/>
    </row>
    <row r="6" spans="1:19" x14ac:dyDescent="0.3">
      <c r="A6" s="3" t="s">
        <v>3</v>
      </c>
      <c r="C6" s="4" t="s">
        <v>4</v>
      </c>
      <c r="D6" s="4"/>
      <c r="E6" s="4"/>
      <c r="F6" s="4"/>
      <c r="G6" s="4"/>
      <c r="H6" s="4"/>
      <c r="I6" s="4"/>
    </row>
    <row r="7" spans="1:19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4.4" customHeight="1" x14ac:dyDescent="0.3">
      <c r="A8" s="228" t="s">
        <v>5</v>
      </c>
      <c r="B8" s="231" t="s">
        <v>6</v>
      </c>
      <c r="C8" s="228" t="s">
        <v>7</v>
      </c>
      <c r="D8" s="234" t="s">
        <v>8</v>
      </c>
      <c r="E8" s="237" t="s">
        <v>9</v>
      </c>
      <c r="F8" s="238"/>
      <c r="G8" s="238"/>
      <c r="H8" s="238"/>
      <c r="I8" s="239"/>
      <c r="J8" s="225" t="s">
        <v>77</v>
      </c>
      <c r="K8" s="226"/>
      <c r="L8" s="226"/>
      <c r="M8" s="226"/>
      <c r="N8" s="226"/>
      <c r="O8" s="226"/>
      <c r="P8" s="226"/>
      <c r="Q8" s="226"/>
      <c r="R8" s="227"/>
      <c r="S8" s="88" t="s">
        <v>89</v>
      </c>
    </row>
    <row r="9" spans="1:19" ht="14.4" customHeight="1" x14ac:dyDescent="0.3">
      <c r="A9" s="229"/>
      <c r="B9" s="232"/>
      <c r="C9" s="229"/>
      <c r="D9" s="235"/>
      <c r="E9" s="6" t="s">
        <v>11</v>
      </c>
      <c r="F9" s="6" t="s">
        <v>12</v>
      </c>
      <c r="G9" s="6" t="s">
        <v>13</v>
      </c>
      <c r="H9" s="6" t="s">
        <v>14</v>
      </c>
      <c r="I9" s="7">
        <v>2021</v>
      </c>
      <c r="J9" s="8" t="s">
        <v>16</v>
      </c>
      <c r="K9" s="8" t="s">
        <v>17</v>
      </c>
      <c r="L9" s="8" t="s">
        <v>17</v>
      </c>
      <c r="M9" s="8" t="s">
        <v>15</v>
      </c>
      <c r="N9" s="8" t="s">
        <v>17</v>
      </c>
      <c r="O9" s="8" t="s">
        <v>16</v>
      </c>
      <c r="P9" s="8" t="s">
        <v>17</v>
      </c>
      <c r="Q9" s="8" t="s">
        <v>15</v>
      </c>
      <c r="R9" s="8" t="s">
        <v>17</v>
      </c>
      <c r="S9" s="81" t="s">
        <v>10</v>
      </c>
    </row>
    <row r="10" spans="1:19" x14ac:dyDescent="0.3">
      <c r="A10" s="230"/>
      <c r="B10" s="233"/>
      <c r="C10" s="230"/>
      <c r="D10" s="236"/>
      <c r="E10" s="9"/>
      <c r="F10" s="9"/>
      <c r="G10" s="9"/>
      <c r="H10" s="9"/>
      <c r="I10" s="10"/>
      <c r="J10" s="11" t="s">
        <v>79</v>
      </c>
      <c r="K10" s="11" t="s">
        <v>80</v>
      </c>
      <c r="L10" s="11" t="s">
        <v>81</v>
      </c>
      <c r="M10" s="11" t="s">
        <v>82</v>
      </c>
      <c r="N10" s="11" t="s">
        <v>83</v>
      </c>
      <c r="O10" s="11" t="s">
        <v>84</v>
      </c>
      <c r="P10" s="11" t="s">
        <v>85</v>
      </c>
      <c r="Q10" s="11" t="s">
        <v>86</v>
      </c>
      <c r="R10" s="11" t="s">
        <v>87</v>
      </c>
      <c r="S10" s="87" t="s">
        <v>78</v>
      </c>
    </row>
    <row r="11" spans="1:19" x14ac:dyDescent="0.3">
      <c r="A11" s="12">
        <v>1</v>
      </c>
      <c r="B11" s="13">
        <v>2</v>
      </c>
      <c r="C11" s="12">
        <v>3</v>
      </c>
      <c r="D11" s="12">
        <v>4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5"/>
      <c r="K11" s="15"/>
      <c r="L11" s="15"/>
      <c r="M11" s="15"/>
      <c r="N11" s="15"/>
      <c r="O11" s="15"/>
      <c r="P11" s="15"/>
      <c r="Q11" s="15"/>
      <c r="R11" s="15"/>
      <c r="S11" s="16">
        <v>14</v>
      </c>
    </row>
    <row r="12" spans="1:19" x14ac:dyDescent="0.3">
      <c r="A12" s="17"/>
      <c r="B12" s="18"/>
      <c r="C12" s="19"/>
      <c r="D12" s="19"/>
      <c r="E12" s="20"/>
      <c r="F12" s="20"/>
      <c r="G12" s="20"/>
      <c r="H12" s="20"/>
      <c r="I12" s="20"/>
      <c r="J12" s="21"/>
      <c r="K12" s="21"/>
      <c r="L12" s="21"/>
      <c r="M12" s="21"/>
      <c r="N12" s="21"/>
      <c r="O12" s="21"/>
      <c r="P12" s="21"/>
      <c r="Q12" s="21"/>
      <c r="R12" s="21"/>
      <c r="S12" s="83"/>
    </row>
    <row r="13" spans="1:19" ht="15.75" hidden="1" customHeight="1" x14ac:dyDescent="0.3">
      <c r="A13" s="22" t="s">
        <v>18</v>
      </c>
      <c r="B13" s="18" t="s">
        <v>19</v>
      </c>
      <c r="C13" s="19"/>
      <c r="D13" s="19"/>
      <c r="E13" s="20"/>
      <c r="F13" s="20"/>
      <c r="G13" s="20"/>
      <c r="H13" s="20"/>
      <c r="I13" s="20"/>
      <c r="J13" s="23"/>
      <c r="K13" s="23"/>
      <c r="L13" s="23"/>
      <c r="M13" s="23"/>
      <c r="N13" s="23"/>
      <c r="O13" s="23"/>
      <c r="P13" s="23"/>
      <c r="Q13" s="23"/>
      <c r="R13" s="23"/>
      <c r="S13" s="20"/>
    </row>
    <row r="14" spans="1:19" ht="15.75" hidden="1" customHeight="1" x14ac:dyDescent="0.3">
      <c r="A14" s="25"/>
      <c r="B14" s="26" t="s">
        <v>20</v>
      </c>
      <c r="C14" s="19" t="s">
        <v>21</v>
      </c>
      <c r="D14" s="19"/>
      <c r="E14" s="20"/>
      <c r="F14" s="20"/>
      <c r="G14" s="20"/>
      <c r="H14" s="20"/>
      <c r="I14" s="20"/>
      <c r="J14" s="23"/>
      <c r="K14" s="23"/>
      <c r="L14" s="23"/>
      <c r="M14" s="23"/>
      <c r="N14" s="23"/>
      <c r="O14" s="23"/>
      <c r="P14" s="23"/>
      <c r="Q14" s="23"/>
      <c r="R14" s="23"/>
      <c r="S14" s="20"/>
    </row>
    <row r="15" spans="1:19" ht="15.75" hidden="1" customHeight="1" x14ac:dyDescent="0.3">
      <c r="A15" s="25"/>
      <c r="B15" s="26" t="s">
        <v>22</v>
      </c>
      <c r="C15" s="19" t="s">
        <v>23</v>
      </c>
      <c r="D15" s="19"/>
      <c r="E15" s="20">
        <v>100428</v>
      </c>
      <c r="F15" s="20">
        <v>88615</v>
      </c>
      <c r="G15" s="20">
        <v>104448</v>
      </c>
      <c r="H15" s="20">
        <v>108237</v>
      </c>
      <c r="I15" s="20">
        <v>401728</v>
      </c>
      <c r="J15" s="23"/>
      <c r="K15" s="23"/>
      <c r="L15" s="23"/>
      <c r="M15" s="23"/>
      <c r="N15" s="23"/>
      <c r="O15" s="23"/>
      <c r="P15" s="23"/>
      <c r="Q15" s="23"/>
      <c r="R15" s="23"/>
      <c r="S15" s="20"/>
    </row>
    <row r="16" spans="1:19" ht="15.75" hidden="1" customHeight="1" x14ac:dyDescent="0.3">
      <c r="A16" s="25"/>
      <c r="B16" s="26"/>
      <c r="C16" s="19" t="s">
        <v>24</v>
      </c>
      <c r="D16" s="19"/>
      <c r="E16" s="20">
        <v>126851</v>
      </c>
      <c r="F16" s="20">
        <v>111958</v>
      </c>
      <c r="G16" s="20">
        <v>131927</v>
      </c>
      <c r="H16" s="20">
        <v>136680</v>
      </c>
      <c r="I16" s="20">
        <v>507416</v>
      </c>
      <c r="J16" s="23"/>
      <c r="K16" s="23"/>
      <c r="L16" s="23"/>
      <c r="M16" s="23"/>
      <c r="N16" s="23"/>
      <c r="O16" s="23"/>
      <c r="P16" s="23"/>
      <c r="Q16" s="23"/>
      <c r="R16" s="23"/>
      <c r="S16" s="20"/>
    </row>
    <row r="17" spans="1:19" ht="15.75" hidden="1" customHeight="1" x14ac:dyDescent="0.3">
      <c r="A17" s="17"/>
      <c r="B17" s="26" t="s">
        <v>25</v>
      </c>
      <c r="C17" s="19" t="s">
        <v>26</v>
      </c>
      <c r="D17" s="19"/>
      <c r="E17" s="20"/>
      <c r="F17" s="20"/>
      <c r="G17" s="20"/>
      <c r="H17" s="20"/>
      <c r="I17" s="20"/>
      <c r="J17" s="23"/>
      <c r="K17" s="23"/>
      <c r="L17" s="23"/>
      <c r="M17" s="23"/>
      <c r="N17" s="23"/>
      <c r="O17" s="23"/>
      <c r="P17" s="23"/>
      <c r="Q17" s="23"/>
      <c r="R17" s="23"/>
      <c r="S17" s="20"/>
    </row>
    <row r="18" spans="1:19" ht="15.75" hidden="1" customHeight="1" x14ac:dyDescent="0.3">
      <c r="A18" s="17"/>
      <c r="B18" s="27"/>
      <c r="C18" s="19"/>
      <c r="D18" s="19"/>
      <c r="E18" s="20"/>
      <c r="F18" s="20"/>
      <c r="G18" s="20"/>
      <c r="H18" s="20"/>
      <c r="I18" s="20"/>
      <c r="J18" s="23"/>
      <c r="K18" s="23"/>
      <c r="L18" s="23"/>
      <c r="M18" s="23"/>
      <c r="N18" s="23"/>
      <c r="O18" s="23"/>
      <c r="P18" s="23"/>
      <c r="Q18" s="23"/>
      <c r="R18" s="23"/>
      <c r="S18" s="20"/>
    </row>
    <row r="19" spans="1:19" x14ac:dyDescent="0.3">
      <c r="A19" s="28" t="s">
        <v>27</v>
      </c>
      <c r="B19" s="29" t="s">
        <v>28</v>
      </c>
      <c r="C19" s="30"/>
      <c r="E19" s="20"/>
      <c r="F19" s="20"/>
      <c r="G19" s="20"/>
      <c r="H19" s="20"/>
      <c r="I19" s="20"/>
      <c r="J19" s="23"/>
      <c r="K19" s="23"/>
      <c r="L19" s="23"/>
      <c r="M19" s="23"/>
      <c r="N19" s="23"/>
      <c r="O19" s="23"/>
      <c r="P19" s="23"/>
      <c r="Q19" s="23"/>
      <c r="R19" s="23"/>
      <c r="S19" s="20"/>
    </row>
    <row r="20" spans="1:19" x14ac:dyDescent="0.3">
      <c r="A20" s="32"/>
      <c r="B20" s="33" t="s">
        <v>20</v>
      </c>
      <c r="C20" s="34" t="s">
        <v>21</v>
      </c>
      <c r="D20" s="35"/>
      <c r="E20" s="36">
        <f>$I$20/4</f>
        <v>0</v>
      </c>
      <c r="F20" s="36">
        <f>$I$20/4</f>
        <v>0</v>
      </c>
      <c r="G20" s="36">
        <f>$I$20/4</f>
        <v>0</v>
      </c>
      <c r="H20" s="36">
        <f>$I$20/4</f>
        <v>0</v>
      </c>
      <c r="I20" s="36"/>
      <c r="J20" s="37">
        <v>1</v>
      </c>
      <c r="K20" s="37">
        <v>1</v>
      </c>
      <c r="L20" s="37">
        <v>1</v>
      </c>
      <c r="M20" s="37">
        <f>1</f>
        <v>1</v>
      </c>
      <c r="N20" s="37">
        <v>1</v>
      </c>
      <c r="O20" s="37">
        <v>1</v>
      </c>
      <c r="P20" s="37">
        <v>1</v>
      </c>
      <c r="Q20" s="37">
        <v>1</v>
      </c>
      <c r="R20" s="37">
        <v>1</v>
      </c>
      <c r="S20" s="84">
        <f>SUM(J20:R20)</f>
        <v>9</v>
      </c>
    </row>
    <row r="21" spans="1:19" x14ac:dyDescent="0.3">
      <c r="A21" s="39"/>
      <c r="B21" s="33" t="s">
        <v>29</v>
      </c>
      <c r="C21" s="34" t="s">
        <v>30</v>
      </c>
      <c r="D21" s="35"/>
      <c r="E21" s="40"/>
      <c r="F21" s="40"/>
      <c r="G21" s="40"/>
      <c r="H21" s="40"/>
      <c r="I21" s="40"/>
      <c r="J21" s="38">
        <v>954</v>
      </c>
      <c r="K21" s="38">
        <v>1391</v>
      </c>
      <c r="L21" s="38">
        <v>1303</v>
      </c>
      <c r="M21" s="41">
        <v>1050</v>
      </c>
      <c r="N21" s="38">
        <v>1141</v>
      </c>
      <c r="O21" s="38">
        <v>1166</v>
      </c>
      <c r="P21" s="38">
        <v>918</v>
      </c>
      <c r="Q21" s="38">
        <v>925</v>
      </c>
      <c r="R21" s="38">
        <v>1099</v>
      </c>
      <c r="S21" s="84">
        <f>SUM(J21:R21)</f>
        <v>9947</v>
      </c>
    </row>
    <row r="22" spans="1:19" x14ac:dyDescent="0.3">
      <c r="A22" s="39"/>
      <c r="B22" s="33"/>
      <c r="C22" s="34" t="s">
        <v>24</v>
      </c>
      <c r="D22" s="35"/>
      <c r="E22" s="40"/>
      <c r="F22" s="40"/>
      <c r="G22" s="40"/>
      <c r="H22" s="40"/>
      <c r="I22" s="40"/>
      <c r="J22" s="38">
        <v>1342</v>
      </c>
      <c r="K22" s="38">
        <v>1646</v>
      </c>
      <c r="L22" s="38">
        <v>1552</v>
      </c>
      <c r="M22" s="38">
        <v>1404</v>
      </c>
      <c r="N22" s="38">
        <v>1488</v>
      </c>
      <c r="O22" s="38">
        <v>1478</v>
      </c>
      <c r="P22" s="38">
        <v>1075</v>
      </c>
      <c r="Q22" s="38">
        <v>1316</v>
      </c>
      <c r="R22" s="38">
        <v>1242</v>
      </c>
      <c r="S22" s="84">
        <f>SUM(J22:R22)</f>
        <v>12543</v>
      </c>
    </row>
    <row r="23" spans="1:19" x14ac:dyDescent="0.3">
      <c r="A23" s="39"/>
      <c r="B23" s="33" t="s">
        <v>31</v>
      </c>
      <c r="C23" s="34" t="s">
        <v>32</v>
      </c>
      <c r="D23" s="35"/>
      <c r="E23" s="40"/>
      <c r="F23" s="40"/>
      <c r="G23" s="40"/>
      <c r="H23" s="40"/>
      <c r="I23" s="40"/>
      <c r="J23" s="38">
        <f>J21/1</f>
        <v>954</v>
      </c>
      <c r="K23" s="38">
        <f>K21/K20</f>
        <v>1391</v>
      </c>
      <c r="L23" s="38">
        <f t="shared" ref="L23:Q23" si="0">L21</f>
        <v>1303</v>
      </c>
      <c r="M23" s="38">
        <f t="shared" si="0"/>
        <v>1050</v>
      </c>
      <c r="N23" s="38">
        <f t="shared" si="0"/>
        <v>1141</v>
      </c>
      <c r="O23" s="38">
        <f t="shared" si="0"/>
        <v>1166</v>
      </c>
      <c r="P23" s="38">
        <f t="shared" si="0"/>
        <v>918</v>
      </c>
      <c r="Q23" s="37">
        <f t="shared" si="0"/>
        <v>925</v>
      </c>
      <c r="R23" s="82">
        <f>R21</f>
        <v>1099</v>
      </c>
      <c r="S23" s="84">
        <f>AVERAGE(J23:R23)</f>
        <v>1105.2222222222222</v>
      </c>
    </row>
    <row r="24" spans="1:19" x14ac:dyDescent="0.3">
      <c r="A24" s="42"/>
      <c r="B24" s="27"/>
      <c r="C24" s="43"/>
      <c r="D24" s="43"/>
      <c r="E24" s="40"/>
      <c r="F24" s="40"/>
      <c r="G24" s="40"/>
      <c r="H24" s="40"/>
      <c r="I24" s="40"/>
      <c r="J24" s="31"/>
      <c r="K24" s="38"/>
      <c r="L24" s="38"/>
      <c r="M24" s="31"/>
      <c r="N24" s="30"/>
      <c r="O24" s="44"/>
      <c r="P24" s="31"/>
      <c r="Q24" s="30"/>
      <c r="S24" s="43"/>
    </row>
    <row r="25" spans="1:19" x14ac:dyDescent="0.3">
      <c r="A25" s="45" t="s">
        <v>33</v>
      </c>
      <c r="B25" s="18" t="s">
        <v>34</v>
      </c>
      <c r="C25" s="43"/>
      <c r="D25" s="43"/>
      <c r="E25" s="46"/>
      <c r="F25" s="46"/>
      <c r="G25" s="46"/>
      <c r="H25" s="46"/>
      <c r="I25" s="46"/>
      <c r="J25" s="47"/>
      <c r="K25" s="47"/>
      <c r="L25" s="47"/>
      <c r="M25" s="47"/>
      <c r="N25" s="47"/>
      <c r="O25" s="47"/>
      <c r="P25" s="47"/>
      <c r="Q25" s="47"/>
      <c r="R25" s="47"/>
      <c r="S25" s="46"/>
    </row>
    <row r="26" spans="1:19" s="51" customFormat="1" x14ac:dyDescent="0.3">
      <c r="A26" s="48"/>
      <c r="B26" s="49" t="s">
        <v>35</v>
      </c>
      <c r="C26" s="50" t="s">
        <v>36</v>
      </c>
      <c r="D26" s="46">
        <f>D27+D28</f>
        <v>1</v>
      </c>
      <c r="E26" s="46">
        <f>E27+E28</f>
        <v>1</v>
      </c>
      <c r="F26" s="46">
        <f>F27+F28</f>
        <v>1</v>
      </c>
      <c r="G26" s="46">
        <f>G27+G28</f>
        <v>1</v>
      </c>
      <c r="H26" s="46">
        <f>H27+H28</f>
        <v>1</v>
      </c>
      <c r="I26" s="46"/>
      <c r="J26" s="46">
        <f>J27+J28</f>
        <v>0</v>
      </c>
      <c r="K26" s="46">
        <f t="shared" ref="K26:R26" si="1">K27+K28</f>
        <v>0</v>
      </c>
      <c r="L26" s="46">
        <f t="shared" si="1"/>
        <v>0</v>
      </c>
      <c r="M26" s="46">
        <f t="shared" si="1"/>
        <v>0.08</v>
      </c>
      <c r="N26" s="46">
        <f t="shared" si="1"/>
        <v>0</v>
      </c>
      <c r="O26" s="46">
        <f t="shared" si="1"/>
        <v>0.08</v>
      </c>
      <c r="P26" s="46">
        <f t="shared" si="1"/>
        <v>0</v>
      </c>
      <c r="Q26" s="46">
        <f t="shared" si="1"/>
        <v>0</v>
      </c>
      <c r="R26" s="46">
        <f t="shared" si="1"/>
        <v>0</v>
      </c>
      <c r="S26" s="85">
        <f t="shared" ref="S26:S37" si="2">AVERAGE(J26:R26)</f>
        <v>1.7777777777777778E-2</v>
      </c>
    </row>
    <row r="27" spans="1:19" s="51" customFormat="1" x14ac:dyDescent="0.3">
      <c r="A27" s="48"/>
      <c r="B27" s="49" t="s">
        <v>37</v>
      </c>
      <c r="C27" s="50" t="s">
        <v>36</v>
      </c>
      <c r="D27" s="46">
        <v>0.5</v>
      </c>
      <c r="E27" s="46">
        <v>0.5</v>
      </c>
      <c r="F27" s="46">
        <v>0.5</v>
      </c>
      <c r="G27" s="46">
        <v>0.5</v>
      </c>
      <c r="H27" s="46">
        <v>0.5</v>
      </c>
      <c r="I27" s="46"/>
      <c r="J27" s="47">
        <v>0</v>
      </c>
      <c r="K27" s="47">
        <v>0</v>
      </c>
      <c r="L27" s="47">
        <v>0</v>
      </c>
      <c r="M27" s="47">
        <v>0.08</v>
      </c>
      <c r="N27" s="47">
        <v>0</v>
      </c>
      <c r="O27" s="47">
        <v>0.08</v>
      </c>
      <c r="P27" s="47">
        <v>0</v>
      </c>
      <c r="Q27" s="47">
        <v>0</v>
      </c>
      <c r="R27" s="47">
        <v>0</v>
      </c>
      <c r="S27" s="85">
        <f t="shared" si="2"/>
        <v>1.7777777777777778E-2</v>
      </c>
    </row>
    <row r="28" spans="1:19" s="51" customFormat="1" x14ac:dyDescent="0.3">
      <c r="A28" s="48"/>
      <c r="B28" s="49" t="s">
        <v>38</v>
      </c>
      <c r="C28" s="50" t="s">
        <v>36</v>
      </c>
      <c r="D28" s="46">
        <v>0.5</v>
      </c>
      <c r="E28" s="46">
        <v>0.5</v>
      </c>
      <c r="F28" s="46">
        <v>0.5</v>
      </c>
      <c r="G28" s="46">
        <v>0.5</v>
      </c>
      <c r="H28" s="46">
        <v>0.5</v>
      </c>
      <c r="I28" s="46"/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85">
        <f t="shared" si="2"/>
        <v>0</v>
      </c>
    </row>
    <row r="29" spans="1:19" s="51" customFormat="1" x14ac:dyDescent="0.3">
      <c r="A29" s="48"/>
      <c r="B29" s="49" t="s">
        <v>39</v>
      </c>
      <c r="C29" s="50" t="s">
        <v>36</v>
      </c>
      <c r="D29" s="46"/>
      <c r="E29" s="46">
        <v>13</v>
      </c>
      <c r="F29" s="46">
        <v>13</v>
      </c>
      <c r="G29" s="46">
        <v>13</v>
      </c>
      <c r="H29" s="46">
        <v>13</v>
      </c>
      <c r="I29" s="46"/>
      <c r="J29" s="47">
        <v>15.25</v>
      </c>
      <c r="K29" s="47">
        <v>21.68</v>
      </c>
      <c r="L29" s="47">
        <v>18.329999999999998</v>
      </c>
      <c r="M29" s="47">
        <v>14.53</v>
      </c>
      <c r="N29" s="47">
        <v>2</v>
      </c>
      <c r="O29" s="47">
        <v>2.25</v>
      </c>
      <c r="P29" s="47">
        <v>5.4</v>
      </c>
      <c r="Q29" s="47">
        <v>1.17</v>
      </c>
      <c r="R29" s="47">
        <v>5</v>
      </c>
      <c r="S29" s="85">
        <f t="shared" si="2"/>
        <v>9.5122222222222224</v>
      </c>
    </row>
    <row r="30" spans="1:19" s="51" customFormat="1" x14ac:dyDescent="0.3">
      <c r="A30" s="48"/>
      <c r="B30" s="49" t="s">
        <v>40</v>
      </c>
      <c r="C30" s="50" t="s">
        <v>36</v>
      </c>
      <c r="D30" s="46">
        <v>1.5</v>
      </c>
      <c r="E30" s="46">
        <v>2.3000000000000003</v>
      </c>
      <c r="F30" s="46">
        <v>2.3000000000000003</v>
      </c>
      <c r="G30" s="46">
        <v>2.3000000000000003</v>
      </c>
      <c r="H30" s="46">
        <v>2.3000000000000003</v>
      </c>
      <c r="I30" s="46"/>
      <c r="J30" s="47">
        <v>1.25</v>
      </c>
      <c r="K30" s="47">
        <v>1.25</v>
      </c>
      <c r="L30" s="47">
        <v>1.42</v>
      </c>
      <c r="M30" s="47">
        <v>1.58</v>
      </c>
      <c r="N30" s="47">
        <v>1.73</v>
      </c>
      <c r="O30" s="47">
        <v>1.57</v>
      </c>
      <c r="P30" s="47">
        <v>1.33</v>
      </c>
      <c r="Q30" s="47">
        <v>1.42</v>
      </c>
      <c r="R30" s="47">
        <v>1.42</v>
      </c>
      <c r="S30" s="85">
        <f t="shared" si="2"/>
        <v>1.4411111111111112</v>
      </c>
    </row>
    <row r="31" spans="1:19" x14ac:dyDescent="0.3">
      <c r="A31" s="42"/>
      <c r="B31" s="27" t="s">
        <v>41</v>
      </c>
      <c r="C31" s="43" t="s">
        <v>36</v>
      </c>
      <c r="D31" s="40"/>
      <c r="E31" s="47">
        <f>E32+E35</f>
        <v>23.860000000000007</v>
      </c>
      <c r="F31" s="47">
        <f>F32+F35</f>
        <v>23.860000000000007</v>
      </c>
      <c r="G31" s="47">
        <f>G32+G35</f>
        <v>23.860000000000007</v>
      </c>
      <c r="H31" s="47">
        <f>H32+H35</f>
        <v>23.860000000000007</v>
      </c>
      <c r="I31" s="47"/>
      <c r="J31" s="47">
        <f>J32+J35</f>
        <v>22.589999999999996</v>
      </c>
      <c r="K31" s="47">
        <f t="shared" ref="K31:R31" si="3">K32+K35</f>
        <v>31.42</v>
      </c>
      <c r="L31" s="47">
        <f t="shared" si="3"/>
        <v>27.75</v>
      </c>
      <c r="M31" s="47">
        <f t="shared" si="3"/>
        <v>26.81</v>
      </c>
      <c r="N31" s="47">
        <f t="shared" si="3"/>
        <v>29.75</v>
      </c>
      <c r="O31" s="47">
        <f t="shared" si="3"/>
        <v>23.77</v>
      </c>
      <c r="P31" s="47">
        <f t="shared" si="3"/>
        <v>25.58</v>
      </c>
      <c r="Q31" s="47">
        <f t="shared" si="3"/>
        <v>22.5</v>
      </c>
      <c r="R31" s="47">
        <f t="shared" si="3"/>
        <v>25.250000000000004</v>
      </c>
      <c r="S31" s="85">
        <f t="shared" si="2"/>
        <v>26.157777777777781</v>
      </c>
    </row>
    <row r="32" spans="1:19" x14ac:dyDescent="0.3">
      <c r="A32" s="42"/>
      <c r="B32" s="27" t="s">
        <v>42</v>
      </c>
      <c r="C32" s="43" t="s">
        <v>36</v>
      </c>
      <c r="D32" s="40"/>
      <c r="E32" s="46">
        <f>E33+E34</f>
        <v>18.860000000000007</v>
      </c>
      <c r="F32" s="46">
        <f>F33+F34</f>
        <v>18.860000000000007</v>
      </c>
      <c r="G32" s="46">
        <f>G33+G34</f>
        <v>18.860000000000007</v>
      </c>
      <c r="H32" s="46">
        <f>H33+H34</f>
        <v>18.860000000000007</v>
      </c>
      <c r="I32" s="46"/>
      <c r="J32" s="47">
        <f>J33+J34</f>
        <v>18.369999999999997</v>
      </c>
      <c r="K32" s="47">
        <f t="shared" ref="K32:R32" si="4">K33+K34</f>
        <v>20.82</v>
      </c>
      <c r="L32" s="47">
        <f t="shared" si="4"/>
        <v>22.62</v>
      </c>
      <c r="M32" s="47">
        <f t="shared" si="4"/>
        <v>24.18</v>
      </c>
      <c r="N32" s="47">
        <f t="shared" si="4"/>
        <v>23.22</v>
      </c>
      <c r="O32" s="47">
        <f t="shared" si="4"/>
        <v>19.3</v>
      </c>
      <c r="P32" s="47">
        <f t="shared" si="4"/>
        <v>14.98</v>
      </c>
      <c r="Q32" s="47">
        <f t="shared" si="4"/>
        <v>17.5</v>
      </c>
      <c r="R32" s="47">
        <f t="shared" si="4"/>
        <v>17.200000000000003</v>
      </c>
      <c r="S32" s="85">
        <f t="shared" si="2"/>
        <v>19.798888888888889</v>
      </c>
    </row>
    <row r="33" spans="1:19" s="55" customFormat="1" x14ac:dyDescent="0.3">
      <c r="A33" s="52"/>
      <c r="B33" s="53" t="s">
        <v>43</v>
      </c>
      <c r="C33" s="54" t="s">
        <v>36</v>
      </c>
      <c r="D33" s="40"/>
      <c r="E33" s="46">
        <v>18.360000000000007</v>
      </c>
      <c r="F33" s="46">
        <v>18.360000000000007</v>
      </c>
      <c r="G33" s="46">
        <v>18.360000000000007</v>
      </c>
      <c r="H33" s="46">
        <v>18.360000000000007</v>
      </c>
      <c r="I33" s="46"/>
      <c r="J33" s="47">
        <v>17.899999999999999</v>
      </c>
      <c r="K33" s="47">
        <v>18.23</v>
      </c>
      <c r="L33" s="47">
        <v>19.510000000000002</v>
      </c>
      <c r="M33" s="47">
        <v>21.18</v>
      </c>
      <c r="N33" s="47">
        <v>23.22</v>
      </c>
      <c r="O33" s="47">
        <v>19.12</v>
      </c>
      <c r="P33" s="47">
        <v>14.16</v>
      </c>
      <c r="Q33" s="47">
        <v>17.079999999999998</v>
      </c>
      <c r="R33" s="47">
        <v>16.690000000000001</v>
      </c>
      <c r="S33" s="85">
        <f t="shared" si="2"/>
        <v>18.565555555555552</v>
      </c>
    </row>
    <row r="34" spans="1:19" x14ac:dyDescent="0.3">
      <c r="A34" s="42"/>
      <c r="B34" s="27" t="s">
        <v>44</v>
      </c>
      <c r="C34" s="43" t="s">
        <v>36</v>
      </c>
      <c r="D34" s="40"/>
      <c r="E34" s="46">
        <v>0.5</v>
      </c>
      <c r="F34" s="46">
        <v>0.5</v>
      </c>
      <c r="G34" s="46">
        <v>0.5</v>
      </c>
      <c r="H34" s="46">
        <v>0.5</v>
      </c>
      <c r="I34" s="46"/>
      <c r="J34" s="47">
        <v>0.47</v>
      </c>
      <c r="K34" s="47">
        <v>2.59</v>
      </c>
      <c r="L34" s="47">
        <v>3.11</v>
      </c>
      <c r="M34" s="47">
        <v>3</v>
      </c>
      <c r="N34" s="47">
        <v>0</v>
      </c>
      <c r="O34" s="47">
        <v>0.18</v>
      </c>
      <c r="P34" s="47">
        <v>0.82</v>
      </c>
      <c r="Q34" s="47">
        <v>0.42</v>
      </c>
      <c r="R34" s="47">
        <v>0.51</v>
      </c>
      <c r="S34" s="85">
        <f t="shared" si="2"/>
        <v>1.2333333333333334</v>
      </c>
    </row>
    <row r="35" spans="1:19" x14ac:dyDescent="0.3">
      <c r="A35" s="42"/>
      <c r="B35" s="27" t="s">
        <v>45</v>
      </c>
      <c r="C35" s="43" t="s">
        <v>36</v>
      </c>
      <c r="D35" s="40"/>
      <c r="E35" s="46">
        <v>5</v>
      </c>
      <c r="F35" s="46">
        <v>5</v>
      </c>
      <c r="G35" s="46">
        <v>5</v>
      </c>
      <c r="H35" s="46">
        <v>5</v>
      </c>
      <c r="I35" s="46"/>
      <c r="J35" s="47">
        <v>4.22</v>
      </c>
      <c r="K35" s="47">
        <v>10.6</v>
      </c>
      <c r="L35" s="47">
        <v>5.13</v>
      </c>
      <c r="M35" s="47">
        <v>2.63</v>
      </c>
      <c r="N35" s="47">
        <v>6.53</v>
      </c>
      <c r="O35" s="47">
        <v>4.47</v>
      </c>
      <c r="P35" s="47">
        <v>10.6</v>
      </c>
      <c r="Q35" s="47">
        <v>5</v>
      </c>
      <c r="R35" s="47">
        <v>8.0500000000000007</v>
      </c>
      <c r="S35" s="85">
        <f t="shared" si="2"/>
        <v>6.358888888888889</v>
      </c>
    </row>
    <row r="36" spans="1:19" x14ac:dyDescent="0.3">
      <c r="A36" s="42"/>
      <c r="B36" s="27" t="s">
        <v>46</v>
      </c>
      <c r="C36" s="43" t="s">
        <v>36</v>
      </c>
      <c r="D36" s="40"/>
      <c r="E36" s="46">
        <f>E26+E29+E30+E31</f>
        <v>40.160000000000011</v>
      </c>
      <c r="F36" s="46">
        <f>F26+F29+F30+F31</f>
        <v>40.160000000000011</v>
      </c>
      <c r="G36" s="46">
        <f>G26+G29+G30+G31</f>
        <v>40.160000000000011</v>
      </c>
      <c r="H36" s="46">
        <f>H26+H29+H30+H31</f>
        <v>40.160000000000011</v>
      </c>
      <c r="I36" s="46"/>
      <c r="J36" s="47">
        <f>J26+J29+J30+J31</f>
        <v>39.089999999999996</v>
      </c>
      <c r="K36" s="47">
        <f t="shared" ref="K36:R36" si="5">K26+K29+K30+K31</f>
        <v>54.35</v>
      </c>
      <c r="L36" s="47">
        <f t="shared" si="5"/>
        <v>47.5</v>
      </c>
      <c r="M36" s="47">
        <f t="shared" si="5"/>
        <v>43</v>
      </c>
      <c r="N36" s="47">
        <f t="shared" si="5"/>
        <v>33.479999999999997</v>
      </c>
      <c r="O36" s="47">
        <f t="shared" si="5"/>
        <v>27.67</v>
      </c>
      <c r="P36" s="47">
        <f t="shared" si="5"/>
        <v>32.31</v>
      </c>
      <c r="Q36" s="47">
        <f t="shared" si="5"/>
        <v>25.09</v>
      </c>
      <c r="R36" s="47">
        <f t="shared" si="5"/>
        <v>31.67</v>
      </c>
      <c r="S36" s="85">
        <f t="shared" si="2"/>
        <v>37.128888888888888</v>
      </c>
    </row>
    <row r="37" spans="1:19" x14ac:dyDescent="0.3">
      <c r="A37" s="42"/>
      <c r="B37" s="27" t="s">
        <v>47</v>
      </c>
      <c r="C37" s="43" t="s">
        <v>48</v>
      </c>
      <c r="D37" s="40">
        <v>70</v>
      </c>
      <c r="E37" s="46">
        <f>E33/E31*100</f>
        <v>76.948868398994136</v>
      </c>
      <c r="F37" s="46">
        <f>F33/F31*100</f>
        <v>76.948868398994136</v>
      </c>
      <c r="G37" s="46">
        <f>G33/G31*100</f>
        <v>76.948868398994136</v>
      </c>
      <c r="H37" s="46">
        <f>H33/H31*100</f>
        <v>76.948868398994136</v>
      </c>
      <c r="I37" s="46"/>
      <c r="J37" s="47">
        <f>J33/J31*100</f>
        <v>79.238601150951766</v>
      </c>
      <c r="K37" s="47">
        <f t="shared" ref="K37:R37" si="6">K33/K31*100</f>
        <v>58.020369191597709</v>
      </c>
      <c r="L37" s="47">
        <f t="shared" si="6"/>
        <v>70.306306306306311</v>
      </c>
      <c r="M37" s="47">
        <f t="shared" si="6"/>
        <v>79.000372995151068</v>
      </c>
      <c r="N37" s="47">
        <f t="shared" si="6"/>
        <v>78.05042016806722</v>
      </c>
      <c r="O37" s="47">
        <f t="shared" si="6"/>
        <v>80.437526293647466</v>
      </c>
      <c r="P37" s="47">
        <f t="shared" si="6"/>
        <v>55.355746677091474</v>
      </c>
      <c r="Q37" s="47">
        <f t="shared" si="6"/>
        <v>75.911111111111111</v>
      </c>
      <c r="R37" s="47">
        <f t="shared" si="6"/>
        <v>66.099009900990097</v>
      </c>
      <c r="S37" s="85">
        <f t="shared" si="2"/>
        <v>71.379940421657139</v>
      </c>
    </row>
    <row r="38" spans="1:19" x14ac:dyDescent="0.3">
      <c r="A38" s="42"/>
      <c r="B38" s="27"/>
      <c r="C38" s="43"/>
      <c r="D38" s="43"/>
      <c r="E38" s="46"/>
      <c r="F38" s="46"/>
      <c r="G38" s="46"/>
      <c r="H38" s="46"/>
      <c r="I38" s="46"/>
      <c r="J38" s="47"/>
      <c r="K38" s="47"/>
      <c r="L38" s="47"/>
      <c r="M38" s="47"/>
      <c r="N38" s="47"/>
      <c r="O38" s="47"/>
      <c r="P38" s="47"/>
      <c r="Q38" s="47"/>
      <c r="R38" s="47"/>
      <c r="S38" s="46"/>
    </row>
    <row r="39" spans="1:19" x14ac:dyDescent="0.3">
      <c r="A39" s="45" t="s">
        <v>49</v>
      </c>
      <c r="B39" s="18" t="s">
        <v>50</v>
      </c>
      <c r="C39" s="43"/>
      <c r="D39" s="43"/>
      <c r="E39" s="46"/>
      <c r="F39" s="46"/>
      <c r="G39" s="46"/>
      <c r="H39" s="46"/>
      <c r="I39" s="46"/>
      <c r="J39" s="47"/>
      <c r="K39" s="47"/>
      <c r="L39" s="47"/>
      <c r="M39" s="47"/>
      <c r="N39" s="47"/>
      <c r="O39" s="47"/>
      <c r="P39" s="47"/>
      <c r="Q39" s="47"/>
      <c r="R39" s="47"/>
      <c r="S39" s="46"/>
    </row>
    <row r="40" spans="1:19" x14ac:dyDescent="0.3">
      <c r="A40" s="42"/>
      <c r="B40" s="26" t="s">
        <v>51</v>
      </c>
      <c r="C40" s="43"/>
      <c r="D40" s="43"/>
      <c r="E40" s="46"/>
      <c r="F40" s="46"/>
      <c r="G40" s="46"/>
      <c r="H40" s="46"/>
      <c r="I40" s="46"/>
      <c r="J40" s="47"/>
      <c r="K40" s="47"/>
      <c r="L40" s="47"/>
      <c r="M40" s="47"/>
      <c r="N40" s="47"/>
      <c r="O40" s="47"/>
      <c r="P40" s="47"/>
      <c r="Q40" s="47"/>
      <c r="R40" s="47"/>
      <c r="S40" s="46"/>
    </row>
    <row r="41" spans="1:19" x14ac:dyDescent="0.3">
      <c r="A41" s="42"/>
      <c r="B41" s="56" t="s">
        <v>52</v>
      </c>
      <c r="C41" s="43" t="s">
        <v>48</v>
      </c>
      <c r="D41" s="43">
        <v>60</v>
      </c>
      <c r="E41" s="57">
        <f>I41</f>
        <v>0</v>
      </c>
      <c r="F41" s="57">
        <f>+I41</f>
        <v>0</v>
      </c>
      <c r="G41" s="57">
        <f>+I41</f>
        <v>0</v>
      </c>
      <c r="H41" s="57">
        <f>+I41</f>
        <v>0</v>
      </c>
      <c r="I41" s="57"/>
      <c r="J41" s="47"/>
      <c r="K41" s="47"/>
      <c r="L41" s="47"/>
      <c r="M41" s="47"/>
      <c r="N41" s="47"/>
      <c r="O41" s="47"/>
      <c r="P41" s="47"/>
      <c r="Q41" s="47"/>
      <c r="R41" s="47"/>
      <c r="S41" s="86">
        <v>10.77</v>
      </c>
    </row>
    <row r="42" spans="1:19" x14ac:dyDescent="0.3">
      <c r="A42" s="42"/>
      <c r="B42" s="56" t="s">
        <v>53</v>
      </c>
      <c r="C42" s="43" t="s">
        <v>54</v>
      </c>
      <c r="D42" s="43"/>
      <c r="E42" s="46">
        <f>I42/4</f>
        <v>0</v>
      </c>
      <c r="F42" s="46">
        <f>E42</f>
        <v>0</v>
      </c>
      <c r="G42" s="46">
        <f>F42</f>
        <v>0</v>
      </c>
      <c r="H42" s="46">
        <f>G42</f>
        <v>0</v>
      </c>
      <c r="I42" s="46"/>
      <c r="J42" s="47"/>
      <c r="K42" s="47"/>
      <c r="L42" s="47"/>
      <c r="M42" s="47"/>
      <c r="N42" s="47"/>
      <c r="O42" s="47"/>
      <c r="P42" s="47"/>
      <c r="Q42" s="47"/>
      <c r="R42" s="47"/>
      <c r="S42" s="40"/>
    </row>
    <row r="43" spans="1:19" x14ac:dyDescent="0.3">
      <c r="A43" s="42"/>
      <c r="B43" s="26" t="s">
        <v>55</v>
      </c>
      <c r="C43" s="43"/>
      <c r="D43" s="43"/>
      <c r="E43" s="46"/>
      <c r="F43" s="46"/>
      <c r="G43" s="46"/>
      <c r="H43" s="46"/>
      <c r="I43" s="46"/>
      <c r="J43" s="47"/>
      <c r="K43" s="47"/>
      <c r="L43" s="47"/>
      <c r="M43" s="47"/>
      <c r="N43" s="47"/>
      <c r="O43" s="47"/>
      <c r="P43" s="47"/>
      <c r="Q43" s="47"/>
      <c r="R43" s="47"/>
      <c r="S43" s="46"/>
    </row>
    <row r="44" spans="1:19" x14ac:dyDescent="0.3">
      <c r="A44" s="42"/>
      <c r="B44" s="56" t="s">
        <v>56</v>
      </c>
      <c r="C44" s="43" t="s">
        <v>48</v>
      </c>
      <c r="D44" s="43">
        <v>70</v>
      </c>
      <c r="E44" s="57">
        <f>I44</f>
        <v>0</v>
      </c>
      <c r="F44" s="57">
        <f>+I44</f>
        <v>0</v>
      </c>
      <c r="G44" s="57">
        <f>+I44</f>
        <v>0</v>
      </c>
      <c r="H44" s="57">
        <f>+I44</f>
        <v>0</v>
      </c>
      <c r="I44" s="57"/>
      <c r="J44" s="47"/>
      <c r="K44" s="47"/>
      <c r="L44" s="47"/>
      <c r="M44" s="47"/>
      <c r="N44" s="47"/>
      <c r="O44" s="47"/>
      <c r="P44" s="47"/>
      <c r="Q44" s="47"/>
      <c r="R44" s="47"/>
      <c r="S44" s="86">
        <v>7.41</v>
      </c>
    </row>
    <row r="45" spans="1:19" x14ac:dyDescent="0.3">
      <c r="A45" s="42"/>
      <c r="B45" s="56" t="s">
        <v>57</v>
      </c>
      <c r="C45" s="43" t="s">
        <v>58</v>
      </c>
      <c r="D45" s="43"/>
      <c r="E45" s="46">
        <f>I45/4</f>
        <v>0</v>
      </c>
      <c r="F45" s="46">
        <f>E45</f>
        <v>0</v>
      </c>
      <c r="G45" s="46">
        <f>F45</f>
        <v>0</v>
      </c>
      <c r="H45" s="46">
        <f>G45</f>
        <v>0</v>
      </c>
      <c r="I45" s="46"/>
      <c r="J45" s="31"/>
      <c r="K45" s="31"/>
      <c r="L45" s="31"/>
      <c r="M45" s="31"/>
      <c r="N45" s="31"/>
      <c r="O45" s="31"/>
      <c r="P45" s="31"/>
      <c r="Q45" s="31"/>
      <c r="R45" s="31"/>
      <c r="S45" s="40"/>
    </row>
    <row r="46" spans="1:19" x14ac:dyDescent="0.3">
      <c r="A46" s="42"/>
      <c r="B46" s="26" t="s">
        <v>59</v>
      </c>
      <c r="C46" s="43"/>
      <c r="D46" s="43"/>
      <c r="E46" s="40"/>
      <c r="F46" s="40"/>
      <c r="G46" s="40"/>
      <c r="H46" s="40"/>
      <c r="I46" s="40"/>
      <c r="J46" s="31"/>
      <c r="K46" s="31"/>
      <c r="L46" s="31"/>
      <c r="M46" s="31"/>
      <c r="N46" s="31"/>
      <c r="O46" s="31"/>
      <c r="P46" s="31"/>
      <c r="Q46" s="31"/>
      <c r="R46" s="31"/>
      <c r="S46" s="40"/>
    </row>
    <row r="47" spans="1:19" x14ac:dyDescent="0.3">
      <c r="A47" s="42"/>
      <c r="B47" s="56" t="s">
        <v>60</v>
      </c>
      <c r="C47" s="43" t="s">
        <v>48</v>
      </c>
      <c r="D47" s="43">
        <v>0</v>
      </c>
      <c r="E47" s="40"/>
      <c r="F47" s="40"/>
      <c r="G47" s="40"/>
      <c r="H47" s="40"/>
      <c r="I47" s="40"/>
      <c r="J47" s="31"/>
      <c r="K47" s="31"/>
      <c r="L47" s="31"/>
      <c r="M47" s="31"/>
      <c r="N47" s="31"/>
      <c r="O47" s="31"/>
      <c r="P47" s="31"/>
      <c r="Q47" s="31"/>
      <c r="R47" s="31"/>
      <c r="S47" s="40"/>
    </row>
    <row r="48" spans="1:19" x14ac:dyDescent="0.3">
      <c r="A48" s="42"/>
      <c r="B48" s="56" t="s">
        <v>61</v>
      </c>
      <c r="C48" s="43" t="s">
        <v>62</v>
      </c>
      <c r="D48" s="43">
        <v>0</v>
      </c>
      <c r="E48" s="40"/>
      <c r="F48" s="40"/>
      <c r="G48" s="40"/>
      <c r="H48" s="40"/>
      <c r="I48" s="24"/>
      <c r="J48" s="31"/>
      <c r="K48" s="31"/>
      <c r="L48" s="31"/>
      <c r="M48" s="31"/>
      <c r="N48" s="31"/>
      <c r="O48" s="31"/>
      <c r="P48" s="31"/>
      <c r="Q48" s="31"/>
      <c r="R48" s="31"/>
      <c r="S48" s="40"/>
    </row>
    <row r="49" spans="1:19" x14ac:dyDescent="0.3">
      <c r="A49" s="42"/>
      <c r="B49" s="56"/>
      <c r="C49" s="43"/>
      <c r="D49" s="43"/>
      <c r="E49" s="40"/>
      <c r="F49" s="40"/>
      <c r="G49" s="40"/>
      <c r="H49" s="40"/>
      <c r="I49" s="24"/>
      <c r="J49" s="31"/>
      <c r="K49" s="31"/>
      <c r="L49" s="31"/>
      <c r="M49" s="31"/>
      <c r="N49" s="31"/>
      <c r="O49" s="31"/>
      <c r="P49" s="31"/>
      <c r="Q49" s="31"/>
      <c r="R49" s="31"/>
      <c r="S49" s="40"/>
    </row>
    <row r="50" spans="1:19" x14ac:dyDescent="0.3">
      <c r="A50" s="45" t="s">
        <v>63</v>
      </c>
      <c r="B50" s="18" t="s">
        <v>64</v>
      </c>
      <c r="C50" s="43"/>
      <c r="D50" s="43"/>
      <c r="E50" s="40"/>
      <c r="F50" s="40"/>
      <c r="G50" s="40"/>
      <c r="H50" s="40"/>
      <c r="I50" s="40"/>
      <c r="J50" s="31"/>
      <c r="K50" s="31"/>
      <c r="L50" s="31"/>
      <c r="M50" s="31"/>
      <c r="N50" s="31"/>
      <c r="O50" s="31"/>
      <c r="P50" s="31"/>
      <c r="Q50" s="31"/>
      <c r="R50" s="31"/>
      <c r="S50" s="40"/>
    </row>
    <row r="51" spans="1:19" x14ac:dyDescent="0.3">
      <c r="A51" s="42"/>
      <c r="B51" s="27" t="s">
        <v>65</v>
      </c>
      <c r="C51" s="43" t="s">
        <v>66</v>
      </c>
      <c r="D51" s="43">
        <v>22</v>
      </c>
      <c r="E51" s="58">
        <v>23</v>
      </c>
      <c r="F51" s="58">
        <v>23</v>
      </c>
      <c r="G51" s="58">
        <v>23</v>
      </c>
      <c r="H51" s="58">
        <v>23</v>
      </c>
      <c r="I51" s="40"/>
      <c r="J51" s="31">
        <v>22.6</v>
      </c>
      <c r="K51" s="31">
        <v>23.26</v>
      </c>
      <c r="L51" s="31">
        <v>24.11</v>
      </c>
      <c r="M51" s="31">
        <v>24.58</v>
      </c>
      <c r="N51" s="31">
        <v>22.52</v>
      </c>
      <c r="O51" s="31">
        <v>20.6</v>
      </c>
      <c r="P51" s="31">
        <v>25.92</v>
      </c>
      <c r="Q51" s="31">
        <v>26.8</v>
      </c>
      <c r="R51" s="31">
        <v>22.64</v>
      </c>
      <c r="S51" s="85">
        <f>AVERAGE(J51:R51)</f>
        <v>23.669999999999998</v>
      </c>
    </row>
    <row r="52" spans="1:19" x14ac:dyDescent="0.3">
      <c r="A52" s="42"/>
      <c r="B52" s="27"/>
      <c r="C52" s="43" t="s">
        <v>67</v>
      </c>
      <c r="D52" s="43">
        <v>34</v>
      </c>
      <c r="E52" s="40">
        <v>50</v>
      </c>
      <c r="F52" s="40">
        <v>50</v>
      </c>
      <c r="G52" s="40">
        <v>50</v>
      </c>
      <c r="H52" s="40">
        <v>50</v>
      </c>
      <c r="I52" s="40"/>
      <c r="J52" s="31">
        <v>42.82</v>
      </c>
      <c r="K52" s="31">
        <v>45.04</v>
      </c>
      <c r="L52" s="31">
        <v>47.6</v>
      </c>
      <c r="M52" s="31">
        <v>39.6</v>
      </c>
      <c r="N52" s="31">
        <v>38.76</v>
      </c>
      <c r="O52" s="31">
        <v>49.61</v>
      </c>
      <c r="P52" s="31">
        <v>36.51</v>
      </c>
      <c r="Q52" s="31">
        <v>41.64</v>
      </c>
      <c r="R52" s="31">
        <v>44.12</v>
      </c>
      <c r="S52" s="85">
        <f>AVERAGE(J52:R52)</f>
        <v>42.855555555555554</v>
      </c>
    </row>
    <row r="53" spans="1:19" x14ac:dyDescent="0.3">
      <c r="A53" s="42"/>
      <c r="B53" s="27" t="s">
        <v>68</v>
      </c>
      <c r="C53" s="43" t="s">
        <v>69</v>
      </c>
      <c r="D53" s="43">
        <v>60</v>
      </c>
      <c r="E53" s="40"/>
      <c r="F53" s="40"/>
      <c r="G53" s="40"/>
      <c r="H53" s="40"/>
      <c r="I53" s="40"/>
      <c r="J53" s="59"/>
      <c r="K53" s="60"/>
      <c r="L53" s="60"/>
      <c r="M53" s="31"/>
      <c r="N53" s="31"/>
      <c r="O53" s="31"/>
      <c r="P53" s="61"/>
      <c r="Q53" s="31"/>
      <c r="R53" s="31"/>
      <c r="S53" s="40">
        <v>17</v>
      </c>
    </row>
    <row r="54" spans="1:19" x14ac:dyDescent="0.3">
      <c r="A54" s="42"/>
      <c r="B54" s="27" t="s">
        <v>70</v>
      </c>
      <c r="C54" s="43" t="s">
        <v>69</v>
      </c>
      <c r="D54" s="43">
        <v>90</v>
      </c>
      <c r="E54" s="40"/>
      <c r="F54" s="40"/>
      <c r="G54" s="40"/>
      <c r="H54" s="40"/>
      <c r="I54" s="40"/>
      <c r="J54" s="59"/>
      <c r="K54" s="60"/>
      <c r="L54" s="60"/>
      <c r="M54" s="31"/>
      <c r="N54" s="31"/>
      <c r="O54" s="31"/>
      <c r="P54" s="61"/>
      <c r="Q54" s="31"/>
      <c r="R54" s="31"/>
      <c r="S54" s="40">
        <v>28</v>
      </c>
    </row>
    <row r="55" spans="1:19" hidden="1" x14ac:dyDescent="0.3">
      <c r="A55" s="45" t="s">
        <v>71</v>
      </c>
      <c r="B55" s="18" t="s">
        <v>72</v>
      </c>
      <c r="C55" s="43"/>
      <c r="D55" s="43"/>
      <c r="E55" s="46"/>
      <c r="F55" s="46"/>
      <c r="G55" s="46"/>
      <c r="H55" s="46"/>
      <c r="I55" s="46"/>
      <c r="J55" s="47"/>
      <c r="K55" s="47"/>
      <c r="L55" s="47"/>
      <c r="M55" s="47"/>
      <c r="N55" s="59"/>
      <c r="O55" s="60"/>
      <c r="P55" s="47"/>
      <c r="Q55" s="47"/>
      <c r="R55" s="31"/>
      <c r="S55" s="40"/>
    </row>
    <row r="56" spans="1:19" hidden="1" x14ac:dyDescent="0.3">
      <c r="A56" s="45"/>
      <c r="B56" s="62" t="s">
        <v>73</v>
      </c>
      <c r="C56" s="43" t="s">
        <v>74</v>
      </c>
      <c r="D56" s="43">
        <v>5</v>
      </c>
      <c r="E56" s="57">
        <v>3</v>
      </c>
      <c r="F56" s="57">
        <v>3</v>
      </c>
      <c r="G56" s="57">
        <v>3</v>
      </c>
      <c r="H56" s="57">
        <v>3</v>
      </c>
      <c r="I56" s="46"/>
      <c r="J56" s="63">
        <v>0</v>
      </c>
      <c r="K56" s="63">
        <v>0</v>
      </c>
      <c r="L56" s="63"/>
      <c r="M56" s="46"/>
      <c r="N56" s="46"/>
      <c r="O56" s="46"/>
      <c r="P56" s="63"/>
      <c r="Q56" s="63"/>
      <c r="R56" s="64"/>
      <c r="S56" s="64"/>
    </row>
    <row r="57" spans="1:19" hidden="1" x14ac:dyDescent="0.3">
      <c r="A57" s="45"/>
      <c r="B57" s="65" t="s">
        <v>75</v>
      </c>
      <c r="C57" s="43" t="s">
        <v>74</v>
      </c>
      <c r="D57" s="43">
        <v>1</v>
      </c>
      <c r="E57" s="57">
        <v>1.8</v>
      </c>
      <c r="F57" s="57">
        <v>1.8</v>
      </c>
      <c r="G57" s="57">
        <v>1.8</v>
      </c>
      <c r="H57" s="57">
        <v>1.8</v>
      </c>
      <c r="I57" s="57"/>
      <c r="J57" s="47">
        <v>0</v>
      </c>
      <c r="K57" s="47">
        <v>0</v>
      </c>
      <c r="L57" s="66"/>
      <c r="M57" s="57"/>
      <c r="N57" s="57"/>
      <c r="O57" s="57"/>
      <c r="P57" s="47"/>
      <c r="Q57" s="47"/>
      <c r="R57" s="31"/>
      <c r="S57" s="40"/>
    </row>
    <row r="58" spans="1:19" x14ac:dyDescent="0.3">
      <c r="A58" s="45"/>
      <c r="B58" s="65"/>
      <c r="C58" s="43"/>
      <c r="D58" s="43"/>
      <c r="E58" s="57"/>
      <c r="F58" s="57"/>
      <c r="G58" s="57"/>
      <c r="H58" s="57"/>
      <c r="I58" s="57"/>
      <c r="J58" s="47"/>
      <c r="K58" s="47"/>
      <c r="L58" s="66"/>
      <c r="M58" s="57"/>
      <c r="N58" s="57"/>
      <c r="O58" s="57"/>
      <c r="P58" s="47"/>
      <c r="Q58" s="47"/>
      <c r="R58" s="31"/>
      <c r="S58" s="40"/>
    </row>
    <row r="59" spans="1:19" x14ac:dyDescent="0.3">
      <c r="A59" s="45" t="s">
        <v>71</v>
      </c>
      <c r="B59" s="65" t="s">
        <v>76</v>
      </c>
      <c r="C59" s="43" t="s">
        <v>48</v>
      </c>
      <c r="D59" s="43">
        <v>85</v>
      </c>
      <c r="E59" s="57"/>
      <c r="F59" s="57"/>
      <c r="G59" s="57"/>
      <c r="H59" s="57"/>
      <c r="I59" s="57"/>
      <c r="J59" s="47"/>
      <c r="K59" s="47"/>
      <c r="L59" s="66"/>
      <c r="M59" s="57"/>
      <c r="N59" s="57"/>
      <c r="O59" s="57"/>
      <c r="P59" s="47"/>
      <c r="Q59" s="47"/>
      <c r="R59" s="31"/>
      <c r="S59" s="40">
        <v>92</v>
      </c>
    </row>
    <row r="60" spans="1:19" x14ac:dyDescent="0.3">
      <c r="A60" s="67"/>
      <c r="B60" s="68"/>
      <c r="C60" s="69"/>
      <c r="D60" s="69"/>
      <c r="E60" s="70"/>
      <c r="F60" s="70"/>
      <c r="G60" s="70"/>
      <c r="H60" s="70"/>
      <c r="I60" s="70"/>
      <c r="J60" s="71"/>
      <c r="K60" s="71"/>
      <c r="L60" s="71"/>
      <c r="M60" s="71"/>
      <c r="N60" s="71"/>
      <c r="O60" s="71"/>
      <c r="P60" s="71"/>
      <c r="Q60" s="71"/>
      <c r="R60" s="72"/>
      <c r="S60" s="72"/>
    </row>
    <row r="62" spans="1:19" ht="15" customHeight="1" x14ac:dyDescent="0.3">
      <c r="A62" s="73"/>
      <c r="B62" s="73"/>
      <c r="C62" s="73"/>
      <c r="D62" s="73"/>
      <c r="E62" s="73"/>
      <c r="F62" s="224"/>
      <c r="G62" s="224"/>
      <c r="H62" s="224"/>
      <c r="I62" s="74"/>
    </row>
    <row r="63" spans="1:19" x14ac:dyDescent="0.3">
      <c r="A63" s="223"/>
      <c r="B63" s="223"/>
      <c r="C63" s="223"/>
      <c r="D63" s="75"/>
      <c r="E63" s="75"/>
      <c r="F63" s="75"/>
      <c r="G63" s="223"/>
      <c r="H63" s="223"/>
      <c r="I63" s="223"/>
      <c r="S63" s="76"/>
    </row>
    <row r="64" spans="1:19" x14ac:dyDescent="0.3">
      <c r="A64" s="223"/>
      <c r="B64" s="223"/>
      <c r="C64" s="223"/>
      <c r="D64" s="75"/>
      <c r="E64" s="75"/>
      <c r="F64" s="77"/>
      <c r="G64" s="223"/>
      <c r="H64" s="223"/>
      <c r="I64" s="223"/>
    </row>
    <row r="65" spans="1:9" x14ac:dyDescent="0.3">
      <c r="A65" s="78"/>
      <c r="B65" s="79"/>
      <c r="C65" s="77"/>
      <c r="D65" s="77"/>
      <c r="E65" s="77"/>
      <c r="F65" s="77"/>
      <c r="G65" s="77"/>
      <c r="H65" s="77"/>
      <c r="I65" s="75"/>
    </row>
    <row r="66" spans="1:9" x14ac:dyDescent="0.3">
      <c r="A66" s="78"/>
      <c r="B66" s="79"/>
      <c r="C66" s="77"/>
      <c r="D66" s="77"/>
      <c r="E66" s="77"/>
      <c r="F66" s="77"/>
      <c r="G66" s="77"/>
      <c r="H66" s="77"/>
      <c r="I66" s="77"/>
    </row>
    <row r="67" spans="1:9" x14ac:dyDescent="0.3">
      <c r="A67" s="78"/>
      <c r="B67" s="79"/>
      <c r="C67" s="75"/>
      <c r="D67" s="75"/>
      <c r="E67" s="75"/>
      <c r="F67" s="75"/>
      <c r="G67" s="77"/>
      <c r="H67" s="75"/>
      <c r="I67" s="75"/>
    </row>
    <row r="68" spans="1:9" x14ac:dyDescent="0.3">
      <c r="A68" s="223"/>
      <c r="B68" s="223"/>
      <c r="C68" s="223"/>
      <c r="D68" s="75"/>
      <c r="E68" s="75"/>
      <c r="F68" s="77"/>
      <c r="G68" s="223"/>
      <c r="H68" s="223"/>
      <c r="I68" s="223"/>
    </row>
    <row r="69" spans="1:9" x14ac:dyDescent="0.3">
      <c r="A69" s="78"/>
      <c r="B69" s="79"/>
      <c r="C69" s="223"/>
      <c r="D69" s="223"/>
      <c r="E69" s="223"/>
      <c r="F69" s="223"/>
      <c r="G69" s="223"/>
      <c r="H69" s="223"/>
      <c r="I69" s="223"/>
    </row>
    <row r="70" spans="1:9" x14ac:dyDescent="0.3">
      <c r="A70" s="78"/>
      <c r="B70" s="79"/>
      <c r="C70" s="223"/>
      <c r="D70" s="223"/>
      <c r="E70" s="223"/>
      <c r="F70" s="223"/>
      <c r="G70" s="223"/>
      <c r="H70" s="77"/>
      <c r="I70" s="77"/>
    </row>
    <row r="71" spans="1:9" x14ac:dyDescent="0.3">
      <c r="A71" s="78"/>
      <c r="B71" s="79"/>
      <c r="C71" s="78"/>
      <c r="D71" s="78"/>
      <c r="E71" s="78"/>
      <c r="F71" s="77"/>
      <c r="G71" s="77"/>
      <c r="H71" s="77"/>
      <c r="I71" s="77"/>
    </row>
    <row r="72" spans="1:9" x14ac:dyDescent="0.3">
      <c r="A72" s="78"/>
      <c r="B72" s="79"/>
      <c r="C72" s="78"/>
      <c r="D72" s="78"/>
      <c r="E72" s="78"/>
      <c r="F72" s="80"/>
      <c r="G72" s="80"/>
      <c r="H72" s="80"/>
      <c r="I72" s="80"/>
    </row>
    <row r="73" spans="1:9" x14ac:dyDescent="0.3">
      <c r="A73" s="78"/>
      <c r="B73" s="79"/>
      <c r="C73" s="78"/>
      <c r="D73" s="78"/>
      <c r="E73" s="78"/>
      <c r="F73" s="80"/>
      <c r="G73" s="80"/>
      <c r="H73" s="80"/>
      <c r="I73" s="80"/>
    </row>
    <row r="74" spans="1:9" x14ac:dyDescent="0.3">
      <c r="A74" s="78"/>
      <c r="B74" s="79"/>
      <c r="C74" s="223"/>
      <c r="D74" s="223"/>
      <c r="E74" s="223"/>
      <c r="F74" s="223"/>
      <c r="G74" s="223"/>
      <c r="H74" s="77"/>
      <c r="I74" s="77"/>
    </row>
  </sheetData>
  <mergeCells count="17">
    <mergeCell ref="J8:R8"/>
    <mergeCell ref="A8:A10"/>
    <mergeCell ref="B8:B10"/>
    <mergeCell ref="C8:C10"/>
    <mergeCell ref="D8:D10"/>
    <mergeCell ref="E8:I8"/>
    <mergeCell ref="C74:G74"/>
    <mergeCell ref="F62:H62"/>
    <mergeCell ref="A63:C63"/>
    <mergeCell ref="G63:I63"/>
    <mergeCell ref="A64:C64"/>
    <mergeCell ref="G64:I64"/>
    <mergeCell ref="A68:C68"/>
    <mergeCell ref="G68:I68"/>
    <mergeCell ref="C69:G69"/>
    <mergeCell ref="H69:I69"/>
    <mergeCell ref="C70:G70"/>
  </mergeCells>
  <printOptions horizontalCentered="1" verticalCentered="1"/>
  <pageMargins left="0" right="0" top="0.35433070866141736" bottom="0.35433070866141736" header="0.31496062992125984" footer="0.31496062992125984"/>
  <pageSetup paperSize="9" scale="75" fitToWidth="0" orientation="landscape" r:id="rId1"/>
  <rowBreaks count="1" manualBreakCount="1">
    <brk id="60" max="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</vt:lpstr>
      <vt:lpstr>JAN</vt:lpstr>
      <vt:lpstr>JAN!Print_Area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WIN10PC</dc:creator>
  <cp:lastModifiedBy>ASUS</cp:lastModifiedBy>
  <cp:lastPrinted>2022-02-03T06:23:14Z</cp:lastPrinted>
  <dcterms:created xsi:type="dcterms:W3CDTF">2022-02-03T03:08:38Z</dcterms:created>
  <dcterms:modified xsi:type="dcterms:W3CDTF">2022-02-28T02:16:43Z</dcterms:modified>
</cp:coreProperties>
</file>