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(0) PT PTP\(12) GAJI\GAJI 2022\"/>
    </mc:Choice>
  </mc:AlternateContent>
  <xr:revisionPtr revIDLastSave="0" documentId="8_{30838F0C-E17E-42DF-917B-B0DA48CC0ABB}" xr6:coauthVersionLast="36" xr6:coauthVersionMax="36" xr10:uidLastSave="{00000000-0000-0000-0000-000000000000}"/>
  <bookViews>
    <workbookView xWindow="0" yWindow="0" windowWidth="19200" windowHeight="6810" tabRatio="661" firstSheet="1" activeTab="2" xr2:uid="{00000000-000D-0000-FFFF-FFFF00000000}"/>
  </bookViews>
  <sheets>
    <sheet name="0000" sheetId="37" state="veryHidden" r:id="rId1"/>
    <sheet name="REK BNI" sheetId="61" r:id="rId2"/>
    <sheet name="REK MANDIRI" sheetId="58" r:id="rId3"/>
    <sheet name="NET PEG PELINDO DIPERBANTUKAN" sheetId="68" r:id="rId4"/>
    <sheet name="REK PEGAWAI PTP" sheetId="69" r:id="rId5"/>
    <sheet name="NET PEGAWAI PTP" sheetId="59" r:id="rId6"/>
    <sheet name="REK DIREKSI" sheetId="65" r:id="rId7"/>
    <sheet name="NET DIREKSI " sheetId="63" r:id="rId8"/>
    <sheet name="REK KOMISARIS" sheetId="67" r:id="rId9"/>
    <sheet name="NET KOMISARIS" sheetId="64" r:id="rId10"/>
  </sheets>
  <externalReferences>
    <externalReference r:id="rId11"/>
    <externalReference r:id="rId12"/>
  </externalReferences>
  <definedNames>
    <definedName name="_xlnm.Print_Area" localSheetId="7">'NET DIREKSI '!$B$1:$V$23</definedName>
    <definedName name="_xlnm.Print_Area" localSheetId="9">'NET KOMISARIS'!$B$1:$Q$20</definedName>
    <definedName name="_xlnm.Print_Area" localSheetId="3">'NET PEG PELINDO DIPERBANTUKAN'!$A$1:$Y$33</definedName>
    <definedName name="_xlnm.Print_Area" localSheetId="5">'NET PEGAWAI PTP'!$B$1:$X$30</definedName>
    <definedName name="_xlnm.Print_Area" localSheetId="1">'REK BNI'!$A$1:$R$29</definedName>
    <definedName name="_xlnm.Print_Area" localSheetId="6">'REK DIREKSI'!$A$1:$X$21</definedName>
    <definedName name="_xlnm.Print_Area" localSheetId="8">'REK KOMISARIS'!$A$1:$X$22</definedName>
    <definedName name="_xlnm.Print_Area" localSheetId="2">'REK MANDIRI'!$A$1:$X$20</definedName>
    <definedName name="_xlnm.Print_Area" localSheetId="4">'REK PEGAWAI PTP'!$A$1:$X$30</definedName>
  </definedNames>
  <calcPr calcId="191029"/>
  <fileRecoveryPr autoRecover="0"/>
</workbook>
</file>

<file path=xl/calcChain.xml><?xml version="1.0" encoding="utf-8"?>
<calcChain xmlns="http://schemas.openxmlformats.org/spreadsheetml/2006/main">
  <c r="Q16" i="59" l="1"/>
  <c r="Q14" i="59"/>
  <c r="Q13" i="59"/>
  <c r="Q11" i="59"/>
  <c r="AB11" i="59"/>
  <c r="AB12" i="59"/>
  <c r="AB13" i="59"/>
  <c r="AB14" i="59"/>
  <c r="AB15" i="59"/>
  <c r="AB16" i="59"/>
  <c r="AB17" i="59"/>
  <c r="AB9" i="59"/>
  <c r="AC12" i="68"/>
  <c r="AC13" i="68"/>
  <c r="AC14" i="68"/>
  <c r="AC19" i="68"/>
  <c r="AC21" i="68"/>
  <c r="AC22" i="68"/>
  <c r="AC10" i="68"/>
  <c r="T12" i="68"/>
  <c r="T13" i="68"/>
  <c r="T14" i="68"/>
  <c r="T19" i="68"/>
  <c r="T21" i="68"/>
  <c r="T22" i="68"/>
  <c r="T10" i="68"/>
  <c r="R14" i="59"/>
  <c r="T11" i="59"/>
  <c r="T12" i="59"/>
  <c r="T13" i="59"/>
  <c r="T14" i="59"/>
  <c r="T15" i="59"/>
  <c r="T16" i="59"/>
  <c r="T17" i="59"/>
  <c r="T9" i="59"/>
  <c r="S12" i="68"/>
  <c r="AD12" i="68" s="1"/>
  <c r="S13" i="68"/>
  <c r="AD13" i="68" s="1"/>
  <c r="S14" i="68"/>
  <c r="AD14" i="68" s="1"/>
  <c r="S19" i="68"/>
  <c r="AD19" i="68" s="1"/>
  <c r="S21" i="68"/>
  <c r="AD21" i="68" s="1"/>
  <c r="S22" i="68"/>
  <c r="AD22" i="68" s="1"/>
  <c r="S10" i="68"/>
  <c r="AD10" i="68" s="1"/>
  <c r="S11" i="59"/>
  <c r="S12" i="59"/>
  <c r="S13" i="59"/>
  <c r="S14" i="59"/>
  <c r="S15" i="59"/>
  <c r="S16" i="59"/>
  <c r="S17" i="59"/>
  <c r="S9" i="59"/>
  <c r="M33" i="59"/>
  <c r="AC17" i="59" l="1"/>
  <c r="AC13" i="59"/>
  <c r="AC14" i="59"/>
  <c r="AC15" i="59"/>
  <c r="AC11" i="59"/>
  <c r="AC16" i="59"/>
  <c r="AC12" i="59"/>
  <c r="AC9" i="59"/>
  <c r="P11" i="63" l="1"/>
  <c r="P12" i="63"/>
  <c r="AC8" i="59" l="1"/>
  <c r="W40" i="59"/>
  <c r="T41" i="68"/>
  <c r="T42" i="68" s="1"/>
  <c r="T43" i="68" s="1"/>
  <c r="S45" i="68" s="1"/>
  <c r="S44" i="68" s="1"/>
  <c r="S8" i="59"/>
  <c r="V20" i="59"/>
  <c r="T8" i="59"/>
  <c r="W41" i="59" l="1"/>
  <c r="J11" i="64"/>
  <c r="Q11" i="64" s="1"/>
  <c r="W42" i="59" l="1"/>
  <c r="V44" i="59" s="1"/>
  <c r="V43" i="59" s="1"/>
  <c r="U28" i="64"/>
  <c r="F57" i="68" l="1"/>
  <c r="V23" i="68" l="1"/>
  <c r="R23" i="68"/>
  <c r="AB22" i="68"/>
  <c r="AB21" i="68"/>
  <c r="AB19" i="68"/>
  <c r="AB14" i="68"/>
  <c r="AB13" i="68"/>
  <c r="AB12" i="68"/>
  <c r="X10" i="68" l="1"/>
  <c r="AB10" i="68"/>
  <c r="X19" i="68"/>
  <c r="X22" i="68"/>
  <c r="X13" i="68"/>
  <c r="X14" i="68"/>
  <c r="X21" i="68"/>
  <c r="X12" i="68"/>
  <c r="W23" i="68"/>
  <c r="Z19" i="59"/>
  <c r="W19" i="59"/>
  <c r="R20" i="59"/>
  <c r="U8" i="59"/>
  <c r="W9" i="59" l="1"/>
  <c r="W8" i="59"/>
  <c r="AB8" i="59"/>
  <c r="Z8" i="59"/>
  <c r="Z9" i="59"/>
  <c r="N23" i="68" l="1"/>
  <c r="M23" i="68"/>
  <c r="L23" i="68"/>
  <c r="W22" i="69" l="1"/>
  <c r="V22" i="69"/>
  <c r="U22" i="69"/>
  <c r="T22" i="69"/>
  <c r="S22" i="69"/>
  <c r="R22" i="69"/>
  <c r="Q22" i="69"/>
  <c r="P22" i="69"/>
  <c r="O22" i="69"/>
  <c r="N22" i="69"/>
  <c r="M22" i="69"/>
  <c r="L22" i="69"/>
  <c r="K22" i="69"/>
  <c r="I22" i="69"/>
  <c r="H22" i="69"/>
  <c r="G22" i="69"/>
  <c r="F22" i="69"/>
  <c r="Z11" i="69"/>
  <c r="Z10" i="69"/>
  <c r="F19" i="59" l="1"/>
  <c r="J13" i="63" l="1"/>
  <c r="J13" i="67" l="1"/>
  <c r="X12" i="63" l="1"/>
  <c r="X11" i="63"/>
  <c r="Q13" i="63"/>
  <c r="P13" i="63"/>
  <c r="O13" i="63"/>
  <c r="X10" i="63"/>
  <c r="X14" i="63" l="1"/>
  <c r="O10" i="68" l="1"/>
  <c r="Y10" i="68" s="1"/>
  <c r="AA10" i="68" l="1"/>
  <c r="N11" i="63"/>
  <c r="V11" i="63" s="1"/>
  <c r="J12" i="65" l="1"/>
  <c r="Y11" i="63"/>
  <c r="M10" i="59"/>
  <c r="M11" i="59" l="1"/>
  <c r="W11" i="59" l="1"/>
  <c r="Z11" i="59"/>
  <c r="M12" i="59"/>
  <c r="J10" i="58"/>
  <c r="Z12" i="59" l="1"/>
  <c r="W12" i="59"/>
  <c r="M13" i="59"/>
  <c r="N10" i="63"/>
  <c r="V10" i="63" s="1"/>
  <c r="Y10" i="63" l="1"/>
  <c r="J11" i="65"/>
  <c r="M14" i="59"/>
  <c r="P23" i="68"/>
  <c r="M15" i="59" l="1"/>
  <c r="Z15" i="59" l="1"/>
  <c r="W15" i="59"/>
  <c r="M16" i="59"/>
  <c r="W16" i="59" s="1"/>
  <c r="G9" i="63"/>
  <c r="H9" i="63"/>
  <c r="X9" i="63"/>
  <c r="Z9" i="63"/>
  <c r="N9" i="63" l="1"/>
  <c r="V9" i="63" s="1"/>
  <c r="M18" i="59"/>
  <c r="M17" i="59"/>
  <c r="Y9" i="63" l="1"/>
  <c r="M20" i="59"/>
  <c r="P20" i="59"/>
  <c r="O20" i="59" l="1"/>
  <c r="K18" i="68"/>
  <c r="K20" i="68"/>
  <c r="K16" i="68"/>
  <c r="K17" i="68"/>
  <c r="K15" i="68"/>
  <c r="K11" i="68"/>
  <c r="J16" i="68"/>
  <c r="J17" i="68"/>
  <c r="J11" i="68"/>
  <c r="I22" i="68"/>
  <c r="K9" i="68"/>
  <c r="O9" i="68" s="1"/>
  <c r="Y9" i="68" s="1"/>
  <c r="K10" i="59"/>
  <c r="Q10" i="59" s="1"/>
  <c r="J10" i="59"/>
  <c r="I11" i="59"/>
  <c r="I9" i="59"/>
  <c r="M12" i="67"/>
  <c r="M14" i="67" s="1"/>
  <c r="F14" i="67"/>
  <c r="G14" i="67"/>
  <c r="H14" i="67"/>
  <c r="I14" i="67"/>
  <c r="K14" i="67"/>
  <c r="L14" i="67"/>
  <c r="P14" i="67"/>
  <c r="T14" i="67"/>
  <c r="U14" i="67"/>
  <c r="V14" i="67"/>
  <c r="Y10" i="65"/>
  <c r="Z10" i="65"/>
  <c r="F14" i="65"/>
  <c r="G14" i="65"/>
  <c r="H14" i="65"/>
  <c r="I14" i="65"/>
  <c r="K14" i="65"/>
  <c r="L14" i="65"/>
  <c r="M14" i="65"/>
  <c r="N14" i="65"/>
  <c r="O14" i="65"/>
  <c r="P14" i="65"/>
  <c r="Q14" i="65"/>
  <c r="R14" i="65"/>
  <c r="S14" i="65"/>
  <c r="T14" i="65"/>
  <c r="U14" i="65"/>
  <c r="V14" i="65"/>
  <c r="W14" i="65"/>
  <c r="G8" i="64"/>
  <c r="H12" i="64"/>
  <c r="L12" i="64"/>
  <c r="M12" i="64"/>
  <c r="N12" i="64"/>
  <c r="O12" i="64"/>
  <c r="P12" i="64"/>
  <c r="S12" i="64"/>
  <c r="H12" i="63"/>
  <c r="H13" i="63" s="1"/>
  <c r="AA12" i="63"/>
  <c r="I13" i="63"/>
  <c r="K13" i="63"/>
  <c r="L13" i="63"/>
  <c r="M13" i="63"/>
  <c r="R13" i="63"/>
  <c r="S13" i="63"/>
  <c r="T13" i="63"/>
  <c r="U13" i="63"/>
  <c r="X18" i="63"/>
  <c r="E22" i="61"/>
  <c r="F22" i="61"/>
  <c r="G22" i="61"/>
  <c r="H22" i="61"/>
  <c r="I22" i="61"/>
  <c r="J22" i="61"/>
  <c r="K22" i="61"/>
  <c r="L22" i="61"/>
  <c r="M22" i="61"/>
  <c r="N22" i="61"/>
  <c r="O22" i="61"/>
  <c r="P22" i="61"/>
  <c r="Q22" i="61"/>
  <c r="Y11" i="58"/>
  <c r="Z11" i="58"/>
  <c r="AA11" i="58"/>
  <c r="F12" i="58"/>
  <c r="G12" i="58"/>
  <c r="H12" i="58"/>
  <c r="I12" i="58"/>
  <c r="K12" i="58"/>
  <c r="L12" i="58"/>
  <c r="M12" i="58"/>
  <c r="N12" i="58"/>
  <c r="O12" i="58"/>
  <c r="P12" i="58"/>
  <c r="Q12" i="58"/>
  <c r="R12" i="58"/>
  <c r="S12" i="58"/>
  <c r="T12" i="58"/>
  <c r="U12" i="58"/>
  <c r="V12" i="58"/>
  <c r="W12" i="58"/>
  <c r="T10" i="59" l="1"/>
  <c r="AB10" i="59"/>
  <c r="AC16" i="68"/>
  <c r="AC11" i="68"/>
  <c r="AC20" i="68"/>
  <c r="AC15" i="68"/>
  <c r="AC18" i="68"/>
  <c r="AC17" i="68"/>
  <c r="T11" i="68"/>
  <c r="T15" i="68"/>
  <c r="T18" i="68"/>
  <c r="T16" i="68"/>
  <c r="T20" i="68"/>
  <c r="T17" i="68"/>
  <c r="S20" i="68"/>
  <c r="S16" i="68"/>
  <c r="AD16" i="68" s="1"/>
  <c r="S15" i="68"/>
  <c r="S18" i="68"/>
  <c r="S11" i="68"/>
  <c r="S17" i="68"/>
  <c r="S10" i="59"/>
  <c r="AC10" i="59" s="1"/>
  <c r="K23" i="68"/>
  <c r="Q23" i="68"/>
  <c r="AA10" i="65"/>
  <c r="I14" i="68"/>
  <c r="J19" i="68"/>
  <c r="J13" i="68"/>
  <c r="Z12" i="69"/>
  <c r="G12" i="63"/>
  <c r="G13" i="63" s="1"/>
  <c r="S13" i="64"/>
  <c r="G10" i="64"/>
  <c r="G9" i="64"/>
  <c r="J8" i="64"/>
  <c r="O16" i="68"/>
  <c r="O20" i="68"/>
  <c r="O17" i="68"/>
  <c r="O11" i="68"/>
  <c r="O12" i="68"/>
  <c r="Y12" i="68" s="1"/>
  <c r="J10" i="65"/>
  <c r="L10" i="59"/>
  <c r="I17" i="59"/>
  <c r="I14" i="59"/>
  <c r="I12" i="59"/>
  <c r="I15" i="59"/>
  <c r="I13" i="59"/>
  <c r="L8" i="59"/>
  <c r="AD15" i="68" l="1"/>
  <c r="AD17" i="68"/>
  <c r="AD11" i="68"/>
  <c r="AD20" i="68"/>
  <c r="AD18" i="68"/>
  <c r="Y11" i="68"/>
  <c r="X11" i="68"/>
  <c r="Y20" i="68"/>
  <c r="D19" i="61" s="1"/>
  <c r="Y17" i="68"/>
  <c r="D15" i="61" s="1"/>
  <c r="Y16" i="68"/>
  <c r="D14" i="61" s="1"/>
  <c r="AB20" i="68"/>
  <c r="X20" i="68"/>
  <c r="AA20" i="68" s="1"/>
  <c r="AB15" i="68"/>
  <c r="AB16" i="68"/>
  <c r="AB18" i="68"/>
  <c r="AB11" i="68"/>
  <c r="AB17" i="68"/>
  <c r="S23" i="68"/>
  <c r="X18" i="68"/>
  <c r="X17" i="68"/>
  <c r="AA17" i="68" s="1"/>
  <c r="U23" i="68"/>
  <c r="T23" i="68"/>
  <c r="X10" i="59"/>
  <c r="J12" i="69" s="1"/>
  <c r="G12" i="64"/>
  <c r="X15" i="68"/>
  <c r="X16" i="68"/>
  <c r="AA16" i="68" s="1"/>
  <c r="X8" i="59"/>
  <c r="J10" i="69" s="1"/>
  <c r="Y10" i="69"/>
  <c r="AA10" i="69" s="1"/>
  <c r="Z10" i="59"/>
  <c r="W10" i="59"/>
  <c r="Y12" i="69"/>
  <c r="AA12" i="69" s="1"/>
  <c r="O18" i="68"/>
  <c r="Y18" i="68" s="1"/>
  <c r="N17" i="59"/>
  <c r="D12" i="61"/>
  <c r="AA12" i="68"/>
  <c r="I23" i="68"/>
  <c r="O13" i="68"/>
  <c r="Y13" i="68" s="1"/>
  <c r="AA8" i="59"/>
  <c r="J14" i="68"/>
  <c r="J23" i="68" s="1"/>
  <c r="O19" i="68"/>
  <c r="Y19" i="68" s="1"/>
  <c r="L9" i="59"/>
  <c r="L11" i="59"/>
  <c r="X11" i="59" s="1"/>
  <c r="J18" i="59"/>
  <c r="N12" i="63"/>
  <c r="V12" i="63" s="1"/>
  <c r="Q8" i="64"/>
  <c r="I10" i="64"/>
  <c r="J10" i="64" s="1"/>
  <c r="T8" i="64"/>
  <c r="I9" i="64"/>
  <c r="O15" i="68"/>
  <c r="Y15" i="68" s="1"/>
  <c r="O22" i="68"/>
  <c r="Y22" i="68" s="1"/>
  <c r="O21" i="68"/>
  <c r="Y21" i="68" s="1"/>
  <c r="I18" i="59"/>
  <c r="I20" i="59" s="1"/>
  <c r="AA24" i="68" l="1"/>
  <c r="K42" i="68"/>
  <c r="F58" i="68"/>
  <c r="X23" i="68"/>
  <c r="I12" i="64"/>
  <c r="AA18" i="68"/>
  <c r="D18" i="61"/>
  <c r="Z17" i="59"/>
  <c r="W17" i="59"/>
  <c r="X9" i="59"/>
  <c r="J11" i="69" s="1"/>
  <c r="Y11" i="69"/>
  <c r="AA11" i="69" s="1"/>
  <c r="AA10" i="59"/>
  <c r="J19" i="59"/>
  <c r="J20" i="59" s="1"/>
  <c r="D10" i="61"/>
  <c r="AA11" i="59"/>
  <c r="N13" i="63"/>
  <c r="Y14" i="63" s="1"/>
  <c r="Y12" i="63"/>
  <c r="K18" i="59"/>
  <c r="Q18" i="59" s="1"/>
  <c r="N18" i="59"/>
  <c r="AA15" i="68"/>
  <c r="J11" i="58"/>
  <c r="AA22" i="68"/>
  <c r="D16" i="61"/>
  <c r="AA21" i="68"/>
  <c r="D11" i="61"/>
  <c r="D20" i="61"/>
  <c r="AA19" i="68"/>
  <c r="AA13" i="68"/>
  <c r="AA11" i="68"/>
  <c r="AA9" i="59"/>
  <c r="O14" i="68"/>
  <c r="Y14" i="68" s="1"/>
  <c r="J13" i="69"/>
  <c r="L15" i="59"/>
  <c r="X15" i="59" s="1"/>
  <c r="L17" i="59"/>
  <c r="X17" i="59" s="1"/>
  <c r="L12" i="59"/>
  <c r="X12" i="59" s="1"/>
  <c r="L14" i="59"/>
  <c r="L13" i="59"/>
  <c r="AA18" i="63"/>
  <c r="L16" i="59"/>
  <c r="X16" i="59" s="1"/>
  <c r="J10" i="67"/>
  <c r="Q10" i="64"/>
  <c r="J12" i="67" s="1"/>
  <c r="T10" i="64"/>
  <c r="T12" i="64" s="1"/>
  <c r="J9" i="64"/>
  <c r="J12" i="64" s="1"/>
  <c r="T18" i="59" l="1"/>
  <c r="T20" i="59" s="1"/>
  <c r="AB18" i="59"/>
  <c r="S18" i="59"/>
  <c r="Z16" i="59"/>
  <c r="AA16" i="59" s="1"/>
  <c r="W13" i="59"/>
  <c r="Z13" i="59"/>
  <c r="AA13" i="59" s="1"/>
  <c r="J18" i="69"/>
  <c r="L19" i="59"/>
  <c r="N20" i="59"/>
  <c r="U20" i="59"/>
  <c r="K20" i="59"/>
  <c r="J32" i="59" s="1"/>
  <c r="K43" i="68" s="1"/>
  <c r="X13" i="59"/>
  <c r="J14" i="69" s="1"/>
  <c r="Z14" i="59"/>
  <c r="AA14" i="59" s="1"/>
  <c r="W14" i="59"/>
  <c r="X14" i="59"/>
  <c r="J16" i="69" s="1"/>
  <c r="Y23" i="68"/>
  <c r="L18" i="59"/>
  <c r="AA17" i="59"/>
  <c r="AA12" i="59"/>
  <c r="AA14" i="68"/>
  <c r="O23" i="68"/>
  <c r="AA25" i="68" s="1"/>
  <c r="J21" i="69"/>
  <c r="J17" i="69"/>
  <c r="J20" i="69"/>
  <c r="AA15" i="59"/>
  <c r="J13" i="65"/>
  <c r="V13" i="63"/>
  <c r="D13" i="61"/>
  <c r="Q9" i="64"/>
  <c r="Q12" i="64" s="1"/>
  <c r="T13" i="64"/>
  <c r="N12" i="67"/>
  <c r="N14" i="67" s="1"/>
  <c r="O12" i="67"/>
  <c r="AC18" i="59" l="1"/>
  <c r="S20" i="59"/>
  <c r="Z18" i="59"/>
  <c r="AA18" i="59" s="1"/>
  <c r="AA19" i="59"/>
  <c r="X19" i="59"/>
  <c r="J15" i="69" s="1"/>
  <c r="L20" i="59"/>
  <c r="W18" i="59"/>
  <c r="W20" i="59" s="1"/>
  <c r="Q20" i="59"/>
  <c r="X18" i="59"/>
  <c r="AA27" i="68"/>
  <c r="Y18" i="59"/>
  <c r="D17" i="61"/>
  <c r="D22" i="61" s="1"/>
  <c r="J14" i="65"/>
  <c r="O14" i="67"/>
  <c r="Q12" i="67"/>
  <c r="Q14" i="67" s="1"/>
  <c r="J11" i="67"/>
  <c r="J14" i="67" s="1"/>
  <c r="AA21" i="59" l="1"/>
  <c r="Z21" i="59"/>
  <c r="AA23" i="59" s="1"/>
  <c r="J12" i="58"/>
  <c r="J19" i="69"/>
  <c r="J22" i="69" s="1"/>
  <c r="X20" i="59"/>
  <c r="R12" i="67"/>
  <c r="R14" i="67" l="1"/>
  <c r="S12" i="67"/>
  <c r="W12" i="67" l="1"/>
  <c r="W14" i="67" s="1"/>
  <c r="S14" i="67"/>
</calcChain>
</file>

<file path=xl/sharedStrings.xml><?xml version="1.0" encoding="utf-8"?>
<sst xmlns="http://schemas.openxmlformats.org/spreadsheetml/2006/main" count="555" uniqueCount="241">
  <si>
    <t>NPWP</t>
  </si>
  <si>
    <t>K/0</t>
  </si>
  <si>
    <t>STATUS KAWIN</t>
  </si>
  <si>
    <t>TUNJANGAN CUTI</t>
  </si>
  <si>
    <t>THR</t>
  </si>
  <si>
    <t>IURAN PENSIUN, THT/JHT</t>
  </si>
  <si>
    <t>TUNJANGAN TRANSPORT</t>
  </si>
  <si>
    <t>NO</t>
  </si>
  <si>
    <t>BIAYA JABATAN PENGHASILAN TERATUR</t>
  </si>
  <si>
    <t>JUMLAH PENGHASILAN BRUTO</t>
  </si>
  <si>
    <t>JUMLAH PENGHASILAN NETO SEBULAN</t>
  </si>
  <si>
    <t>JUMLAH PENGURANG</t>
  </si>
  <si>
    <t>PPh Terutang Disetahunkan</t>
  </si>
  <si>
    <t>Sub Total (jika ada NPWP)</t>
  </si>
  <si>
    <t>DIREKTUR UTAMA</t>
  </si>
  <si>
    <t>PT PRIMA TERMINAL PETIKEMAS</t>
  </si>
  <si>
    <t>GAJI</t>
  </si>
  <si>
    <t>TUNJANGAN PERUMAHAN</t>
  </si>
  <si>
    <t>TUNJANGAN KOMUNIKASI</t>
  </si>
  <si>
    <t>JUMLAH PENGHASILAN TIDAK TERATUR</t>
  </si>
  <si>
    <t>01.061.009.5-093.000</t>
  </si>
  <si>
    <t>JABATAN</t>
  </si>
  <si>
    <t>DIREKTUR OPERASI &amp; TEKNIK</t>
  </si>
  <si>
    <t>JUMLAH PENGHASILAN</t>
  </si>
  <si>
    <t>NO REKENING</t>
  </si>
  <si>
    <t xml:space="preserve"> PT PRIMA TERMINAL PETIKEMAS</t>
  </si>
  <si>
    <t>ADINDA SURYA PUTRI</t>
  </si>
  <si>
    <t>ADE HASDINA</t>
  </si>
  <si>
    <t>Bank Mandiri AC. 106-001-0837790</t>
  </si>
  <si>
    <t>TUNJANGAN JABATAN</t>
  </si>
  <si>
    <t>TUNJANGAN PRESTASI</t>
  </si>
  <si>
    <t>K/2</t>
  </si>
  <si>
    <t>1.</t>
  </si>
  <si>
    <t>25.931.772.5-113.000</t>
  </si>
  <si>
    <t>K/1</t>
  </si>
  <si>
    <t>TK/0</t>
  </si>
  <si>
    <t>MANAJER UMUM</t>
  </si>
  <si>
    <t>66.189.359.4-124.000</t>
  </si>
  <si>
    <t>2.</t>
  </si>
  <si>
    <t>ADHYASA YUTONO</t>
  </si>
  <si>
    <t>58.572.708.4-411.000</t>
  </si>
  <si>
    <t>Bank Mandiri AC. 006-000-4009597</t>
  </si>
  <si>
    <t>LAMPIRAN I</t>
  </si>
  <si>
    <t xml:space="preserve"> </t>
  </si>
  <si>
    <t>SEKRETARIS DEWAN KOMISARIS</t>
  </si>
  <si>
    <t>K/3</t>
  </si>
  <si>
    <t>PPh Pasal 21 Ditanggung Perusahaan</t>
  </si>
  <si>
    <t>TUNJANGAN KENDARAAN</t>
  </si>
  <si>
    <t>DIREKTUR OPERASI DAN TEKNIK</t>
  </si>
  <si>
    <t>PPh Pasal 21 Ditanggung Pegawai</t>
  </si>
  <si>
    <t>STAF DIVISI UMUM</t>
  </si>
  <si>
    <t>STAF DIVISI KEUANGAN</t>
  </si>
  <si>
    <t>STAF DIVISI TEKNIK</t>
  </si>
  <si>
    <t>PANDAPOTAN PULUNGAN</t>
  </si>
  <si>
    <t>MANAJER KEUANGAN</t>
  </si>
  <si>
    <t>48.258.877.9-213.000</t>
  </si>
  <si>
    <t>PREMI SIHARTA JIWASRAYA</t>
  </si>
  <si>
    <t>MANAJER PROYEK/TEKNIK</t>
  </si>
  <si>
    <t>47.338.117.5-121.000</t>
  </si>
  <si>
    <t>KOMISARIS I</t>
  </si>
  <si>
    <t>POTONGAN IURAN BPJS (Tenaker, Kesehatan dan Pensiun)</t>
  </si>
  <si>
    <t>SURYA DARMA</t>
  </si>
  <si>
    <t>75.024.501.1-113.000</t>
  </si>
  <si>
    <t xml:space="preserve">SURYA DARMA </t>
  </si>
  <si>
    <t>Bank Mandiri AC. 106-001-1782235</t>
  </si>
  <si>
    <t>KOMISARIS UTAMA</t>
  </si>
  <si>
    <t xml:space="preserve">NAMA </t>
  </si>
  <si>
    <t>GAJI POKOK</t>
  </si>
  <si>
    <t>JUMLAH TAKE HOME PAY</t>
  </si>
  <si>
    <t>-</t>
  </si>
  <si>
    <t>GRADE</t>
  </si>
  <si>
    <t>MARIHOT P. SIMARMATA</t>
  </si>
  <si>
    <t>Madya Grade 2</t>
  </si>
  <si>
    <t>77.426.148.1-002.000</t>
  </si>
  <si>
    <t>Bank Mandiri AC. 006-000-6270734</t>
  </si>
  <si>
    <t>IFSAN ROSADY</t>
  </si>
  <si>
    <t>ASISTEN MANAJER PERALATAN</t>
  </si>
  <si>
    <t>FARIS HILMAN</t>
  </si>
  <si>
    <t>81.728.964.8-403.000</t>
  </si>
  <si>
    <t>58.288.608.1-112.000</t>
  </si>
  <si>
    <t>Bank Mandiri AC. 106-001-2338078</t>
  </si>
  <si>
    <t>MARIHOT SIMARMATA</t>
  </si>
  <si>
    <t>JUMLAH DITERIMA BERSIH</t>
  </si>
  <si>
    <t>KEWAJIBAN PEGAWAI ALIH TUGAS PT PELINDO 1</t>
  </si>
  <si>
    <t>M. FIKRI AL HAKIM</t>
  </si>
  <si>
    <t>77.105.044.0-103.000</t>
  </si>
  <si>
    <t>STAF DIVISI PENGEMBANGAN</t>
  </si>
  <si>
    <t>AUGUSTO DWIFA DANIEL</t>
  </si>
  <si>
    <t>75.250.341.7-008.000</t>
  </si>
  <si>
    <t>07.781.854.0-503.001</t>
  </si>
  <si>
    <t>ANDAREAS SIAGIAN</t>
  </si>
  <si>
    <t>98.429.797.8-117.000</t>
  </si>
  <si>
    <t>AGUS WILARSO</t>
  </si>
  <si>
    <t>07.286.118.0-008.000</t>
  </si>
  <si>
    <t>Bank Mandiri AC. 006-009-704-9005</t>
  </si>
  <si>
    <t>DANA PENSIUN WIJAYA KARYA</t>
  </si>
  <si>
    <t>YOLANDA EVANS SIMORANGKIR</t>
  </si>
  <si>
    <t>Bank Mandiri AC. 106-001-3135606</t>
  </si>
  <si>
    <t>FRIDOLIN SIAHAAN</t>
  </si>
  <si>
    <t>MANAJER OPERASI</t>
  </si>
  <si>
    <t>49.419.115.8-121.000</t>
  </si>
  <si>
    <t>91.107.451.6-113.000</t>
  </si>
  <si>
    <t>REZA AL KAUTSAR LUBIS</t>
  </si>
  <si>
    <t>BILLY AZ ZAHRY</t>
  </si>
  <si>
    <t>WAHYU MAULANA</t>
  </si>
  <si>
    <t>09.907.446.0-112.000</t>
  </si>
  <si>
    <t>86.440.201.1-121.000</t>
  </si>
  <si>
    <t>75.252.664.0-102.000</t>
  </si>
  <si>
    <t>BILLY AZ-ZAHRY</t>
  </si>
  <si>
    <t>Bank Mandiri AC. 106-001-3218907</t>
  </si>
  <si>
    <t>Bank Mandiri AC. 106-001-3215887</t>
  </si>
  <si>
    <t>ASISTEN MANAJER TI</t>
  </si>
  <si>
    <t>M. RIDHO FAKHROZI</t>
  </si>
  <si>
    <t>71.564.573.5-112.000</t>
  </si>
  <si>
    <t>Bank Mandiri AC. 106-002-22-19904</t>
  </si>
  <si>
    <t>MUHAMMAD RIDHO FAKHROZI</t>
  </si>
  <si>
    <t>24.004.037.8-411.000</t>
  </si>
  <si>
    <t>RIDWAN SANI SIREGAR</t>
  </si>
  <si>
    <t>Bank BNI AC. 005-8782-955</t>
  </si>
  <si>
    <t>Bank Mandiri AC. 106-005587-0003</t>
  </si>
  <si>
    <t>MANAJER PENGEMBANGAN</t>
  </si>
  <si>
    <t>07.980.856.4-112.000</t>
  </si>
  <si>
    <t>Bank BNI AC. 250-4197-002</t>
  </si>
  <si>
    <t xml:space="preserve">LAMPIRAN </t>
  </si>
  <si>
    <t>SYAIFUL</t>
  </si>
  <si>
    <t>14.085.292.2-113.000</t>
  </si>
  <si>
    <t>08.811.868.2-503.000</t>
  </si>
  <si>
    <t>FAHMI IDRIS SITOMPUL</t>
  </si>
  <si>
    <t>83.170.341.8-124.000</t>
  </si>
  <si>
    <t>Bank BNI AC. 086-5006-338</t>
  </si>
  <si>
    <t>20=15-(15+…19)</t>
  </si>
  <si>
    <t>15=8+…+14</t>
  </si>
  <si>
    <t>DAFTAR GAJI PEGAWAI</t>
  </si>
  <si>
    <t>ASMEN PEMASARAN &amp; PLY PELANGGAN</t>
  </si>
  <si>
    <t>54.467.582.0-513.000</t>
  </si>
  <si>
    <t>ASMEN PELAYANAN OPERASI</t>
  </si>
  <si>
    <t>ASMEN PEMASARAN &amp; PELY PELANGGAN</t>
  </si>
  <si>
    <t xml:space="preserve">   </t>
  </si>
  <si>
    <t>DAFTAR GAJI KOMISARIS</t>
  </si>
  <si>
    <t>DAFTAR GAJI DIREKSI</t>
  </si>
  <si>
    <t>TUNJANGAN POSISI</t>
  </si>
  <si>
    <t>TUNJANGAN KINERJA</t>
  </si>
  <si>
    <t>DAFTAR GAJI PEGAWAI PT PRIMA TERMINAL PETIKEMAS</t>
  </si>
  <si>
    <t>POTONGAN IURAN BPJS TENAGA KERJA</t>
  </si>
  <si>
    <t>POTONGAN IURAN BPJS KESEHATAN</t>
  </si>
  <si>
    <t xml:space="preserve">DAFTAR GAJI DIREKSI </t>
  </si>
  <si>
    <t>UANG PENGGANTI FASILITAS KENDARAAN</t>
  </si>
  <si>
    <t>TUNJANGAN TELEPON</t>
  </si>
  <si>
    <t>POTONGAN KEWAJIBAN PEGAWAI ALIH TUGAS</t>
  </si>
  <si>
    <t>KELAS JABATAN DI PELINDO 1</t>
  </si>
  <si>
    <t>DAFTAR GAJI PEGAWAI PELINDO YANG DIPERBANTUKAN</t>
  </si>
  <si>
    <t>POSDAn GAPOK</t>
  </si>
  <si>
    <t>Posdan Tun</t>
  </si>
  <si>
    <t>POTONGAN TUNJANGAN KINERJA</t>
  </si>
  <si>
    <t>POTONGAN TUNJANGAN POSISI</t>
  </si>
  <si>
    <t>DAFTAR GAJI DEWAN KOMISARIS &amp; SEKRETARIS DEWAN KOMISARIS</t>
  </si>
  <si>
    <t>20=15(15+…19)</t>
  </si>
  <si>
    <t>SANDHY WIJAYA</t>
  </si>
  <si>
    <t>48.763.262.2-112.000</t>
  </si>
  <si>
    <t>IR. YULIANDI MM</t>
  </si>
  <si>
    <t>Bank BNI AC. 064-5687-114</t>
  </si>
  <si>
    <t>kewajiban pelindo</t>
  </si>
  <si>
    <t xml:space="preserve">total </t>
  </si>
  <si>
    <t>Bank BNI AC. 004-2015-677</t>
  </si>
  <si>
    <t>Bank BNI AC . 267-3800-00</t>
  </si>
  <si>
    <t xml:space="preserve">DAFTAR GAJI PEGAWAI </t>
  </si>
  <si>
    <t>JUMLAH KETERLAMBATAN DALAM 1 BULAN</t>
  </si>
  <si>
    <t>HOTMA TAMBUNAN</t>
  </si>
  <si>
    <t>TRISNA WARDANI</t>
  </si>
  <si>
    <t>KA. SATUAN PENGAWASAN INTERN</t>
  </si>
  <si>
    <t>SAMSU RIZAL</t>
  </si>
  <si>
    <t>RUSCHAN</t>
  </si>
  <si>
    <t>YUSUF SUDARSONO</t>
  </si>
  <si>
    <t>MANAJER TEKNIK</t>
  </si>
  <si>
    <t>24.891.326.1-121.000</t>
  </si>
  <si>
    <t>07.980.866.3-112.000</t>
  </si>
  <si>
    <t>JUMLAH KETERLAMBATAN SELAMA 1 BULAN (DALAM MENIT)</t>
  </si>
  <si>
    <t>Bank BNI AC. 030-520-8685</t>
  </si>
  <si>
    <t>Bank BNI AC. 018-623-8340</t>
  </si>
  <si>
    <t>total potongan</t>
  </si>
  <si>
    <t>KA. SATUAN PENGAWAS INTERN</t>
  </si>
  <si>
    <t>Bank Mandiri AC.  106-000-7774113</t>
  </si>
  <si>
    <t>Bank Syariah Mandiri AC.  714-0524-071</t>
  </si>
  <si>
    <t>Bank BNI AC. 005-879-8829</t>
  </si>
  <si>
    <t>RAFDINAL</t>
  </si>
  <si>
    <t>DIREKTUR KEUANGAN &amp; UMUM</t>
  </si>
  <si>
    <t>48.718.362.6-211.000</t>
  </si>
  <si>
    <t>3.</t>
  </si>
  <si>
    <t>Bank BNI AC. 0077-683-351</t>
  </si>
  <si>
    <t>Total Potongan Keseluruhan</t>
  </si>
  <si>
    <t>POTONGAN IURAN PERISPINDO</t>
  </si>
  <si>
    <t>BASUKI SOLEH</t>
  </si>
  <si>
    <t>07.983.025.3-112.000</t>
  </si>
  <si>
    <t>K/-</t>
  </si>
  <si>
    <t>Bank Syariah Indonesia AC. 7128-491419</t>
  </si>
  <si>
    <t>Menyetujui,</t>
  </si>
  <si>
    <t>JOKO NOERHUDHA</t>
  </si>
  <si>
    <t>Senior Grade 3</t>
  </si>
  <si>
    <t>KARINA CITA LESTARI</t>
  </si>
  <si>
    <t>PKWT - STAF SISTEM MANAJEMEN</t>
  </si>
  <si>
    <t>95.266.277.3-119.000</t>
  </si>
  <si>
    <t>ASISTEN MANAJER RENDALOPS</t>
  </si>
  <si>
    <t>Bank BNI AC. 581-858-217</t>
  </si>
  <si>
    <t>Bank Mandiri AC. 105-001-2068510</t>
  </si>
  <si>
    <t>NURSAN</t>
  </si>
  <si>
    <t>66.929.469.6-112.000</t>
  </si>
  <si>
    <t>Madya Grade 1</t>
  </si>
  <si>
    <t>Bank BNI AC. 018-365-0493</t>
  </si>
  <si>
    <t>Bank BNI AC. 028-7651-535</t>
  </si>
  <si>
    <t>ASMEN RENDALOPS</t>
  </si>
  <si>
    <t xml:space="preserve">WAHYU MAULANA </t>
  </si>
  <si>
    <t>AHMAD YANI</t>
  </si>
  <si>
    <t>14=8+…+13</t>
  </si>
  <si>
    <t>24=15-......22</t>
  </si>
  <si>
    <t>Bank BNI AC.  005-8822-117</t>
  </si>
  <si>
    <t>POTONGAN TUNJANGAN JABATAN</t>
  </si>
  <si>
    <t>Potongan 10% Pencairan Piutang tidak tercapai</t>
  </si>
  <si>
    <t>Pot 10% Pendapatan Usaha tidak tercapai</t>
  </si>
  <si>
    <t>KOMISARIS II/PLT KOMISARIS UTAMA</t>
  </si>
  <si>
    <t>KOMISARIS II / PLT KOMISARIS UTAMA</t>
  </si>
  <si>
    <t>Bank BSI AC. 7183-5822-45</t>
  </si>
  <si>
    <t>Bank BSI AC. 1015-2219-40</t>
  </si>
  <si>
    <t>Bank BNI AC. 0436-336-752</t>
  </si>
  <si>
    <t>Bank BSI AC. 718-7060-057</t>
  </si>
  <si>
    <t>00:00</t>
  </si>
  <si>
    <t>K/4</t>
  </si>
  <si>
    <t>check</t>
  </si>
  <si>
    <t>Note :</t>
  </si>
  <si>
    <t>BULAN APRIL 2022</t>
  </si>
  <si>
    <t>Medan,        April 2022</t>
  </si>
  <si>
    <t>Medan,          April 2022</t>
  </si>
  <si>
    <t>Medan,       April 2022</t>
  </si>
  <si>
    <t>Medan,           April 2022</t>
  </si>
  <si>
    <t>14:42</t>
  </si>
  <si>
    <t>04:19</t>
  </si>
  <si>
    <t>4:46</t>
  </si>
  <si>
    <t>2. Hal tersebut diakibatkan Laba/Rugi bersih tidak tercapai, dan capaian pendapatan usaha hanya 57.31 %</t>
  </si>
  <si>
    <t>Pot 15% Disiplin Kerja</t>
  </si>
  <si>
    <t>Pot 55% tidak mengumpulkan RKB (mendapatkan kategori Baik (C))</t>
  </si>
  <si>
    <t>Laba/Rugi Bersih 10%</t>
  </si>
  <si>
    <t>1. Capaian maksimal tunjangan kinerja maksimal pada Bulan April 2022 adalah 85.731%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</si>
</sst>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_-* #,##0_-;\-* #,##0_-;_-* &quot;-&quot;??_-;_-@_-"/>
    <numFmt numFmtId="179" formatCode="[$-13809]hh:mm;@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i/>
      <sz val="10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9"/>
      <name val="Arial"/>
      <family val="2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176" fontId="5" fillId="0" borderId="0" applyFill="0" applyBorder="0" applyAlignment="0"/>
    <xf numFmtId="169" fontId="3" fillId="0" borderId="0" applyFill="0" applyBorder="0" applyAlignment="0"/>
    <xf numFmtId="170" fontId="3" fillId="0" borderId="0" applyFill="0" applyBorder="0" applyAlignment="0"/>
    <xf numFmtId="171" fontId="3" fillId="0" borderId="0" applyFill="0" applyBorder="0" applyAlignment="0"/>
    <xf numFmtId="172" fontId="3" fillId="0" borderId="0" applyFill="0" applyBorder="0" applyAlignment="0"/>
    <xf numFmtId="176" fontId="5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6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7" fillId="0" borderId="1"/>
    <xf numFmtId="169" fontId="3" fillId="0" borderId="0" applyFont="0" applyFill="0" applyBorder="0" applyAlignment="0" applyProtection="0"/>
    <xf numFmtId="14" fontId="5" fillId="0" borderId="0" applyFill="0" applyBorder="0" applyAlignment="0"/>
    <xf numFmtId="176" fontId="8" fillId="0" borderId="0" applyFill="0" applyBorder="0" applyAlignment="0"/>
    <xf numFmtId="169" fontId="3" fillId="0" borderId="0" applyFill="0" applyBorder="0" applyAlignment="0"/>
    <xf numFmtId="176" fontId="8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38" fontId="4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4" fillId="3" borderId="1" applyNumberFormat="0" applyBorder="0" applyAlignment="0" applyProtection="0"/>
    <xf numFmtId="176" fontId="10" fillId="0" borderId="0" applyFill="0" applyBorder="0" applyAlignment="0"/>
    <xf numFmtId="169" fontId="3" fillId="0" borderId="0" applyFill="0" applyBorder="0" applyAlignment="0"/>
    <xf numFmtId="176" fontId="10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168" fontId="3" fillId="0" borderId="0"/>
    <xf numFmtId="9" fontId="14" fillId="0" borderId="0" applyFont="0" applyFill="0" applyBorder="0" applyAlignment="0" applyProtection="0"/>
    <xf numFmtId="172" fontId="3" fillId="0" borderId="0" applyFont="0" applyFill="0" applyBorder="0" applyAlignment="0" applyProtection="0"/>
    <xf numFmtId="168" fontId="6" fillId="0" borderId="0" applyFont="0" applyFill="0" applyBorder="0" applyAlignment="0" applyProtection="0"/>
    <xf numFmtId="10" fontId="3" fillId="0" borderId="0" applyFont="0" applyFill="0" applyBorder="0" applyAlignment="0" applyProtection="0"/>
    <xf numFmtId="176" fontId="11" fillId="0" borderId="0" applyFill="0" applyBorder="0" applyAlignment="0"/>
    <xf numFmtId="169" fontId="3" fillId="0" borderId="0" applyFill="0" applyBorder="0" applyAlignment="0"/>
    <xf numFmtId="176" fontId="11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0" fontId="12" fillId="0" borderId="4"/>
    <xf numFmtId="0" fontId="13" fillId="0" borderId="5"/>
    <xf numFmtId="49" fontId="5" fillId="0" borderId="0" applyFill="0" applyBorder="0" applyAlignment="0"/>
    <xf numFmtId="174" fontId="3" fillId="0" borderId="0" applyFill="0" applyBorder="0" applyAlignment="0"/>
    <xf numFmtId="175" fontId="3" fillId="0" borderId="0" applyFill="0" applyBorder="0" applyAlignment="0"/>
  </cellStyleXfs>
  <cellXfs count="421">
    <xf numFmtId="0" fontId="0" fillId="0" borderId="0" xfId="0"/>
    <xf numFmtId="0" fontId="21" fillId="0" borderId="0" xfId="0" applyFont="1" applyAlignment="1" applyProtection="1">
      <alignment horizontal="left"/>
    </xf>
    <xf numFmtId="0" fontId="21" fillId="0" borderId="0" xfId="0" applyFont="1" applyProtection="1"/>
    <xf numFmtId="0" fontId="21" fillId="0" borderId="0" xfId="0" applyFont="1" applyAlignment="1" applyProtection="1">
      <alignment horizontal="center"/>
    </xf>
    <xf numFmtId="165" fontId="21" fillId="0" borderId="0" xfId="0" applyNumberFormat="1" applyFont="1" applyProtection="1"/>
    <xf numFmtId="167" fontId="21" fillId="0" borderId="0" xfId="0" applyNumberFormat="1" applyFont="1" applyProtection="1"/>
    <xf numFmtId="0" fontId="21" fillId="0" borderId="0" xfId="0" applyFont="1"/>
    <xf numFmtId="167" fontId="21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 applyProtection="1">
      <alignment horizontal="centerContinuous"/>
    </xf>
    <xf numFmtId="0" fontId="22" fillId="0" borderId="0" xfId="0" applyFont="1" applyAlignment="1">
      <alignment horizontal="centerContinuous"/>
    </xf>
    <xf numFmtId="177" fontId="22" fillId="0" borderId="0" xfId="0" applyNumberFormat="1" applyFont="1" applyFill="1" applyBorder="1" applyAlignment="1" applyProtection="1">
      <alignment horizontal="centerContinuous" vertical="center"/>
    </xf>
    <xf numFmtId="0" fontId="22" fillId="0" borderId="0" xfId="0" applyFont="1" applyAlignment="1" applyProtection="1">
      <alignment horizontal="left"/>
    </xf>
    <xf numFmtId="0" fontId="22" fillId="0" borderId="0" xfId="0" applyFont="1" applyProtection="1"/>
    <xf numFmtId="0" fontId="22" fillId="0" borderId="0" xfId="0" applyFont="1" applyAlignment="1" applyProtection="1">
      <alignment horizontal="center"/>
    </xf>
    <xf numFmtId="165" fontId="22" fillId="0" borderId="0" xfId="0" applyNumberFormat="1" applyFont="1" applyProtection="1"/>
    <xf numFmtId="167" fontId="22" fillId="0" borderId="0" xfId="0" applyNumberFormat="1" applyFont="1" applyProtection="1"/>
    <xf numFmtId="0" fontId="22" fillId="0" borderId="0" xfId="0" applyFont="1" applyAlignment="1"/>
    <xf numFmtId="167" fontId="0" fillId="0" borderId="0" xfId="0" applyNumberFormat="1"/>
    <xf numFmtId="0" fontId="21" fillId="5" borderId="6" xfId="0" applyFont="1" applyFill="1" applyBorder="1" applyAlignment="1" applyProtection="1"/>
    <xf numFmtId="0" fontId="22" fillId="6" borderId="1" xfId="0" applyFont="1" applyFill="1" applyBorder="1" applyAlignment="1" applyProtection="1">
      <alignment horizontal="centerContinuous" vertical="center"/>
    </xf>
    <xf numFmtId="9" fontId="22" fillId="6" borderId="1" xfId="31" applyFont="1" applyFill="1" applyBorder="1" applyAlignment="1" applyProtection="1">
      <alignment horizontal="center" vertical="center"/>
    </xf>
    <xf numFmtId="9" fontId="22" fillId="6" borderId="1" xfId="31" applyFont="1" applyFill="1" applyBorder="1" applyAlignment="1" applyProtection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3" fillId="0" borderId="0" xfId="0" applyFont="1"/>
    <xf numFmtId="0" fontId="23" fillId="0" borderId="0" xfId="0" quotePrefix="1" applyFont="1" applyAlignment="1">
      <alignment horizontal="center"/>
    </xf>
    <xf numFmtId="167" fontId="23" fillId="0" borderId="0" xfId="0" applyNumberFormat="1" applyFont="1"/>
    <xf numFmtId="0" fontId="23" fillId="0" borderId="0" xfId="0" quotePrefix="1" applyFont="1"/>
    <xf numFmtId="165" fontId="0" fillId="0" borderId="0" xfId="9" applyFont="1"/>
    <xf numFmtId="0" fontId="24" fillId="0" borderId="0" xfId="0" applyFont="1"/>
    <xf numFmtId="0" fontId="25" fillId="0" borderId="1" xfId="0" quotePrefix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65" fontId="21" fillId="5" borderId="8" xfId="9" applyFont="1" applyFill="1" applyBorder="1" applyProtection="1"/>
    <xf numFmtId="165" fontId="21" fillId="5" borderId="8" xfId="9" applyFont="1" applyFill="1" applyBorder="1" applyAlignment="1" applyProtection="1">
      <alignment horizontal="center"/>
    </xf>
    <xf numFmtId="0" fontId="21" fillId="5" borderId="8" xfId="0" applyFont="1" applyFill="1" applyBorder="1" applyAlignment="1" applyProtection="1">
      <alignment horizontal="center"/>
    </xf>
    <xf numFmtId="167" fontId="21" fillId="5" borderId="8" xfId="9" applyNumberFormat="1" applyFont="1" applyFill="1" applyBorder="1" applyProtection="1"/>
    <xf numFmtId="167" fontId="21" fillId="5" borderId="8" xfId="9" applyNumberFormat="1" applyFont="1" applyFill="1" applyBorder="1" applyAlignment="1" applyProtection="1">
      <alignment vertical="center"/>
      <protection hidden="1"/>
    </xf>
    <xf numFmtId="167" fontId="22" fillId="5" borderId="8" xfId="9" applyNumberFormat="1" applyFont="1" applyFill="1" applyBorder="1" applyProtection="1"/>
    <xf numFmtId="165" fontId="21" fillId="5" borderId="8" xfId="9" applyNumberFormat="1" applyFont="1" applyFill="1" applyBorder="1" applyProtection="1"/>
    <xf numFmtId="167" fontId="21" fillId="5" borderId="8" xfId="9" applyNumberFormat="1" applyFont="1" applyFill="1" applyBorder="1" applyAlignment="1" applyProtection="1">
      <alignment vertical="center" shrinkToFit="1"/>
    </xf>
    <xf numFmtId="165" fontId="21" fillId="5" borderId="9" xfId="9" applyFont="1" applyFill="1" applyBorder="1" applyProtection="1"/>
    <xf numFmtId="0" fontId="3" fillId="0" borderId="0" xfId="0" quotePrefix="1" applyFont="1"/>
    <xf numFmtId="165" fontId="21" fillId="5" borderId="8" xfId="9" applyFont="1" applyFill="1" applyBorder="1" applyAlignment="1" applyProtection="1">
      <alignment vertical="center"/>
    </xf>
    <xf numFmtId="167" fontId="21" fillId="5" borderId="10" xfId="9" applyNumberFormat="1" applyFont="1" applyFill="1" applyBorder="1" applyAlignment="1" applyProtection="1">
      <alignment vertical="center" shrinkToFit="1"/>
    </xf>
    <xf numFmtId="178" fontId="0" fillId="0" borderId="0" xfId="0" applyNumberFormat="1"/>
    <xf numFmtId="167" fontId="21" fillId="5" borderId="11" xfId="9" applyNumberFormat="1" applyFont="1" applyFill="1" applyBorder="1" applyAlignment="1" applyProtection="1">
      <alignment vertical="center"/>
      <protection hidden="1"/>
    </xf>
    <xf numFmtId="167" fontId="21" fillId="4" borderId="6" xfId="9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167" fontId="22" fillId="0" borderId="12" xfId="9" applyNumberFormat="1" applyFont="1" applyBorder="1" applyAlignment="1">
      <alignment horizontal="center"/>
    </xf>
    <xf numFmtId="0" fontId="21" fillId="5" borderId="13" xfId="0" quotePrefix="1" applyFont="1" applyFill="1" applyBorder="1" applyAlignment="1" applyProtection="1">
      <alignment horizontal="center"/>
    </xf>
    <xf numFmtId="165" fontId="21" fillId="5" borderId="13" xfId="9" applyFont="1" applyFill="1" applyBorder="1" applyProtection="1"/>
    <xf numFmtId="165" fontId="21" fillId="5" borderId="13" xfId="9" applyFont="1" applyFill="1" applyBorder="1" applyAlignment="1" applyProtection="1">
      <alignment horizontal="center"/>
    </xf>
    <xf numFmtId="0" fontId="21" fillId="5" borderId="13" xfId="0" applyFont="1" applyFill="1" applyBorder="1" applyAlignment="1" applyProtection="1">
      <alignment horizontal="center"/>
    </xf>
    <xf numFmtId="0" fontId="21" fillId="5" borderId="14" xfId="0" quotePrefix="1" applyFont="1" applyFill="1" applyBorder="1" applyAlignment="1" applyProtection="1">
      <alignment horizontal="center"/>
    </xf>
    <xf numFmtId="165" fontId="21" fillId="5" borderId="14" xfId="9" applyFont="1" applyFill="1" applyBorder="1" applyProtection="1"/>
    <xf numFmtId="165" fontId="21" fillId="5" borderId="14" xfId="9" quotePrefix="1" applyFont="1" applyFill="1" applyBorder="1" applyAlignment="1" applyProtection="1">
      <alignment horizontal="center"/>
    </xf>
    <xf numFmtId="0" fontId="21" fillId="5" borderId="14" xfId="0" applyFont="1" applyFill="1" applyBorder="1" applyAlignment="1" applyProtection="1">
      <alignment horizontal="center"/>
    </xf>
    <xf numFmtId="165" fontId="21" fillId="5" borderId="15" xfId="9" applyFont="1" applyFill="1" applyBorder="1" applyAlignment="1" applyProtection="1">
      <alignment horizontal="center"/>
    </xf>
    <xf numFmtId="0" fontId="21" fillId="5" borderId="15" xfId="0" applyFont="1" applyFill="1" applyBorder="1" applyAlignment="1" applyProtection="1">
      <alignment horizontal="center"/>
    </xf>
    <xf numFmtId="167" fontId="21" fillId="5" borderId="15" xfId="9" applyNumberFormat="1" applyFont="1" applyFill="1" applyBorder="1" applyProtection="1"/>
    <xf numFmtId="167" fontId="21" fillId="5" borderId="15" xfId="9" applyNumberFormat="1" applyFont="1" applyFill="1" applyBorder="1" applyAlignment="1" applyProtection="1">
      <alignment vertical="center"/>
      <protection hidden="1"/>
    </xf>
    <xf numFmtId="165" fontId="21" fillId="5" borderId="15" xfId="9" applyNumberFormat="1" applyFont="1" applyFill="1" applyBorder="1" applyProtection="1"/>
    <xf numFmtId="167" fontId="21" fillId="5" borderId="15" xfId="9" applyNumberFormat="1" applyFont="1" applyFill="1" applyBorder="1" applyAlignment="1" applyProtection="1">
      <alignment vertical="center" shrinkToFit="1"/>
    </xf>
    <xf numFmtId="167" fontId="21" fillId="5" borderId="16" xfId="9" applyNumberFormat="1" applyFont="1" applyFill="1" applyBorder="1" applyProtection="1"/>
    <xf numFmtId="165" fontId="21" fillId="5" borderId="16" xfId="9" applyNumberFormat="1" applyFont="1" applyFill="1" applyBorder="1" applyProtection="1"/>
    <xf numFmtId="167" fontId="21" fillId="5" borderId="16" xfId="9" applyNumberFormat="1" applyFont="1" applyFill="1" applyBorder="1" applyAlignment="1" applyProtection="1">
      <alignment vertical="center" shrinkToFit="1"/>
    </xf>
    <xf numFmtId="167" fontId="22" fillId="5" borderId="10" xfId="9" applyNumberFormat="1" applyFont="1" applyFill="1" applyBorder="1" applyProtection="1"/>
    <xf numFmtId="167" fontId="22" fillId="5" borderId="17" xfId="9" applyNumberFormat="1" applyFont="1" applyFill="1" applyBorder="1" applyProtection="1"/>
    <xf numFmtId="167" fontId="21" fillId="5" borderId="17" xfId="9" applyNumberFormat="1" applyFont="1" applyFill="1" applyBorder="1" applyAlignment="1" applyProtection="1">
      <alignment vertical="center" shrinkToFit="1"/>
    </xf>
    <xf numFmtId="0" fontId="21" fillId="5" borderId="12" xfId="0" quotePrefix="1" applyFont="1" applyFill="1" applyBorder="1" applyAlignment="1" applyProtection="1"/>
    <xf numFmtId="0" fontId="21" fillId="5" borderId="6" xfId="0" quotePrefix="1" applyFont="1" applyFill="1" applyBorder="1" applyAlignment="1" applyProtection="1"/>
    <xf numFmtId="0" fontId="21" fillId="5" borderId="14" xfId="0" quotePrefix="1" applyFont="1" applyFill="1" applyBorder="1" applyAlignment="1" applyProtection="1"/>
    <xf numFmtId="0" fontId="21" fillId="5" borderId="18" xfId="0" quotePrefix="1" applyFont="1" applyFill="1" applyBorder="1" applyAlignment="1" applyProtection="1"/>
    <xf numFmtId="0" fontId="21" fillId="5" borderId="14" xfId="0" applyFont="1" applyFill="1" applyBorder="1" applyAlignment="1" applyProtection="1"/>
    <xf numFmtId="165" fontId="21" fillId="5" borderId="9" xfId="9" applyFont="1" applyFill="1" applyBorder="1" applyAlignment="1" applyProtection="1">
      <alignment vertical="center"/>
    </xf>
    <xf numFmtId="165" fontId="18" fillId="0" borderId="8" xfId="9" applyFont="1" applyFill="1" applyBorder="1" applyAlignment="1" applyProtection="1">
      <alignment horizontal="left" vertical="center"/>
    </xf>
    <xf numFmtId="165" fontId="21" fillId="0" borderId="8" xfId="9" applyFont="1" applyFill="1" applyBorder="1" applyAlignment="1" applyProtection="1">
      <alignment vertical="center"/>
    </xf>
    <xf numFmtId="165" fontId="21" fillId="0" borderId="8" xfId="9" applyFont="1" applyFill="1" applyBorder="1" applyAlignment="1" applyProtection="1">
      <alignment horizontal="center" vertical="center"/>
    </xf>
    <xf numFmtId="165" fontId="18" fillId="0" borderId="10" xfId="9" applyFont="1" applyFill="1" applyBorder="1" applyAlignment="1" applyProtection="1">
      <alignment horizontal="center" vertical="center"/>
    </xf>
    <xf numFmtId="0" fontId="18" fillId="0" borderId="8" xfId="0" applyFont="1" applyFill="1" applyBorder="1" applyAlignment="1" applyProtection="1">
      <alignment horizontal="center" vertical="center"/>
    </xf>
    <xf numFmtId="167" fontId="18" fillId="0" borderId="8" xfId="9" applyNumberFormat="1" applyFont="1" applyFill="1" applyBorder="1" applyAlignment="1" applyProtection="1">
      <alignment vertical="center"/>
    </xf>
    <xf numFmtId="167" fontId="18" fillId="0" borderId="8" xfId="9" applyNumberFormat="1" applyFont="1" applyFill="1" applyBorder="1" applyAlignment="1" applyProtection="1">
      <alignment vertical="center"/>
      <protection hidden="1"/>
    </xf>
    <xf numFmtId="167" fontId="19" fillId="0" borderId="19" xfId="9" applyNumberFormat="1" applyFont="1" applyFill="1" applyBorder="1" applyAlignment="1" applyProtection="1">
      <alignment vertical="center"/>
    </xf>
    <xf numFmtId="167" fontId="20" fillId="0" borderId="8" xfId="9" applyNumberFormat="1" applyFont="1" applyFill="1" applyBorder="1" applyAlignment="1" applyProtection="1"/>
    <xf numFmtId="167" fontId="20" fillId="0" borderId="8" xfId="9" applyNumberFormat="1" applyFont="1" applyFill="1" applyBorder="1" applyAlignment="1" applyProtection="1">
      <alignment vertical="center" shrinkToFit="1"/>
    </xf>
    <xf numFmtId="3" fontId="23" fillId="0" borderId="0" xfId="0" applyNumberFormat="1" applyFont="1"/>
    <xf numFmtId="0" fontId="26" fillId="0" borderId="0" xfId="0" applyFont="1"/>
    <xf numFmtId="167" fontId="26" fillId="0" borderId="0" xfId="0" applyNumberFormat="1" applyFont="1"/>
    <xf numFmtId="165" fontId="23" fillId="4" borderId="6" xfId="9" applyFont="1" applyFill="1" applyBorder="1" applyAlignment="1" applyProtection="1">
      <alignment horizontal="left" vertical="center" wrapText="1"/>
    </xf>
    <xf numFmtId="167" fontId="17" fillId="0" borderId="0" xfId="0" applyNumberFormat="1" applyFont="1"/>
    <xf numFmtId="0" fontId="22" fillId="0" borderId="0" xfId="0" applyFont="1" applyAlignment="1">
      <alignment vertical="center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1" fillId="0" borderId="8" xfId="9" applyNumberFormat="1" applyFont="1" applyFill="1" applyBorder="1" applyAlignment="1" applyProtection="1">
      <alignment vertical="center"/>
    </xf>
    <xf numFmtId="167" fontId="21" fillId="0" borderId="8" xfId="9" applyNumberFormat="1" applyFont="1" applyFill="1" applyBorder="1" applyAlignment="1" applyProtection="1">
      <alignment vertical="center"/>
      <protection hidden="1"/>
    </xf>
    <xf numFmtId="167" fontId="22" fillId="0" borderId="19" xfId="9" applyNumberFormat="1" applyFont="1" applyFill="1" applyBorder="1" applyAlignment="1" applyProtection="1">
      <alignment vertical="center"/>
    </xf>
    <xf numFmtId="167" fontId="20" fillId="0" borderId="10" xfId="9" applyNumberFormat="1" applyFont="1" applyFill="1" applyBorder="1" applyAlignment="1" applyProtection="1">
      <alignment vertical="center" shrinkToFit="1"/>
    </xf>
    <xf numFmtId="167" fontId="21" fillId="0" borderId="8" xfId="9" applyNumberFormat="1" applyFont="1" applyFill="1" applyBorder="1" applyAlignment="1" applyProtection="1">
      <alignment vertical="center" shrinkToFit="1"/>
    </xf>
    <xf numFmtId="0" fontId="27" fillId="4" borderId="0" xfId="0" applyFont="1" applyFill="1" applyBorder="1" applyAlignment="1" applyProtection="1">
      <alignment horizontal="center" vertical="center"/>
    </xf>
    <xf numFmtId="167" fontId="22" fillId="4" borderId="0" xfId="9" applyNumberFormat="1" applyFont="1" applyFill="1" applyBorder="1" applyAlignment="1" applyProtection="1">
      <alignment horizontal="center" vertical="center"/>
    </xf>
    <xf numFmtId="167" fontId="22" fillId="5" borderId="0" xfId="9" applyNumberFormat="1" applyFont="1" applyFill="1" applyBorder="1" applyAlignment="1" applyProtection="1">
      <alignment vertical="center" shrinkToFit="1"/>
    </xf>
    <xf numFmtId="167" fontId="19" fillId="5" borderId="0" xfId="9" applyNumberFormat="1" applyFont="1" applyFill="1" applyBorder="1" applyAlignment="1" applyProtection="1">
      <alignment vertical="center" shrinkToFit="1"/>
    </xf>
    <xf numFmtId="167" fontId="22" fillId="5" borderId="0" xfId="9" applyNumberFormat="1" applyFont="1" applyFill="1" applyBorder="1" applyAlignment="1" applyProtection="1">
      <alignment vertical="center" wrapText="1"/>
    </xf>
    <xf numFmtId="0" fontId="22" fillId="0" borderId="0" xfId="0" applyFont="1" applyFill="1" applyBorder="1" applyAlignment="1" applyProtection="1">
      <alignment horizontal="center" vertical="center" wrapText="1"/>
    </xf>
    <xf numFmtId="0" fontId="21" fillId="0" borderId="20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65" fontId="23" fillId="4" borderId="20" xfId="9" applyFont="1" applyFill="1" applyBorder="1" applyAlignment="1" applyProtection="1">
      <alignment horizontal="left" vertical="center" wrapText="1"/>
    </xf>
    <xf numFmtId="167" fontId="22" fillId="4" borderId="21" xfId="9" applyNumberFormat="1" applyFont="1" applyFill="1" applyBorder="1" applyAlignment="1" applyProtection="1">
      <alignment horizontal="center" vertical="center"/>
    </xf>
    <xf numFmtId="167" fontId="22" fillId="0" borderId="22" xfId="9" applyNumberFormat="1" applyFont="1" applyBorder="1" applyAlignment="1">
      <alignment horizontal="center"/>
    </xf>
    <xf numFmtId="167" fontId="21" fillId="5" borderId="20" xfId="9" applyNumberFormat="1" applyFont="1" applyFill="1" applyBorder="1" applyProtection="1"/>
    <xf numFmtId="0" fontId="23" fillId="4" borderId="20" xfId="0" applyFont="1" applyFill="1" applyBorder="1" applyAlignment="1" applyProtection="1">
      <alignment horizontal="center" vertical="center"/>
    </xf>
    <xf numFmtId="0" fontId="23" fillId="4" borderId="8" xfId="0" applyFont="1" applyFill="1" applyBorder="1" applyAlignment="1" applyProtection="1">
      <alignment horizontal="center" vertical="center"/>
    </xf>
    <xf numFmtId="0" fontId="28" fillId="4" borderId="23" xfId="0" applyFont="1" applyFill="1" applyBorder="1" applyAlignment="1" applyProtection="1">
      <alignment horizontal="center" vertical="center" wrapText="1"/>
    </xf>
    <xf numFmtId="0" fontId="28" fillId="4" borderId="23" xfId="0" applyFont="1" applyFill="1" applyBorder="1" applyAlignment="1" applyProtection="1">
      <alignment horizontal="center" vertical="center"/>
    </xf>
    <xf numFmtId="0" fontId="28" fillId="4" borderId="24" xfId="0" applyFont="1" applyFill="1" applyBorder="1" applyAlignment="1" applyProtection="1">
      <alignment horizontal="center" vertical="center"/>
    </xf>
    <xf numFmtId="0" fontId="28" fillId="4" borderId="25" xfId="0" applyFont="1" applyFill="1" applyBorder="1" applyAlignment="1" applyProtection="1">
      <alignment horizontal="center" vertical="center"/>
    </xf>
    <xf numFmtId="0" fontId="29" fillId="0" borderId="0" xfId="0" applyFont="1"/>
    <xf numFmtId="0" fontId="21" fillId="0" borderId="20" xfId="0" quotePrefix="1" applyFont="1" applyBorder="1" applyAlignment="1">
      <alignment horizontal="center" vertical="center"/>
    </xf>
    <xf numFmtId="0" fontId="21" fillId="0" borderId="8" xfId="0" quotePrefix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167" fontId="21" fillId="5" borderId="11" xfId="9" applyNumberFormat="1" applyFont="1" applyFill="1" applyBorder="1" applyAlignment="1" applyProtection="1">
      <alignment vertical="center"/>
    </xf>
    <xf numFmtId="167" fontId="22" fillId="5" borderId="27" xfId="9" applyNumberFormat="1" applyFont="1" applyFill="1" applyBorder="1" applyAlignment="1" applyProtection="1">
      <alignment vertical="center"/>
    </xf>
    <xf numFmtId="0" fontId="21" fillId="0" borderId="11" xfId="0" quotePrefix="1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8" xfId="0" applyFont="1" applyFill="1" applyBorder="1" applyAlignment="1" applyProtection="1">
      <alignment horizontal="center" vertical="center"/>
    </xf>
    <xf numFmtId="0" fontId="21" fillId="0" borderId="8" xfId="0" applyFont="1" applyFill="1" applyBorder="1" applyAlignment="1" applyProtection="1">
      <alignment horizontal="center" vertical="center"/>
    </xf>
    <xf numFmtId="0" fontId="21" fillId="0" borderId="10" xfId="0" applyFont="1" applyFill="1" applyBorder="1" applyAlignment="1" applyProtection="1">
      <alignment horizontal="center" vertical="center"/>
    </xf>
    <xf numFmtId="165" fontId="18" fillId="0" borderId="6" xfId="9" applyFont="1" applyFill="1" applyBorder="1" applyAlignment="1" applyProtection="1">
      <alignment horizontal="left" vertical="center"/>
    </xf>
    <xf numFmtId="165" fontId="21" fillId="0" borderId="6" xfId="9" applyFont="1" applyFill="1" applyBorder="1" applyAlignment="1" applyProtection="1">
      <alignment vertical="center"/>
    </xf>
    <xf numFmtId="165" fontId="21" fillId="0" borderId="6" xfId="9" applyFont="1" applyFill="1" applyBorder="1" applyAlignment="1" applyProtection="1">
      <alignment horizontal="center" vertical="center"/>
    </xf>
    <xf numFmtId="165" fontId="18" fillId="0" borderId="12" xfId="9" applyFont="1" applyFill="1" applyBorder="1" applyAlignment="1" applyProtection="1">
      <alignment horizontal="center" vertical="center"/>
    </xf>
    <xf numFmtId="0" fontId="18" fillId="0" borderId="28" xfId="0" applyFont="1" applyFill="1" applyBorder="1" applyAlignment="1" applyProtection="1">
      <alignment horizontal="center" vertical="center"/>
    </xf>
    <xf numFmtId="167" fontId="18" fillId="0" borderId="28" xfId="9" applyNumberFormat="1" applyFont="1" applyFill="1" applyBorder="1" applyAlignment="1" applyProtection="1">
      <alignment vertical="center"/>
    </xf>
    <xf numFmtId="167" fontId="18" fillId="0" borderId="28" xfId="9" applyNumberFormat="1" applyFont="1" applyFill="1" applyBorder="1" applyAlignment="1" applyProtection="1">
      <alignment vertical="center"/>
      <protection hidden="1"/>
    </xf>
    <xf numFmtId="167" fontId="19" fillId="0" borderId="29" xfId="9" applyNumberFormat="1" applyFont="1" applyFill="1" applyBorder="1" applyAlignment="1" applyProtection="1">
      <alignment vertical="center"/>
    </xf>
    <xf numFmtId="167" fontId="20" fillId="0" borderId="6" xfId="9" applyNumberFormat="1" applyFont="1" applyFill="1" applyBorder="1" applyAlignment="1" applyProtection="1"/>
    <xf numFmtId="165" fontId="20" fillId="0" borderId="8" xfId="9" applyNumberFormat="1" applyFont="1" applyFill="1" applyBorder="1" applyAlignment="1" applyProtection="1">
      <alignment horizontal="center" vertical="center"/>
    </xf>
    <xf numFmtId="167" fontId="20" fillId="0" borderId="6" xfId="9" applyNumberFormat="1" applyFont="1" applyFill="1" applyBorder="1" applyAlignment="1" applyProtection="1">
      <alignment vertical="center" shrinkToFit="1"/>
    </xf>
    <xf numFmtId="165" fontId="18" fillId="0" borderId="11" xfId="9" applyFont="1" applyFill="1" applyBorder="1" applyAlignment="1" applyProtection="1">
      <alignment horizontal="left" vertical="center"/>
    </xf>
    <xf numFmtId="165" fontId="21" fillId="0" borderId="11" xfId="9" applyFont="1" applyFill="1" applyBorder="1" applyAlignment="1" applyProtection="1">
      <alignment vertical="center"/>
    </xf>
    <xf numFmtId="165" fontId="21" fillId="0" borderId="11" xfId="9" applyFont="1" applyFill="1" applyBorder="1" applyAlignment="1" applyProtection="1">
      <alignment horizontal="center" vertical="center"/>
    </xf>
    <xf numFmtId="165" fontId="18" fillId="0" borderId="30" xfId="9" applyFont="1" applyFill="1" applyBorder="1" applyAlignment="1" applyProtection="1">
      <alignment horizontal="center" vertical="center"/>
    </xf>
    <xf numFmtId="167" fontId="19" fillId="0" borderId="27" xfId="9" applyNumberFormat="1" applyFont="1" applyFill="1" applyBorder="1" applyAlignment="1" applyProtection="1">
      <alignment vertical="center"/>
    </xf>
    <xf numFmtId="165" fontId="20" fillId="0" borderId="11" xfId="9" applyNumberFormat="1" applyFont="1" applyFill="1" applyBorder="1" applyAlignment="1" applyProtection="1">
      <alignment horizontal="center" vertical="center"/>
    </xf>
    <xf numFmtId="167" fontId="20" fillId="0" borderId="11" xfId="9" applyNumberFormat="1" applyFont="1" applyFill="1" applyBorder="1" applyAlignment="1" applyProtection="1">
      <alignment vertical="center" shrinkToFit="1"/>
    </xf>
    <xf numFmtId="0" fontId="23" fillId="0" borderId="9" xfId="0" applyFont="1" applyFill="1" applyBorder="1" applyAlignment="1" applyProtection="1">
      <alignment horizontal="center" vertical="center"/>
    </xf>
    <xf numFmtId="0" fontId="3" fillId="0" borderId="0" xfId="0" applyFont="1"/>
    <xf numFmtId="167" fontId="20" fillId="5" borderId="10" xfId="9" applyNumberFormat="1" applyFont="1" applyFill="1" applyBorder="1" applyAlignment="1" applyProtection="1">
      <alignment horizontal="center" vertical="center" shrinkToFit="1"/>
    </xf>
    <xf numFmtId="167" fontId="22" fillId="4" borderId="13" xfId="9" applyNumberFormat="1" applyFont="1" applyFill="1" applyBorder="1" applyAlignment="1" applyProtection="1">
      <alignment horizontal="center" vertical="center"/>
    </xf>
    <xf numFmtId="167" fontId="22" fillId="4" borderId="8" xfId="9" applyNumberFormat="1" applyFont="1" applyFill="1" applyBorder="1" applyAlignment="1" applyProtection="1">
      <alignment horizontal="center" vertical="center"/>
    </xf>
    <xf numFmtId="167" fontId="20" fillId="5" borderId="9" xfId="9" applyNumberFormat="1" applyFont="1" applyFill="1" applyBorder="1" applyAlignment="1" applyProtection="1">
      <alignment horizontal="center" vertical="center" shrinkToFit="1"/>
    </xf>
    <xf numFmtId="167" fontId="20" fillId="0" borderId="11" xfId="9" applyNumberFormat="1" applyFont="1" applyFill="1" applyBorder="1" applyAlignment="1" applyProtection="1"/>
    <xf numFmtId="3" fontId="23" fillId="0" borderId="0" xfId="0" applyNumberFormat="1" applyFont="1" applyAlignment="1">
      <alignment horizontal="left"/>
    </xf>
    <xf numFmtId="167" fontId="20" fillId="5" borderId="10" xfId="9" applyNumberFormat="1" applyFont="1" applyFill="1" applyBorder="1" applyAlignment="1" applyProtection="1">
      <alignment vertical="center" shrinkToFit="1"/>
    </xf>
    <xf numFmtId="167" fontId="20" fillId="5" borderId="30" xfId="9" applyNumberFormat="1" applyFont="1" applyFill="1" applyBorder="1" applyAlignment="1" applyProtection="1">
      <alignment vertical="center" shrinkToFit="1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 applyProtection="1">
      <alignment horizontal="center" vertical="center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1" fillId="5" borderId="9" xfId="9" applyNumberFormat="1" applyFont="1" applyFill="1" applyBorder="1" applyAlignment="1" applyProtection="1">
      <alignment vertical="center"/>
      <protection hidden="1"/>
    </xf>
    <xf numFmtId="167" fontId="22" fillId="4" borderId="9" xfId="9" applyNumberFormat="1" applyFont="1" applyFill="1" applyBorder="1" applyAlignment="1" applyProtection="1">
      <alignment horizontal="center" vertical="center"/>
    </xf>
    <xf numFmtId="165" fontId="21" fillId="0" borderId="9" xfId="9" applyFont="1" applyFill="1" applyBorder="1" applyAlignment="1" applyProtection="1">
      <alignment vertical="center"/>
    </xf>
    <xf numFmtId="165" fontId="21" fillId="0" borderId="9" xfId="9" applyFont="1" applyFill="1" applyBorder="1" applyAlignment="1" applyProtection="1">
      <alignment horizontal="center" vertical="center"/>
    </xf>
    <xf numFmtId="0" fontId="21" fillId="0" borderId="9" xfId="0" applyFont="1" applyFill="1" applyBorder="1" applyAlignment="1" applyProtection="1">
      <alignment horizontal="center" vertical="center"/>
    </xf>
    <xf numFmtId="167" fontId="21" fillId="0" borderId="9" xfId="9" applyNumberFormat="1" applyFont="1" applyFill="1" applyBorder="1" applyAlignment="1" applyProtection="1">
      <alignment vertical="center"/>
    </xf>
    <xf numFmtId="167" fontId="21" fillId="0" borderId="9" xfId="9" applyNumberFormat="1" applyFont="1" applyFill="1" applyBorder="1" applyAlignment="1" applyProtection="1">
      <alignment vertical="center"/>
      <protection hidden="1"/>
    </xf>
    <xf numFmtId="167" fontId="20" fillId="0" borderId="9" xfId="9" applyNumberFormat="1" applyFont="1" applyFill="1" applyBorder="1" applyAlignment="1" applyProtection="1">
      <alignment vertical="center" shrinkToFit="1"/>
    </xf>
    <xf numFmtId="167" fontId="20" fillId="0" borderId="9" xfId="9" applyNumberFormat="1" applyFont="1" applyFill="1" applyBorder="1" applyAlignment="1" applyProtection="1">
      <alignment horizontal="center" vertical="center" shrinkToFit="1"/>
    </xf>
    <xf numFmtId="167" fontId="21" fillId="0" borderId="9" xfId="9" applyNumberFormat="1" applyFont="1" applyFill="1" applyBorder="1" applyAlignment="1" applyProtection="1">
      <alignment vertical="center" shrinkToFit="1"/>
    </xf>
    <xf numFmtId="0" fontId="23" fillId="0" borderId="8" xfId="0" quotePrefix="1" applyFont="1" applyFill="1" applyBorder="1" applyAlignment="1" applyProtection="1">
      <alignment horizontal="center" vertical="center"/>
    </xf>
    <xf numFmtId="0" fontId="23" fillId="0" borderId="9" xfId="0" quotePrefix="1" applyFont="1" applyFill="1" applyBorder="1" applyAlignment="1" applyProtection="1">
      <alignment horizontal="center" vertical="center"/>
    </xf>
    <xf numFmtId="164" fontId="0" fillId="0" borderId="0" xfId="10" applyFont="1"/>
    <xf numFmtId="167" fontId="22" fillId="5" borderId="9" xfId="9" applyNumberFormat="1" applyFont="1" applyFill="1" applyBorder="1" applyProtection="1"/>
    <xf numFmtId="165" fontId="23" fillId="5" borderId="8" xfId="9" applyFont="1" applyFill="1" applyBorder="1" applyAlignment="1" applyProtection="1">
      <alignment vertical="center"/>
    </xf>
    <xf numFmtId="165" fontId="23" fillId="5" borderId="8" xfId="9" applyFont="1" applyFill="1" applyBorder="1" applyAlignment="1" applyProtection="1">
      <alignment horizontal="center" vertical="center"/>
    </xf>
    <xf numFmtId="0" fontId="23" fillId="5" borderId="8" xfId="0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Protection="1"/>
    <xf numFmtId="167" fontId="23" fillId="5" borderId="8" xfId="9" applyNumberFormat="1" applyFont="1" applyFill="1" applyBorder="1" applyAlignment="1" applyProtection="1">
      <alignment vertical="center"/>
      <protection hidden="1"/>
    </xf>
    <xf numFmtId="167" fontId="29" fillId="5" borderId="19" xfId="9" applyNumberFormat="1" applyFont="1" applyFill="1" applyBorder="1" applyAlignment="1" applyProtection="1">
      <alignment vertical="center"/>
    </xf>
    <xf numFmtId="167" fontId="30" fillId="5" borderId="10" xfId="9" applyNumberFormat="1" applyFont="1" applyFill="1" applyBorder="1" applyAlignment="1" applyProtection="1">
      <alignment vertical="center" shrinkToFit="1"/>
    </xf>
    <xf numFmtId="167" fontId="30" fillId="5" borderId="8" xfId="9" applyNumberFormat="1" applyFont="1" applyFill="1" applyBorder="1" applyAlignment="1" applyProtection="1">
      <alignment vertical="center" shrinkToFit="1"/>
    </xf>
    <xf numFmtId="165" fontId="23" fillId="0" borderId="8" xfId="9" applyFont="1" applyFill="1" applyBorder="1" applyAlignment="1" applyProtection="1">
      <alignment vertical="center"/>
    </xf>
    <xf numFmtId="165" fontId="23" fillId="0" borderId="8" xfId="9" applyFont="1" applyFill="1" applyBorder="1" applyAlignment="1" applyProtection="1">
      <alignment horizontal="center" vertical="center"/>
    </xf>
    <xf numFmtId="167" fontId="23" fillId="0" borderId="8" xfId="9" applyNumberFormat="1" applyFont="1" applyFill="1" applyBorder="1" applyAlignment="1" applyProtection="1">
      <alignment vertical="center"/>
    </xf>
    <xf numFmtId="167" fontId="23" fillId="0" borderId="8" xfId="9" applyNumberFormat="1" applyFont="1" applyFill="1" applyBorder="1" applyAlignment="1" applyProtection="1">
      <alignment vertical="center"/>
      <protection hidden="1"/>
    </xf>
    <xf numFmtId="167" fontId="29" fillId="0" borderId="19" xfId="9" applyNumberFormat="1" applyFont="1" applyFill="1" applyBorder="1" applyAlignment="1" applyProtection="1">
      <alignment vertical="center"/>
    </xf>
    <xf numFmtId="165" fontId="23" fillId="0" borderId="10" xfId="9" applyFont="1" applyFill="1" applyBorder="1" applyAlignment="1" applyProtection="1">
      <alignment horizontal="center" vertical="center"/>
    </xf>
    <xf numFmtId="165" fontId="23" fillId="0" borderId="12" xfId="9" applyFont="1" applyFill="1" applyBorder="1" applyAlignment="1" applyProtection="1">
      <alignment horizontal="center" vertical="center"/>
    </xf>
    <xf numFmtId="165" fontId="31" fillId="0" borderId="8" xfId="9" applyFont="1" applyFill="1" applyBorder="1" applyAlignment="1" applyProtection="1">
      <alignment horizontal="left" vertical="center"/>
    </xf>
    <xf numFmtId="165" fontId="31" fillId="0" borderId="10" xfId="9" applyFont="1" applyFill="1" applyBorder="1" applyAlignment="1" applyProtection="1">
      <alignment horizontal="center" vertical="center"/>
    </xf>
    <xf numFmtId="0" fontId="31" fillId="0" borderId="8" xfId="0" applyFont="1" applyFill="1" applyBorder="1" applyAlignment="1" applyProtection="1">
      <alignment horizontal="center" vertical="center"/>
    </xf>
    <xf numFmtId="167" fontId="31" fillId="0" borderId="8" xfId="9" applyNumberFormat="1" applyFont="1" applyFill="1" applyBorder="1" applyAlignment="1" applyProtection="1">
      <alignment vertical="center"/>
    </xf>
    <xf numFmtId="167" fontId="31" fillId="0" borderId="8" xfId="9" applyNumberFormat="1" applyFont="1" applyFill="1" applyBorder="1" applyAlignment="1" applyProtection="1">
      <alignment vertical="center"/>
      <protection hidden="1"/>
    </xf>
    <xf numFmtId="167" fontId="32" fillId="0" borderId="19" xfId="9" applyNumberFormat="1" applyFont="1" applyFill="1" applyBorder="1" applyAlignment="1" applyProtection="1">
      <alignment vertical="center"/>
    </xf>
    <xf numFmtId="165" fontId="31" fillId="0" borderId="9" xfId="9" applyFont="1" applyFill="1" applyBorder="1" applyAlignment="1" applyProtection="1">
      <alignment horizontal="left" vertical="center"/>
    </xf>
    <xf numFmtId="165" fontId="23" fillId="0" borderId="9" xfId="9" applyFont="1" applyFill="1" applyBorder="1" applyAlignment="1" applyProtection="1">
      <alignment vertical="center"/>
    </xf>
    <xf numFmtId="165" fontId="31" fillId="0" borderId="17" xfId="9" applyFont="1" applyFill="1" applyBorder="1" applyAlignment="1" applyProtection="1">
      <alignment horizontal="center" vertical="center"/>
    </xf>
    <xf numFmtId="0" fontId="31" fillId="0" borderId="9" xfId="0" applyFont="1" applyFill="1" applyBorder="1" applyAlignment="1" applyProtection="1">
      <alignment horizontal="center" vertical="center"/>
    </xf>
    <xf numFmtId="167" fontId="23" fillId="0" borderId="9" xfId="9" applyNumberFormat="1" applyFont="1" applyFill="1" applyBorder="1" applyAlignment="1" applyProtection="1">
      <alignment vertical="center"/>
    </xf>
    <xf numFmtId="167" fontId="23" fillId="0" borderId="9" xfId="9" applyNumberFormat="1" applyFont="1" applyFill="1" applyBorder="1" applyAlignment="1" applyProtection="1">
      <alignment vertical="center"/>
      <protection hidden="1"/>
    </xf>
    <xf numFmtId="167" fontId="32" fillId="0" borderId="32" xfId="9" applyNumberFormat="1" applyFont="1" applyFill="1" applyBorder="1" applyAlignment="1" applyProtection="1">
      <alignment vertical="center"/>
    </xf>
    <xf numFmtId="0" fontId="25" fillId="4" borderId="23" xfId="0" applyFont="1" applyFill="1" applyBorder="1" applyAlignment="1" applyProtection="1">
      <alignment horizontal="center" vertical="center" wrapText="1"/>
    </xf>
    <xf numFmtId="0" fontId="25" fillId="4" borderId="23" xfId="0" applyFont="1" applyFill="1" applyBorder="1" applyAlignment="1" applyProtection="1">
      <alignment horizontal="center" vertical="center"/>
    </xf>
    <xf numFmtId="0" fontId="25" fillId="4" borderId="24" xfId="0" applyFont="1" applyFill="1" applyBorder="1" applyAlignment="1" applyProtection="1">
      <alignment horizontal="center" vertical="center"/>
    </xf>
    <xf numFmtId="0" fontId="25" fillId="4" borderId="25" xfId="0" applyFont="1" applyFill="1" applyBorder="1" applyAlignment="1" applyProtection="1">
      <alignment horizontal="center" vertical="center"/>
    </xf>
    <xf numFmtId="0" fontId="25" fillId="0" borderId="33" xfId="0" applyFont="1" applyBorder="1" applyAlignment="1">
      <alignment horizontal="center"/>
    </xf>
    <xf numFmtId="167" fontId="23" fillId="0" borderId="20" xfId="0" applyNumberFormat="1" applyFont="1" applyBorder="1"/>
    <xf numFmtId="167" fontId="20" fillId="0" borderId="10" xfId="9" applyNumberFormat="1" applyFont="1" applyFill="1" applyBorder="1" applyAlignment="1" applyProtection="1"/>
    <xf numFmtId="167" fontId="20" fillId="0" borderId="12" xfId="9" applyNumberFormat="1" applyFont="1" applyFill="1" applyBorder="1" applyAlignment="1" applyProtection="1"/>
    <xf numFmtId="167" fontId="20" fillId="0" borderId="30" xfId="9" applyNumberFormat="1" applyFont="1" applyFill="1" applyBorder="1" applyAlignment="1" applyProtection="1"/>
    <xf numFmtId="0" fontId="23" fillId="0" borderId="28" xfId="0" quotePrefix="1" applyFont="1" applyFill="1" applyBorder="1" applyAlignment="1" applyProtection="1">
      <alignment horizontal="center" vertical="center"/>
    </xf>
    <xf numFmtId="165" fontId="21" fillId="0" borderId="28" xfId="9" applyFont="1" applyFill="1" applyBorder="1" applyAlignment="1" applyProtection="1">
      <alignment vertical="center"/>
    </xf>
    <xf numFmtId="165" fontId="21" fillId="0" borderId="28" xfId="9" applyFont="1" applyFill="1" applyBorder="1" applyAlignment="1" applyProtection="1">
      <alignment horizontal="center" vertical="center"/>
    </xf>
    <xf numFmtId="0" fontId="21" fillId="0" borderId="28" xfId="0" applyFont="1" applyFill="1" applyBorder="1" applyAlignment="1" applyProtection="1">
      <alignment horizontal="center" vertical="center"/>
    </xf>
    <xf numFmtId="167" fontId="21" fillId="0" borderId="28" xfId="9" applyNumberFormat="1" applyFont="1" applyFill="1" applyBorder="1" applyAlignment="1" applyProtection="1">
      <alignment vertical="center"/>
    </xf>
    <xf numFmtId="167" fontId="21" fillId="0" borderId="28" xfId="9" applyNumberFormat="1" applyFont="1" applyFill="1" applyBorder="1" applyAlignment="1" applyProtection="1">
      <alignment vertical="center"/>
      <protection hidden="1"/>
    </xf>
    <xf numFmtId="167" fontId="22" fillId="0" borderId="29" xfId="9" applyNumberFormat="1" applyFont="1" applyFill="1" applyBorder="1" applyAlignment="1" applyProtection="1">
      <alignment vertical="center"/>
    </xf>
    <xf numFmtId="167" fontId="20" fillId="0" borderId="31" xfId="9" applyNumberFormat="1" applyFont="1" applyFill="1" applyBorder="1" applyAlignment="1" applyProtection="1">
      <alignment vertical="center" shrinkToFit="1"/>
    </xf>
    <xf numFmtId="167" fontId="20" fillId="0" borderId="28" xfId="9" applyNumberFormat="1" applyFont="1" applyFill="1" applyBorder="1" applyAlignment="1" applyProtection="1">
      <alignment vertical="center" shrinkToFit="1"/>
    </xf>
    <xf numFmtId="167" fontId="20" fillId="5" borderId="31" xfId="9" applyNumberFormat="1" applyFont="1" applyFill="1" applyBorder="1" applyAlignment="1" applyProtection="1">
      <alignment horizontal="center" vertical="center" shrinkToFit="1"/>
    </xf>
    <xf numFmtId="167" fontId="21" fillId="0" borderId="28" xfId="9" applyNumberFormat="1" applyFont="1" applyFill="1" applyBorder="1" applyAlignment="1" applyProtection="1">
      <alignment vertical="center" shrinkToFit="1"/>
    </xf>
    <xf numFmtId="167" fontId="22" fillId="4" borderId="28" xfId="9" applyNumberFormat="1" applyFont="1" applyFill="1" applyBorder="1" applyAlignment="1" applyProtection="1">
      <alignment horizontal="center" vertical="center"/>
    </xf>
    <xf numFmtId="0" fontId="25" fillId="4" borderId="44" xfId="0" applyFont="1" applyFill="1" applyBorder="1" applyAlignment="1" applyProtection="1">
      <alignment horizontal="center" vertical="center" wrapText="1"/>
    </xf>
    <xf numFmtId="167" fontId="23" fillId="5" borderId="45" xfId="9" applyNumberFormat="1" applyFont="1" applyFill="1" applyBorder="1" applyAlignment="1" applyProtection="1">
      <alignment vertical="center"/>
      <protection hidden="1"/>
    </xf>
    <xf numFmtId="167" fontId="23" fillId="0" borderId="45" xfId="9" applyNumberFormat="1" applyFont="1" applyFill="1" applyBorder="1" applyAlignment="1" applyProtection="1">
      <alignment vertical="center"/>
      <protection hidden="1"/>
    </xf>
    <xf numFmtId="167" fontId="31" fillId="0" borderId="45" xfId="9" applyNumberFormat="1" applyFont="1" applyFill="1" applyBorder="1" applyAlignment="1" applyProtection="1">
      <alignment vertical="center"/>
      <protection hidden="1"/>
    </xf>
    <xf numFmtId="167" fontId="23" fillId="0" borderId="46" xfId="9" applyNumberFormat="1" applyFont="1" applyFill="1" applyBorder="1" applyAlignment="1" applyProtection="1">
      <alignment vertical="center"/>
      <protection hidden="1"/>
    </xf>
    <xf numFmtId="167" fontId="23" fillId="0" borderId="8" xfId="9" applyNumberFormat="1" applyFont="1" applyFill="1" applyBorder="1" applyAlignment="1" applyProtection="1">
      <alignment horizontal="center" vertical="center"/>
    </xf>
    <xf numFmtId="167" fontId="23" fillId="0" borderId="9" xfId="9" applyNumberFormat="1" applyFont="1" applyFill="1" applyBorder="1" applyAlignment="1" applyProtection="1">
      <alignment horizontal="center" vertical="center"/>
    </xf>
    <xf numFmtId="0" fontId="22" fillId="7" borderId="34" xfId="0" applyFont="1" applyFill="1" applyBorder="1" applyAlignment="1" applyProtection="1">
      <alignment horizontal="center" vertical="center" wrapText="1"/>
    </xf>
    <xf numFmtId="0" fontId="23" fillId="0" borderId="0" xfId="0" applyFont="1" applyFill="1"/>
    <xf numFmtId="165" fontId="21" fillId="5" borderId="11" xfId="9" applyFont="1" applyFill="1" applyBorder="1" applyAlignment="1" applyProtection="1">
      <alignment vertical="center"/>
    </xf>
    <xf numFmtId="165" fontId="21" fillId="5" borderId="11" xfId="9" applyFont="1" applyFill="1" applyBorder="1" applyProtection="1"/>
    <xf numFmtId="165" fontId="21" fillId="5" borderId="26" xfId="9" applyFont="1" applyFill="1" applyBorder="1" applyAlignment="1" applyProtection="1">
      <alignment horizontal="center"/>
    </xf>
    <xf numFmtId="0" fontId="21" fillId="5" borderId="26" xfId="0" applyFont="1" applyFill="1" applyBorder="1" applyAlignment="1" applyProtection="1">
      <alignment horizontal="center"/>
    </xf>
    <xf numFmtId="167" fontId="21" fillId="5" borderId="26" xfId="9" applyNumberFormat="1" applyFont="1" applyFill="1" applyBorder="1" applyProtection="1"/>
    <xf numFmtId="167" fontId="21" fillId="5" borderId="26" xfId="9" applyNumberFormat="1" applyFont="1" applyFill="1" applyBorder="1" applyAlignment="1" applyProtection="1">
      <alignment vertical="center"/>
      <protection hidden="1"/>
    </xf>
    <xf numFmtId="167" fontId="22" fillId="5" borderId="30" xfId="9" applyNumberFormat="1" applyFont="1" applyFill="1" applyBorder="1" applyProtection="1"/>
    <xf numFmtId="165" fontId="21" fillId="5" borderId="26" xfId="9" applyNumberFormat="1" applyFont="1" applyFill="1" applyBorder="1" applyProtection="1"/>
    <xf numFmtId="167" fontId="21" fillId="5" borderId="26" xfId="9" applyNumberFormat="1" applyFont="1" applyFill="1" applyBorder="1" applyAlignment="1" applyProtection="1">
      <alignment vertical="center" shrinkToFit="1"/>
    </xf>
    <xf numFmtId="0" fontId="21" fillId="5" borderId="8" xfId="9" applyNumberFormat="1" applyFont="1" applyFill="1" applyBorder="1" applyAlignment="1" applyProtection="1">
      <alignment horizontal="left" vertical="center" shrinkToFit="1"/>
    </xf>
    <xf numFmtId="0" fontId="21" fillId="5" borderId="10" xfId="9" applyNumberFormat="1" applyFont="1" applyFill="1" applyBorder="1" applyAlignment="1" applyProtection="1">
      <alignment horizontal="left" vertical="center" shrinkToFit="1"/>
    </xf>
    <xf numFmtId="0" fontId="21" fillId="5" borderId="31" xfId="9" applyNumberFormat="1" applyFont="1" applyFill="1" applyBorder="1" applyAlignment="1" applyProtection="1">
      <alignment horizontal="left" vertical="center" shrinkToFit="1"/>
    </xf>
    <xf numFmtId="167" fontId="3" fillId="0" borderId="0" xfId="0" applyNumberFormat="1" applyFont="1"/>
    <xf numFmtId="164" fontId="0" fillId="0" borderId="0" xfId="0" applyNumberFormat="1"/>
    <xf numFmtId="0" fontId="29" fillId="0" borderId="0" xfId="0" applyFont="1" applyAlignment="1"/>
    <xf numFmtId="0" fontId="29" fillId="0" borderId="0" xfId="0" applyFont="1" applyAlignment="1">
      <alignment wrapText="1"/>
    </xf>
    <xf numFmtId="20" fontId="21" fillId="0" borderId="8" xfId="9" applyNumberFormat="1" applyFont="1" applyFill="1" applyBorder="1" applyAlignment="1" applyProtection="1">
      <alignment horizontal="center" vertical="center"/>
    </xf>
    <xf numFmtId="20" fontId="21" fillId="0" borderId="20" xfId="9" applyNumberFormat="1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Alignment="1" applyProtection="1">
      <alignment horizontal="center" vertical="center"/>
    </xf>
    <xf numFmtId="20" fontId="23" fillId="0" borderId="8" xfId="0" applyNumberFormat="1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Alignment="1" applyProtection="1">
      <alignment vertical="center"/>
    </xf>
    <xf numFmtId="167" fontId="20" fillId="5" borderId="17" xfId="9" applyNumberFormat="1" applyFont="1" applyFill="1" applyBorder="1" applyAlignment="1" applyProtection="1">
      <alignment vertical="center" shrinkToFit="1"/>
    </xf>
    <xf numFmtId="167" fontId="20" fillId="5" borderId="9" xfId="9" applyNumberFormat="1" applyFont="1" applyFill="1" applyBorder="1" applyAlignment="1" applyProtection="1">
      <alignment vertical="center" shrinkToFit="1"/>
    </xf>
    <xf numFmtId="167" fontId="20" fillId="5" borderId="8" xfId="9" applyNumberFormat="1" applyFont="1" applyFill="1" applyBorder="1" applyAlignment="1" applyProtection="1">
      <alignment horizontal="center" vertical="center" shrinkToFit="1"/>
    </xf>
    <xf numFmtId="167" fontId="30" fillId="5" borderId="11" xfId="9" applyNumberFormat="1" applyFont="1" applyFill="1" applyBorder="1" applyAlignment="1" applyProtection="1">
      <alignment vertical="center" shrinkToFit="1"/>
    </xf>
    <xf numFmtId="20" fontId="23" fillId="0" borderId="8" xfId="9" quotePrefix="1" applyNumberFormat="1" applyFont="1" applyFill="1" applyBorder="1" applyAlignment="1" applyProtection="1">
      <alignment horizontal="center" vertical="center"/>
    </xf>
    <xf numFmtId="20" fontId="23" fillId="0" borderId="8" xfId="9" applyNumberFormat="1" applyFont="1" applyFill="1" applyBorder="1" applyAlignment="1" applyProtection="1">
      <alignment horizontal="center" vertical="center"/>
    </xf>
    <xf numFmtId="179" fontId="23" fillId="0" borderId="8" xfId="9" applyNumberFormat="1" applyFont="1" applyFill="1" applyBorder="1" applyAlignment="1" applyProtection="1">
      <alignment horizontal="center" vertical="center"/>
    </xf>
    <xf numFmtId="167" fontId="21" fillId="5" borderId="6" xfId="9" applyNumberFormat="1" applyFont="1" applyFill="1" applyBorder="1" applyAlignment="1" applyProtection="1">
      <alignment vertical="center"/>
      <protection hidden="1"/>
    </xf>
    <xf numFmtId="165" fontId="21" fillId="5" borderId="6" xfId="9" applyFont="1" applyFill="1" applyBorder="1" applyAlignment="1" applyProtection="1">
      <alignment vertical="center"/>
    </xf>
    <xf numFmtId="167" fontId="21" fillId="5" borderId="6" xfId="9" applyNumberFormat="1" applyFont="1" applyFill="1" applyBorder="1" applyAlignment="1" applyProtection="1">
      <alignment vertical="center" shrinkToFit="1"/>
    </xf>
    <xf numFmtId="167" fontId="22" fillId="4" borderId="10" xfId="9" applyNumberFormat="1" applyFont="1" applyFill="1" applyBorder="1" applyAlignment="1" applyProtection="1">
      <alignment horizontal="center" vertical="center"/>
    </xf>
    <xf numFmtId="167" fontId="20" fillId="5" borderId="8" xfId="9" applyNumberFormat="1" applyFont="1" applyFill="1" applyBorder="1" applyAlignment="1" applyProtection="1">
      <alignment vertical="center" shrinkToFit="1"/>
    </xf>
    <xf numFmtId="0" fontId="23" fillId="4" borderId="9" xfId="0" quotePrefix="1" applyFont="1" applyFill="1" applyBorder="1" applyAlignment="1" applyProtection="1">
      <alignment horizontal="center" vertical="center"/>
    </xf>
    <xf numFmtId="0" fontId="21" fillId="0" borderId="6" xfId="0" quotePrefix="1" applyFont="1" applyBorder="1" applyAlignment="1">
      <alignment horizontal="center" vertical="center"/>
    </xf>
    <xf numFmtId="165" fontId="21" fillId="5" borderId="6" xfId="9" applyFont="1" applyFill="1" applyBorder="1" applyProtection="1"/>
    <xf numFmtId="165" fontId="21" fillId="5" borderId="6" xfId="9" applyFont="1" applyFill="1" applyBorder="1" applyAlignment="1" applyProtection="1">
      <alignment horizontal="center"/>
    </xf>
    <xf numFmtId="0" fontId="21" fillId="5" borderId="6" xfId="0" applyFont="1" applyFill="1" applyBorder="1" applyAlignment="1" applyProtection="1">
      <alignment horizontal="center"/>
    </xf>
    <xf numFmtId="167" fontId="21" fillId="5" borderId="6" xfId="9" applyNumberFormat="1" applyFont="1" applyFill="1" applyBorder="1" applyProtection="1"/>
    <xf numFmtId="165" fontId="21" fillId="5" borderId="6" xfId="9" applyNumberFormat="1" applyFont="1" applyFill="1" applyBorder="1" applyProtection="1"/>
    <xf numFmtId="0" fontId="22" fillId="0" borderId="0" xfId="0" applyFont="1" applyAlignment="1">
      <alignment horizontal="center"/>
    </xf>
    <xf numFmtId="165" fontId="23" fillId="5" borderId="9" xfId="9" applyFont="1" applyFill="1" applyBorder="1" applyAlignment="1" applyProtection="1">
      <alignment vertical="center"/>
    </xf>
    <xf numFmtId="0" fontId="23" fillId="5" borderId="9" xfId="0" applyFont="1" applyFill="1" applyBorder="1" applyAlignment="1" applyProtection="1">
      <alignment horizontal="center" vertical="center"/>
    </xf>
    <xf numFmtId="167" fontId="23" fillId="5" borderId="9" xfId="9" applyNumberFormat="1" applyFont="1" applyFill="1" applyBorder="1" applyAlignment="1" applyProtection="1">
      <alignment vertical="center"/>
      <protection hidden="1"/>
    </xf>
    <xf numFmtId="167" fontId="29" fillId="0" borderId="0" xfId="0" applyNumberFormat="1" applyFont="1"/>
    <xf numFmtId="20" fontId="21" fillId="0" borderId="6" xfId="9" quotePrefix="1" applyNumberFormat="1" applyFont="1" applyFill="1" applyBorder="1" applyAlignment="1" applyProtection="1">
      <alignment horizontal="center" vertical="center"/>
    </xf>
    <xf numFmtId="167" fontId="21" fillId="5" borderId="8" xfId="9" applyNumberFormat="1" applyFont="1" applyFill="1" applyBorder="1" applyAlignment="1" applyProtection="1">
      <alignment vertical="center"/>
    </xf>
    <xf numFmtId="167" fontId="21" fillId="5" borderId="9" xfId="9" applyNumberFormat="1" applyFont="1" applyFill="1" applyBorder="1" applyAlignment="1" applyProtection="1">
      <alignment vertical="center"/>
    </xf>
    <xf numFmtId="167" fontId="22" fillId="5" borderId="19" xfId="9" applyNumberFormat="1" applyFont="1" applyFill="1" applyBorder="1" applyAlignment="1" applyProtection="1">
      <alignment vertical="center"/>
    </xf>
    <xf numFmtId="167" fontId="18" fillId="0" borderId="9" xfId="9" applyNumberFormat="1" applyFont="1" applyFill="1" applyBorder="1" applyAlignment="1" applyProtection="1">
      <alignment vertical="center"/>
    </xf>
    <xf numFmtId="167" fontId="18" fillId="0" borderId="9" xfId="9" applyNumberFormat="1" applyFont="1" applyFill="1" applyBorder="1" applyAlignment="1" applyProtection="1">
      <alignment vertical="center"/>
      <protection hidden="1"/>
    </xf>
    <xf numFmtId="167" fontId="19" fillId="0" borderId="32" xfId="9" applyNumberFormat="1" applyFont="1" applyFill="1" applyBorder="1" applyAlignment="1" applyProtection="1">
      <alignment vertical="center"/>
    </xf>
    <xf numFmtId="167" fontId="20" fillId="0" borderId="17" xfId="9" applyNumberFormat="1" applyFont="1" applyFill="1" applyBorder="1" applyAlignment="1" applyProtection="1"/>
    <xf numFmtId="167" fontId="20" fillId="0" borderId="9" xfId="9" applyNumberFormat="1" applyFont="1" applyFill="1" applyBorder="1" applyAlignment="1" applyProtection="1"/>
    <xf numFmtId="165" fontId="2" fillId="0" borderId="9" xfId="9" applyFont="1" applyFill="1" applyBorder="1" applyAlignment="1" applyProtection="1">
      <alignment horizontal="left" vertical="center"/>
    </xf>
    <xf numFmtId="165" fontId="2" fillId="0" borderId="17" xfId="9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center" vertical="center"/>
    </xf>
    <xf numFmtId="167" fontId="20" fillId="0" borderId="11" xfId="9" applyNumberFormat="1" applyFont="1" applyFill="1" applyBorder="1" applyAlignment="1" applyProtection="1">
      <alignment shrinkToFit="1"/>
    </xf>
    <xf numFmtId="167" fontId="20" fillId="0" borderId="8" xfId="9" applyNumberFormat="1" applyFont="1" applyFill="1" applyBorder="1" applyAlignment="1" applyProtection="1">
      <alignment shrinkToFit="1"/>
    </xf>
    <xf numFmtId="167" fontId="20" fillId="0" borderId="9" xfId="9" applyNumberFormat="1" applyFont="1" applyFill="1" applyBorder="1" applyAlignment="1" applyProtection="1">
      <alignment shrinkToFit="1"/>
    </xf>
    <xf numFmtId="0" fontId="21" fillId="0" borderId="11" xfId="0" applyFont="1" applyBorder="1" applyAlignment="1">
      <alignment horizontal="center" vertical="center"/>
    </xf>
    <xf numFmtId="167" fontId="20" fillId="5" borderId="30" xfId="9" applyNumberFormat="1" applyFont="1" applyFill="1" applyBorder="1" applyAlignment="1" applyProtection="1">
      <alignment horizontal="center" vertical="center" shrinkToFit="1"/>
    </xf>
    <xf numFmtId="167" fontId="22" fillId="4" borderId="11" xfId="9" applyNumberFormat="1" applyFont="1" applyFill="1" applyBorder="1" applyAlignment="1" applyProtection="1">
      <alignment horizontal="center" vertical="center"/>
    </xf>
    <xf numFmtId="165" fontId="21" fillId="5" borderId="8" xfId="9" applyFont="1" applyFill="1" applyBorder="1" applyAlignment="1" applyProtection="1">
      <alignment horizontal="center" vertical="center"/>
    </xf>
    <xf numFmtId="165" fontId="21" fillId="5" borderId="9" xfId="9" applyFont="1" applyFill="1" applyBorder="1" applyAlignment="1" applyProtection="1">
      <alignment horizontal="center" vertical="center"/>
    </xf>
    <xf numFmtId="0" fontId="23" fillId="0" borderId="8" xfId="0" applyFont="1" applyBorder="1"/>
    <xf numFmtId="0" fontId="23" fillId="0" borderId="9" xfId="0" applyFont="1" applyBorder="1"/>
    <xf numFmtId="167" fontId="20" fillId="0" borderId="17" xfId="9" applyNumberFormat="1" applyFont="1" applyFill="1" applyBorder="1" applyAlignment="1" applyProtection="1">
      <alignment vertical="center" shrinkToFit="1"/>
    </xf>
    <xf numFmtId="0" fontId="28" fillId="4" borderId="49" xfId="0" applyFont="1" applyFill="1" applyBorder="1" applyAlignment="1" applyProtection="1">
      <alignment horizontal="center" vertical="center"/>
    </xf>
    <xf numFmtId="167" fontId="22" fillId="0" borderId="32" xfId="9" applyNumberFormat="1" applyFont="1" applyFill="1" applyBorder="1" applyAlignment="1" applyProtection="1">
      <alignment vertical="center"/>
    </xf>
    <xf numFmtId="0" fontId="17" fillId="0" borderId="0" xfId="0" applyFont="1" applyAlignment="1"/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165" fontId="21" fillId="5" borderId="23" xfId="9" applyFont="1" applyFill="1" applyBorder="1" applyAlignment="1" applyProtection="1">
      <alignment vertical="center"/>
    </xf>
    <xf numFmtId="165" fontId="21" fillId="5" borderId="23" xfId="9" applyFont="1" applyFill="1" applyBorder="1" applyProtection="1"/>
    <xf numFmtId="165" fontId="21" fillId="5" borderId="50" xfId="9" applyFont="1" applyFill="1" applyBorder="1" applyAlignment="1" applyProtection="1">
      <alignment horizontal="center"/>
    </xf>
    <xf numFmtId="0" fontId="21" fillId="5" borderId="50" xfId="0" applyFont="1" applyFill="1" applyBorder="1" applyAlignment="1" applyProtection="1">
      <alignment horizontal="center"/>
    </xf>
    <xf numFmtId="167" fontId="21" fillId="5" borderId="50" xfId="9" applyNumberFormat="1" applyFont="1" applyFill="1" applyBorder="1" applyProtection="1"/>
    <xf numFmtId="167" fontId="21" fillId="5" borderId="50" xfId="9" applyNumberFormat="1" applyFont="1" applyFill="1" applyBorder="1" applyAlignment="1" applyProtection="1">
      <alignment vertical="center"/>
      <protection hidden="1"/>
    </xf>
    <xf numFmtId="167" fontId="22" fillId="5" borderId="25" xfId="9" applyNumberFormat="1" applyFont="1" applyFill="1" applyBorder="1" applyProtection="1"/>
    <xf numFmtId="165" fontId="21" fillId="5" borderId="50" xfId="9" applyNumberFormat="1" applyFont="1" applyFill="1" applyBorder="1" applyProtection="1"/>
    <xf numFmtId="167" fontId="21" fillId="5" borderId="50" xfId="9" applyNumberFormat="1" applyFont="1" applyFill="1" applyBorder="1" applyAlignment="1" applyProtection="1">
      <alignment vertical="center" shrinkToFit="1"/>
    </xf>
    <xf numFmtId="0" fontId="21" fillId="5" borderId="8" xfId="9" applyNumberFormat="1" applyFont="1" applyFill="1" applyBorder="1" applyAlignment="1" applyProtection="1">
      <alignment vertical="center" shrinkToFit="1"/>
    </xf>
    <xf numFmtId="0" fontId="21" fillId="5" borderId="10" xfId="9" applyNumberFormat="1" applyFont="1" applyFill="1" applyBorder="1" applyAlignment="1" applyProtection="1">
      <alignment vertical="center" shrinkToFit="1"/>
    </xf>
    <xf numFmtId="0" fontId="21" fillId="0" borderId="10" xfId="9" applyNumberFormat="1" applyFont="1" applyBorder="1" applyAlignment="1">
      <alignment horizontal="left" vertical="center"/>
    </xf>
    <xf numFmtId="0" fontId="21" fillId="5" borderId="30" xfId="9" applyNumberFormat="1" applyFont="1" applyFill="1" applyBorder="1" applyAlignment="1" applyProtection="1">
      <alignment vertical="center" shrinkToFit="1"/>
    </xf>
    <xf numFmtId="0" fontId="33" fillId="0" borderId="0" xfId="0" applyFont="1" applyBorder="1"/>
    <xf numFmtId="0" fontId="33" fillId="0" borderId="0" xfId="0" applyFont="1"/>
    <xf numFmtId="167" fontId="34" fillId="5" borderId="10" xfId="9" applyNumberFormat="1" applyFont="1" applyFill="1" applyBorder="1" applyAlignment="1" applyProtection="1">
      <alignment vertical="center" shrinkToFit="1"/>
    </xf>
    <xf numFmtId="167" fontId="34" fillId="5" borderId="8" xfId="9" applyNumberFormat="1" applyFont="1" applyFill="1" applyBorder="1" applyAlignment="1" applyProtection="1">
      <alignment vertical="center" shrinkToFit="1"/>
    </xf>
    <xf numFmtId="167" fontId="34" fillId="0" borderId="8" xfId="9" applyNumberFormat="1" applyFont="1" applyFill="1" applyBorder="1" applyAlignment="1" applyProtection="1">
      <alignment vertical="center" shrinkToFit="1"/>
    </xf>
    <xf numFmtId="167" fontId="34" fillId="0" borderId="10" xfId="9" applyNumberFormat="1" applyFont="1" applyFill="1" applyBorder="1" applyAlignment="1" applyProtection="1">
      <alignment vertical="center" shrinkToFit="1"/>
    </xf>
    <xf numFmtId="167" fontId="34" fillId="0" borderId="10" xfId="9" applyNumberFormat="1" applyFont="1" applyFill="1" applyBorder="1" applyAlignment="1" applyProtection="1">
      <alignment vertical="center"/>
    </xf>
    <xf numFmtId="167" fontId="34" fillId="0" borderId="8" xfId="9" applyNumberFormat="1" applyFont="1" applyFill="1" applyBorder="1" applyAlignment="1" applyProtection="1"/>
    <xf numFmtId="167" fontId="34" fillId="0" borderId="28" xfId="9" applyNumberFormat="1" applyFont="1" applyFill="1" applyBorder="1" applyAlignment="1" applyProtection="1"/>
    <xf numFmtId="167" fontId="34" fillId="0" borderId="8" xfId="9" applyNumberFormat="1" applyFont="1" applyFill="1" applyBorder="1" applyAlignment="1" applyProtection="1">
      <alignment vertical="center"/>
    </xf>
    <xf numFmtId="167" fontId="34" fillId="0" borderId="17" xfId="9" applyNumberFormat="1" applyFont="1" applyFill="1" applyBorder="1" applyAlignment="1" applyProtection="1">
      <alignment vertical="center"/>
    </xf>
    <xf numFmtId="167" fontId="34" fillId="0" borderId="9" xfId="9" applyNumberFormat="1" applyFont="1" applyFill="1" applyBorder="1" applyAlignment="1" applyProtection="1"/>
    <xf numFmtId="167" fontId="29" fillId="0" borderId="8" xfId="0" applyNumberFormat="1" applyFont="1" applyBorder="1" applyAlignment="1">
      <alignment vertical="center"/>
    </xf>
    <xf numFmtId="3" fontId="20" fillId="0" borderId="8" xfId="9" applyNumberFormat="1" applyFont="1" applyFill="1" applyBorder="1" applyAlignment="1" applyProtection="1">
      <alignment horizontal="right" vertical="center"/>
    </xf>
    <xf numFmtId="0" fontId="21" fillId="0" borderId="0" xfId="0" applyFont="1" applyAlignment="1">
      <alignment vertical="top" wrapText="1"/>
    </xf>
    <xf numFmtId="167" fontId="34" fillId="0" borderId="28" xfId="9" applyNumberFormat="1" applyFont="1" applyFill="1" applyBorder="1" applyAlignment="1" applyProtection="1">
      <alignment vertical="center"/>
    </xf>
    <xf numFmtId="0" fontId="22" fillId="7" borderId="51" xfId="0" applyFont="1" applyFill="1" applyBorder="1" applyAlignment="1" applyProtection="1">
      <alignment horizontal="center" vertical="center" wrapText="1"/>
    </xf>
    <xf numFmtId="20" fontId="21" fillId="0" borderId="8" xfId="9" quotePrefix="1" applyNumberFormat="1" applyFont="1" applyFill="1" applyBorder="1" applyAlignment="1" applyProtection="1">
      <alignment horizontal="center" vertical="center"/>
    </xf>
    <xf numFmtId="0" fontId="29" fillId="7" borderId="51" xfId="0" applyFont="1" applyFill="1" applyBorder="1" applyAlignment="1" applyProtection="1">
      <alignment horizontal="center" vertical="center" wrapText="1"/>
    </xf>
    <xf numFmtId="20" fontId="21" fillId="0" borderId="6" xfId="9" applyNumberFormat="1" applyFont="1" applyFill="1" applyBorder="1" applyAlignment="1" applyProtection="1">
      <alignment horizontal="center" vertical="center"/>
    </xf>
    <xf numFmtId="20" fontId="21" fillId="0" borderId="9" xfId="9" applyNumberFormat="1" applyFont="1" applyFill="1" applyBorder="1" applyAlignment="1" applyProtection="1">
      <alignment horizontal="center" vertical="center"/>
    </xf>
    <xf numFmtId="167" fontId="30" fillId="0" borderId="11" xfId="9" applyNumberFormat="1" applyFont="1" applyFill="1" applyBorder="1" applyAlignment="1" applyProtection="1">
      <alignment vertical="center"/>
    </xf>
    <xf numFmtId="167" fontId="20" fillId="0" borderId="11" xfId="9" applyNumberFormat="1" applyFont="1" applyFill="1" applyBorder="1" applyAlignment="1" applyProtection="1">
      <alignment vertical="center"/>
    </xf>
    <xf numFmtId="0" fontId="23" fillId="5" borderId="28" xfId="0" applyFont="1" applyFill="1" applyBorder="1" applyAlignment="1" applyProtection="1">
      <alignment horizontal="center" vertical="center"/>
    </xf>
    <xf numFmtId="179" fontId="23" fillId="0" borderId="23" xfId="9" applyNumberFormat="1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/>
    </xf>
    <xf numFmtId="167" fontId="18" fillId="5" borderId="8" xfId="9" applyNumberFormat="1" applyFont="1" applyFill="1" applyBorder="1" applyAlignment="1" applyProtection="1">
      <alignment vertical="center"/>
    </xf>
    <xf numFmtId="0" fontId="22" fillId="7" borderId="34" xfId="0" applyFont="1" applyFill="1" applyBorder="1" applyAlignment="1" applyProtection="1">
      <alignment horizontal="center" vertical="center" wrapText="1"/>
    </xf>
    <xf numFmtId="167" fontId="21" fillId="5" borderId="13" xfId="9" applyNumberFormat="1" applyFont="1" applyFill="1" applyBorder="1" applyAlignment="1" applyProtection="1">
      <alignment horizontal="center" vertical="center" wrapText="1"/>
    </xf>
    <xf numFmtId="167" fontId="21" fillId="5" borderId="14" xfId="9" applyNumberFormat="1" applyFont="1" applyFill="1" applyBorder="1" applyAlignment="1" applyProtection="1">
      <alignment horizontal="center" vertical="center" wrapText="1"/>
    </xf>
    <xf numFmtId="167" fontId="22" fillId="5" borderId="6" xfId="9" applyNumberFormat="1" applyFont="1" applyFill="1" applyBorder="1" applyAlignment="1" applyProtection="1">
      <alignment horizontal="center" vertical="center" wrapText="1"/>
    </xf>
    <xf numFmtId="167" fontId="22" fillId="5" borderId="14" xfId="9" applyNumberFormat="1" applyFont="1" applyFill="1" applyBorder="1" applyAlignment="1" applyProtection="1">
      <alignment horizontal="center" vertical="center" wrapText="1"/>
    </xf>
    <xf numFmtId="0" fontId="21" fillId="0" borderId="0" xfId="0" applyFont="1" applyAlignment="1">
      <alignment horizontal="left"/>
    </xf>
    <xf numFmtId="177" fontId="19" fillId="0" borderId="0" xfId="0" applyNumberFormat="1" applyFont="1" applyFill="1" applyBorder="1" applyAlignment="1" applyProtection="1">
      <alignment horizontal="center" vertical="center"/>
    </xf>
    <xf numFmtId="0" fontId="22" fillId="6" borderId="13" xfId="0" applyFont="1" applyFill="1" applyBorder="1" applyAlignment="1" applyProtection="1">
      <alignment horizontal="center" vertical="center" wrapText="1"/>
    </xf>
    <xf numFmtId="0" fontId="22" fillId="6" borderId="23" xfId="0" applyFont="1" applyFill="1" applyBorder="1" applyAlignment="1" applyProtection="1">
      <alignment horizontal="center" vertical="center" wrapText="1"/>
    </xf>
    <xf numFmtId="0" fontId="22" fillId="6" borderId="23" xfId="0" applyFont="1" applyFill="1" applyBorder="1" applyAlignment="1" applyProtection="1">
      <alignment vertical="center" wrapText="1"/>
    </xf>
    <xf numFmtId="0" fontId="22" fillId="6" borderId="1" xfId="0" applyFont="1" applyFill="1" applyBorder="1" applyAlignment="1" applyProtection="1">
      <alignment horizontal="center" vertical="center" wrapText="1"/>
    </xf>
    <xf numFmtId="177" fontId="22" fillId="0" borderId="0" xfId="0" applyNumberFormat="1" applyFont="1" applyFill="1" applyBorder="1" applyAlignment="1" applyProtection="1">
      <alignment horizontal="center" vertical="center"/>
    </xf>
    <xf numFmtId="17" fontId="22" fillId="0" borderId="0" xfId="0" applyNumberFormat="1" applyFont="1" applyFill="1" applyBorder="1" applyAlignment="1" applyProtection="1">
      <alignment horizontal="center" vertical="center"/>
    </xf>
    <xf numFmtId="0" fontId="29" fillId="7" borderId="13" xfId="0" applyFont="1" applyFill="1" applyBorder="1" applyAlignment="1">
      <alignment horizontal="center" vertical="center" wrapText="1"/>
    </xf>
    <xf numFmtId="0" fontId="29" fillId="7" borderId="34" xfId="0" applyFont="1" applyFill="1" applyBorder="1" applyAlignment="1">
      <alignment horizontal="center" vertical="center" wrapText="1"/>
    </xf>
    <xf numFmtId="167" fontId="29" fillId="0" borderId="13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167" fontId="29" fillId="5" borderId="40" xfId="9" applyNumberFormat="1" applyFont="1" applyFill="1" applyBorder="1" applyAlignment="1" applyProtection="1">
      <alignment vertical="center" wrapText="1"/>
    </xf>
    <xf numFmtId="167" fontId="29" fillId="5" borderId="39" xfId="9" applyNumberFormat="1" applyFont="1" applyFill="1" applyBorder="1" applyAlignment="1" applyProtection="1">
      <alignment vertical="center" wrapText="1"/>
    </xf>
    <xf numFmtId="167" fontId="34" fillId="5" borderId="12" xfId="9" applyNumberFormat="1" applyFont="1" applyFill="1" applyBorder="1" applyAlignment="1" applyProtection="1">
      <alignment vertical="center" wrapText="1"/>
    </xf>
    <xf numFmtId="167" fontId="34" fillId="5" borderId="18" xfId="9" applyNumberFormat="1" applyFont="1" applyFill="1" applyBorder="1" applyAlignment="1" applyProtection="1">
      <alignment vertical="center" wrapText="1"/>
    </xf>
    <xf numFmtId="0" fontId="22" fillId="7" borderId="13" xfId="0" applyFont="1" applyFill="1" applyBorder="1" applyAlignment="1" applyProtection="1">
      <alignment horizontal="center" vertical="center" wrapText="1"/>
    </xf>
    <xf numFmtId="0" fontId="22" fillId="7" borderId="34" xfId="0" applyFont="1" applyFill="1" applyBorder="1" applyAlignment="1" applyProtection="1">
      <alignment horizontal="center" vertical="center" wrapText="1"/>
    </xf>
    <xf numFmtId="0" fontId="22" fillId="7" borderId="34" xfId="0" applyFont="1" applyFill="1" applyBorder="1" applyAlignment="1" applyProtection="1">
      <alignment vertical="center" wrapText="1"/>
    </xf>
    <xf numFmtId="167" fontId="23" fillId="5" borderId="6" xfId="9" applyNumberFormat="1" applyFont="1" applyFill="1" applyBorder="1" applyAlignment="1" applyProtection="1">
      <alignment vertical="center" wrapText="1"/>
    </xf>
    <xf numFmtId="167" fontId="23" fillId="5" borderId="14" xfId="9" applyNumberFormat="1" applyFont="1" applyFill="1" applyBorder="1" applyAlignment="1" applyProtection="1">
      <alignment vertical="center" wrapText="1"/>
    </xf>
    <xf numFmtId="0" fontId="29" fillId="0" borderId="0" xfId="0" applyFont="1" applyAlignment="1">
      <alignment horizontal="center"/>
    </xf>
    <xf numFmtId="0" fontId="22" fillId="7" borderId="35" xfId="0" applyFont="1" applyFill="1" applyBorder="1" applyAlignment="1" applyProtection="1">
      <alignment horizontal="center" vertical="center" wrapText="1"/>
    </xf>
    <xf numFmtId="0" fontId="22" fillId="7" borderId="36" xfId="0" applyFont="1" applyFill="1" applyBorder="1" applyAlignment="1" applyProtection="1">
      <alignment horizontal="center" vertical="center" wrapText="1"/>
    </xf>
    <xf numFmtId="0" fontId="22" fillId="7" borderId="41" xfId="0" applyFont="1" applyFill="1" applyBorder="1" applyAlignment="1" applyProtection="1">
      <alignment horizontal="center" vertical="center" wrapText="1"/>
    </xf>
    <xf numFmtId="0" fontId="22" fillId="7" borderId="43" xfId="0" applyFont="1" applyFill="1" applyBorder="1" applyAlignment="1" applyProtection="1">
      <alignment horizontal="center" vertical="center" wrapText="1"/>
    </xf>
    <xf numFmtId="167" fontId="23" fillId="5" borderId="13" xfId="9" applyNumberFormat="1" applyFont="1" applyFill="1" applyBorder="1" applyAlignment="1" applyProtection="1">
      <alignment horizontal="center" vertical="center" wrapText="1"/>
    </xf>
    <xf numFmtId="167" fontId="23" fillId="5" borderId="14" xfId="9" applyNumberFormat="1" applyFont="1" applyFill="1" applyBorder="1" applyAlignment="1" applyProtection="1">
      <alignment horizontal="center" vertical="center" wrapText="1"/>
    </xf>
    <xf numFmtId="167" fontId="34" fillId="5" borderId="13" xfId="9" applyNumberFormat="1" applyFont="1" applyFill="1" applyBorder="1" applyAlignment="1" applyProtection="1">
      <alignment horizontal="center" vertical="center" wrapText="1"/>
    </xf>
    <xf numFmtId="167" fontId="34" fillId="5" borderId="14" xfId="9" applyNumberFormat="1" applyFont="1" applyFill="1" applyBorder="1" applyAlignment="1" applyProtection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2" fillId="7" borderId="48" xfId="0" applyFont="1" applyFill="1" applyBorder="1" applyAlignment="1" applyProtection="1">
      <alignment horizontal="center" vertical="center" wrapText="1"/>
    </xf>
    <xf numFmtId="0" fontId="22" fillId="7" borderId="3" xfId="0" applyFont="1" applyFill="1" applyBorder="1" applyAlignment="1" applyProtection="1">
      <alignment horizontal="center" vertical="center" wrapText="1"/>
    </xf>
    <xf numFmtId="0" fontId="22" fillId="7" borderId="7" xfId="0" applyFont="1" applyFill="1" applyBorder="1" applyAlignment="1" applyProtection="1">
      <alignment horizontal="center" vertical="center" wrapText="1"/>
    </xf>
    <xf numFmtId="167" fontId="34" fillId="5" borderId="13" xfId="9" quotePrefix="1" applyNumberFormat="1" applyFont="1" applyFill="1" applyBorder="1" applyAlignment="1" applyProtection="1">
      <alignment horizontal="center" vertical="center" wrapText="1"/>
    </xf>
    <xf numFmtId="167" fontId="34" fillId="5" borderId="14" xfId="9" quotePrefix="1" applyNumberFormat="1" applyFont="1" applyFill="1" applyBorder="1" applyAlignment="1" applyProtection="1">
      <alignment horizontal="center" vertical="center" wrapText="1"/>
    </xf>
    <xf numFmtId="167" fontId="20" fillId="5" borderId="6" xfId="9" applyNumberFormat="1" applyFont="1" applyFill="1" applyBorder="1" applyAlignment="1" applyProtection="1">
      <alignment horizontal="center" vertical="center" wrapText="1"/>
    </xf>
    <xf numFmtId="167" fontId="20" fillId="5" borderId="14" xfId="9" applyNumberFormat="1" applyFont="1" applyFill="1" applyBorder="1" applyAlignment="1" applyProtection="1">
      <alignment horizontal="center" vertical="center" wrapText="1"/>
    </xf>
    <xf numFmtId="167" fontId="20" fillId="5" borderId="6" xfId="9" quotePrefix="1" applyNumberFormat="1" applyFont="1" applyFill="1" applyBorder="1" applyAlignment="1" applyProtection="1">
      <alignment horizontal="center" vertical="center" wrapText="1"/>
    </xf>
    <xf numFmtId="167" fontId="20" fillId="5" borderId="14" xfId="9" quotePrefix="1" applyNumberFormat="1" applyFont="1" applyFill="1" applyBorder="1" applyAlignment="1" applyProtection="1">
      <alignment horizontal="center" vertical="center" wrapText="1"/>
    </xf>
    <xf numFmtId="167" fontId="20" fillId="5" borderId="13" xfId="9" applyNumberFormat="1" applyFont="1" applyFill="1" applyBorder="1" applyAlignment="1" applyProtection="1">
      <alignment horizontal="center" vertical="center" wrapText="1"/>
    </xf>
    <xf numFmtId="167" fontId="20" fillId="5" borderId="6" xfId="9" applyNumberFormat="1" applyFont="1" applyFill="1" applyBorder="1" applyAlignment="1" applyProtection="1">
      <alignment vertical="center" wrapText="1"/>
    </xf>
    <xf numFmtId="167" fontId="20" fillId="5" borderId="14" xfId="9" applyNumberFormat="1" applyFont="1" applyFill="1" applyBorder="1" applyAlignment="1" applyProtection="1">
      <alignment vertical="center" wrapText="1"/>
    </xf>
    <xf numFmtId="0" fontId="22" fillId="0" borderId="0" xfId="0" applyFont="1" applyAlignment="1">
      <alignment horizontal="center" vertical="center"/>
    </xf>
    <xf numFmtId="167" fontId="21" fillId="5" borderId="6" xfId="9" applyNumberFormat="1" applyFont="1" applyFill="1" applyBorder="1" applyAlignment="1" applyProtection="1">
      <alignment vertical="center" wrapText="1"/>
    </xf>
    <xf numFmtId="167" fontId="21" fillId="5" borderId="14" xfId="9" applyNumberFormat="1" applyFont="1" applyFill="1" applyBorder="1" applyAlignment="1" applyProtection="1">
      <alignment vertical="center" wrapText="1"/>
    </xf>
    <xf numFmtId="0" fontId="22" fillId="7" borderId="37" xfId="0" applyFont="1" applyFill="1" applyBorder="1" applyAlignment="1" applyProtection="1">
      <alignment horizontal="center" vertical="center" wrapText="1"/>
    </xf>
    <xf numFmtId="0" fontId="22" fillId="7" borderId="38" xfId="0" applyFont="1" applyFill="1" applyBorder="1" applyAlignment="1" applyProtection="1">
      <alignment horizontal="center" vertical="center" wrapText="1"/>
    </xf>
    <xf numFmtId="167" fontId="22" fillId="5" borderId="40" xfId="9" applyNumberFormat="1" applyFont="1" applyFill="1" applyBorder="1" applyAlignment="1" applyProtection="1">
      <alignment vertical="center" wrapText="1"/>
    </xf>
    <xf numFmtId="167" fontId="22" fillId="5" borderId="39" xfId="9" applyNumberFormat="1" applyFont="1" applyFill="1" applyBorder="1" applyAlignment="1" applyProtection="1">
      <alignment vertical="center" wrapText="1"/>
    </xf>
    <xf numFmtId="167" fontId="20" fillId="5" borderId="12" xfId="9" applyNumberFormat="1" applyFont="1" applyFill="1" applyBorder="1" applyAlignment="1" applyProtection="1">
      <alignment vertical="center" wrapText="1"/>
    </xf>
    <xf numFmtId="167" fontId="20" fillId="5" borderId="18" xfId="9" applyNumberFormat="1" applyFont="1" applyFill="1" applyBorder="1" applyAlignment="1" applyProtection="1">
      <alignment vertical="center" wrapText="1"/>
    </xf>
    <xf numFmtId="0" fontId="22" fillId="0" borderId="0" xfId="0" applyFont="1" applyAlignment="1">
      <alignment horizontal="center"/>
    </xf>
    <xf numFmtId="167" fontId="22" fillId="5" borderId="6" xfId="9" applyNumberFormat="1" applyFont="1" applyFill="1" applyBorder="1" applyAlignment="1" applyProtection="1">
      <alignment vertical="center" wrapText="1"/>
    </xf>
    <xf numFmtId="167" fontId="22" fillId="5" borderId="14" xfId="9" applyNumberFormat="1" applyFont="1" applyFill="1" applyBorder="1" applyAlignment="1" applyProtection="1">
      <alignment vertical="center" wrapText="1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0" fillId="5" borderId="6" xfId="9" quotePrefix="1" applyNumberFormat="1" applyFont="1" applyFill="1" applyBorder="1" applyAlignment="1" applyProtection="1">
      <alignment vertical="center" wrapText="1"/>
    </xf>
    <xf numFmtId="167" fontId="21" fillId="5" borderId="13" xfId="9" applyNumberFormat="1" applyFont="1" applyFill="1" applyBorder="1" applyAlignment="1" applyProtection="1">
      <alignment vertical="center" wrapText="1"/>
    </xf>
    <xf numFmtId="0" fontId="22" fillId="0" borderId="0" xfId="0" applyFont="1" applyAlignment="1" applyProtection="1">
      <alignment horizontal="center" vertical="center"/>
    </xf>
    <xf numFmtId="167" fontId="20" fillId="5" borderId="47" xfId="9" applyNumberFormat="1" applyFont="1" applyFill="1" applyBorder="1" applyAlignment="1" applyProtection="1">
      <alignment vertical="center" wrapText="1"/>
    </xf>
    <xf numFmtId="167" fontId="20" fillId="5" borderId="42" xfId="9" applyNumberFormat="1" applyFont="1" applyFill="1" applyBorder="1" applyAlignment="1" applyProtection="1">
      <alignment vertical="center" wrapText="1"/>
    </xf>
    <xf numFmtId="167" fontId="20" fillId="5" borderId="14" xfId="9" quotePrefix="1" applyNumberFormat="1" applyFont="1" applyFill="1" applyBorder="1" applyAlignment="1" applyProtection="1">
      <alignment vertical="center" wrapTex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 vertical="top" wrapText="1"/>
    </xf>
  </cellXfs>
  <cellStyles count="45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" xfId="9" builtinId="3"/>
    <cellStyle name="Comma [0]" xfId="10" builtinId="6"/>
    <cellStyle name="Comma [00]" xfId="11" xr:uid="{00000000-0005-0000-0000-00000A000000}"/>
    <cellStyle name="Comma 2" xfId="12" xr:uid="{00000000-0005-0000-0000-00000B000000}"/>
    <cellStyle name="Currency (0.00)" xfId="13" xr:uid="{00000000-0005-0000-0000-00000C000000}"/>
    <cellStyle name="Currency [00]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Grey" xfId="21" xr:uid="{00000000-0005-0000-0000-000014000000}"/>
    <cellStyle name="Header1" xfId="22" xr:uid="{00000000-0005-0000-0000-000015000000}"/>
    <cellStyle name="Header2" xfId="23" xr:uid="{00000000-0005-0000-0000-000016000000}"/>
    <cellStyle name="Input [yellow]" xfId="24" xr:uid="{00000000-0005-0000-0000-000017000000}"/>
    <cellStyle name="Link Currency (0)" xfId="25" xr:uid="{00000000-0005-0000-0000-000018000000}"/>
    <cellStyle name="Link Currency (2)" xfId="26" xr:uid="{00000000-0005-0000-0000-000019000000}"/>
    <cellStyle name="Link Units (0)" xfId="27" xr:uid="{00000000-0005-0000-0000-00001A000000}"/>
    <cellStyle name="Link Units (1)" xfId="28" xr:uid="{00000000-0005-0000-0000-00001B000000}"/>
    <cellStyle name="Link Units (2)" xfId="29" xr:uid="{00000000-0005-0000-0000-00001C000000}"/>
    <cellStyle name="Normal" xfId="0" builtinId="0"/>
    <cellStyle name="Normal - Style1" xfId="30" xr:uid="{00000000-0005-0000-0000-00001E000000}"/>
    <cellStyle name="Percent" xfId="31" builtinId="5"/>
    <cellStyle name="Percent [0]" xfId="32" xr:uid="{00000000-0005-0000-0000-000020000000}"/>
    <cellStyle name="Percent [00]" xfId="33" xr:uid="{00000000-0005-0000-0000-000021000000}"/>
    <cellStyle name="Percent [2]" xfId="34" xr:uid="{00000000-0005-0000-0000-000022000000}"/>
    <cellStyle name="PrePop Currency (0)" xfId="35" xr:uid="{00000000-0005-0000-0000-000023000000}"/>
    <cellStyle name="PrePop Currency (2)" xfId="36" xr:uid="{00000000-0005-0000-0000-000024000000}"/>
    <cellStyle name="PrePop Units (0)" xfId="37" xr:uid="{00000000-0005-0000-0000-000025000000}"/>
    <cellStyle name="PrePop Units (1)" xfId="38" xr:uid="{00000000-0005-0000-0000-000026000000}"/>
    <cellStyle name="PrePop Units (2)" xfId="39" xr:uid="{00000000-0005-0000-0000-000027000000}"/>
    <cellStyle name="sbt2" xfId="40" xr:uid="{00000000-0005-0000-0000-000028000000}"/>
    <cellStyle name="subt1" xfId="41" xr:uid="{00000000-0005-0000-0000-000029000000}"/>
    <cellStyle name="Text Indent A" xfId="42" xr:uid="{00000000-0005-0000-0000-00002A000000}"/>
    <cellStyle name="Text Indent B" xfId="43" xr:uid="{00000000-0005-0000-0000-00002B000000}"/>
    <cellStyle name="Text Indent C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1276350</xdr:colOff>
      <xdr:row>0</xdr:row>
      <xdr:rowOff>19050</xdr:rowOff>
    </xdr:from>
    <xdr:to>
      <xdr:col>3</xdr:col>
      <xdr:colOff>304800</xdr:colOff>
      <xdr:row>1</xdr:row>
      <xdr:rowOff>257175</xdr:rowOff>
    </xdr:to>
    <xdr:pic>
      <xdr:nvPicPr>
        <xdr:cNvPr id="9374" name="Picture 1">
          <a:extLst>
            <a:ext uri="{FF2B5EF4-FFF2-40B4-BE49-F238E27FC236}">
              <a16:creationId xmlns:a16="http://schemas.microsoft.com/office/drawing/2014/main" id="{00000000-0008-0000-0100-00009E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9050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8364" name="Picture 1">
          <a:extLst>
            <a:ext uri="{FF2B5EF4-FFF2-40B4-BE49-F238E27FC236}">
              <a16:creationId xmlns:a16="http://schemas.microsoft.com/office/drawing/2014/main" id="{00000000-0008-0000-0200-0000AC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733426</xdr:colOff>
      <xdr:row>0</xdr:row>
      <xdr:rowOff>76200</xdr:rowOff>
    </xdr:from>
    <xdr:to>
      <xdr:col>13</xdr:col>
      <xdr:colOff>47625</xdr:colOff>
      <xdr:row>1</xdr:row>
      <xdr:rowOff>266700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8851" y="76200"/>
          <a:ext cx="1838324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179917</xdr:colOff>
      <xdr:row>0</xdr:row>
      <xdr:rowOff>0</xdr:rowOff>
    </xdr:from>
    <xdr:to>
      <xdr:col>11</xdr:col>
      <xdr:colOff>657224</xdr:colOff>
      <xdr:row>0</xdr:row>
      <xdr:rowOff>550332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id="{00000000-0008-0000-05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7417" y="0"/>
          <a:ext cx="2149474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4364" name="Picture 1">
          <a:extLst>
            <a:ext uri="{FF2B5EF4-FFF2-40B4-BE49-F238E27FC236}">
              <a16:creationId xmlns:a16="http://schemas.microsoft.com/office/drawing/2014/main" id="{00000000-0008-0000-0600-00001C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243419</xdr:colOff>
      <xdr:row>0</xdr:row>
      <xdr:rowOff>0</xdr:rowOff>
    </xdr:from>
    <xdr:to>
      <xdr:col>10</xdr:col>
      <xdr:colOff>571502</xdr:colOff>
      <xdr:row>0</xdr:row>
      <xdr:rowOff>478367</xdr:rowOff>
    </xdr:to>
    <xdr:pic>
      <xdr:nvPicPr>
        <xdr:cNvPr id="12318" name="Picture 1">
          <a:extLst>
            <a:ext uri="{FF2B5EF4-FFF2-40B4-BE49-F238E27FC236}">
              <a16:creationId xmlns:a16="http://schemas.microsoft.com/office/drawing/2014/main" id="{00000000-0008-0000-0700-00001E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9169" y="0"/>
          <a:ext cx="2000250" cy="4783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6408" name="Picture 1">
          <a:extLst>
            <a:ext uri="{FF2B5EF4-FFF2-40B4-BE49-F238E27FC236}">
              <a16:creationId xmlns:a16="http://schemas.microsoft.com/office/drawing/2014/main" id="{00000000-0008-0000-0800-000018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1501775</xdr:colOff>
      <xdr:row>0</xdr:row>
      <xdr:rowOff>21167</xdr:rowOff>
    </xdr:from>
    <xdr:to>
      <xdr:col>7</xdr:col>
      <xdr:colOff>102659</xdr:colOff>
      <xdr:row>1</xdr:row>
      <xdr:rowOff>0</xdr:rowOff>
    </xdr:to>
    <xdr:pic>
      <xdr:nvPicPr>
        <xdr:cNvPr id="13342" name="Picture 1">
          <a:extLst>
            <a:ext uri="{FF2B5EF4-FFF2-40B4-BE49-F238E27FC236}">
              <a16:creationId xmlns:a16="http://schemas.microsoft.com/office/drawing/2014/main" id="{00000000-0008-0000-0900-00001E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3858" y="21167"/>
          <a:ext cx="1691217" cy="497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  <cell r="G8">
            <v>4612000</v>
          </cell>
        </row>
        <row r="13">
          <cell r="G13">
            <v>4114000</v>
          </cell>
        </row>
        <row r="14">
          <cell r="G14">
            <v>3919000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8">
          <cell r="H18">
            <v>3223000</v>
          </cell>
        </row>
        <row r="19">
          <cell r="O19">
            <v>2533000</v>
          </cell>
          <cell r="Q19">
            <v>527000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5" x14ac:dyDescent="0.25"/>
  <sheetData/>
  <phoneticPr fontId="1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U28"/>
  <sheetViews>
    <sheetView view="pageBreakPreview" zoomScale="85" zoomScaleNormal="90" zoomScaleSheetLayoutView="85" workbookViewId="0">
      <pane xSplit="4" topLeftCell="E1" activePane="topRight" state="frozen"/>
      <selection pane="topRight" activeCell="C17" sqref="C17:H18"/>
    </sheetView>
  </sheetViews>
  <sheetFormatPr defaultRowHeight="12.5" x14ac:dyDescent="0.25"/>
  <cols>
    <col min="1" max="1" width="2.7265625" customWidth="1"/>
    <col min="2" max="2" width="3.81640625" customWidth="1"/>
    <col min="3" max="3" width="25.81640625" customWidth="1"/>
    <col min="4" max="4" width="33.7265625" customWidth="1"/>
    <col min="5" max="5" width="22.54296875" customWidth="1"/>
    <col min="6" max="6" width="8.1796875" customWidth="1"/>
    <col min="7" max="10" width="15.7265625" customWidth="1"/>
    <col min="11" max="11" width="12.54296875" hidden="1" customWidth="1"/>
    <col min="12" max="12" width="12.26953125" hidden="1" customWidth="1"/>
    <col min="13" max="14" width="11.453125" hidden="1" customWidth="1"/>
    <col min="15" max="15" width="11.7265625" customWidth="1"/>
    <col min="16" max="16" width="12.54296875" hidden="1" customWidth="1"/>
    <col min="17" max="17" width="12.81640625" customWidth="1"/>
    <col min="18" max="18" width="2.7265625" customWidth="1"/>
    <col min="19" max="22" width="13.26953125" bestFit="1" customWidth="1"/>
  </cols>
  <sheetData>
    <row r="1" spans="2:21" ht="40.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2:21" ht="12.75" customHeight="1" x14ac:dyDescent="0.25">
      <c r="B2" s="363" t="s">
        <v>155</v>
      </c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164"/>
    </row>
    <row r="3" spans="2:21" ht="12.75" customHeight="1" x14ac:dyDescent="0.25">
      <c r="B3" s="364" t="s">
        <v>228</v>
      </c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165"/>
    </row>
    <row r="4" spans="2:21" ht="6" customHeight="1" x14ac:dyDescent="0.35">
      <c r="B4" s="1"/>
      <c r="C4" s="2"/>
      <c r="D4" s="2"/>
      <c r="E4" s="3"/>
      <c r="F4" s="1"/>
      <c r="G4" s="4"/>
      <c r="H4" s="2"/>
      <c r="I4" s="2"/>
      <c r="J4" s="5"/>
      <c r="K4" s="2"/>
      <c r="L4" s="2"/>
      <c r="M4" s="2"/>
      <c r="N4" s="2"/>
      <c r="O4" s="2"/>
      <c r="P4" s="2"/>
      <c r="Q4" s="2"/>
      <c r="R4" s="2"/>
    </row>
    <row r="5" spans="2:21" ht="36" customHeight="1" x14ac:dyDescent="0.25">
      <c r="B5" s="373" t="s">
        <v>7</v>
      </c>
      <c r="C5" s="373" t="s">
        <v>66</v>
      </c>
      <c r="D5" s="373" t="s">
        <v>21</v>
      </c>
      <c r="E5" s="373" t="s">
        <v>0</v>
      </c>
      <c r="F5" s="373" t="s">
        <v>2</v>
      </c>
      <c r="G5" s="373" t="s">
        <v>67</v>
      </c>
      <c r="H5" s="373" t="s">
        <v>17</v>
      </c>
      <c r="I5" s="373" t="s">
        <v>6</v>
      </c>
      <c r="J5" s="379" t="s">
        <v>68</v>
      </c>
      <c r="K5" s="381" t="s">
        <v>83</v>
      </c>
      <c r="L5" s="373" t="s">
        <v>60</v>
      </c>
      <c r="M5" s="373" t="s">
        <v>95</v>
      </c>
      <c r="N5" s="373" t="s">
        <v>56</v>
      </c>
      <c r="O5" s="373" t="s">
        <v>49</v>
      </c>
      <c r="P5" s="373" t="s">
        <v>46</v>
      </c>
      <c r="Q5" s="373" t="s">
        <v>82</v>
      </c>
      <c r="R5" s="107"/>
    </row>
    <row r="6" spans="2:21" ht="36" customHeight="1" thickBot="1" x14ac:dyDescent="0.3">
      <c r="B6" s="374"/>
      <c r="C6" s="375"/>
      <c r="D6" s="375"/>
      <c r="E6" s="375"/>
      <c r="F6" s="375"/>
      <c r="G6" s="375"/>
      <c r="H6" s="374"/>
      <c r="I6" s="374"/>
      <c r="J6" s="380"/>
      <c r="K6" s="382"/>
      <c r="L6" s="374"/>
      <c r="M6" s="374"/>
      <c r="N6" s="374"/>
      <c r="O6" s="374"/>
      <c r="P6" s="374"/>
      <c r="Q6" s="374"/>
      <c r="R6" s="107"/>
    </row>
    <row r="7" spans="2:21" s="25" customFormat="1" ht="9.75" customHeight="1" x14ac:dyDescent="0.25">
      <c r="B7" s="116">
        <v>1</v>
      </c>
      <c r="C7" s="116">
        <v>2</v>
      </c>
      <c r="D7" s="116">
        <v>3</v>
      </c>
      <c r="E7" s="117">
        <v>6</v>
      </c>
      <c r="F7" s="117">
        <v>7</v>
      </c>
      <c r="G7" s="116">
        <v>8</v>
      </c>
      <c r="H7" s="116">
        <v>9</v>
      </c>
      <c r="I7" s="116">
        <v>13</v>
      </c>
      <c r="J7" s="118" t="s">
        <v>131</v>
      </c>
      <c r="K7" s="119">
        <v>15</v>
      </c>
      <c r="L7" s="117">
        <v>16</v>
      </c>
      <c r="M7" s="117">
        <v>17</v>
      </c>
      <c r="N7" s="117">
        <v>18</v>
      </c>
      <c r="O7" s="117">
        <v>19</v>
      </c>
      <c r="P7" s="117">
        <v>18</v>
      </c>
      <c r="Q7" s="117" t="s">
        <v>130</v>
      </c>
      <c r="R7" s="102"/>
    </row>
    <row r="8" spans="2:21" s="25" customFormat="1" ht="18.75" hidden="1" customHeight="1" x14ac:dyDescent="0.35">
      <c r="B8" s="114">
        <v>1</v>
      </c>
      <c r="C8" s="110" t="s">
        <v>196</v>
      </c>
      <c r="D8" s="110" t="s">
        <v>65</v>
      </c>
      <c r="E8" s="108" t="s">
        <v>116</v>
      </c>
      <c r="F8" s="109" t="s">
        <v>45</v>
      </c>
      <c r="G8" s="113">
        <f>45%*60000000</f>
        <v>27000000</v>
      </c>
      <c r="H8" s="40">
        <v>0</v>
      </c>
      <c r="I8" s="49">
        <v>0</v>
      </c>
      <c r="J8" s="111">
        <f>SUM(G8:I8)</f>
        <v>27000000</v>
      </c>
      <c r="K8" s="158">
        <v>0</v>
      </c>
      <c r="L8" s="158">
        <v>0</v>
      </c>
      <c r="M8" s="152">
        <v>0</v>
      </c>
      <c r="N8" s="158">
        <v>0</v>
      </c>
      <c r="O8" s="158">
        <v>0</v>
      </c>
      <c r="P8" s="50">
        <v>1720000</v>
      </c>
      <c r="Q8" s="153">
        <f>J8-(K8+L8+M8+N8+O8)</f>
        <v>27000000</v>
      </c>
      <c r="R8" s="103"/>
      <c r="T8" s="20">
        <f>J8-K8-L8-N8-O8</f>
        <v>27000000</v>
      </c>
    </row>
    <row r="9" spans="2:21" s="25" customFormat="1" ht="18.75" customHeight="1" x14ac:dyDescent="0.3">
      <c r="B9" s="115">
        <v>1</v>
      </c>
      <c r="C9" s="92" t="s">
        <v>159</v>
      </c>
      <c r="D9" s="303" t="s">
        <v>59</v>
      </c>
      <c r="E9" s="298" t="s">
        <v>89</v>
      </c>
      <c r="F9" s="123" t="s">
        <v>35</v>
      </c>
      <c r="G9" s="124">
        <f>90%*G8</f>
        <v>24300000</v>
      </c>
      <c r="H9" s="49">
        <v>0</v>
      </c>
      <c r="I9" s="49">
        <f>20%*G9</f>
        <v>4860000</v>
      </c>
      <c r="J9" s="125">
        <f>SUM(G9:I9)</f>
        <v>29160000</v>
      </c>
      <c r="K9" s="159">
        <v>0</v>
      </c>
      <c r="L9" s="159">
        <v>0</v>
      </c>
      <c r="M9" s="299">
        <v>0</v>
      </c>
      <c r="N9" s="159">
        <v>0</v>
      </c>
      <c r="O9" s="159">
        <v>0</v>
      </c>
      <c r="P9" s="50"/>
      <c r="Q9" s="300">
        <f>J9-(K9+L9+M9+N9+O9)</f>
        <v>29160000</v>
      </c>
      <c r="R9" s="103"/>
      <c r="T9" s="20"/>
    </row>
    <row r="10" spans="2:21" ht="20.149999999999999" customHeight="1" x14ac:dyDescent="0.3">
      <c r="B10" s="115">
        <v>2</v>
      </c>
      <c r="C10" s="180" t="s">
        <v>39</v>
      </c>
      <c r="D10" s="303" t="s">
        <v>219</v>
      </c>
      <c r="E10" s="301" t="s">
        <v>40</v>
      </c>
      <c r="F10" s="182" t="s">
        <v>34</v>
      </c>
      <c r="G10" s="284">
        <f>90%*G8</f>
        <v>24300000</v>
      </c>
      <c r="H10" s="184">
        <v>0</v>
      </c>
      <c r="I10" s="40">
        <f>20%*G10</f>
        <v>4860000</v>
      </c>
      <c r="J10" s="286">
        <f>SUM(G10:I10)</f>
        <v>29160000</v>
      </c>
      <c r="K10" s="158">
        <v>0</v>
      </c>
      <c r="L10" s="270">
        <v>0</v>
      </c>
      <c r="M10" s="261">
        <v>0</v>
      </c>
      <c r="N10" s="270">
        <v>0</v>
      </c>
      <c r="O10" s="270">
        <v>0</v>
      </c>
      <c r="P10" s="66">
        <v>3790000</v>
      </c>
      <c r="Q10" s="269">
        <f>J10-(K10+L10+M10+N10+O10)</f>
        <v>29160000</v>
      </c>
      <c r="R10" s="104"/>
      <c r="T10" s="20">
        <f>J10-K10-L10-N10-O10</f>
        <v>29160000</v>
      </c>
    </row>
    <row r="11" spans="2:21" ht="20.149999999999999" customHeight="1" x14ac:dyDescent="0.3">
      <c r="B11" s="271">
        <v>3</v>
      </c>
      <c r="C11" s="279" t="s">
        <v>191</v>
      </c>
      <c r="D11" s="304" t="s">
        <v>44</v>
      </c>
      <c r="E11" s="302" t="s">
        <v>192</v>
      </c>
      <c r="F11" s="280" t="s">
        <v>193</v>
      </c>
      <c r="G11" s="285">
        <v>9000000</v>
      </c>
      <c r="H11" s="281">
        <v>0</v>
      </c>
      <c r="I11" s="166">
        <v>450000</v>
      </c>
      <c r="J11" s="286">
        <f>SUM(G11:I11)</f>
        <v>9450000</v>
      </c>
      <c r="K11" s="259"/>
      <c r="L11" s="260"/>
      <c r="M11" s="155"/>
      <c r="N11" s="260"/>
      <c r="O11" s="260">
        <v>0</v>
      </c>
      <c r="P11" s="69"/>
      <c r="Q11" s="269">
        <f>J11-(K11+L11+M11+N11+O11)</f>
        <v>9450000</v>
      </c>
      <c r="R11" s="104"/>
      <c r="T11" s="20"/>
    </row>
    <row r="12" spans="2:21" ht="10.5" customHeight="1" x14ac:dyDescent="0.35">
      <c r="B12" s="74"/>
      <c r="C12" s="74"/>
      <c r="D12" s="74"/>
      <c r="E12" s="73"/>
      <c r="F12" s="21"/>
      <c r="G12" s="401">
        <f>SUM(G9:G11)</f>
        <v>57600000</v>
      </c>
      <c r="H12" s="401">
        <f>SUM(H8:H10)</f>
        <v>0</v>
      </c>
      <c r="I12" s="401">
        <f>SUM(I8:I11)</f>
        <v>10170000</v>
      </c>
      <c r="J12" s="405">
        <f>SUM(J9:J11)</f>
        <v>67770000</v>
      </c>
      <c r="K12" s="416">
        <v>0</v>
      </c>
      <c r="L12" s="398">
        <f>SUM(L10:L10)</f>
        <v>0</v>
      </c>
      <c r="M12" s="398">
        <f>SUM(M10:M10)</f>
        <v>0</v>
      </c>
      <c r="N12" s="398">
        <f>SUM(N10:N10)</f>
        <v>0</v>
      </c>
      <c r="O12" s="413">
        <f>SUM(O10:O10)</f>
        <v>0</v>
      </c>
      <c r="P12" s="401">
        <f>SUM(P10:P10)</f>
        <v>3790000</v>
      </c>
      <c r="Q12" s="410">
        <f>SUM(Q9:Q11)</f>
        <v>67770000</v>
      </c>
      <c r="R12" s="106"/>
      <c r="S12" s="20" t="e">
        <f>SUM(#REF!)</f>
        <v>#REF!</v>
      </c>
      <c r="T12" s="20">
        <f>SUM(T8:T10)</f>
        <v>56160000</v>
      </c>
    </row>
    <row r="13" spans="2:21" ht="10.5" customHeight="1" thickBot="1" x14ac:dyDescent="0.4">
      <c r="B13" s="75"/>
      <c r="C13" s="75"/>
      <c r="D13" s="75"/>
      <c r="E13" s="76"/>
      <c r="F13" s="77"/>
      <c r="G13" s="402"/>
      <c r="H13" s="402"/>
      <c r="I13" s="402"/>
      <c r="J13" s="406"/>
      <c r="K13" s="417"/>
      <c r="L13" s="399"/>
      <c r="M13" s="399"/>
      <c r="N13" s="399"/>
      <c r="O13" s="418"/>
      <c r="P13" s="402"/>
      <c r="Q13" s="411"/>
      <c r="R13" s="106"/>
      <c r="S13" s="20">
        <f>K12+L12+M12+N12+O12</f>
        <v>0</v>
      </c>
      <c r="T13" s="93">
        <f>J12-S13</f>
        <v>67770000</v>
      </c>
      <c r="U13" s="20"/>
    </row>
    <row r="14" spans="2:21" ht="6.75" customHeight="1" thickTop="1" x14ac:dyDescent="0.35">
      <c r="B14" s="6"/>
      <c r="C14" s="6"/>
      <c r="D14" s="6"/>
      <c r="E14" s="6"/>
      <c r="F14" s="6"/>
      <c r="G14" s="6"/>
      <c r="H14" s="6"/>
      <c r="I14" s="6"/>
      <c r="J14" s="7"/>
      <c r="K14" s="6"/>
      <c r="L14" s="6"/>
      <c r="M14" s="6"/>
      <c r="N14" s="6"/>
      <c r="O14" s="6"/>
      <c r="P14" s="6"/>
      <c r="Q14" s="6"/>
      <c r="R14" s="6"/>
      <c r="S14" t="s">
        <v>43</v>
      </c>
    </row>
    <row r="15" spans="2:21" ht="14.5" x14ac:dyDescent="0.35">
      <c r="B15" s="324"/>
      <c r="C15" s="6"/>
      <c r="D15" s="6"/>
      <c r="E15" s="6" t="s">
        <v>137</v>
      </c>
    </row>
    <row r="16" spans="2:21" ht="14.5" x14ac:dyDescent="0.35">
      <c r="B16" s="325"/>
      <c r="C16" s="6"/>
      <c r="D16" s="6"/>
      <c r="E16" s="6"/>
      <c r="J16" s="400" t="s">
        <v>229</v>
      </c>
      <c r="K16" s="400"/>
      <c r="L16" s="400"/>
      <c r="M16" s="400"/>
      <c r="N16" s="400"/>
      <c r="O16" s="400"/>
      <c r="P16" s="400"/>
      <c r="Q16" s="400"/>
    </row>
    <row r="17" spans="2:21" ht="15" customHeight="1" x14ac:dyDescent="0.25">
      <c r="B17" s="151"/>
      <c r="C17" s="420"/>
      <c r="D17" s="420"/>
      <c r="E17" s="420"/>
      <c r="F17" s="420"/>
      <c r="G17" s="420"/>
      <c r="H17" s="420"/>
      <c r="I17" s="338"/>
      <c r="J17" s="400" t="s">
        <v>36</v>
      </c>
      <c r="K17" s="400"/>
      <c r="L17" s="400"/>
      <c r="M17" s="400"/>
      <c r="N17" s="400"/>
      <c r="O17" s="400"/>
      <c r="P17" s="400"/>
      <c r="Q17" s="400"/>
    </row>
    <row r="18" spans="2:21" ht="24.75" customHeight="1" x14ac:dyDescent="0.35">
      <c r="C18" s="420"/>
      <c r="D18" s="420"/>
      <c r="E18" s="420"/>
      <c r="F18" s="420"/>
      <c r="G18" s="420"/>
      <c r="H18" s="420"/>
      <c r="I18" s="338"/>
      <c r="M18" s="8"/>
      <c r="N18" s="8"/>
      <c r="O18" s="8"/>
      <c r="P18" s="8"/>
    </row>
    <row r="19" spans="2:21" ht="27" customHeight="1" x14ac:dyDescent="0.35">
      <c r="M19" s="8"/>
      <c r="N19" s="8"/>
      <c r="O19" s="8"/>
      <c r="P19" s="8"/>
    </row>
    <row r="20" spans="2:21" ht="14.5" x14ac:dyDescent="0.35">
      <c r="J20" s="409" t="s">
        <v>167</v>
      </c>
      <c r="K20" s="409"/>
      <c r="L20" s="409"/>
      <c r="M20" s="409"/>
      <c r="N20" s="409"/>
      <c r="O20" s="409"/>
      <c r="P20" s="409"/>
      <c r="Q20" s="409"/>
    </row>
    <row r="22" spans="2:21" ht="14.5" x14ac:dyDescent="0.25">
      <c r="C22" s="419"/>
      <c r="D22" s="419"/>
      <c r="E22" s="419"/>
      <c r="F22" s="419"/>
      <c r="G22" s="419"/>
      <c r="H22" s="419"/>
    </row>
    <row r="28" spans="2:21" x14ac:dyDescent="0.25">
      <c r="U28">
        <f>15%*'NET DIREKSI '!G10</f>
        <v>9000000</v>
      </c>
    </row>
  </sheetData>
  <mergeCells count="34">
    <mergeCell ref="C22:H22"/>
    <mergeCell ref="C17:H18"/>
    <mergeCell ref="J20:Q20"/>
    <mergeCell ref="B2:Q2"/>
    <mergeCell ref="B3:Q3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L5:L6"/>
    <mergeCell ref="Q5:Q6"/>
    <mergeCell ref="G12:G13"/>
    <mergeCell ref="H12:H13"/>
    <mergeCell ref="I12:I13"/>
    <mergeCell ref="J12:J13"/>
    <mergeCell ref="K5:K6"/>
    <mergeCell ref="O5:O6"/>
    <mergeCell ref="P5:P6"/>
    <mergeCell ref="N5:N6"/>
    <mergeCell ref="M5:M6"/>
    <mergeCell ref="J17:Q17"/>
    <mergeCell ref="Q12:Q13"/>
    <mergeCell ref="J16:Q16"/>
    <mergeCell ref="K12:K13"/>
    <mergeCell ref="L12:L13"/>
    <mergeCell ref="M12:M13"/>
    <mergeCell ref="N12:N13"/>
    <mergeCell ref="O12:O13"/>
    <mergeCell ref="P12:P13"/>
  </mergeCells>
  <printOptions horizontalCentered="1"/>
  <pageMargins left="0.118110236220472" right="0.118110236220472" top="0.118110236220472" bottom="0.35433070866141703" header="0.31496062992126" footer="0.31496062992126"/>
  <pageSetup paperSize="9" scale="72" orientation="landscape" r:id="rId1"/>
  <headerFooter>
    <oddFooter xml:space="preserve">&amp;C 
&amp;8Grha Pelindo Satu Gedung B Lt. 2, Jl. Lingkar Pelabuhan No. 1, Belawan - Indonesia
e-mail : prima@primatpk.co.id., website : http://www.primatpk.co.id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U29"/>
  <sheetViews>
    <sheetView view="pageBreakPreview" zoomScale="60" zoomScaleNormal="100" workbookViewId="0">
      <selection activeCell="B6" sqref="B6"/>
    </sheetView>
  </sheetViews>
  <sheetFormatPr defaultRowHeight="12.5" x14ac:dyDescent="0.25"/>
  <cols>
    <col min="1" max="1" width="4.26953125" customWidth="1"/>
    <col min="2" max="2" width="36" customWidth="1"/>
    <col min="3" max="3" width="41.453125" customWidth="1"/>
    <col min="4" max="4" width="22.81640625" customWidth="1"/>
    <col min="5" max="17" width="0" hidden="1" customWidth="1"/>
    <col min="18" max="18" width="38.81640625" customWidth="1"/>
    <col min="19" max="19" width="10" customWidth="1"/>
    <col min="20" max="20" width="14.81640625" customWidth="1"/>
    <col min="21" max="21" width="14" bestFit="1" customWidth="1"/>
    <col min="22" max="24" width="12.26953125" bestFit="1" customWidth="1"/>
  </cols>
  <sheetData>
    <row r="1" spans="1:21" ht="18.75" customHeight="1" x14ac:dyDescent="0.35">
      <c r="A1" s="357" t="s">
        <v>123</v>
      </c>
      <c r="B1" s="35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ht="21" customHeight="1" x14ac:dyDescent="0.35">
      <c r="A2" s="127"/>
      <c r="B2" s="12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21" ht="16.5" customHeight="1" x14ac:dyDescent="0.35">
      <c r="A3" s="11"/>
      <c r="B3" s="11" t="s">
        <v>25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21" ht="16.5" customHeight="1" x14ac:dyDescent="0.25">
      <c r="A4" s="13"/>
      <c r="B4" s="358" t="s">
        <v>132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</row>
    <row r="5" spans="1:21" ht="16.5" customHeight="1" x14ac:dyDescent="0.25">
      <c r="A5" s="13"/>
      <c r="B5" s="358" t="s">
        <v>228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</row>
    <row r="6" spans="1:21" ht="10.5" customHeight="1" x14ac:dyDescent="0.35">
      <c r="A6" s="14"/>
      <c r="B6" s="15"/>
      <c r="C6" s="15"/>
      <c r="D6" s="15"/>
      <c r="E6" s="18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21" ht="20.149999999999999" customHeight="1" x14ac:dyDescent="0.25">
      <c r="A7" s="359" t="s">
        <v>7</v>
      </c>
      <c r="B7" s="359" t="s">
        <v>66</v>
      </c>
      <c r="C7" s="359" t="s">
        <v>21</v>
      </c>
      <c r="D7" s="359" t="s">
        <v>23</v>
      </c>
      <c r="E7" s="359" t="s">
        <v>4</v>
      </c>
      <c r="F7" s="359" t="s">
        <v>3</v>
      </c>
      <c r="G7" s="359" t="s">
        <v>19</v>
      </c>
      <c r="H7" s="359" t="s">
        <v>9</v>
      </c>
      <c r="I7" s="359" t="s">
        <v>8</v>
      </c>
      <c r="J7" s="359" t="s">
        <v>5</v>
      </c>
      <c r="K7" s="359" t="s">
        <v>11</v>
      </c>
      <c r="L7" s="359" t="s">
        <v>10</v>
      </c>
      <c r="M7" s="22" t="s">
        <v>12</v>
      </c>
      <c r="N7" s="22"/>
      <c r="O7" s="22"/>
      <c r="P7" s="22"/>
      <c r="Q7" s="22"/>
      <c r="R7" s="362" t="s">
        <v>24</v>
      </c>
    </row>
    <row r="8" spans="1:21" ht="20.149999999999999" customHeight="1" x14ac:dyDescent="0.25">
      <c r="A8" s="360"/>
      <c r="B8" s="361"/>
      <c r="C8" s="361"/>
      <c r="D8" s="360"/>
      <c r="E8" s="360"/>
      <c r="F8" s="360"/>
      <c r="G8" s="360"/>
      <c r="H8" s="360"/>
      <c r="I8" s="360"/>
      <c r="J8" s="360"/>
      <c r="K8" s="360"/>
      <c r="L8" s="360"/>
      <c r="M8" s="23">
        <v>0.05</v>
      </c>
      <c r="N8" s="23">
        <v>0.15</v>
      </c>
      <c r="O8" s="23">
        <v>0.25</v>
      </c>
      <c r="P8" s="23">
        <v>0.3</v>
      </c>
      <c r="Q8" s="24" t="s">
        <v>13</v>
      </c>
      <c r="R8" s="362"/>
    </row>
    <row r="9" spans="1:21" ht="8.25" customHeight="1" x14ac:dyDescent="0.25">
      <c r="A9" s="32">
        <v>1</v>
      </c>
      <c r="B9" s="33">
        <v>2</v>
      </c>
      <c r="C9" s="33">
        <v>3</v>
      </c>
      <c r="D9" s="35">
        <v>4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5">
        <v>5</v>
      </c>
    </row>
    <row r="10" spans="1:21" ht="20.149999999999999" customHeight="1" x14ac:dyDescent="0.35">
      <c r="A10" s="122">
        <v>1</v>
      </c>
      <c r="B10" s="46" t="s">
        <v>170</v>
      </c>
      <c r="C10" s="36" t="s">
        <v>57</v>
      </c>
      <c r="D10" s="41">
        <f>'NET PEG PELINDO DIPERBANTUKAN'!Y13</f>
        <v>32308964</v>
      </c>
      <c r="E10" s="42"/>
      <c r="F10" s="42"/>
      <c r="G10" s="42"/>
      <c r="H10" s="39"/>
      <c r="I10" s="43"/>
      <c r="J10" s="42"/>
      <c r="K10" s="39"/>
      <c r="L10" s="39"/>
      <c r="M10" s="43"/>
      <c r="N10" s="43"/>
      <c r="O10" s="43"/>
      <c r="P10" s="43"/>
      <c r="Q10" s="43"/>
      <c r="R10" s="247" t="s">
        <v>221</v>
      </c>
      <c r="T10" s="30"/>
      <c r="U10" s="48"/>
    </row>
    <row r="11" spans="1:21" ht="20.149999999999999" customHeight="1" x14ac:dyDescent="0.35">
      <c r="A11" s="126">
        <v>2</v>
      </c>
      <c r="B11" s="46" t="s">
        <v>53</v>
      </c>
      <c r="C11" s="36" t="s">
        <v>54</v>
      </c>
      <c r="D11" s="70">
        <f>'NET PEG PELINDO DIPERBANTUKAN'!Y11</f>
        <v>33599981</v>
      </c>
      <c r="E11" s="65"/>
      <c r="F11" s="65"/>
      <c r="G11" s="65"/>
      <c r="H11" s="63"/>
      <c r="I11" s="66"/>
      <c r="J11" s="65"/>
      <c r="K11" s="63"/>
      <c r="L11" s="63"/>
      <c r="M11" s="66"/>
      <c r="N11" s="66"/>
      <c r="O11" s="66"/>
      <c r="P11" s="66"/>
      <c r="Q11" s="66"/>
      <c r="R11" s="248" t="s">
        <v>122</v>
      </c>
      <c r="T11" s="30"/>
      <c r="U11" s="48"/>
    </row>
    <row r="12" spans="1:21" ht="20.149999999999999" customHeight="1" x14ac:dyDescent="0.35">
      <c r="A12" s="126">
        <v>3</v>
      </c>
      <c r="B12" s="46" t="s">
        <v>167</v>
      </c>
      <c r="C12" s="36" t="s">
        <v>36</v>
      </c>
      <c r="D12" s="70">
        <f>'NET PEG PELINDO DIPERBANTUKAN'!Y12</f>
        <v>31352337</v>
      </c>
      <c r="E12" s="65"/>
      <c r="F12" s="65"/>
      <c r="G12" s="65"/>
      <c r="H12" s="63"/>
      <c r="I12" s="66"/>
      <c r="J12" s="65"/>
      <c r="K12" s="63"/>
      <c r="L12" s="63"/>
      <c r="M12" s="66"/>
      <c r="N12" s="66"/>
      <c r="O12" s="66"/>
      <c r="P12" s="66"/>
      <c r="Q12" s="66"/>
      <c r="R12" s="249" t="s">
        <v>177</v>
      </c>
      <c r="T12" s="30"/>
      <c r="U12" s="48"/>
    </row>
    <row r="13" spans="1:21" ht="20.149999999999999" customHeight="1" x14ac:dyDescent="0.35">
      <c r="A13" s="126">
        <v>4</v>
      </c>
      <c r="B13" s="46" t="s">
        <v>98</v>
      </c>
      <c r="C13" s="36" t="s">
        <v>99</v>
      </c>
      <c r="D13" s="41">
        <f>'NET PEG PELINDO DIPERBANTUKAN'!Y15</f>
        <v>30941949</v>
      </c>
      <c r="E13" s="42"/>
      <c r="F13" s="42"/>
      <c r="G13" s="42"/>
      <c r="H13" s="39"/>
      <c r="I13" s="43"/>
      <c r="J13" s="42"/>
      <c r="K13" s="39"/>
      <c r="L13" s="39"/>
      <c r="M13" s="43"/>
      <c r="N13" s="43"/>
      <c r="O13" s="43"/>
      <c r="P13" s="43"/>
      <c r="Q13" s="43"/>
      <c r="R13" s="247" t="s">
        <v>220</v>
      </c>
      <c r="T13" s="30"/>
      <c r="U13" s="48"/>
    </row>
    <row r="14" spans="1:21" ht="20.149999999999999" customHeight="1" x14ac:dyDescent="0.35">
      <c r="A14" s="126">
        <v>5</v>
      </c>
      <c r="B14" s="46" t="s">
        <v>75</v>
      </c>
      <c r="C14" s="36" t="s">
        <v>76</v>
      </c>
      <c r="D14" s="41">
        <f>'NET PEG PELINDO DIPERBANTUKAN'!Y16</f>
        <v>22068590</v>
      </c>
      <c r="E14" s="42"/>
      <c r="F14" s="42"/>
      <c r="G14" s="42"/>
      <c r="H14" s="39"/>
      <c r="I14" s="43"/>
      <c r="J14" s="42"/>
      <c r="K14" s="39"/>
      <c r="L14" s="39"/>
      <c r="M14" s="43"/>
      <c r="N14" s="43"/>
      <c r="O14" s="43"/>
      <c r="P14" s="43"/>
      <c r="Q14" s="43"/>
      <c r="R14" s="247" t="s">
        <v>207</v>
      </c>
      <c r="T14" s="30"/>
      <c r="U14" s="48"/>
    </row>
    <row r="15" spans="1:21" ht="20.149999999999999" customHeight="1" x14ac:dyDescent="0.35">
      <c r="A15" s="122">
        <v>6</v>
      </c>
      <c r="B15" s="46" t="s">
        <v>84</v>
      </c>
      <c r="C15" s="36" t="s">
        <v>111</v>
      </c>
      <c r="D15" s="41">
        <f>'NET PEG PELINDO DIPERBANTUKAN'!Y17</f>
        <v>20901530</v>
      </c>
      <c r="E15" s="42"/>
      <c r="F15" s="42"/>
      <c r="G15" s="42"/>
      <c r="H15" s="39"/>
      <c r="I15" s="43"/>
      <c r="J15" s="42"/>
      <c r="K15" s="39"/>
      <c r="L15" s="39"/>
      <c r="M15" s="43"/>
      <c r="N15" s="43"/>
      <c r="O15" s="43"/>
      <c r="P15" s="43"/>
      <c r="Q15" s="43"/>
      <c r="R15" s="247" t="s">
        <v>222</v>
      </c>
      <c r="T15" s="30"/>
      <c r="U15" s="48"/>
    </row>
    <row r="16" spans="1:21" ht="20.149999999999999" customHeight="1" x14ac:dyDescent="0.35">
      <c r="A16" s="126">
        <v>7</v>
      </c>
      <c r="B16" s="46" t="s">
        <v>87</v>
      </c>
      <c r="C16" s="36" t="s">
        <v>52</v>
      </c>
      <c r="D16" s="70">
        <f>'NET PEG PELINDO DIPERBANTUKAN'!Y21</f>
        <v>12534309</v>
      </c>
      <c r="E16" s="65"/>
      <c r="F16" s="65"/>
      <c r="G16" s="65"/>
      <c r="H16" s="63"/>
      <c r="I16" s="66"/>
      <c r="J16" s="65"/>
      <c r="K16" s="63"/>
      <c r="L16" s="63"/>
      <c r="M16" s="66"/>
      <c r="N16" s="66"/>
      <c r="O16" s="66"/>
      <c r="P16" s="66"/>
      <c r="Q16" s="66"/>
      <c r="R16" s="248" t="s">
        <v>223</v>
      </c>
      <c r="T16" s="30"/>
      <c r="U16" s="48"/>
    </row>
    <row r="17" spans="1:21" ht="20.149999999999999" customHeight="1" x14ac:dyDescent="0.35">
      <c r="A17" s="126">
        <v>8</v>
      </c>
      <c r="B17" s="46" t="s">
        <v>171</v>
      </c>
      <c r="C17" s="36" t="s">
        <v>99</v>
      </c>
      <c r="D17" s="70">
        <f>'NET PEG PELINDO DIPERBANTUKAN'!Y14</f>
        <v>32371480</v>
      </c>
      <c r="E17" s="65"/>
      <c r="F17" s="65"/>
      <c r="G17" s="65"/>
      <c r="H17" s="63"/>
      <c r="I17" s="66"/>
      <c r="J17" s="65"/>
      <c r="K17" s="63"/>
      <c r="L17" s="63"/>
      <c r="M17" s="66"/>
      <c r="N17" s="66"/>
      <c r="O17" s="66"/>
      <c r="P17" s="66"/>
      <c r="Q17" s="66"/>
      <c r="R17" s="249" t="s">
        <v>183</v>
      </c>
      <c r="T17" s="30"/>
      <c r="U17" s="48"/>
    </row>
    <row r="18" spans="1:21" ht="20.149999999999999" customHeight="1" x14ac:dyDescent="0.35">
      <c r="A18" s="126">
        <v>9</v>
      </c>
      <c r="B18" s="46" t="s">
        <v>204</v>
      </c>
      <c r="C18" s="36" t="s">
        <v>136</v>
      </c>
      <c r="D18" s="70">
        <f>'NET PEG PELINDO DIPERBANTUKAN'!Y18</f>
        <v>20062282</v>
      </c>
      <c r="E18" s="65"/>
      <c r="F18" s="65"/>
      <c r="G18" s="65"/>
      <c r="H18" s="63"/>
      <c r="I18" s="66"/>
      <c r="J18" s="65"/>
      <c r="K18" s="63"/>
      <c r="L18" s="63"/>
      <c r="M18" s="66"/>
      <c r="N18" s="66"/>
      <c r="O18" s="66"/>
      <c r="P18" s="66"/>
      <c r="Q18" s="66"/>
      <c r="R18" s="249" t="s">
        <v>208</v>
      </c>
      <c r="T18" s="30"/>
      <c r="U18" s="48"/>
    </row>
    <row r="19" spans="1:21" ht="20.149999999999999" customHeight="1" x14ac:dyDescent="0.35">
      <c r="A19" s="126">
        <v>10</v>
      </c>
      <c r="B19" s="46" t="s">
        <v>211</v>
      </c>
      <c r="C19" s="36" t="s">
        <v>209</v>
      </c>
      <c r="D19" s="70">
        <f>'NET PEG PELINDO DIPERBANTUKAN'!Y20</f>
        <v>22128402</v>
      </c>
      <c r="E19" s="65"/>
      <c r="F19" s="65"/>
      <c r="G19" s="65"/>
      <c r="H19" s="63"/>
      <c r="I19" s="66"/>
      <c r="J19" s="65"/>
      <c r="K19" s="63"/>
      <c r="L19" s="63"/>
      <c r="M19" s="66"/>
      <c r="N19" s="66"/>
      <c r="O19" s="66"/>
      <c r="P19" s="66"/>
      <c r="Q19" s="66"/>
      <c r="R19" s="249" t="s">
        <v>214</v>
      </c>
      <c r="T19" s="30"/>
      <c r="U19" s="48"/>
    </row>
    <row r="20" spans="1:21" ht="20.149999999999999" customHeight="1" x14ac:dyDescent="0.35">
      <c r="A20" s="126">
        <v>11</v>
      </c>
      <c r="B20" s="46" t="s">
        <v>172</v>
      </c>
      <c r="C20" s="36" t="s">
        <v>135</v>
      </c>
      <c r="D20" s="70">
        <f>'NET PEG PELINDO DIPERBANTUKAN'!Y19</f>
        <v>22337130</v>
      </c>
      <c r="E20" s="65"/>
      <c r="F20" s="65"/>
      <c r="G20" s="65"/>
      <c r="H20" s="63"/>
      <c r="I20" s="66"/>
      <c r="J20" s="65"/>
      <c r="K20" s="63"/>
      <c r="L20" s="63"/>
      <c r="M20" s="66"/>
      <c r="N20" s="66"/>
      <c r="O20" s="66"/>
      <c r="P20" s="66"/>
      <c r="Q20" s="66"/>
      <c r="R20" s="249" t="s">
        <v>178</v>
      </c>
      <c r="T20" s="30"/>
      <c r="U20" s="48"/>
    </row>
    <row r="21" spans="1:21" ht="7.5" customHeight="1" x14ac:dyDescent="0.35">
      <c r="A21" s="126"/>
      <c r="B21" s="78"/>
      <c r="C21" s="44"/>
      <c r="D21" s="71"/>
      <c r="E21" s="68"/>
      <c r="F21" s="68"/>
      <c r="G21" s="68"/>
      <c r="H21" s="67"/>
      <c r="I21" s="69"/>
      <c r="J21" s="68"/>
      <c r="K21" s="67"/>
      <c r="L21" s="67"/>
      <c r="M21" s="69"/>
      <c r="N21" s="69"/>
      <c r="O21" s="69"/>
      <c r="P21" s="69"/>
      <c r="Q21" s="69"/>
      <c r="R21" s="72"/>
      <c r="T21" s="30"/>
      <c r="U21" s="48"/>
    </row>
    <row r="22" spans="1:21" ht="15" customHeight="1" x14ac:dyDescent="0.35">
      <c r="A22" s="53"/>
      <c r="B22" s="54"/>
      <c r="C22" s="54"/>
      <c r="D22" s="355">
        <f>SUM(D10:D21)</f>
        <v>280606954</v>
      </c>
      <c r="E22" s="353">
        <f t="shared" ref="E22:Q22" si="0">SUM(E9:E15)</f>
        <v>0</v>
      </c>
      <c r="F22" s="353">
        <f t="shared" si="0"/>
        <v>0</v>
      </c>
      <c r="G22" s="353">
        <f t="shared" si="0"/>
        <v>0</v>
      </c>
      <c r="H22" s="353">
        <f t="shared" si="0"/>
        <v>0</v>
      </c>
      <c r="I22" s="353">
        <f t="shared" si="0"/>
        <v>0</v>
      </c>
      <c r="J22" s="353">
        <f t="shared" si="0"/>
        <v>0</v>
      </c>
      <c r="K22" s="353">
        <f t="shared" si="0"/>
        <v>0</v>
      </c>
      <c r="L22" s="353">
        <f t="shared" si="0"/>
        <v>0</v>
      </c>
      <c r="M22" s="353">
        <f t="shared" si="0"/>
        <v>0</v>
      </c>
      <c r="N22" s="353">
        <f t="shared" si="0"/>
        <v>0</v>
      </c>
      <c r="O22" s="353">
        <f t="shared" si="0"/>
        <v>0</v>
      </c>
      <c r="P22" s="353">
        <f t="shared" si="0"/>
        <v>0</v>
      </c>
      <c r="Q22" s="353">
        <f t="shared" si="0"/>
        <v>0</v>
      </c>
      <c r="R22" s="353"/>
    </row>
    <row r="23" spans="1:21" ht="15" customHeight="1" thickBot="1" x14ac:dyDescent="0.4">
      <c r="A23" s="57"/>
      <c r="B23" s="58"/>
      <c r="C23" s="58"/>
      <c r="D23" s="356"/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</row>
    <row r="24" spans="1:21" ht="11.25" customHeight="1" thickTop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21" ht="14.5" x14ac:dyDescent="0.35">
      <c r="A25" s="6"/>
      <c r="B25" s="278" t="s">
        <v>195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128" t="s">
        <v>232</v>
      </c>
    </row>
    <row r="26" spans="1:21" ht="14.5" x14ac:dyDescent="0.35">
      <c r="A26" s="6"/>
      <c r="B26" s="278" t="s">
        <v>185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128" t="s">
        <v>36</v>
      </c>
    </row>
    <row r="27" spans="1:21" ht="24.7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21" ht="24.7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21" ht="14.5" x14ac:dyDescent="0.35">
      <c r="A29" s="6"/>
      <c r="B29" s="278" t="s">
        <v>184</v>
      </c>
      <c r="C29" s="6" t="s">
        <v>43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28" t="s">
        <v>167</v>
      </c>
    </row>
  </sheetData>
  <mergeCells count="31">
    <mergeCell ref="A1:B1"/>
    <mergeCell ref="B4:R4"/>
    <mergeCell ref="B5:R5"/>
    <mergeCell ref="A7:A8"/>
    <mergeCell ref="B7:B8"/>
    <mergeCell ref="C7:C8"/>
    <mergeCell ref="D7:D8"/>
    <mergeCell ref="E7:E8"/>
    <mergeCell ref="F7:F8"/>
    <mergeCell ref="G7:G8"/>
    <mergeCell ref="R7:R8"/>
    <mergeCell ref="H7:H8"/>
    <mergeCell ref="I7:I8"/>
    <mergeCell ref="J7:J8"/>
    <mergeCell ref="K7:K8"/>
    <mergeCell ref="L7:L8"/>
    <mergeCell ref="R22:R23"/>
    <mergeCell ref="L22:L23"/>
    <mergeCell ref="M22:M23"/>
    <mergeCell ref="D22:D23"/>
    <mergeCell ref="E22:E23"/>
    <mergeCell ref="F22:F23"/>
    <mergeCell ref="G22:G23"/>
    <mergeCell ref="H22:H23"/>
    <mergeCell ref="N22:N23"/>
    <mergeCell ref="O22:O23"/>
    <mergeCell ref="P22:P23"/>
    <mergeCell ref="Q22:Q23"/>
    <mergeCell ref="I22:I23"/>
    <mergeCell ref="J22:J23"/>
    <mergeCell ref="K22:K23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1" orientation="portrait" r:id="rId1"/>
  <headerFooter>
    <oddFooter xml:space="preserve">&amp;C&amp;9 Grha Pelindo Satu Gedung B Lt. 2, Jl. Lingkar Pelabuhan No. 1 - Belawan
e-mail : prima@primatpk.co.id., website : http://www.primatpk.co.id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20"/>
  <sheetViews>
    <sheetView tabSelected="1" view="pageBreakPreview" topLeftCell="C2" zoomScaleNormal="100" zoomScaleSheetLayoutView="100" workbookViewId="0">
      <selection activeCell="Z13" sqref="Z13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27" ht="18.75" customHeight="1" x14ac:dyDescent="0.35">
      <c r="A1" s="357" t="s">
        <v>42</v>
      </c>
      <c r="B1" s="35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35">
      <c r="A2" s="10"/>
      <c r="B2" s="1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58" t="s">
        <v>165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</row>
    <row r="5" spans="1:27" ht="16.5" customHeight="1" x14ac:dyDescent="0.25">
      <c r="A5" s="13"/>
      <c r="B5" s="358" t="s">
        <v>228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  <c r="X5" s="358"/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59" t="s">
        <v>7</v>
      </c>
      <c r="B7" s="359" t="s">
        <v>66</v>
      </c>
      <c r="C7" s="359" t="s">
        <v>21</v>
      </c>
      <c r="D7" s="359" t="s">
        <v>0</v>
      </c>
      <c r="E7" s="359" t="s">
        <v>2</v>
      </c>
      <c r="F7" s="359" t="s">
        <v>16</v>
      </c>
      <c r="G7" s="359" t="s">
        <v>17</v>
      </c>
      <c r="H7" s="359" t="s">
        <v>18</v>
      </c>
      <c r="I7" s="359" t="s">
        <v>6</v>
      </c>
      <c r="J7" s="359" t="s">
        <v>23</v>
      </c>
      <c r="K7" s="359" t="s">
        <v>4</v>
      </c>
      <c r="L7" s="359" t="s">
        <v>3</v>
      </c>
      <c r="M7" s="359" t="s">
        <v>19</v>
      </c>
      <c r="N7" s="359" t="s">
        <v>9</v>
      </c>
      <c r="O7" s="359" t="s">
        <v>8</v>
      </c>
      <c r="P7" s="359" t="s">
        <v>5</v>
      </c>
      <c r="Q7" s="359" t="s">
        <v>11</v>
      </c>
      <c r="R7" s="359" t="s">
        <v>10</v>
      </c>
      <c r="S7" s="22" t="s">
        <v>12</v>
      </c>
      <c r="T7" s="22"/>
      <c r="U7" s="22"/>
      <c r="V7" s="22"/>
      <c r="W7" s="22"/>
      <c r="X7" s="362" t="s">
        <v>24</v>
      </c>
    </row>
    <row r="8" spans="1:27" ht="20.149999999999999" customHeight="1" x14ac:dyDescent="0.25">
      <c r="A8" s="360"/>
      <c r="B8" s="361"/>
      <c r="C8" s="361"/>
      <c r="D8" s="361"/>
      <c r="E8" s="361"/>
      <c r="F8" s="361"/>
      <c r="G8" s="360"/>
      <c r="H8" s="360"/>
      <c r="I8" s="360"/>
      <c r="J8" s="360"/>
      <c r="K8" s="360"/>
      <c r="L8" s="360"/>
      <c r="M8" s="360"/>
      <c r="N8" s="360"/>
      <c r="O8" s="360"/>
      <c r="P8" s="360"/>
      <c r="Q8" s="360"/>
      <c r="R8" s="360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62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20.149999999999999" customHeight="1" x14ac:dyDescent="0.35">
      <c r="A10" s="122">
        <v>1</v>
      </c>
      <c r="B10" s="46" t="s">
        <v>168</v>
      </c>
      <c r="C10" s="36" t="s">
        <v>180</v>
      </c>
      <c r="D10" s="61"/>
      <c r="E10" s="62"/>
      <c r="F10" s="63"/>
      <c r="G10" s="64"/>
      <c r="H10" s="64"/>
      <c r="I10" s="64"/>
      <c r="J10" s="70">
        <f>'NET PEG PELINDO DIPERBANTUKAN'!Y10</f>
        <v>32975488</v>
      </c>
      <c r="K10" s="65"/>
      <c r="L10" s="65"/>
      <c r="M10" s="65"/>
      <c r="N10" s="63"/>
      <c r="O10" s="66"/>
      <c r="P10" s="65"/>
      <c r="Q10" s="63"/>
      <c r="R10" s="63"/>
      <c r="S10" s="66"/>
      <c r="T10" s="66"/>
      <c r="U10" s="66"/>
      <c r="V10" s="66"/>
      <c r="W10" s="66"/>
      <c r="X10" s="47" t="s">
        <v>181</v>
      </c>
    </row>
    <row r="11" spans="1:27" ht="20.149999999999999" customHeight="1" x14ac:dyDescent="0.35">
      <c r="A11" s="122">
        <v>2</v>
      </c>
      <c r="B11" s="46" t="s">
        <v>77</v>
      </c>
      <c r="C11" s="36" t="s">
        <v>52</v>
      </c>
      <c r="D11" s="61"/>
      <c r="E11" s="62"/>
      <c r="F11" s="63"/>
      <c r="G11" s="64"/>
      <c r="H11" s="64"/>
      <c r="I11" s="64"/>
      <c r="J11" s="71">
        <f>'NET PEG PELINDO DIPERBANTUKAN'!Y22</f>
        <v>12534309</v>
      </c>
      <c r="K11" s="65"/>
      <c r="L11" s="65"/>
      <c r="M11" s="65"/>
      <c r="N11" s="63"/>
      <c r="O11" s="66"/>
      <c r="P11" s="65"/>
      <c r="Q11" s="63"/>
      <c r="R11" s="63"/>
      <c r="S11" s="66"/>
      <c r="T11" s="66"/>
      <c r="U11" s="66"/>
      <c r="V11" s="66"/>
      <c r="W11" s="66"/>
      <c r="X11" s="47" t="s">
        <v>80</v>
      </c>
      <c r="Y11" t="e">
        <f>#REF!</f>
        <v>#REF!</v>
      </c>
      <c r="Z11" s="30" t="e">
        <f>#REF!</f>
        <v>#REF!</v>
      </c>
      <c r="AA11" s="48" t="e">
        <f>#REF!</f>
        <v>#REF!</v>
      </c>
    </row>
    <row r="12" spans="1:27" ht="15" customHeight="1" x14ac:dyDescent="0.35">
      <c r="A12" s="53"/>
      <c r="B12" s="54"/>
      <c r="C12" s="54"/>
      <c r="D12" s="55"/>
      <c r="E12" s="56"/>
      <c r="F12" s="353">
        <f>SUM(F9:F10)</f>
        <v>0</v>
      </c>
      <c r="G12" s="353">
        <f>SUM(G9:G10)</f>
        <v>0</v>
      </c>
      <c r="H12" s="353">
        <f>SUM(H9:H10)</f>
        <v>0</v>
      </c>
      <c r="I12" s="353">
        <f>SUM(I9:I10)</f>
        <v>0</v>
      </c>
      <c r="J12" s="355">
        <f>SUM(J10:J11)</f>
        <v>45509797</v>
      </c>
      <c r="K12" s="353">
        <f t="shared" ref="K12:W12" si="0">SUM(K9:K10)</f>
        <v>0</v>
      </c>
      <c r="L12" s="353">
        <f t="shared" si="0"/>
        <v>0</v>
      </c>
      <c r="M12" s="353">
        <f t="shared" si="0"/>
        <v>0</v>
      </c>
      <c r="N12" s="353">
        <f t="shared" si="0"/>
        <v>0</v>
      </c>
      <c r="O12" s="353">
        <f t="shared" si="0"/>
        <v>0</v>
      </c>
      <c r="P12" s="353">
        <f t="shared" si="0"/>
        <v>0</v>
      </c>
      <c r="Q12" s="353">
        <f t="shared" si="0"/>
        <v>0</v>
      </c>
      <c r="R12" s="353">
        <f t="shared" si="0"/>
        <v>0</v>
      </c>
      <c r="S12" s="353">
        <f t="shared" si="0"/>
        <v>0</v>
      </c>
      <c r="T12" s="353">
        <f t="shared" si="0"/>
        <v>0</v>
      </c>
      <c r="U12" s="353">
        <f t="shared" si="0"/>
        <v>0</v>
      </c>
      <c r="V12" s="353">
        <f t="shared" si="0"/>
        <v>0</v>
      </c>
      <c r="W12" s="353">
        <f t="shared" si="0"/>
        <v>0</v>
      </c>
      <c r="X12" s="353"/>
      <c r="AA12" s="20"/>
    </row>
    <row r="13" spans="1:27" ht="15" customHeight="1" thickBot="1" x14ac:dyDescent="0.4">
      <c r="A13" s="57"/>
      <c r="B13" s="58"/>
      <c r="C13" s="58"/>
      <c r="D13" s="59"/>
      <c r="E13" s="60"/>
      <c r="F13" s="354"/>
      <c r="G13" s="354"/>
      <c r="H13" s="354"/>
      <c r="I13" s="354"/>
      <c r="J13" s="356"/>
      <c r="K13" s="354"/>
      <c r="L13" s="354"/>
      <c r="M13" s="354"/>
      <c r="N13" s="354"/>
      <c r="O13" s="354"/>
      <c r="P13" s="354"/>
      <c r="Q13" s="354"/>
      <c r="R13" s="354"/>
      <c r="S13" s="354"/>
      <c r="T13" s="354"/>
      <c r="U13" s="354"/>
      <c r="V13" s="354"/>
      <c r="W13" s="354"/>
      <c r="X13" s="354"/>
      <c r="Z13" s="20"/>
    </row>
    <row r="14" spans="1:27" ht="11.25" customHeight="1" thickTop="1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7" ht="14.5" x14ac:dyDescent="0.35">
      <c r="A15" s="6"/>
      <c r="B15" s="278" t="s">
        <v>195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9" t="s">
        <v>230</v>
      </c>
    </row>
    <row r="16" spans="1:27" ht="14.5" x14ac:dyDescent="0.35">
      <c r="A16" s="6"/>
      <c r="B16" s="278" t="s">
        <v>185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9" t="s">
        <v>36</v>
      </c>
    </row>
    <row r="17" spans="1:24" ht="17.2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7.25" customHeight="1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7.2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4.5" x14ac:dyDescent="0.35">
      <c r="A20" s="6"/>
      <c r="B20" s="278" t="s">
        <v>184</v>
      </c>
      <c r="C20" s="6" t="s">
        <v>43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9" t="s">
        <v>167</v>
      </c>
    </row>
  </sheetData>
  <mergeCells count="41">
    <mergeCell ref="N7:N8"/>
    <mergeCell ref="B5:X5"/>
    <mergeCell ref="A1:B1"/>
    <mergeCell ref="A7:A8"/>
    <mergeCell ref="B7:B8"/>
    <mergeCell ref="C7:C8"/>
    <mergeCell ref="D7:D8"/>
    <mergeCell ref="J7:J8"/>
    <mergeCell ref="B4:X4"/>
    <mergeCell ref="I7:I8"/>
    <mergeCell ref="L7:L8"/>
    <mergeCell ref="R7:R8"/>
    <mergeCell ref="X7:X8"/>
    <mergeCell ref="Q7:Q8"/>
    <mergeCell ref="H7:H8"/>
    <mergeCell ref="F7:F8"/>
    <mergeCell ref="G7:G8"/>
    <mergeCell ref="F12:F13"/>
    <mergeCell ref="E7:E8"/>
    <mergeCell ref="P12:P13"/>
    <mergeCell ref="G12:G13"/>
    <mergeCell ref="N12:N13"/>
    <mergeCell ref="O12:O13"/>
    <mergeCell ref="L12:L13"/>
    <mergeCell ref="M12:M13"/>
    <mergeCell ref="J12:J13"/>
    <mergeCell ref="H12:H13"/>
    <mergeCell ref="I12:I13"/>
    <mergeCell ref="K12:K13"/>
    <mergeCell ref="M7:M8"/>
    <mergeCell ref="K7:K8"/>
    <mergeCell ref="P7:P8"/>
    <mergeCell ref="O7:O8"/>
    <mergeCell ref="X12:X13"/>
    <mergeCell ref="W12:W13"/>
    <mergeCell ref="U12:U13"/>
    <mergeCell ref="Q12:Q13"/>
    <mergeCell ref="R12:R13"/>
    <mergeCell ref="T12:T13"/>
    <mergeCell ref="V12:V13"/>
    <mergeCell ref="S12:S13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D60"/>
  <sheetViews>
    <sheetView view="pageBreakPreview" topLeftCell="A10" zoomScale="85" zoomScaleNormal="85" zoomScaleSheetLayoutView="85" workbookViewId="0">
      <selection activeCell="C27" sqref="C27:C28"/>
    </sheetView>
  </sheetViews>
  <sheetFormatPr defaultRowHeight="12.5" x14ac:dyDescent="0.25"/>
  <cols>
    <col min="1" max="1" width="1.1796875" customWidth="1"/>
    <col min="2" max="2" width="4.1796875" customWidth="1"/>
    <col min="3" max="3" width="21.453125" customWidth="1"/>
    <col min="4" max="4" width="31.1796875" customWidth="1"/>
    <col min="5" max="5" width="10.453125" customWidth="1"/>
    <col min="6" max="6" width="21.453125" customWidth="1"/>
    <col min="7" max="7" width="9.1796875" customWidth="1"/>
    <col min="8" max="8" width="13.26953125" customWidth="1"/>
    <col min="9" max="9" width="12" customWidth="1"/>
    <col min="10" max="11" width="12.54296875" customWidth="1"/>
    <col min="12" max="12" width="12.81640625" customWidth="1"/>
    <col min="13" max="14" width="12.453125" customWidth="1"/>
    <col min="15" max="15" width="13" customWidth="1"/>
    <col min="16" max="16" width="13.453125" customWidth="1"/>
    <col min="17" max="17" width="10.1796875" customWidth="1"/>
    <col min="18" max="18" width="11.7265625" customWidth="1"/>
    <col min="19" max="19" width="10.26953125" customWidth="1"/>
    <col min="20" max="20" width="10.54296875" customWidth="1"/>
    <col min="21" max="21" width="12.26953125" customWidth="1"/>
    <col min="22" max="22" width="12.453125" customWidth="1"/>
    <col min="23" max="23" width="12.81640625" customWidth="1"/>
    <col min="24" max="24" width="12.26953125" customWidth="1"/>
    <col min="25" max="25" width="12.1796875" customWidth="1"/>
    <col min="26" max="26" width="12" bestFit="1" customWidth="1"/>
    <col min="27" max="27" width="12.26953125" bestFit="1" customWidth="1"/>
    <col min="28" max="28" width="10.54296875" bestFit="1" customWidth="1"/>
    <col min="29" max="29" width="12.54296875" bestFit="1" customWidth="1"/>
    <col min="30" max="30" width="11.54296875" bestFit="1" customWidth="1"/>
  </cols>
  <sheetData>
    <row r="1" spans="1:30" ht="24.75" customHeight="1" x14ac:dyDescent="0.25"/>
    <row r="2" spans="1:30" ht="24.75" customHeight="1" x14ac:dyDescent="0.35">
      <c r="A2" s="6"/>
      <c r="B2" s="6"/>
      <c r="C2" s="6"/>
      <c r="D2" s="6"/>
      <c r="E2" s="6" t="s">
        <v>43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30" ht="12.75" customHeight="1" x14ac:dyDescent="0.25">
      <c r="A3" s="363" t="s">
        <v>150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</row>
    <row r="4" spans="1:30" ht="13.5" customHeight="1" x14ac:dyDescent="0.25">
      <c r="A4" s="364" t="s">
        <v>228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  <c r="Y4" s="364"/>
    </row>
    <row r="5" spans="1:30" ht="10.5" customHeight="1" x14ac:dyDescent="0.25"/>
    <row r="6" spans="1:30" ht="38.25" customHeight="1" x14ac:dyDescent="0.25">
      <c r="B6" s="373" t="s">
        <v>7</v>
      </c>
      <c r="C6" s="373" t="s">
        <v>66</v>
      </c>
      <c r="D6" s="373" t="s">
        <v>21</v>
      </c>
      <c r="E6" s="373" t="s">
        <v>149</v>
      </c>
      <c r="F6" s="373" t="s">
        <v>0</v>
      </c>
      <c r="G6" s="373" t="s">
        <v>2</v>
      </c>
      <c r="H6" s="373" t="s">
        <v>176</v>
      </c>
      <c r="I6" s="373" t="s">
        <v>67</v>
      </c>
      <c r="J6" s="373" t="s">
        <v>140</v>
      </c>
      <c r="K6" s="373" t="s">
        <v>141</v>
      </c>
      <c r="L6" s="373" t="s">
        <v>147</v>
      </c>
      <c r="M6" s="373" t="s">
        <v>29</v>
      </c>
      <c r="N6" s="373" t="s">
        <v>146</v>
      </c>
      <c r="O6" s="379" t="s">
        <v>68</v>
      </c>
      <c r="P6" s="381" t="s">
        <v>148</v>
      </c>
      <c r="Q6" s="388" t="s">
        <v>153</v>
      </c>
      <c r="R6" s="389"/>
      <c r="S6" s="389"/>
      <c r="T6" s="389"/>
      <c r="U6" s="390"/>
      <c r="V6" s="373" t="s">
        <v>215</v>
      </c>
      <c r="W6" s="373" t="s">
        <v>154</v>
      </c>
      <c r="X6" s="373" t="s">
        <v>189</v>
      </c>
      <c r="Y6" s="365" t="s">
        <v>82</v>
      </c>
    </row>
    <row r="7" spans="1:30" ht="102" thickBot="1" x14ac:dyDescent="0.3">
      <c r="B7" s="374"/>
      <c r="C7" s="375"/>
      <c r="D7" s="375"/>
      <c r="E7" s="374"/>
      <c r="F7" s="374"/>
      <c r="G7" s="374"/>
      <c r="H7" s="374"/>
      <c r="I7" s="374"/>
      <c r="J7" s="374"/>
      <c r="K7" s="374"/>
      <c r="L7" s="374"/>
      <c r="M7" s="374"/>
      <c r="N7" s="374"/>
      <c r="O7" s="380"/>
      <c r="P7" s="382"/>
      <c r="Q7" s="352" t="s">
        <v>237</v>
      </c>
      <c r="R7" s="352" t="s">
        <v>238</v>
      </c>
      <c r="S7" s="352" t="s">
        <v>217</v>
      </c>
      <c r="T7" s="342" t="s">
        <v>239</v>
      </c>
      <c r="U7" s="340" t="s">
        <v>216</v>
      </c>
      <c r="V7" s="374"/>
      <c r="W7" s="374"/>
      <c r="X7" s="374"/>
      <c r="Y7" s="366"/>
    </row>
    <row r="8" spans="1:30" ht="9.75" customHeight="1" x14ac:dyDescent="0.25">
      <c r="B8" s="208">
        <v>1</v>
      </c>
      <c r="C8" s="208">
        <v>2</v>
      </c>
      <c r="D8" s="208">
        <v>3</v>
      </c>
      <c r="E8" s="208">
        <v>5</v>
      </c>
      <c r="F8" s="209">
        <v>6</v>
      </c>
      <c r="G8" s="209">
        <v>7</v>
      </c>
      <c r="H8" s="209"/>
      <c r="I8" s="208">
        <v>8</v>
      </c>
      <c r="J8" s="208">
        <v>9</v>
      </c>
      <c r="K8" s="208">
        <v>10</v>
      </c>
      <c r="L8" s="229">
        <v>11</v>
      </c>
      <c r="M8" s="229">
        <v>12</v>
      </c>
      <c r="N8" s="229">
        <v>13</v>
      </c>
      <c r="O8" s="210" t="s">
        <v>212</v>
      </c>
      <c r="P8" s="211">
        <v>15</v>
      </c>
      <c r="Q8" s="209">
        <v>17</v>
      </c>
      <c r="R8" s="209">
        <v>18</v>
      </c>
      <c r="S8" s="209">
        <v>19</v>
      </c>
      <c r="T8" s="209"/>
      <c r="U8" s="209">
        <v>20</v>
      </c>
      <c r="V8" s="209"/>
      <c r="W8" s="209">
        <v>21</v>
      </c>
      <c r="X8" s="209">
        <v>23</v>
      </c>
      <c r="Y8" s="212" t="s">
        <v>213</v>
      </c>
      <c r="AA8" t="s">
        <v>226</v>
      </c>
      <c r="AB8" t="s">
        <v>226</v>
      </c>
      <c r="AC8" t="s">
        <v>226</v>
      </c>
    </row>
    <row r="9" spans="1:30" ht="18.75" hidden="1" customHeight="1" x14ac:dyDescent="0.3">
      <c r="B9" s="115">
        <v>1</v>
      </c>
      <c r="C9" s="180" t="s">
        <v>124</v>
      </c>
      <c r="D9" s="180" t="s">
        <v>44</v>
      </c>
      <c r="E9" s="181" t="s">
        <v>69</v>
      </c>
      <c r="F9" s="181" t="s">
        <v>125</v>
      </c>
      <c r="G9" s="182" t="s">
        <v>45</v>
      </c>
      <c r="H9" s="347"/>
      <c r="I9" s="183">
        <v>9000000</v>
      </c>
      <c r="J9" s="184">
        <v>0</v>
      </c>
      <c r="K9" s="184">
        <f>5%*I9</f>
        <v>450000</v>
      </c>
      <c r="L9" s="230">
        <v>0</v>
      </c>
      <c r="M9" s="230"/>
      <c r="N9" s="230">
        <v>0</v>
      </c>
      <c r="O9" s="185">
        <f>SUM(I9:K9)</f>
        <v>9450000</v>
      </c>
      <c r="P9" s="186">
        <v>0</v>
      </c>
      <c r="Q9" s="187"/>
      <c r="R9" s="187"/>
      <c r="S9" s="187"/>
      <c r="T9" s="187"/>
      <c r="U9" s="187"/>
      <c r="V9" s="187"/>
      <c r="W9" s="187"/>
      <c r="X9" s="262"/>
      <c r="Y9" s="213">
        <f>O9</f>
        <v>9450000</v>
      </c>
    </row>
    <row r="10" spans="1:30" ht="18.75" customHeight="1" x14ac:dyDescent="0.25">
      <c r="B10" s="115">
        <v>1</v>
      </c>
      <c r="C10" s="180" t="s">
        <v>168</v>
      </c>
      <c r="D10" s="180" t="s">
        <v>169</v>
      </c>
      <c r="E10" s="256">
        <v>6</v>
      </c>
      <c r="F10" s="181" t="s">
        <v>174</v>
      </c>
      <c r="G10" s="182" t="s">
        <v>35</v>
      </c>
      <c r="H10" s="264">
        <v>0</v>
      </c>
      <c r="I10" s="258">
        <v>9739000</v>
      </c>
      <c r="J10" s="184">
        <v>4612000</v>
      </c>
      <c r="K10" s="184">
        <v>12300000</v>
      </c>
      <c r="L10" s="230">
        <v>600000</v>
      </c>
      <c r="M10" s="230">
        <v>4000000</v>
      </c>
      <c r="N10" s="230">
        <v>4500000</v>
      </c>
      <c r="O10" s="185">
        <f>SUM(I10:N10)</f>
        <v>35751000</v>
      </c>
      <c r="P10" s="326">
        <v>1020425</v>
      </c>
      <c r="Q10" s="327">
        <v>0</v>
      </c>
      <c r="R10" s="327">
        <v>0</v>
      </c>
      <c r="S10" s="327">
        <f>K10*4.269%</f>
        <v>525087</v>
      </c>
      <c r="T10" s="327">
        <f>K10*10%</f>
        <v>1230000</v>
      </c>
      <c r="U10" s="327">
        <v>0</v>
      </c>
      <c r="V10" s="327">
        <v>0</v>
      </c>
      <c r="W10" s="327">
        <v>0</v>
      </c>
      <c r="X10" s="328">
        <f t="shared" ref="X10:X22" si="0">SUM(P10:W10)</f>
        <v>2775512</v>
      </c>
      <c r="Y10" s="336">
        <f>O10-(P10+Q10+R10+S10+T10+U10+V10)</f>
        <v>32975488</v>
      </c>
      <c r="AA10" s="20">
        <f t="shared" ref="AA10:AA22" si="1">O10-X10</f>
        <v>32975488</v>
      </c>
      <c r="AB10" s="20">
        <f t="shared" ref="AB10:AB22" si="2">SUM(S10:U10)</f>
        <v>1755087</v>
      </c>
      <c r="AC10" s="20">
        <f>K10*85.731%</f>
        <v>10544912.999999998</v>
      </c>
      <c r="AD10" s="20">
        <f>K10-S10-T10</f>
        <v>10544913</v>
      </c>
    </row>
    <row r="11" spans="1:30" ht="18.75" customHeight="1" x14ac:dyDescent="0.25">
      <c r="B11" s="129">
        <v>2</v>
      </c>
      <c r="C11" s="188" t="s">
        <v>53</v>
      </c>
      <c r="D11" s="188" t="s">
        <v>54</v>
      </c>
      <c r="E11" s="234">
        <v>6</v>
      </c>
      <c r="F11" s="189" t="s">
        <v>55</v>
      </c>
      <c r="G11" s="129" t="s">
        <v>45</v>
      </c>
      <c r="H11" s="264">
        <v>1.7361111111111112E-2</v>
      </c>
      <c r="I11" s="190">
        <v>10454000</v>
      </c>
      <c r="J11" s="191">
        <f>'[1]THR PEG PELINDO'!$G$8</f>
        <v>4612000</v>
      </c>
      <c r="K11" s="191">
        <f>12300000</f>
        <v>12300000</v>
      </c>
      <c r="L11" s="231">
        <v>600000</v>
      </c>
      <c r="M11" s="231">
        <v>4000000</v>
      </c>
      <c r="N11" s="231">
        <v>4500000</v>
      </c>
      <c r="O11" s="192">
        <f t="shared" ref="O11:O20" si="3">SUM(I11:N11)</f>
        <v>36466000</v>
      </c>
      <c r="P11" s="329">
        <v>1110932</v>
      </c>
      <c r="Q11" s="328">
        <v>0</v>
      </c>
      <c r="R11" s="328">
        <v>0</v>
      </c>
      <c r="S11" s="327">
        <f t="shared" ref="S11:S22" si="4">K11*4.269%</f>
        <v>525087</v>
      </c>
      <c r="T11" s="327">
        <f t="shared" ref="T11:T22" si="5">K11*10%</f>
        <v>1230000</v>
      </c>
      <c r="U11" s="327">
        <v>0</v>
      </c>
      <c r="V11" s="328">
        <v>0</v>
      </c>
      <c r="W11" s="328">
        <v>0</v>
      </c>
      <c r="X11" s="328">
        <f t="shared" si="0"/>
        <v>2866019</v>
      </c>
      <c r="Y11" s="336">
        <f>O11-(P11+Q11+R11+S11+T11+U11+V11)</f>
        <v>33599981</v>
      </c>
      <c r="AA11" s="20">
        <f t="shared" si="1"/>
        <v>33599981</v>
      </c>
      <c r="AB11" s="20">
        <f t="shared" si="2"/>
        <v>1755087</v>
      </c>
      <c r="AC11" s="20">
        <f t="shared" ref="AC11:AC22" si="6">K11*85.731%</f>
        <v>10544912.999999998</v>
      </c>
      <c r="AD11" s="20">
        <f t="shared" ref="AD11:AD22" si="7">K11-S11-T11</f>
        <v>10544913</v>
      </c>
    </row>
    <row r="12" spans="1:30" ht="18.75" customHeight="1" x14ac:dyDescent="0.25">
      <c r="B12" s="115">
        <v>3</v>
      </c>
      <c r="C12" s="188" t="s">
        <v>167</v>
      </c>
      <c r="D12" s="188" t="s">
        <v>36</v>
      </c>
      <c r="E12" s="234">
        <v>7</v>
      </c>
      <c r="F12" s="193" t="s">
        <v>175</v>
      </c>
      <c r="G12" s="129" t="s">
        <v>45</v>
      </c>
      <c r="H12" s="257">
        <v>0</v>
      </c>
      <c r="I12" s="190">
        <v>8203000</v>
      </c>
      <c r="J12" s="191">
        <v>4342000</v>
      </c>
      <c r="K12" s="191">
        <v>12300000</v>
      </c>
      <c r="L12" s="231">
        <v>600000</v>
      </c>
      <c r="M12" s="231">
        <v>4000000</v>
      </c>
      <c r="N12" s="231">
        <v>4500000</v>
      </c>
      <c r="O12" s="192">
        <f t="shared" si="3"/>
        <v>33945000</v>
      </c>
      <c r="P12" s="329">
        <v>837576</v>
      </c>
      <c r="Q12" s="328">
        <v>0</v>
      </c>
      <c r="R12" s="328">
        <v>0</v>
      </c>
      <c r="S12" s="327">
        <f t="shared" si="4"/>
        <v>525087</v>
      </c>
      <c r="T12" s="327">
        <f t="shared" si="5"/>
        <v>1230000</v>
      </c>
      <c r="U12" s="327">
        <v>0</v>
      </c>
      <c r="V12" s="328">
        <v>0</v>
      </c>
      <c r="W12" s="328">
        <v>0</v>
      </c>
      <c r="X12" s="328">
        <f t="shared" si="0"/>
        <v>2592663</v>
      </c>
      <c r="Y12" s="336">
        <f t="shared" ref="Y12:Y22" si="8">O12-(P12+Q12+R12+S12+T12+U12+V12)</f>
        <v>31352337</v>
      </c>
      <c r="AA12" s="20">
        <f t="shared" si="1"/>
        <v>31352337</v>
      </c>
      <c r="AB12" s="20">
        <f t="shared" si="2"/>
        <v>1755087</v>
      </c>
      <c r="AC12" s="20">
        <f t="shared" si="6"/>
        <v>10544912.999999998</v>
      </c>
      <c r="AD12" s="20">
        <f t="shared" si="7"/>
        <v>10544913</v>
      </c>
    </row>
    <row r="13" spans="1:30" ht="18.75" customHeight="1" x14ac:dyDescent="0.25">
      <c r="B13" s="129">
        <v>4</v>
      </c>
      <c r="C13" s="188" t="s">
        <v>170</v>
      </c>
      <c r="D13" s="188" t="s">
        <v>173</v>
      </c>
      <c r="E13" s="234">
        <v>6</v>
      </c>
      <c r="F13" s="193" t="s">
        <v>58</v>
      </c>
      <c r="G13" s="129" t="s">
        <v>31</v>
      </c>
      <c r="H13" s="265">
        <v>1.8055555555555557E-2</v>
      </c>
      <c r="I13" s="190">
        <v>9017000</v>
      </c>
      <c r="J13" s="191">
        <f>J11</f>
        <v>4612000</v>
      </c>
      <c r="K13" s="191">
        <v>12300000</v>
      </c>
      <c r="L13" s="231">
        <v>600000</v>
      </c>
      <c r="M13" s="231">
        <v>4000000</v>
      </c>
      <c r="N13" s="231">
        <v>4500000</v>
      </c>
      <c r="O13" s="192">
        <f t="shared" si="3"/>
        <v>35029000</v>
      </c>
      <c r="P13" s="329">
        <v>964949</v>
      </c>
      <c r="Q13" s="328">
        <v>0</v>
      </c>
      <c r="R13" s="328">
        <v>0</v>
      </c>
      <c r="S13" s="327">
        <f t="shared" si="4"/>
        <v>525087</v>
      </c>
      <c r="T13" s="327">
        <f t="shared" si="5"/>
        <v>1230000</v>
      </c>
      <c r="U13" s="327">
        <v>0</v>
      </c>
      <c r="V13" s="328">
        <v>0</v>
      </c>
      <c r="W13" s="328">
        <v>0</v>
      </c>
      <c r="X13" s="328">
        <f t="shared" si="0"/>
        <v>2720036</v>
      </c>
      <c r="Y13" s="336">
        <f t="shared" si="8"/>
        <v>32308964</v>
      </c>
      <c r="AA13" s="20">
        <f t="shared" si="1"/>
        <v>32308964</v>
      </c>
      <c r="AB13" s="20">
        <f t="shared" si="2"/>
        <v>1755087</v>
      </c>
      <c r="AC13" s="20">
        <f t="shared" si="6"/>
        <v>10544912.999999998</v>
      </c>
      <c r="AD13" s="20">
        <f t="shared" si="7"/>
        <v>10544913</v>
      </c>
    </row>
    <row r="14" spans="1:30" ht="18.75" customHeight="1" x14ac:dyDescent="0.25">
      <c r="B14" s="129">
        <v>5</v>
      </c>
      <c r="C14" s="188" t="s">
        <v>171</v>
      </c>
      <c r="D14" s="188" t="s">
        <v>99</v>
      </c>
      <c r="E14" s="234">
        <v>6</v>
      </c>
      <c r="F14" s="189" t="s">
        <v>121</v>
      </c>
      <c r="G14" s="129" t="s">
        <v>31</v>
      </c>
      <c r="H14" s="263" t="s">
        <v>224</v>
      </c>
      <c r="I14" s="190">
        <f>I13</f>
        <v>9017000</v>
      </c>
      <c r="J14" s="191">
        <f>J13</f>
        <v>4612000</v>
      </c>
      <c r="K14" s="191">
        <v>12300000</v>
      </c>
      <c r="L14" s="231">
        <v>600000</v>
      </c>
      <c r="M14" s="231">
        <v>4000000</v>
      </c>
      <c r="N14" s="231">
        <v>4500000</v>
      </c>
      <c r="O14" s="192">
        <f>SUM(I14:N14)</f>
        <v>35029000</v>
      </c>
      <c r="P14" s="329">
        <v>902433</v>
      </c>
      <c r="Q14" s="328">
        <v>0</v>
      </c>
      <c r="R14" s="328">
        <v>0</v>
      </c>
      <c r="S14" s="327">
        <f t="shared" si="4"/>
        <v>525087</v>
      </c>
      <c r="T14" s="327">
        <f t="shared" si="5"/>
        <v>1230000</v>
      </c>
      <c r="U14" s="327">
        <v>0</v>
      </c>
      <c r="V14" s="328">
        <v>0</v>
      </c>
      <c r="W14" s="328">
        <v>0</v>
      </c>
      <c r="X14" s="328">
        <f t="shared" si="0"/>
        <v>2657520</v>
      </c>
      <c r="Y14" s="336">
        <f t="shared" si="8"/>
        <v>32371480</v>
      </c>
      <c r="AA14" s="20">
        <f t="shared" si="1"/>
        <v>32371480</v>
      </c>
      <c r="AB14" s="20">
        <f t="shared" si="2"/>
        <v>1755087</v>
      </c>
      <c r="AC14" s="20">
        <f t="shared" si="6"/>
        <v>10544912.999999998</v>
      </c>
      <c r="AD14" s="20">
        <f t="shared" si="7"/>
        <v>10544913</v>
      </c>
    </row>
    <row r="15" spans="1:30" ht="18.75" customHeight="1" x14ac:dyDescent="0.25">
      <c r="B15" s="115">
        <v>6</v>
      </c>
      <c r="C15" s="188" t="s">
        <v>98</v>
      </c>
      <c r="D15" s="188" t="s">
        <v>120</v>
      </c>
      <c r="E15" s="234">
        <v>7</v>
      </c>
      <c r="F15" s="189" t="s">
        <v>100</v>
      </c>
      <c r="G15" s="129" t="s">
        <v>34</v>
      </c>
      <c r="H15" s="264">
        <v>2.013888888888889E-2</v>
      </c>
      <c r="I15" s="190">
        <v>7823000</v>
      </c>
      <c r="J15" s="191">
        <v>4342000</v>
      </c>
      <c r="K15" s="191">
        <f>12300000</f>
        <v>12300000</v>
      </c>
      <c r="L15" s="231">
        <v>600000</v>
      </c>
      <c r="M15" s="231">
        <v>4000000</v>
      </c>
      <c r="N15" s="231">
        <v>4500000</v>
      </c>
      <c r="O15" s="192">
        <f t="shared" si="3"/>
        <v>33565000</v>
      </c>
      <c r="P15" s="329">
        <v>867964</v>
      </c>
      <c r="Q15" s="328">
        <v>0</v>
      </c>
      <c r="R15" s="328">
        <v>0</v>
      </c>
      <c r="S15" s="327">
        <f t="shared" si="4"/>
        <v>525087</v>
      </c>
      <c r="T15" s="327">
        <f t="shared" si="5"/>
        <v>1230000</v>
      </c>
      <c r="U15" s="327">
        <v>0</v>
      </c>
      <c r="V15" s="328">
        <v>0</v>
      </c>
      <c r="W15" s="328">
        <v>0</v>
      </c>
      <c r="X15" s="328">
        <f t="shared" si="0"/>
        <v>2623051</v>
      </c>
      <c r="Y15" s="336">
        <f t="shared" si="8"/>
        <v>30941949</v>
      </c>
      <c r="AA15" s="20">
        <f t="shared" si="1"/>
        <v>30941949</v>
      </c>
      <c r="AB15" s="20">
        <f t="shared" si="2"/>
        <v>1755087</v>
      </c>
      <c r="AC15" s="20">
        <f t="shared" si="6"/>
        <v>10544912.999999998</v>
      </c>
      <c r="AD15" s="20">
        <f t="shared" si="7"/>
        <v>10544913</v>
      </c>
    </row>
    <row r="16" spans="1:30" ht="19.5" customHeight="1" x14ac:dyDescent="0.3">
      <c r="B16" s="129">
        <v>7</v>
      </c>
      <c r="C16" s="195" t="s">
        <v>75</v>
      </c>
      <c r="D16" s="188" t="s">
        <v>76</v>
      </c>
      <c r="E16" s="234">
        <v>8</v>
      </c>
      <c r="F16" s="196" t="s">
        <v>79</v>
      </c>
      <c r="G16" s="197" t="s">
        <v>45</v>
      </c>
      <c r="H16" s="264">
        <v>6.9444444444444441E-3</v>
      </c>
      <c r="I16" s="198">
        <v>6918000</v>
      </c>
      <c r="J16" s="199">
        <f>'[1]THR PEG PELINDO'!$G$13</f>
        <v>4114000</v>
      </c>
      <c r="K16" s="199">
        <f>7800000</f>
        <v>7800000</v>
      </c>
      <c r="L16" s="232">
        <v>350000</v>
      </c>
      <c r="M16" s="232">
        <v>2800000</v>
      </c>
      <c r="N16" s="232">
        <v>2000000</v>
      </c>
      <c r="O16" s="200">
        <f>SUM(I16:N16)</f>
        <v>23982000</v>
      </c>
      <c r="P16" s="330">
        <v>800428</v>
      </c>
      <c r="Q16" s="331">
        <v>0</v>
      </c>
      <c r="R16" s="331">
        <v>0</v>
      </c>
      <c r="S16" s="327">
        <f t="shared" si="4"/>
        <v>332982</v>
      </c>
      <c r="T16" s="327">
        <f t="shared" si="5"/>
        <v>780000</v>
      </c>
      <c r="U16" s="327">
        <v>0</v>
      </c>
      <c r="V16" s="331">
        <v>0</v>
      </c>
      <c r="W16" s="331">
        <v>0</v>
      </c>
      <c r="X16" s="328">
        <f t="shared" si="0"/>
        <v>1913410</v>
      </c>
      <c r="Y16" s="336">
        <f t="shared" si="8"/>
        <v>22068590</v>
      </c>
      <c r="AA16" s="20">
        <f t="shared" si="1"/>
        <v>22068590</v>
      </c>
      <c r="AB16" s="20">
        <f t="shared" si="2"/>
        <v>1112982</v>
      </c>
      <c r="AC16" s="20">
        <f t="shared" si="6"/>
        <v>6687017.9999999991</v>
      </c>
      <c r="AD16" s="20">
        <f t="shared" si="7"/>
        <v>6687018</v>
      </c>
    </row>
    <row r="17" spans="2:30" ht="18.75" customHeight="1" x14ac:dyDescent="0.25">
      <c r="B17" s="115">
        <v>8</v>
      </c>
      <c r="C17" s="188" t="s">
        <v>84</v>
      </c>
      <c r="D17" s="188" t="s">
        <v>111</v>
      </c>
      <c r="E17" s="234">
        <v>9</v>
      </c>
      <c r="F17" s="194" t="s">
        <v>85</v>
      </c>
      <c r="G17" s="129" t="s">
        <v>225</v>
      </c>
      <c r="H17" s="264">
        <v>8.3333333333333332E-3</v>
      </c>
      <c r="I17" s="190">
        <v>5867000</v>
      </c>
      <c r="J17" s="191">
        <f>'[1]THR PEG PELINDO'!$G$14</f>
        <v>3919000</v>
      </c>
      <c r="K17" s="191">
        <f>7800000</f>
        <v>7800000</v>
      </c>
      <c r="L17" s="231">
        <v>350000</v>
      </c>
      <c r="M17" s="231">
        <v>2800000</v>
      </c>
      <c r="N17" s="231">
        <v>2000000</v>
      </c>
      <c r="O17" s="192">
        <f t="shared" si="3"/>
        <v>22736000</v>
      </c>
      <c r="P17" s="329">
        <v>721488</v>
      </c>
      <c r="Q17" s="328">
        <v>0</v>
      </c>
      <c r="R17" s="328">
        <v>0</v>
      </c>
      <c r="S17" s="327">
        <f t="shared" si="4"/>
        <v>332982</v>
      </c>
      <c r="T17" s="327">
        <f t="shared" si="5"/>
        <v>780000</v>
      </c>
      <c r="U17" s="327">
        <v>0</v>
      </c>
      <c r="V17" s="328">
        <v>0</v>
      </c>
      <c r="W17" s="328">
        <v>0</v>
      </c>
      <c r="X17" s="328">
        <f t="shared" si="0"/>
        <v>1834470</v>
      </c>
      <c r="Y17" s="336">
        <f t="shared" si="8"/>
        <v>20901530</v>
      </c>
      <c r="AA17" s="20">
        <f t="shared" si="1"/>
        <v>20901530</v>
      </c>
      <c r="AB17" s="20">
        <f t="shared" si="2"/>
        <v>1112982</v>
      </c>
      <c r="AC17" s="20">
        <f t="shared" si="6"/>
        <v>6687017.9999999991</v>
      </c>
      <c r="AD17" s="20">
        <f t="shared" si="7"/>
        <v>6687018</v>
      </c>
    </row>
    <row r="18" spans="2:30" ht="18.75" customHeight="1" x14ac:dyDescent="0.3">
      <c r="B18" s="129">
        <v>9</v>
      </c>
      <c r="C18" s="195" t="s">
        <v>204</v>
      </c>
      <c r="D18" s="188" t="s">
        <v>133</v>
      </c>
      <c r="E18" s="234">
        <v>10</v>
      </c>
      <c r="F18" s="196" t="s">
        <v>205</v>
      </c>
      <c r="G18" s="197" t="s">
        <v>34</v>
      </c>
      <c r="H18" s="265">
        <v>2.0833333333333332E-2</v>
      </c>
      <c r="I18" s="198">
        <v>5400000</v>
      </c>
      <c r="J18" s="199">
        <v>3479000</v>
      </c>
      <c r="K18" s="199">
        <f>7800000</f>
        <v>7800000</v>
      </c>
      <c r="L18" s="232">
        <v>350000</v>
      </c>
      <c r="M18" s="232">
        <v>2800000</v>
      </c>
      <c r="N18" s="232">
        <v>2000000</v>
      </c>
      <c r="O18" s="200">
        <f>SUM(I18:N18)</f>
        <v>21829000</v>
      </c>
      <c r="P18" s="330">
        <v>653736</v>
      </c>
      <c r="Q18" s="331">
        <v>0</v>
      </c>
      <c r="R18" s="331">
        <v>0</v>
      </c>
      <c r="S18" s="327">
        <f t="shared" si="4"/>
        <v>332982</v>
      </c>
      <c r="T18" s="327">
        <f t="shared" si="5"/>
        <v>780000</v>
      </c>
      <c r="U18" s="327">
        <v>0</v>
      </c>
      <c r="V18" s="331">
        <v>0</v>
      </c>
      <c r="W18" s="331">
        <v>0</v>
      </c>
      <c r="X18" s="328">
        <f t="shared" si="0"/>
        <v>1766718</v>
      </c>
      <c r="Y18" s="336">
        <f t="shared" si="8"/>
        <v>20062282</v>
      </c>
      <c r="AA18" s="20">
        <f t="shared" si="1"/>
        <v>20062282</v>
      </c>
      <c r="AB18" s="20">
        <f t="shared" si="2"/>
        <v>1112982</v>
      </c>
      <c r="AC18" s="20">
        <f t="shared" si="6"/>
        <v>6687017.9999999991</v>
      </c>
      <c r="AD18" s="20">
        <f t="shared" si="7"/>
        <v>6687018</v>
      </c>
    </row>
    <row r="19" spans="2:30" ht="18.75" customHeight="1" x14ac:dyDescent="0.3">
      <c r="B19" s="115">
        <v>10</v>
      </c>
      <c r="C19" s="195" t="s">
        <v>172</v>
      </c>
      <c r="D19" s="188" t="s">
        <v>135</v>
      </c>
      <c r="E19" s="234">
        <v>8</v>
      </c>
      <c r="F19" s="196" t="s">
        <v>134</v>
      </c>
      <c r="G19" s="197" t="s">
        <v>225</v>
      </c>
      <c r="H19" s="264">
        <v>0</v>
      </c>
      <c r="I19" s="198">
        <v>7230000</v>
      </c>
      <c r="J19" s="199">
        <f>J16</f>
        <v>4114000</v>
      </c>
      <c r="K19" s="199">
        <v>7800000</v>
      </c>
      <c r="L19" s="232">
        <v>350000</v>
      </c>
      <c r="M19" s="232">
        <v>2800000</v>
      </c>
      <c r="N19" s="232">
        <v>2000000</v>
      </c>
      <c r="O19" s="200">
        <f>SUM(I19:N19)</f>
        <v>24294000</v>
      </c>
      <c r="P19" s="330">
        <v>843888</v>
      </c>
      <c r="Q19" s="331">
        <v>0</v>
      </c>
      <c r="R19" s="331">
        <v>0</v>
      </c>
      <c r="S19" s="327">
        <f t="shared" si="4"/>
        <v>332982</v>
      </c>
      <c r="T19" s="327">
        <f t="shared" si="5"/>
        <v>780000</v>
      </c>
      <c r="U19" s="327">
        <v>0</v>
      </c>
      <c r="V19" s="332">
        <v>0</v>
      </c>
      <c r="W19" s="332">
        <v>0</v>
      </c>
      <c r="X19" s="328">
        <f t="shared" si="0"/>
        <v>1956870</v>
      </c>
      <c r="Y19" s="336">
        <f t="shared" si="8"/>
        <v>22337130</v>
      </c>
      <c r="AA19" s="20">
        <f t="shared" si="1"/>
        <v>22337130</v>
      </c>
      <c r="AB19" s="20">
        <f t="shared" si="2"/>
        <v>1112982</v>
      </c>
      <c r="AC19" s="20">
        <f t="shared" si="6"/>
        <v>6687017.9999999991</v>
      </c>
      <c r="AD19" s="20">
        <f t="shared" si="7"/>
        <v>6687018</v>
      </c>
    </row>
    <row r="20" spans="2:30" ht="18.75" customHeight="1" x14ac:dyDescent="0.3">
      <c r="B20" s="129">
        <v>11</v>
      </c>
      <c r="C20" s="195" t="s">
        <v>211</v>
      </c>
      <c r="D20" s="188" t="s">
        <v>201</v>
      </c>
      <c r="E20" s="234">
        <v>8</v>
      </c>
      <c r="F20" s="196" t="s">
        <v>126</v>
      </c>
      <c r="G20" s="197" t="s">
        <v>34</v>
      </c>
      <c r="H20" s="264">
        <v>0</v>
      </c>
      <c r="I20" s="198">
        <v>6918000</v>
      </c>
      <c r="J20" s="199">
        <v>4114000</v>
      </c>
      <c r="K20" s="199">
        <f>7800000</f>
        <v>7800000</v>
      </c>
      <c r="L20" s="232">
        <v>350000</v>
      </c>
      <c r="M20" s="232">
        <v>2800000</v>
      </c>
      <c r="N20" s="232">
        <v>2000000</v>
      </c>
      <c r="O20" s="200">
        <f t="shared" si="3"/>
        <v>23982000</v>
      </c>
      <c r="P20" s="330">
        <v>740616</v>
      </c>
      <c r="Q20" s="333">
        <v>0</v>
      </c>
      <c r="R20" s="333">
        <v>0</v>
      </c>
      <c r="S20" s="327">
        <f t="shared" si="4"/>
        <v>332982</v>
      </c>
      <c r="T20" s="327">
        <f t="shared" si="5"/>
        <v>780000</v>
      </c>
      <c r="U20" s="327">
        <v>0</v>
      </c>
      <c r="V20" s="339">
        <v>0</v>
      </c>
      <c r="W20" s="332">
        <v>0</v>
      </c>
      <c r="X20" s="328">
        <f t="shared" si="0"/>
        <v>1853598</v>
      </c>
      <c r="Y20" s="336">
        <f t="shared" si="8"/>
        <v>22128402</v>
      </c>
      <c r="AA20" s="20">
        <f t="shared" si="1"/>
        <v>22128402</v>
      </c>
      <c r="AB20" s="20">
        <f t="shared" si="2"/>
        <v>1112982</v>
      </c>
      <c r="AC20" s="20">
        <f t="shared" si="6"/>
        <v>6687017.9999999991</v>
      </c>
      <c r="AD20" s="20">
        <f t="shared" si="7"/>
        <v>6687018</v>
      </c>
    </row>
    <row r="21" spans="2:30" ht="18.75" customHeight="1" x14ac:dyDescent="0.3">
      <c r="B21" s="115">
        <v>12</v>
      </c>
      <c r="C21" s="195" t="s">
        <v>87</v>
      </c>
      <c r="D21" s="188" t="s">
        <v>52</v>
      </c>
      <c r="E21" s="234">
        <v>11</v>
      </c>
      <c r="F21" s="196" t="s">
        <v>88</v>
      </c>
      <c r="G21" s="197" t="s">
        <v>34</v>
      </c>
      <c r="H21" s="265">
        <v>5.5555555555555558E-3</v>
      </c>
      <c r="I21" s="190">
        <v>4543000</v>
      </c>
      <c r="J21" s="191">
        <v>3435000</v>
      </c>
      <c r="K21" s="191">
        <v>6000000</v>
      </c>
      <c r="L21" s="231">
        <v>0</v>
      </c>
      <c r="M21" s="231">
        <v>0</v>
      </c>
      <c r="N21" s="231">
        <v>0</v>
      </c>
      <c r="O21" s="200">
        <f t="shared" ref="O21:O22" si="9">SUM(I21:K21)</f>
        <v>13978000</v>
      </c>
      <c r="P21" s="330">
        <v>587551</v>
      </c>
      <c r="Q21" s="333">
        <v>0</v>
      </c>
      <c r="R21" s="331">
        <v>0</v>
      </c>
      <c r="S21" s="327">
        <f t="shared" si="4"/>
        <v>256140</v>
      </c>
      <c r="T21" s="327">
        <f t="shared" si="5"/>
        <v>600000</v>
      </c>
      <c r="U21" s="327">
        <v>0</v>
      </c>
      <c r="V21" s="331">
        <v>0</v>
      </c>
      <c r="W21" s="332">
        <v>0</v>
      </c>
      <c r="X21" s="328">
        <f t="shared" si="0"/>
        <v>1443691</v>
      </c>
      <c r="Y21" s="336">
        <f t="shared" si="8"/>
        <v>12534309</v>
      </c>
      <c r="AA21" s="20">
        <f t="shared" si="1"/>
        <v>12534309</v>
      </c>
      <c r="AB21" s="20">
        <f t="shared" si="2"/>
        <v>856140</v>
      </c>
      <c r="AC21" s="20">
        <f t="shared" si="6"/>
        <v>5143859.9999999991</v>
      </c>
      <c r="AD21" s="20">
        <f t="shared" si="7"/>
        <v>5143860</v>
      </c>
    </row>
    <row r="22" spans="2:30" ht="18.75" customHeight="1" x14ac:dyDescent="0.3">
      <c r="B22" s="150">
        <v>13</v>
      </c>
      <c r="C22" s="201" t="s">
        <v>77</v>
      </c>
      <c r="D22" s="202" t="s">
        <v>52</v>
      </c>
      <c r="E22" s="235">
        <v>11</v>
      </c>
      <c r="F22" s="203" t="s">
        <v>78</v>
      </c>
      <c r="G22" s="204" t="s">
        <v>1</v>
      </c>
      <c r="H22" s="348">
        <v>6.9444444444444447E-4</v>
      </c>
      <c r="I22" s="205">
        <f>I21</f>
        <v>4543000</v>
      </c>
      <c r="J22" s="206">
        <v>3435000</v>
      </c>
      <c r="K22" s="206">
        <v>6000000</v>
      </c>
      <c r="L22" s="233">
        <v>0</v>
      </c>
      <c r="M22" s="233">
        <v>0</v>
      </c>
      <c r="N22" s="233">
        <v>0</v>
      </c>
      <c r="O22" s="207">
        <f t="shared" si="9"/>
        <v>13978000</v>
      </c>
      <c r="P22" s="334">
        <v>587551</v>
      </c>
      <c r="Q22" s="335">
        <v>0</v>
      </c>
      <c r="R22" s="335">
        <v>0</v>
      </c>
      <c r="S22" s="327">
        <f t="shared" si="4"/>
        <v>256140</v>
      </c>
      <c r="T22" s="327">
        <f t="shared" si="5"/>
        <v>600000</v>
      </c>
      <c r="U22" s="327">
        <v>0</v>
      </c>
      <c r="V22" s="335">
        <v>0</v>
      </c>
      <c r="W22" s="335">
        <v>0</v>
      </c>
      <c r="X22" s="328">
        <f t="shared" si="0"/>
        <v>1443691</v>
      </c>
      <c r="Y22" s="336">
        <f t="shared" si="8"/>
        <v>12534309</v>
      </c>
      <c r="AA22" s="20">
        <f t="shared" si="1"/>
        <v>12534309</v>
      </c>
      <c r="AB22" s="20">
        <f t="shared" si="2"/>
        <v>856140</v>
      </c>
      <c r="AC22" s="20">
        <f t="shared" si="6"/>
        <v>5143859.9999999991</v>
      </c>
      <c r="AD22" s="20">
        <f t="shared" si="7"/>
        <v>5143860</v>
      </c>
    </row>
    <row r="23" spans="2:30" ht="14.5" x14ac:dyDescent="0.35">
      <c r="B23" s="74"/>
      <c r="C23" s="74"/>
      <c r="D23" s="74"/>
      <c r="E23" s="74"/>
      <c r="F23" s="73"/>
      <c r="G23" s="21"/>
      <c r="H23" s="21"/>
      <c r="I23" s="376">
        <f>SUM(I10:I22)</f>
        <v>95672000</v>
      </c>
      <c r="J23" s="376">
        <f>SUM(J10:J22)</f>
        <v>53742000</v>
      </c>
      <c r="K23" s="376">
        <f>K10+K11+K12+K13+K14+K15+K16+K17+K18+K19+K20+K21+K22</f>
        <v>124800000</v>
      </c>
      <c r="L23" s="383">
        <f>SUM(L10:L22)</f>
        <v>5350000</v>
      </c>
      <c r="M23" s="383">
        <f>SUM(M10:M22)</f>
        <v>38000000</v>
      </c>
      <c r="N23" s="383">
        <f>SUM(N9:N22)</f>
        <v>37000000</v>
      </c>
      <c r="O23" s="369">
        <f>O10+O11+O12+O13+O14+O15+O16+O17+O18+O19+O20+O21+O22</f>
        <v>354564000</v>
      </c>
      <c r="P23" s="371">
        <f>P10+P11+P12+P13+P14+P15+P16+P17+P18+P19+P20+P21+P22</f>
        <v>10639537</v>
      </c>
      <c r="Q23" s="385">
        <f>Q10+Q11+Q12+Q13+Q14+Q15+Q16+Q17+Q18+Q19+Q20+Q21+Q22</f>
        <v>0</v>
      </c>
      <c r="R23" s="385">
        <f t="shared" ref="R23:X23" si="10">SUM(R10:R22)</f>
        <v>0</v>
      </c>
      <c r="S23" s="385">
        <f t="shared" si="10"/>
        <v>5327712</v>
      </c>
      <c r="T23" s="385">
        <f t="shared" si="10"/>
        <v>12480000</v>
      </c>
      <c r="U23" s="385">
        <f t="shared" si="10"/>
        <v>0</v>
      </c>
      <c r="V23" s="385">
        <f t="shared" si="10"/>
        <v>0</v>
      </c>
      <c r="W23" s="385">
        <f t="shared" si="10"/>
        <v>0</v>
      </c>
      <c r="X23" s="391">
        <f t="shared" si="10"/>
        <v>28447249</v>
      </c>
      <c r="Y23" s="367">
        <f>Y10+Y11+Y12+Y13+Y14+Y15+Y16+Y17+Y18+Y19+Y20+Y21+Y22</f>
        <v>326116751</v>
      </c>
      <c r="AA23" s="20"/>
    </row>
    <row r="24" spans="2:30" ht="15" thickBot="1" x14ac:dyDescent="0.4">
      <c r="B24" s="75"/>
      <c r="C24" s="75"/>
      <c r="D24" s="75"/>
      <c r="E24" s="75"/>
      <c r="F24" s="76"/>
      <c r="G24" s="77"/>
      <c r="H24" s="77"/>
      <c r="I24" s="377"/>
      <c r="J24" s="377"/>
      <c r="K24" s="377"/>
      <c r="L24" s="384"/>
      <c r="M24" s="384"/>
      <c r="N24" s="384"/>
      <c r="O24" s="370"/>
      <c r="P24" s="372"/>
      <c r="Q24" s="386"/>
      <c r="R24" s="386"/>
      <c r="S24" s="386"/>
      <c r="T24" s="386"/>
      <c r="U24" s="386"/>
      <c r="V24" s="386"/>
      <c r="W24" s="386"/>
      <c r="X24" s="392"/>
      <c r="Y24" s="368"/>
      <c r="AA24" s="93">
        <f>P23+Q23+R23+S23+T23+U23+V23+W23</f>
        <v>28447249</v>
      </c>
    </row>
    <row r="25" spans="2:30" ht="13" thickTop="1" x14ac:dyDescent="0.25">
      <c r="AA25" s="20">
        <f>O23-AA24</f>
        <v>326116751</v>
      </c>
    </row>
    <row r="26" spans="2:30" ht="13" x14ac:dyDescent="0.3">
      <c r="B26" s="31"/>
      <c r="C26" s="26" t="s">
        <v>227</v>
      </c>
      <c r="D26" s="26"/>
      <c r="E26" s="26"/>
      <c r="F26" s="26"/>
      <c r="G26" s="26"/>
      <c r="H26" s="26"/>
      <c r="I26" s="28"/>
      <c r="J26" s="28"/>
      <c r="K26" s="20"/>
      <c r="L26" s="20"/>
      <c r="M26" s="20"/>
      <c r="N26" s="20"/>
      <c r="O26" s="20"/>
    </row>
    <row r="27" spans="2:30" ht="13" x14ac:dyDescent="0.3">
      <c r="B27" s="27"/>
      <c r="C27" s="26" t="s">
        <v>240</v>
      </c>
      <c r="D27" s="26"/>
      <c r="E27" s="26"/>
      <c r="F27" s="26"/>
      <c r="G27" s="26"/>
      <c r="H27" s="26"/>
      <c r="I27" s="26"/>
      <c r="J27" s="28"/>
      <c r="Q27" s="26"/>
      <c r="R27" s="26"/>
      <c r="S27" s="26"/>
      <c r="T27" s="26"/>
      <c r="U27" s="26"/>
      <c r="V27" s="26"/>
      <c r="W27" s="378" t="s">
        <v>230</v>
      </c>
      <c r="X27" s="378"/>
      <c r="Y27" s="378"/>
      <c r="Z27" s="378"/>
      <c r="AA27" s="20">
        <f>O23-AA24</f>
        <v>326116751</v>
      </c>
    </row>
    <row r="28" spans="2:30" ht="13" x14ac:dyDescent="0.3">
      <c r="B28" s="27"/>
      <c r="C28" s="26" t="s">
        <v>236</v>
      </c>
      <c r="D28" s="26"/>
      <c r="E28" s="26"/>
      <c r="F28" s="26"/>
      <c r="G28" s="26"/>
      <c r="H28" s="26"/>
      <c r="I28" s="26"/>
      <c r="J28" s="26"/>
      <c r="Q28" s="252"/>
      <c r="R28" s="252"/>
      <c r="S28" s="252"/>
      <c r="T28" s="252"/>
      <c r="U28" s="252"/>
      <c r="V28" s="252"/>
      <c r="W28" s="378" t="s">
        <v>36</v>
      </c>
      <c r="X28" s="378"/>
      <c r="Y28" s="378"/>
      <c r="Z28" s="378"/>
    </row>
    <row r="29" spans="2:30" ht="13" x14ac:dyDescent="0.3">
      <c r="B29" s="26"/>
      <c r="C29" s="26"/>
      <c r="D29" s="26"/>
      <c r="E29" s="26"/>
      <c r="F29" s="26"/>
      <c r="G29" s="26"/>
      <c r="H29" s="26"/>
      <c r="I29" s="26"/>
      <c r="J29" s="28"/>
      <c r="Q29" s="252"/>
      <c r="R29" s="252"/>
      <c r="S29" s="252"/>
      <c r="T29" s="252"/>
      <c r="U29" s="252"/>
      <c r="V29" s="252"/>
      <c r="W29" s="120"/>
      <c r="X29" s="120"/>
      <c r="Y29" s="120"/>
      <c r="Z29" s="120"/>
      <c r="AA29" s="20"/>
    </row>
    <row r="30" spans="2:30" ht="13" x14ac:dyDescent="0.3">
      <c r="B30" s="26"/>
      <c r="C30" s="26"/>
      <c r="D30" s="26"/>
      <c r="E30" s="26"/>
      <c r="F30" s="26"/>
      <c r="G30" s="26"/>
      <c r="H30" s="26"/>
      <c r="I30" s="26"/>
      <c r="J30" s="28"/>
      <c r="Q30" s="252"/>
      <c r="R30" s="252"/>
      <c r="S30" s="252"/>
      <c r="T30" s="252"/>
      <c r="U30" s="252"/>
      <c r="V30" s="252"/>
      <c r="W30" s="120"/>
      <c r="X30" s="120"/>
      <c r="Y30" s="120"/>
      <c r="Z30" s="282"/>
    </row>
    <row r="31" spans="2:30" ht="13" x14ac:dyDescent="0.3">
      <c r="B31" s="26"/>
      <c r="C31" s="26"/>
      <c r="D31" s="89"/>
      <c r="E31" s="26"/>
      <c r="F31" s="26"/>
      <c r="G31" s="26"/>
      <c r="H31" s="26"/>
      <c r="I31" s="26"/>
      <c r="J31" s="28"/>
      <c r="Q31" s="120"/>
      <c r="R31" s="120"/>
      <c r="S31" s="120"/>
      <c r="T31" s="120"/>
      <c r="U31" s="120"/>
      <c r="V31" s="120"/>
      <c r="W31" s="120"/>
      <c r="X31" s="120"/>
      <c r="Y31" s="120"/>
      <c r="Z31" s="282"/>
    </row>
    <row r="32" spans="2:30" ht="13" x14ac:dyDescent="0.3">
      <c r="B32" s="26"/>
      <c r="C32" s="26"/>
      <c r="D32" s="26"/>
      <c r="E32" s="26"/>
      <c r="F32" s="26"/>
      <c r="G32" s="26"/>
      <c r="H32" s="26"/>
      <c r="I32" s="26"/>
      <c r="J32" s="26"/>
      <c r="Q32" s="120"/>
      <c r="R32" s="120"/>
      <c r="S32" s="120"/>
      <c r="T32" s="120"/>
      <c r="U32" s="120"/>
      <c r="V32" s="120"/>
      <c r="W32" s="387" t="s">
        <v>167</v>
      </c>
      <c r="X32" s="387"/>
      <c r="Y32" s="387"/>
      <c r="Z32" s="387"/>
    </row>
    <row r="33" spans="2:25" ht="13" x14ac:dyDescent="0.3">
      <c r="B33" s="26"/>
      <c r="C33" s="26"/>
      <c r="D33" s="26"/>
      <c r="E33" s="26"/>
      <c r="F33" s="26"/>
      <c r="G33" s="26"/>
      <c r="H33" s="26"/>
      <c r="I33" s="26"/>
      <c r="J33" s="26"/>
      <c r="Q33" s="120"/>
      <c r="R33" s="120"/>
      <c r="S33" s="120"/>
      <c r="T33" s="120"/>
      <c r="U33" s="120"/>
      <c r="V33" s="120"/>
      <c r="W33" s="120"/>
      <c r="X33" s="120"/>
      <c r="Y33" s="120"/>
    </row>
    <row r="34" spans="2:25" ht="13" x14ac:dyDescent="0.3">
      <c r="B34" s="26"/>
      <c r="C34" s="26"/>
      <c r="D34" s="26"/>
      <c r="E34" s="26"/>
      <c r="F34" s="26"/>
      <c r="G34" s="26"/>
      <c r="H34" s="26"/>
      <c r="I34" s="28"/>
      <c r="J34" s="26"/>
      <c r="Q34" s="120"/>
      <c r="R34" s="120"/>
      <c r="S34" s="120"/>
      <c r="T34" s="120"/>
      <c r="U34" s="120"/>
      <c r="V34" s="120"/>
      <c r="W34" s="378"/>
      <c r="X34" s="378"/>
      <c r="Y34" s="378"/>
    </row>
    <row r="35" spans="2:25" ht="13" x14ac:dyDescent="0.3">
      <c r="Q35" s="253"/>
      <c r="R35" s="253"/>
      <c r="S35" s="253"/>
      <c r="T35" s="253"/>
      <c r="U35" s="253" t="s">
        <v>43</v>
      </c>
      <c r="V35" s="253"/>
      <c r="W35" s="253"/>
      <c r="X35" s="253"/>
      <c r="Y35" s="253"/>
    </row>
    <row r="36" spans="2:25" ht="13" x14ac:dyDescent="0.3">
      <c r="B36" s="27"/>
      <c r="C36" s="26"/>
      <c r="D36" s="26"/>
      <c r="E36" s="26"/>
      <c r="F36" s="26"/>
      <c r="G36" s="26"/>
      <c r="H36" s="26"/>
      <c r="I36" s="26"/>
      <c r="J36" s="26"/>
    </row>
    <row r="37" spans="2:25" ht="13" x14ac:dyDescent="0.3">
      <c r="B37" s="27"/>
      <c r="C37" s="26"/>
      <c r="D37" s="26"/>
      <c r="E37" s="26"/>
      <c r="F37" s="26"/>
      <c r="G37" s="26"/>
      <c r="H37" s="26"/>
      <c r="I37" s="26"/>
      <c r="J37" s="26"/>
    </row>
    <row r="38" spans="2:25" ht="13" x14ac:dyDescent="0.3">
      <c r="B38" s="27"/>
      <c r="C38" s="26"/>
      <c r="D38" s="157"/>
      <c r="E38" s="26"/>
      <c r="F38" s="26"/>
      <c r="G38" s="26"/>
      <c r="H38" s="26"/>
      <c r="I38" s="26"/>
      <c r="J38" s="26"/>
    </row>
    <row r="39" spans="2:25" ht="13" x14ac:dyDescent="0.3">
      <c r="B39" s="27"/>
      <c r="C39" s="26"/>
      <c r="D39" s="26"/>
      <c r="E39" s="26"/>
      <c r="F39" s="26"/>
      <c r="G39" s="26"/>
      <c r="H39" s="26"/>
      <c r="I39" s="26"/>
      <c r="J39" s="26"/>
    </row>
    <row r="40" spans="2:25" ht="13" x14ac:dyDescent="0.3">
      <c r="B40" s="27"/>
      <c r="C40" s="26"/>
      <c r="D40" s="26"/>
      <c r="E40" s="26"/>
      <c r="F40" s="26"/>
      <c r="G40" s="26"/>
      <c r="H40" s="26"/>
      <c r="I40" s="26"/>
      <c r="J40" s="28"/>
    </row>
    <row r="41" spans="2:25" ht="13" x14ac:dyDescent="0.3">
      <c r="B41" s="27"/>
      <c r="C41" s="26"/>
      <c r="D41" s="26"/>
      <c r="E41" s="26"/>
      <c r="F41" s="26"/>
      <c r="G41" s="26"/>
      <c r="H41" s="26"/>
      <c r="I41" s="26"/>
      <c r="J41" s="26"/>
      <c r="S41" s="252"/>
      <c r="T41" s="252">
        <f>10-7.12</f>
        <v>2.88</v>
      </c>
    </row>
    <row r="42" spans="2:25" ht="13" x14ac:dyDescent="0.3">
      <c r="B42" s="26"/>
      <c r="C42" s="26"/>
      <c r="D42" s="26"/>
      <c r="E42" s="26"/>
      <c r="F42" s="26"/>
      <c r="G42" s="26"/>
      <c r="H42" s="26"/>
      <c r="I42" s="26"/>
      <c r="J42" s="26"/>
      <c r="K42" s="20">
        <f>J23+K23+L23+M23+N23</f>
        <v>258892000</v>
      </c>
      <c r="S42" s="252"/>
      <c r="T42" s="252">
        <f>T41+30+10</f>
        <v>42.88</v>
      </c>
    </row>
    <row r="43" spans="2:25" ht="13" x14ac:dyDescent="0.3">
      <c r="B43" s="26"/>
      <c r="C43" s="26"/>
      <c r="D43" s="26"/>
      <c r="E43" s="26"/>
      <c r="F43" s="26"/>
      <c r="G43" s="26"/>
      <c r="H43" s="26"/>
      <c r="I43" s="26"/>
      <c r="J43" s="26"/>
      <c r="K43" s="20">
        <f>K42+'NET PEGAWAI PTP'!J32</f>
        <v>300331600</v>
      </c>
      <c r="S43" s="120"/>
      <c r="T43" s="120">
        <f>50-T42</f>
        <v>7.1199999999999974</v>
      </c>
    </row>
    <row r="44" spans="2:25" ht="13" x14ac:dyDescent="0.3">
      <c r="B44" s="26"/>
      <c r="C44" s="26"/>
      <c r="D44" s="26"/>
      <c r="E44" s="26"/>
      <c r="F44" s="26"/>
      <c r="G44" s="26"/>
      <c r="H44" s="26"/>
      <c r="I44" s="26"/>
      <c r="J44" s="26"/>
      <c r="S44" s="120">
        <f>100-S45</f>
        <v>42.88</v>
      </c>
      <c r="T44" s="120"/>
    </row>
    <row r="45" spans="2:25" ht="13" x14ac:dyDescent="0.3">
      <c r="S45" s="120">
        <f>50+T43</f>
        <v>57.12</v>
      </c>
      <c r="T45" s="120"/>
    </row>
    <row r="57" spans="5:9" x14ac:dyDescent="0.25">
      <c r="E57" t="s">
        <v>151</v>
      </c>
      <c r="F57" s="20">
        <f>95672000+40407095</f>
        <v>136079095</v>
      </c>
    </row>
    <row r="58" spans="5:9" x14ac:dyDescent="0.25">
      <c r="E58" t="s">
        <v>152</v>
      </c>
      <c r="F58" s="20">
        <f>J23+K23+L23+M23+N23+44194600</f>
        <v>303086600</v>
      </c>
      <c r="H58" s="151"/>
      <c r="I58" s="20"/>
    </row>
    <row r="60" spans="5:9" x14ac:dyDescent="0.25">
      <c r="E60" s="20"/>
    </row>
  </sheetData>
  <mergeCells count="43">
    <mergeCell ref="W27:Z27"/>
    <mergeCell ref="W28:Z28"/>
    <mergeCell ref="W32:Z32"/>
    <mergeCell ref="W6:W7"/>
    <mergeCell ref="Q6:U6"/>
    <mergeCell ref="S23:S24"/>
    <mergeCell ref="W23:W24"/>
    <mergeCell ref="X23:X24"/>
    <mergeCell ref="V6:V7"/>
    <mergeCell ref="T23:T24"/>
    <mergeCell ref="V23:V24"/>
    <mergeCell ref="W34:Y34"/>
    <mergeCell ref="J23:J24"/>
    <mergeCell ref="K23:K24"/>
    <mergeCell ref="O6:O7"/>
    <mergeCell ref="P6:P7"/>
    <mergeCell ref="J6:J7"/>
    <mergeCell ref="K6:K7"/>
    <mergeCell ref="N23:N24"/>
    <mergeCell ref="M6:M7"/>
    <mergeCell ref="L6:L7"/>
    <mergeCell ref="L23:L24"/>
    <mergeCell ref="M23:M24"/>
    <mergeCell ref="X6:X7"/>
    <mergeCell ref="Q23:Q24"/>
    <mergeCell ref="R23:R24"/>
    <mergeCell ref="U23:U24"/>
    <mergeCell ref="A3:Y3"/>
    <mergeCell ref="A4:Y4"/>
    <mergeCell ref="Y6:Y7"/>
    <mergeCell ref="Y23:Y24"/>
    <mergeCell ref="O23:O24"/>
    <mergeCell ref="P23:P24"/>
    <mergeCell ref="B6:B7"/>
    <mergeCell ref="C6:C7"/>
    <mergeCell ref="D6:D7"/>
    <mergeCell ref="E6:E7"/>
    <mergeCell ref="F6:F7"/>
    <mergeCell ref="G6:G7"/>
    <mergeCell ref="N6:N7"/>
    <mergeCell ref="I23:I24"/>
    <mergeCell ref="H6:H7"/>
    <mergeCell ref="I6:I7"/>
  </mergeCells>
  <printOptions horizontalCentered="1"/>
  <pageMargins left="0" right="0" top="0" bottom="0.74803149606299202" header="0.31496062992126" footer="0.31496062992126"/>
  <pageSetup paperSize="9" scale="43" orientation="landscape" r:id="rId1"/>
  <headerFooter>
    <oddFooter xml:space="preserve">&amp;C&amp;9
&amp;10Grha Pelindo Satu Gedung B Lt. 2, Jl. Lingkar Pelabuhan No. 1, Belawan - Indonesia
e-mail : prima@primatpk.co.id., website : http://www.primatpk.co.id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0"/>
  <sheetViews>
    <sheetView view="pageBreakPreview" zoomScale="60" zoomScaleNormal="100" workbookViewId="0">
      <selection activeCell="Y36" sqref="Y36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32" ht="18.75" customHeight="1" x14ac:dyDescent="0.35">
      <c r="A1" s="357" t="s">
        <v>42</v>
      </c>
      <c r="B1" s="35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32" ht="21" customHeight="1" x14ac:dyDescent="0.35">
      <c r="A2" s="309"/>
      <c r="B2" s="30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32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32" ht="16.5" customHeight="1" x14ac:dyDescent="0.25">
      <c r="A4" s="13"/>
      <c r="B4" s="358" t="s">
        <v>165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</row>
    <row r="5" spans="1:32" ht="16.5" customHeight="1" x14ac:dyDescent="0.25">
      <c r="A5" s="13"/>
      <c r="B5" s="358" t="s">
        <v>228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  <c r="X5" s="358"/>
    </row>
    <row r="6" spans="1:32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32" ht="20.149999999999999" customHeight="1" x14ac:dyDescent="0.25">
      <c r="A7" s="359" t="s">
        <v>7</v>
      </c>
      <c r="B7" s="359" t="s">
        <v>66</v>
      </c>
      <c r="C7" s="359" t="s">
        <v>21</v>
      </c>
      <c r="D7" s="359" t="s">
        <v>0</v>
      </c>
      <c r="E7" s="359" t="s">
        <v>2</v>
      </c>
      <c r="F7" s="359" t="s">
        <v>16</v>
      </c>
      <c r="G7" s="359" t="s">
        <v>17</v>
      </c>
      <c r="H7" s="359" t="s">
        <v>18</v>
      </c>
      <c r="I7" s="359" t="s">
        <v>6</v>
      </c>
      <c r="J7" s="359" t="s">
        <v>23</v>
      </c>
      <c r="K7" s="359" t="s">
        <v>4</v>
      </c>
      <c r="L7" s="359" t="s">
        <v>3</v>
      </c>
      <c r="M7" s="359" t="s">
        <v>19</v>
      </c>
      <c r="N7" s="359" t="s">
        <v>9</v>
      </c>
      <c r="O7" s="359" t="s">
        <v>8</v>
      </c>
      <c r="P7" s="359" t="s">
        <v>5</v>
      </c>
      <c r="Q7" s="359" t="s">
        <v>11</v>
      </c>
      <c r="R7" s="359" t="s">
        <v>10</v>
      </c>
      <c r="S7" s="22" t="s">
        <v>12</v>
      </c>
      <c r="T7" s="22"/>
      <c r="U7" s="22"/>
      <c r="V7" s="22"/>
      <c r="W7" s="22"/>
      <c r="X7" s="362" t="s">
        <v>24</v>
      </c>
    </row>
    <row r="8" spans="1:32" ht="20.149999999999999" customHeight="1" x14ac:dyDescent="0.25">
      <c r="A8" s="360"/>
      <c r="B8" s="361"/>
      <c r="C8" s="361"/>
      <c r="D8" s="361"/>
      <c r="E8" s="361"/>
      <c r="F8" s="361"/>
      <c r="G8" s="360"/>
      <c r="H8" s="360"/>
      <c r="I8" s="360"/>
      <c r="J8" s="360"/>
      <c r="K8" s="360"/>
      <c r="L8" s="360"/>
      <c r="M8" s="360"/>
      <c r="N8" s="360"/>
      <c r="O8" s="360"/>
      <c r="P8" s="360"/>
      <c r="Q8" s="360"/>
      <c r="R8" s="360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62"/>
    </row>
    <row r="9" spans="1:32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32" ht="20.149999999999999" customHeight="1" x14ac:dyDescent="0.35">
      <c r="A10" s="126">
        <v>1</v>
      </c>
      <c r="B10" s="46" t="s">
        <v>26</v>
      </c>
      <c r="C10" s="36" t="s">
        <v>50</v>
      </c>
      <c r="D10" s="37"/>
      <c r="E10" s="38"/>
      <c r="F10" s="39"/>
      <c r="G10" s="40"/>
      <c r="H10" s="40"/>
      <c r="I10" s="40"/>
      <c r="J10" s="41">
        <f>'NET PEGAWAI PTP'!X8</f>
        <v>7941820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320" t="s">
        <v>119</v>
      </c>
      <c r="Y10">
        <f>'NET PEGAWAI PTP'!L8</f>
        <v>8076645</v>
      </c>
      <c r="Z10" s="30" t="e">
        <f>'NET PEGAWAI PTP'!N8+'NET PEGAWAI PTP'!P8+'NET PEGAWAI PTP'!#REF!</f>
        <v>#REF!</v>
      </c>
      <c r="AA10" s="48" t="e">
        <f>Y10-Z10</f>
        <v>#REF!</v>
      </c>
    </row>
    <row r="11" spans="1:32" ht="20.149999999999999" customHeight="1" x14ac:dyDescent="0.35">
      <c r="A11" s="122">
        <v>2</v>
      </c>
      <c r="B11" s="46" t="s">
        <v>27</v>
      </c>
      <c r="C11" s="36" t="s">
        <v>51</v>
      </c>
      <c r="D11" s="37"/>
      <c r="E11" s="38"/>
      <c r="F11" s="39"/>
      <c r="G11" s="40"/>
      <c r="H11" s="40"/>
      <c r="I11" s="40"/>
      <c r="J11" s="41">
        <f>'NET PEGAWAI PTP'!X9</f>
        <v>10303709.050000001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320" t="s">
        <v>28</v>
      </c>
      <c r="Y11">
        <f>'NET PEGAWAI PTP'!L9</f>
        <v>10831645</v>
      </c>
      <c r="Z11" s="30" t="e">
        <f>'NET PEGAWAI PTP'!N9+'NET PEGAWAI PTP'!P9+'NET PEGAWAI PTP'!#REF!</f>
        <v>#REF!</v>
      </c>
      <c r="AA11" s="48" t="e">
        <f>Y11-Z11</f>
        <v>#REF!</v>
      </c>
    </row>
    <row r="12" spans="1:32" ht="20.149999999999999" customHeight="1" x14ac:dyDescent="0.35">
      <c r="A12" s="126">
        <v>3</v>
      </c>
      <c r="B12" s="46" t="s">
        <v>63</v>
      </c>
      <c r="C12" s="36" t="s">
        <v>52</v>
      </c>
      <c r="D12" s="61"/>
      <c r="E12" s="62"/>
      <c r="F12" s="63"/>
      <c r="G12" s="64"/>
      <c r="H12" s="64"/>
      <c r="I12" s="64"/>
      <c r="J12" s="70">
        <f>'NET PEGAWAI PTP'!X10</f>
        <v>6122143.3700000001</v>
      </c>
      <c r="K12" s="65"/>
      <c r="L12" s="65"/>
      <c r="M12" s="65"/>
      <c r="N12" s="63"/>
      <c r="O12" s="66"/>
      <c r="P12" s="65"/>
      <c r="Q12" s="63"/>
      <c r="R12" s="63"/>
      <c r="S12" s="66"/>
      <c r="T12" s="66"/>
      <c r="U12" s="66"/>
      <c r="V12" s="66"/>
      <c r="W12" s="66"/>
      <c r="X12" s="321" t="s">
        <v>64</v>
      </c>
      <c r="Y12">
        <f>'NET PEGAWAI PTP'!L10</f>
        <v>6430645</v>
      </c>
      <c r="Z12" s="30" t="e">
        <f>'NET PEGAWAI PTP'!#REF!</f>
        <v>#REF!</v>
      </c>
      <c r="AA12" s="48" t="e">
        <f>Y12-Z12</f>
        <v>#REF!</v>
      </c>
    </row>
    <row r="13" spans="1:32" ht="20.149999999999999" customHeight="1" x14ac:dyDescent="0.35">
      <c r="A13" s="122">
        <v>4</v>
      </c>
      <c r="B13" s="46" t="s">
        <v>71</v>
      </c>
      <c r="C13" s="36" t="s">
        <v>51</v>
      </c>
      <c r="D13" s="61"/>
      <c r="E13" s="62"/>
      <c r="F13" s="63"/>
      <c r="G13" s="64"/>
      <c r="H13" s="64"/>
      <c r="I13" s="64"/>
      <c r="J13" s="70">
        <f>'NET PEGAWAI PTP'!X11</f>
        <v>6718520.6399999997</v>
      </c>
      <c r="K13" s="65"/>
      <c r="L13" s="65"/>
      <c r="M13" s="65"/>
      <c r="N13" s="63"/>
      <c r="O13" s="66"/>
      <c r="P13" s="65"/>
      <c r="Q13" s="63"/>
      <c r="R13" s="63"/>
      <c r="S13" s="66"/>
      <c r="T13" s="66"/>
      <c r="U13" s="66"/>
      <c r="V13" s="66"/>
      <c r="W13" s="66"/>
      <c r="X13" s="321" t="s">
        <v>74</v>
      </c>
      <c r="Z13" s="30"/>
      <c r="AA13" s="48"/>
    </row>
    <row r="14" spans="1:32" ht="20.149999999999999" customHeight="1" x14ac:dyDescent="0.35">
      <c r="A14" s="126">
        <v>5</v>
      </c>
      <c r="B14" s="46" t="s">
        <v>102</v>
      </c>
      <c r="C14" s="36" t="s">
        <v>52</v>
      </c>
      <c r="D14" s="61"/>
      <c r="E14" s="62"/>
      <c r="F14" s="63"/>
      <c r="G14" s="64"/>
      <c r="H14" s="64"/>
      <c r="I14" s="64"/>
      <c r="J14" s="70">
        <f>'NET PEGAWAI PTP'!X13</f>
        <v>6109104.3700000001</v>
      </c>
      <c r="K14" s="65"/>
      <c r="L14" s="65"/>
      <c r="M14" s="65"/>
      <c r="N14" s="63"/>
      <c r="O14" s="66"/>
      <c r="P14" s="65"/>
      <c r="Q14" s="63"/>
      <c r="R14" s="63"/>
      <c r="S14" s="66"/>
      <c r="T14" s="66"/>
      <c r="U14" s="66"/>
      <c r="V14" s="66"/>
      <c r="W14" s="66"/>
      <c r="X14" s="321" t="s">
        <v>109</v>
      </c>
      <c r="Z14" s="30"/>
      <c r="AA14" s="48"/>
      <c r="AD14" s="151"/>
      <c r="AE14" s="178"/>
      <c r="AF14" s="20"/>
    </row>
    <row r="15" spans="1:32" ht="20.149999999999999" customHeight="1" x14ac:dyDescent="0.35">
      <c r="A15" s="122">
        <v>6</v>
      </c>
      <c r="B15" s="46" t="s">
        <v>198</v>
      </c>
      <c r="C15" s="36" t="s">
        <v>86</v>
      </c>
      <c r="D15" s="61"/>
      <c r="E15" s="62"/>
      <c r="F15" s="63"/>
      <c r="G15" s="64"/>
      <c r="H15" s="64"/>
      <c r="I15" s="64"/>
      <c r="J15" s="70">
        <f>'NET PEGAWAI PTP'!X19</f>
        <v>4269420</v>
      </c>
      <c r="K15" s="65"/>
      <c r="L15" s="65"/>
      <c r="M15" s="65"/>
      <c r="N15" s="63"/>
      <c r="O15" s="66"/>
      <c r="P15" s="65"/>
      <c r="Q15" s="63"/>
      <c r="R15" s="63"/>
      <c r="S15" s="66"/>
      <c r="T15" s="66"/>
      <c r="U15" s="66"/>
      <c r="V15" s="66"/>
      <c r="W15" s="66"/>
      <c r="X15" s="322" t="s">
        <v>203</v>
      </c>
      <c r="Z15" s="30"/>
      <c r="AA15" s="48"/>
      <c r="AD15" s="151"/>
      <c r="AE15" s="20"/>
    </row>
    <row r="16" spans="1:32" ht="20.149999999999999" customHeight="1" x14ac:dyDescent="0.35">
      <c r="A16" s="122">
        <v>7</v>
      </c>
      <c r="B16" s="46" t="s">
        <v>108</v>
      </c>
      <c r="C16" s="36" t="s">
        <v>86</v>
      </c>
      <c r="D16" s="61"/>
      <c r="E16" s="62"/>
      <c r="F16" s="63"/>
      <c r="G16" s="64"/>
      <c r="H16" s="64"/>
      <c r="I16" s="64"/>
      <c r="J16" s="70">
        <f>'NET PEGAWAI PTP'!X14</f>
        <v>5733420.3700000001</v>
      </c>
      <c r="K16" s="65"/>
      <c r="L16" s="65"/>
      <c r="M16" s="65"/>
      <c r="N16" s="63"/>
      <c r="O16" s="66"/>
      <c r="P16" s="65"/>
      <c r="Q16" s="63"/>
      <c r="R16" s="63"/>
      <c r="S16" s="66"/>
      <c r="T16" s="66"/>
      <c r="U16" s="66"/>
      <c r="V16" s="66"/>
      <c r="W16" s="66"/>
      <c r="X16" s="321" t="s">
        <v>110</v>
      </c>
      <c r="Z16" s="30"/>
      <c r="AA16" s="48"/>
      <c r="AD16" s="151"/>
      <c r="AE16" s="178"/>
      <c r="AF16" s="20"/>
    </row>
    <row r="17" spans="1:31" ht="20.149999999999999" customHeight="1" x14ac:dyDescent="0.35">
      <c r="A17" s="126">
        <v>8</v>
      </c>
      <c r="B17" s="46" t="s">
        <v>96</v>
      </c>
      <c r="C17" s="36" t="s">
        <v>50</v>
      </c>
      <c r="D17" s="61"/>
      <c r="E17" s="62"/>
      <c r="F17" s="63"/>
      <c r="G17" s="64"/>
      <c r="H17" s="64"/>
      <c r="I17" s="64"/>
      <c r="J17" s="70">
        <f>'NET PEGAWAI PTP'!X12</f>
        <v>6220622.3700000001</v>
      </c>
      <c r="K17" s="65"/>
      <c r="L17" s="65"/>
      <c r="M17" s="65"/>
      <c r="N17" s="63"/>
      <c r="O17" s="66"/>
      <c r="P17" s="65"/>
      <c r="Q17" s="63"/>
      <c r="R17" s="63"/>
      <c r="S17" s="66"/>
      <c r="T17" s="66"/>
      <c r="U17" s="66"/>
      <c r="V17" s="66"/>
      <c r="W17" s="66"/>
      <c r="X17" s="321" t="s">
        <v>97</v>
      </c>
      <c r="Z17" s="30"/>
      <c r="AA17" s="48"/>
      <c r="AD17" s="250"/>
      <c r="AE17" s="251"/>
    </row>
    <row r="18" spans="1:31" ht="20.149999999999999" customHeight="1" x14ac:dyDescent="0.35">
      <c r="A18" s="122">
        <v>9</v>
      </c>
      <c r="B18" s="238" t="s">
        <v>115</v>
      </c>
      <c r="C18" s="239" t="s">
        <v>86</v>
      </c>
      <c r="D18" s="240"/>
      <c r="E18" s="241"/>
      <c r="F18" s="242"/>
      <c r="G18" s="243"/>
      <c r="H18" s="243"/>
      <c r="I18" s="243"/>
      <c r="J18" s="244">
        <f>'NET PEGAWAI PTP'!X16</f>
        <v>6112990.3700000001</v>
      </c>
      <c r="K18" s="245"/>
      <c r="L18" s="245"/>
      <c r="M18" s="245"/>
      <c r="N18" s="242"/>
      <c r="O18" s="246"/>
      <c r="P18" s="245"/>
      <c r="Q18" s="242"/>
      <c r="R18" s="242"/>
      <c r="S18" s="246"/>
      <c r="T18" s="246"/>
      <c r="U18" s="246"/>
      <c r="V18" s="246"/>
      <c r="W18" s="246"/>
      <c r="X18" s="323" t="s">
        <v>114</v>
      </c>
      <c r="Z18" s="30"/>
      <c r="AA18" s="48"/>
    </row>
    <row r="19" spans="1:31" ht="20.149999999999999" customHeight="1" x14ac:dyDescent="0.35">
      <c r="A19" s="122">
        <v>10</v>
      </c>
      <c r="B19" s="46" t="s">
        <v>90</v>
      </c>
      <c r="C19" s="36" t="s">
        <v>51</v>
      </c>
      <c r="D19" s="61"/>
      <c r="E19" s="62"/>
      <c r="F19" s="63"/>
      <c r="G19" s="64"/>
      <c r="H19" s="64"/>
      <c r="I19" s="64"/>
      <c r="J19" s="70">
        <f>'NET PEGAWAI PTP'!X18</f>
        <v>6141572.3700000001</v>
      </c>
      <c r="K19" s="65"/>
      <c r="L19" s="65"/>
      <c r="M19" s="65"/>
      <c r="N19" s="63"/>
      <c r="O19" s="66"/>
      <c r="P19" s="65"/>
      <c r="Q19" s="63"/>
      <c r="R19" s="63"/>
      <c r="S19" s="66"/>
      <c r="T19" s="66"/>
      <c r="U19" s="66"/>
      <c r="V19" s="66"/>
      <c r="W19" s="66"/>
      <c r="X19" s="321" t="s">
        <v>182</v>
      </c>
      <c r="Z19" s="30"/>
      <c r="AA19" s="48"/>
    </row>
    <row r="20" spans="1:31" ht="20.149999999999999" customHeight="1" x14ac:dyDescent="0.35">
      <c r="A20" s="126">
        <v>11</v>
      </c>
      <c r="B20" s="46" t="s">
        <v>210</v>
      </c>
      <c r="C20" s="36" t="s">
        <v>52</v>
      </c>
      <c r="D20" s="61"/>
      <c r="E20" s="62"/>
      <c r="F20" s="63"/>
      <c r="G20" s="64"/>
      <c r="H20" s="64"/>
      <c r="I20" s="64"/>
      <c r="J20" s="70">
        <f>'NET PEGAWAI PTP'!X15</f>
        <v>6220622.3700000001</v>
      </c>
      <c r="K20" s="65"/>
      <c r="L20" s="65"/>
      <c r="M20" s="65"/>
      <c r="N20" s="63"/>
      <c r="O20" s="66"/>
      <c r="P20" s="65"/>
      <c r="Q20" s="63"/>
      <c r="R20" s="63"/>
      <c r="S20" s="66"/>
      <c r="T20" s="66"/>
      <c r="U20" s="66"/>
      <c r="V20" s="66"/>
      <c r="W20" s="66"/>
      <c r="X20" s="249" t="s">
        <v>202</v>
      </c>
      <c r="Z20" s="30"/>
      <c r="AA20" s="48"/>
    </row>
    <row r="21" spans="1:31" ht="20.149999999999999" customHeight="1" x14ac:dyDescent="0.35">
      <c r="A21" s="126">
        <v>12</v>
      </c>
      <c r="B21" s="311" t="s">
        <v>127</v>
      </c>
      <c r="C21" s="312" t="s">
        <v>50</v>
      </c>
      <c r="D21" s="313"/>
      <c r="E21" s="314"/>
      <c r="F21" s="315"/>
      <c r="G21" s="316"/>
      <c r="H21" s="316"/>
      <c r="I21" s="316"/>
      <c r="J21" s="317">
        <f>'NET PEGAWAI PTP'!X17</f>
        <v>6220622.3700000001</v>
      </c>
      <c r="K21" s="318"/>
      <c r="L21" s="318"/>
      <c r="M21" s="318"/>
      <c r="N21" s="315"/>
      <c r="O21" s="319"/>
      <c r="P21" s="318"/>
      <c r="Q21" s="315"/>
      <c r="R21" s="315"/>
      <c r="S21" s="319"/>
      <c r="T21" s="319"/>
      <c r="U21" s="319"/>
      <c r="V21" s="319"/>
      <c r="W21" s="319"/>
      <c r="X21" s="249" t="s">
        <v>129</v>
      </c>
      <c r="Z21" s="30"/>
      <c r="AA21" s="48"/>
    </row>
    <row r="22" spans="1:31" ht="15" customHeight="1" x14ac:dyDescent="0.35">
      <c r="A22" s="53"/>
      <c r="B22" s="54"/>
      <c r="C22" s="54"/>
      <c r="D22" s="55"/>
      <c r="E22" s="56"/>
      <c r="F22" s="353">
        <f>SUM(F9:F11)</f>
        <v>0</v>
      </c>
      <c r="G22" s="353">
        <f>SUM(G9:G11)</f>
        <v>0</v>
      </c>
      <c r="H22" s="353">
        <f>SUM(H9:H11)</f>
        <v>0</v>
      </c>
      <c r="I22" s="353">
        <f>SUM(I9:I11)</f>
        <v>0</v>
      </c>
      <c r="J22" s="355">
        <f>SUM(J10:J21)</f>
        <v>78114567.649999991</v>
      </c>
      <c r="K22" s="353">
        <f t="shared" ref="K22:W22" si="0">SUM(K9:K11)</f>
        <v>0</v>
      </c>
      <c r="L22" s="353">
        <f t="shared" si="0"/>
        <v>0</v>
      </c>
      <c r="M22" s="353">
        <f t="shared" si="0"/>
        <v>0</v>
      </c>
      <c r="N22" s="353">
        <f t="shared" si="0"/>
        <v>0</v>
      </c>
      <c r="O22" s="353">
        <f t="shared" si="0"/>
        <v>0</v>
      </c>
      <c r="P22" s="353">
        <f t="shared" si="0"/>
        <v>0</v>
      </c>
      <c r="Q22" s="353">
        <f t="shared" si="0"/>
        <v>0</v>
      </c>
      <c r="R22" s="353">
        <f t="shared" si="0"/>
        <v>0</v>
      </c>
      <c r="S22" s="353">
        <f t="shared" si="0"/>
        <v>0</v>
      </c>
      <c r="T22" s="353">
        <f t="shared" si="0"/>
        <v>0</v>
      </c>
      <c r="U22" s="353">
        <f t="shared" si="0"/>
        <v>0</v>
      </c>
      <c r="V22" s="353">
        <f t="shared" si="0"/>
        <v>0</v>
      </c>
      <c r="W22" s="353">
        <f t="shared" si="0"/>
        <v>0</v>
      </c>
      <c r="X22" s="353"/>
      <c r="AA22" s="20"/>
    </row>
    <row r="23" spans="1:31" ht="15" customHeight="1" thickBot="1" x14ac:dyDescent="0.4">
      <c r="A23" s="57"/>
      <c r="B23" s="58"/>
      <c r="C23" s="58"/>
      <c r="D23" s="59"/>
      <c r="E23" s="60"/>
      <c r="F23" s="354"/>
      <c r="G23" s="354"/>
      <c r="H23" s="354"/>
      <c r="I23" s="354"/>
      <c r="J23" s="356"/>
      <c r="K23" s="354"/>
      <c r="L23" s="354"/>
      <c r="M23" s="354"/>
      <c r="N23" s="354"/>
      <c r="O23" s="354"/>
      <c r="P23" s="354"/>
      <c r="Q23" s="354"/>
      <c r="R23" s="354"/>
      <c r="S23" s="354"/>
      <c r="T23" s="354"/>
      <c r="U23" s="354"/>
      <c r="V23" s="354"/>
      <c r="W23" s="354"/>
      <c r="X23" s="354"/>
      <c r="Z23" s="20"/>
    </row>
    <row r="24" spans="1:31" ht="11.25" customHeight="1" thickTop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31" ht="14.5" x14ac:dyDescent="0.35">
      <c r="A25" s="6"/>
      <c r="B25" s="310" t="s">
        <v>195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310" t="s">
        <v>231</v>
      </c>
    </row>
    <row r="26" spans="1:31" ht="14.5" x14ac:dyDescent="0.35">
      <c r="A26" s="6"/>
      <c r="B26" s="310" t="s">
        <v>185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310" t="s">
        <v>36</v>
      </c>
    </row>
    <row r="27" spans="1:31" ht="17.2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31" ht="17.2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31" ht="17.2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31" ht="14.5" x14ac:dyDescent="0.35">
      <c r="A30" s="6"/>
      <c r="B30" s="310" t="s">
        <v>184</v>
      </c>
      <c r="C30" s="6" t="s">
        <v>43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310" t="s">
        <v>167</v>
      </c>
    </row>
  </sheetData>
  <mergeCells count="41">
    <mergeCell ref="K7:K8"/>
    <mergeCell ref="L7:L8"/>
    <mergeCell ref="P7:P8"/>
    <mergeCell ref="Q7:Q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X7:X8"/>
    <mergeCell ref="H7:H8"/>
    <mergeCell ref="I7:I8"/>
    <mergeCell ref="J7:J8"/>
    <mergeCell ref="R7:R8"/>
    <mergeCell ref="Q22:Q23"/>
    <mergeCell ref="F22:F23"/>
    <mergeCell ref="G22:G23"/>
    <mergeCell ref="H22:H23"/>
    <mergeCell ref="I22:I23"/>
    <mergeCell ref="J22:J23"/>
    <mergeCell ref="K22:K23"/>
    <mergeCell ref="L22:L23"/>
    <mergeCell ref="M22:M23"/>
    <mergeCell ref="N22:N23"/>
    <mergeCell ref="O22:O23"/>
    <mergeCell ref="P22:P23"/>
    <mergeCell ref="M7:M8"/>
    <mergeCell ref="N7:N8"/>
    <mergeCell ref="O7:O8"/>
    <mergeCell ref="X22:X23"/>
    <mergeCell ref="R22:R23"/>
    <mergeCell ref="S22:S23"/>
    <mergeCell ref="T22:T23"/>
    <mergeCell ref="U22:U23"/>
    <mergeCell ref="V22:V23"/>
    <mergeCell ref="W22:W23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B1:AC44"/>
  <sheetViews>
    <sheetView view="pageBreakPreview" topLeftCell="A4" zoomScale="85" zoomScaleNormal="100" zoomScaleSheetLayoutView="85" workbookViewId="0">
      <selection activeCell="F12" sqref="F12"/>
    </sheetView>
  </sheetViews>
  <sheetFormatPr defaultRowHeight="12.5" x14ac:dyDescent="0.25"/>
  <cols>
    <col min="1" max="1" width="2.26953125" customWidth="1"/>
    <col min="2" max="2" width="3.81640625" customWidth="1"/>
    <col min="3" max="3" width="29.1796875" customWidth="1"/>
    <col min="4" max="4" width="31" customWidth="1"/>
    <col min="5" max="5" width="12.81640625" customWidth="1"/>
    <col min="6" max="6" width="16.1796875" customWidth="1"/>
    <col min="7" max="7" width="22.54296875" customWidth="1"/>
    <col min="8" max="8" width="7.54296875" customWidth="1"/>
    <col min="9" max="9" width="12.7265625" customWidth="1"/>
    <col min="10" max="10" width="12.81640625" customWidth="1"/>
    <col min="11" max="11" width="12.1796875" customWidth="1"/>
    <col min="12" max="12" width="12.81640625" customWidth="1"/>
    <col min="13" max="13" width="12.54296875" customWidth="1"/>
    <col min="14" max="14" width="12.26953125" customWidth="1"/>
    <col min="15" max="15" width="11.453125" hidden="1" customWidth="1"/>
    <col min="16" max="16" width="4.54296875" hidden="1" customWidth="1"/>
    <col min="17" max="17" width="13" customWidth="1"/>
    <col min="18" max="18" width="15" customWidth="1"/>
    <col min="19" max="19" width="12.1796875" customWidth="1"/>
    <col min="20" max="20" width="15" customWidth="1"/>
    <col min="21" max="21" width="11.7265625" customWidth="1"/>
    <col min="22" max="22" width="12.54296875" customWidth="1"/>
    <col min="23" max="23" width="11.7265625" customWidth="1"/>
    <col min="24" max="24" width="12.81640625" customWidth="1"/>
    <col min="25" max="25" width="2.7265625" customWidth="1"/>
    <col min="26" max="29" width="13.26953125" bestFit="1" customWidth="1"/>
  </cols>
  <sheetData>
    <row r="1" spans="2:29" ht="45.75" customHeight="1" x14ac:dyDescent="0.35">
      <c r="B1" s="6"/>
      <c r="C1" s="6"/>
      <c r="D1" s="6"/>
      <c r="E1" s="6"/>
      <c r="F1" s="6"/>
      <c r="G1" s="6" t="s">
        <v>43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2:29" ht="12.75" customHeight="1" x14ac:dyDescent="0.25">
      <c r="B2" s="363" t="s">
        <v>142</v>
      </c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95"/>
    </row>
    <row r="3" spans="2:29" ht="12.75" customHeight="1" x14ac:dyDescent="0.25">
      <c r="B3" s="364" t="s">
        <v>228</v>
      </c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  <c r="X3" s="412"/>
      <c r="Y3" s="96"/>
    </row>
    <row r="4" spans="2:29" ht="6" customHeight="1" x14ac:dyDescent="0.35">
      <c r="B4" s="1"/>
      <c r="C4" s="2"/>
      <c r="D4" s="2"/>
      <c r="E4" s="2"/>
      <c r="F4" s="2"/>
      <c r="G4" s="3"/>
      <c r="H4" s="1"/>
      <c r="I4" s="4"/>
      <c r="J4" s="2"/>
      <c r="K4" s="2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9" ht="26.25" customHeight="1" x14ac:dyDescent="0.25">
      <c r="B5" s="373" t="s">
        <v>7</v>
      </c>
      <c r="C5" s="373" t="s">
        <v>66</v>
      </c>
      <c r="D5" s="373" t="s">
        <v>21</v>
      </c>
      <c r="E5" s="373" t="s">
        <v>166</v>
      </c>
      <c r="F5" s="373" t="s">
        <v>70</v>
      </c>
      <c r="G5" s="373" t="s">
        <v>0</v>
      </c>
      <c r="H5" s="373" t="s">
        <v>2</v>
      </c>
      <c r="I5" s="373" t="s">
        <v>67</v>
      </c>
      <c r="J5" s="373" t="s">
        <v>140</v>
      </c>
      <c r="K5" s="373" t="s">
        <v>141</v>
      </c>
      <c r="L5" s="379" t="s">
        <v>68</v>
      </c>
      <c r="M5" s="403" t="s">
        <v>144</v>
      </c>
      <c r="N5" s="373" t="s">
        <v>143</v>
      </c>
      <c r="O5" s="373" t="s">
        <v>95</v>
      </c>
      <c r="P5" s="373" t="s">
        <v>56</v>
      </c>
      <c r="Q5" s="388" t="s">
        <v>153</v>
      </c>
      <c r="R5" s="389"/>
      <c r="S5" s="389"/>
      <c r="T5" s="389"/>
      <c r="U5" s="390"/>
      <c r="V5" s="373" t="s">
        <v>154</v>
      </c>
      <c r="W5" s="373" t="s">
        <v>189</v>
      </c>
      <c r="X5" s="373" t="s">
        <v>82</v>
      </c>
      <c r="Y5" s="107"/>
    </row>
    <row r="6" spans="2:29" ht="96" customHeight="1" thickBot="1" x14ac:dyDescent="0.3">
      <c r="B6" s="374"/>
      <c r="C6" s="375"/>
      <c r="D6" s="375"/>
      <c r="E6" s="374"/>
      <c r="F6" s="374"/>
      <c r="G6" s="375"/>
      <c r="H6" s="375"/>
      <c r="I6" s="375"/>
      <c r="J6" s="374"/>
      <c r="K6" s="374"/>
      <c r="L6" s="380"/>
      <c r="M6" s="404"/>
      <c r="N6" s="374"/>
      <c r="O6" s="374"/>
      <c r="P6" s="374"/>
      <c r="Q6" s="236" t="s">
        <v>237</v>
      </c>
      <c r="R6" s="236" t="s">
        <v>238</v>
      </c>
      <c r="S6" s="236" t="s">
        <v>217</v>
      </c>
      <c r="T6" s="342" t="s">
        <v>239</v>
      </c>
      <c r="U6" s="340" t="s">
        <v>216</v>
      </c>
      <c r="V6" s="374"/>
      <c r="W6" s="374"/>
      <c r="X6" s="374"/>
      <c r="Y6" s="107"/>
      <c r="Z6" t="s">
        <v>179</v>
      </c>
      <c r="AA6" t="s">
        <v>226</v>
      </c>
      <c r="AB6" t="s">
        <v>226</v>
      </c>
    </row>
    <row r="7" spans="2:29" s="25" customFormat="1" ht="9.75" customHeight="1" x14ac:dyDescent="0.25">
      <c r="B7" s="116">
        <v>1</v>
      </c>
      <c r="C7" s="116">
        <v>2</v>
      </c>
      <c r="D7" s="116">
        <v>3</v>
      </c>
      <c r="E7" s="116"/>
      <c r="F7" s="116">
        <v>5</v>
      </c>
      <c r="G7" s="117">
        <v>6</v>
      </c>
      <c r="H7" s="117">
        <v>7</v>
      </c>
      <c r="I7" s="116">
        <v>8</v>
      </c>
      <c r="J7" s="116">
        <v>9</v>
      </c>
      <c r="K7" s="116">
        <v>10</v>
      </c>
      <c r="L7" s="118" t="s">
        <v>131</v>
      </c>
      <c r="M7" s="119">
        <v>15</v>
      </c>
      <c r="N7" s="117">
        <v>16</v>
      </c>
      <c r="O7" s="117">
        <v>17</v>
      </c>
      <c r="P7" s="117">
        <v>18</v>
      </c>
      <c r="Q7" s="117">
        <v>17</v>
      </c>
      <c r="R7" s="117">
        <v>18</v>
      </c>
      <c r="S7" s="117">
        <v>19</v>
      </c>
      <c r="T7" s="117"/>
      <c r="U7" s="117">
        <v>20</v>
      </c>
      <c r="V7" s="117">
        <v>21</v>
      </c>
      <c r="W7" s="117">
        <v>23</v>
      </c>
      <c r="X7" s="117" t="s">
        <v>156</v>
      </c>
      <c r="Y7" s="102"/>
    </row>
    <row r="8" spans="2:29" ht="20.149999999999999" customHeight="1" x14ac:dyDescent="0.25">
      <c r="B8" s="129">
        <v>1</v>
      </c>
      <c r="C8" s="80" t="s">
        <v>26</v>
      </c>
      <c r="D8" s="80" t="s">
        <v>50</v>
      </c>
      <c r="E8" s="255">
        <v>0</v>
      </c>
      <c r="F8" s="81" t="s">
        <v>197</v>
      </c>
      <c r="G8" s="131" t="s">
        <v>33</v>
      </c>
      <c r="H8" s="130" t="s">
        <v>35</v>
      </c>
      <c r="I8" s="97">
        <v>3370645</v>
      </c>
      <c r="J8" s="98">
        <v>4706000</v>
      </c>
      <c r="K8" s="98">
        <v>0</v>
      </c>
      <c r="L8" s="99">
        <f t="shared" ref="L8:L18" si="0">SUM(I8:K8)</f>
        <v>8076645</v>
      </c>
      <c r="M8" s="100">
        <v>33706</v>
      </c>
      <c r="N8" s="88">
        <v>101119</v>
      </c>
      <c r="O8" s="152">
        <v>0</v>
      </c>
      <c r="P8" s="88">
        <v>0</v>
      </c>
      <c r="Q8" s="88">
        <v>0</v>
      </c>
      <c r="R8" s="88">
        <v>0</v>
      </c>
      <c r="S8" s="88">
        <f>K8*2.88%</f>
        <v>0</v>
      </c>
      <c r="T8" s="88">
        <f>K8*30%</f>
        <v>0</v>
      </c>
      <c r="U8" s="88">
        <f t="shared" ref="U8" si="1">10%*K8</f>
        <v>0</v>
      </c>
      <c r="V8" s="88">
        <v>0</v>
      </c>
      <c r="W8" s="88">
        <f>M8+N8+Q8+R8+S8+T8+U8+V8</f>
        <v>134825</v>
      </c>
      <c r="X8" s="154">
        <f t="shared" ref="X8:X18" si="2">L8-(M8+N8+Q8+R8+S8+T8+U8+V8)</f>
        <v>7941820</v>
      </c>
      <c r="Y8" s="104"/>
      <c r="Z8" s="20">
        <f t="shared" ref="Z8:Z19" si="3">SUM(M8:V8)</f>
        <v>134825</v>
      </c>
      <c r="AA8" s="20">
        <f t="shared" ref="AA8:AA19" si="4">L8-Z8</f>
        <v>7941820</v>
      </c>
      <c r="AB8" s="91">
        <f>SUM(S8:U8)</f>
        <v>0</v>
      </c>
      <c r="AC8" s="91">
        <f>K8*42.88%</f>
        <v>0</v>
      </c>
    </row>
    <row r="9" spans="2:29" ht="20.149999999999999" customHeight="1" x14ac:dyDescent="0.25">
      <c r="B9" s="129">
        <v>2</v>
      </c>
      <c r="C9" s="80" t="s">
        <v>27</v>
      </c>
      <c r="D9" s="80" t="s">
        <v>51</v>
      </c>
      <c r="E9" s="254">
        <v>0</v>
      </c>
      <c r="F9" s="81" t="s">
        <v>197</v>
      </c>
      <c r="G9" s="131" t="s">
        <v>37</v>
      </c>
      <c r="H9" s="130" t="s">
        <v>35</v>
      </c>
      <c r="I9" s="97">
        <f t="shared" ref="I9" si="5">I8</f>
        <v>3370645</v>
      </c>
      <c r="J9" s="98">
        <v>4706000</v>
      </c>
      <c r="K9" s="98">
        <v>2755000</v>
      </c>
      <c r="L9" s="99">
        <f t="shared" si="0"/>
        <v>10831645</v>
      </c>
      <c r="M9" s="100">
        <v>33706</v>
      </c>
      <c r="N9" s="88">
        <v>101119</v>
      </c>
      <c r="O9" s="152">
        <v>0</v>
      </c>
      <c r="P9" s="88">
        <v>0</v>
      </c>
      <c r="Q9" s="88">
        <v>0</v>
      </c>
      <c r="R9" s="88">
        <v>0</v>
      </c>
      <c r="S9" s="88">
        <f>K9*4.269%</f>
        <v>117610.95</v>
      </c>
      <c r="T9" s="88">
        <f>K9*10%</f>
        <v>275500</v>
      </c>
      <c r="U9" s="88">
        <v>0</v>
      </c>
      <c r="V9" s="88">
        <v>0</v>
      </c>
      <c r="W9" s="88">
        <f>M9+N9+Q9+R9+S9+T9+U9+V9</f>
        <v>527935.94999999995</v>
      </c>
      <c r="X9" s="154">
        <f t="shared" si="2"/>
        <v>10303709.050000001</v>
      </c>
      <c r="Y9" s="104"/>
      <c r="Z9" s="20">
        <f t="shared" si="3"/>
        <v>527935.94999999995</v>
      </c>
      <c r="AA9" s="20">
        <f t="shared" si="4"/>
        <v>10303709.050000001</v>
      </c>
      <c r="AB9" s="91">
        <f>K9*85.731%</f>
        <v>2361889.0499999998</v>
      </c>
      <c r="AC9" s="91">
        <f>K9-S9-T9</f>
        <v>2361889.0499999998</v>
      </c>
    </row>
    <row r="10" spans="2:29" ht="20.149999999999999" customHeight="1" x14ac:dyDescent="0.35">
      <c r="B10" s="129">
        <v>3</v>
      </c>
      <c r="C10" s="79" t="s">
        <v>61</v>
      </c>
      <c r="D10" s="80" t="s">
        <v>52</v>
      </c>
      <c r="E10" s="254">
        <v>0.13541666666666666</v>
      </c>
      <c r="F10" s="81" t="s">
        <v>72</v>
      </c>
      <c r="G10" s="82" t="s">
        <v>62</v>
      </c>
      <c r="H10" s="349" t="s">
        <v>31</v>
      </c>
      <c r="I10" s="84">
        <v>3370645</v>
      </c>
      <c r="J10" s="85">
        <f>[2]Sheet1!$O$19</f>
        <v>2533000</v>
      </c>
      <c r="K10" s="85">
        <f>[2]Sheet1!$Q$19</f>
        <v>527000</v>
      </c>
      <c r="L10" s="86">
        <f t="shared" si="0"/>
        <v>6430645</v>
      </c>
      <c r="M10" s="214">
        <f t="shared" ref="M10:M17" si="6">M9</f>
        <v>33706</v>
      </c>
      <c r="N10" s="87">
        <v>101119</v>
      </c>
      <c r="O10" s="152">
        <v>0</v>
      </c>
      <c r="P10" s="88">
        <v>0</v>
      </c>
      <c r="Q10" s="88">
        <f>15%*K10</f>
        <v>79050</v>
      </c>
      <c r="R10" s="88">
        <v>0</v>
      </c>
      <c r="S10" s="88">
        <f t="shared" ref="S10:S18" si="7">K10*4.269%</f>
        <v>22497.63</v>
      </c>
      <c r="T10" s="88">
        <f t="shared" ref="T10:T18" si="8">K10*10%</f>
        <v>52700</v>
      </c>
      <c r="U10" s="88">
        <v>0</v>
      </c>
      <c r="V10" s="345">
        <v>19429</v>
      </c>
      <c r="W10" s="88">
        <f t="shared" ref="W10:W19" si="9">SUM(M10:V10)</f>
        <v>308501.63</v>
      </c>
      <c r="X10" s="154">
        <f t="shared" si="2"/>
        <v>6122143.3700000001</v>
      </c>
      <c r="Y10" s="105"/>
      <c r="Z10" s="20">
        <f t="shared" si="3"/>
        <v>308501.63</v>
      </c>
      <c r="AA10" s="20">
        <f t="shared" si="4"/>
        <v>6122143.3700000001</v>
      </c>
      <c r="AB10" s="91">
        <f t="shared" ref="AB10:AB18" si="10">K10*85.731%</f>
        <v>451802.36999999994</v>
      </c>
      <c r="AC10" s="91">
        <f t="shared" ref="AC10:AC18" si="11">K10-S10-T10</f>
        <v>451802.37</v>
      </c>
    </row>
    <row r="11" spans="2:29" ht="18" customHeight="1" x14ac:dyDescent="0.35">
      <c r="B11" s="129">
        <v>4</v>
      </c>
      <c r="C11" s="79" t="s">
        <v>81</v>
      </c>
      <c r="D11" s="80" t="s">
        <v>51</v>
      </c>
      <c r="E11" s="254">
        <v>2.2222222222222223E-2</v>
      </c>
      <c r="F11" s="81" t="s">
        <v>206</v>
      </c>
      <c r="G11" s="82" t="s">
        <v>73</v>
      </c>
      <c r="H11" s="83" t="s">
        <v>34</v>
      </c>
      <c r="I11" s="84">
        <f t="shared" ref="I11:I12" si="12">I10</f>
        <v>3370645</v>
      </c>
      <c r="J11" s="85">
        <v>2815000</v>
      </c>
      <c r="K11" s="85">
        <v>944000</v>
      </c>
      <c r="L11" s="86">
        <f t="shared" si="0"/>
        <v>7129645</v>
      </c>
      <c r="M11" s="214">
        <f t="shared" si="6"/>
        <v>33706</v>
      </c>
      <c r="N11" s="87">
        <v>101119</v>
      </c>
      <c r="O11" s="152">
        <v>0</v>
      </c>
      <c r="P11" s="88">
        <v>0</v>
      </c>
      <c r="Q11" s="88">
        <f>15%*K11</f>
        <v>141600</v>
      </c>
      <c r="R11" s="88">
        <v>0</v>
      </c>
      <c r="S11" s="88">
        <f t="shared" si="7"/>
        <v>40299.360000000001</v>
      </c>
      <c r="T11" s="88">
        <f t="shared" si="8"/>
        <v>94400</v>
      </c>
      <c r="U11" s="88">
        <v>0</v>
      </c>
      <c r="V11" s="88">
        <v>0</v>
      </c>
      <c r="W11" s="88">
        <f t="shared" si="9"/>
        <v>411124.36</v>
      </c>
      <c r="X11" s="154">
        <f t="shared" si="2"/>
        <v>6718520.6399999997</v>
      </c>
      <c r="Y11" s="105"/>
      <c r="Z11" s="20">
        <f t="shared" si="3"/>
        <v>411124.36</v>
      </c>
      <c r="AA11" s="20">
        <f t="shared" si="4"/>
        <v>6718520.6399999997</v>
      </c>
      <c r="AB11" s="91">
        <f t="shared" si="10"/>
        <v>809300.6399999999</v>
      </c>
      <c r="AC11" s="91">
        <f t="shared" si="11"/>
        <v>809300.64</v>
      </c>
    </row>
    <row r="12" spans="2:29" ht="20.149999999999999" customHeight="1" x14ac:dyDescent="0.35">
      <c r="B12" s="129">
        <v>5</v>
      </c>
      <c r="C12" s="132" t="s">
        <v>96</v>
      </c>
      <c r="D12" s="133" t="s">
        <v>50</v>
      </c>
      <c r="E12" s="343">
        <v>9.7222222222222224E-3</v>
      </c>
      <c r="F12" s="134" t="s">
        <v>72</v>
      </c>
      <c r="G12" s="135" t="s">
        <v>101</v>
      </c>
      <c r="H12" s="136" t="s">
        <v>35</v>
      </c>
      <c r="I12" s="137">
        <f t="shared" si="12"/>
        <v>3370645</v>
      </c>
      <c r="J12" s="138">
        <v>2533000</v>
      </c>
      <c r="K12" s="138">
        <v>527000</v>
      </c>
      <c r="L12" s="139">
        <f t="shared" si="0"/>
        <v>6430645</v>
      </c>
      <c r="M12" s="215">
        <f t="shared" si="6"/>
        <v>33706</v>
      </c>
      <c r="N12" s="140">
        <v>101119</v>
      </c>
      <c r="O12" s="152">
        <v>0</v>
      </c>
      <c r="P12" s="142">
        <v>0</v>
      </c>
      <c r="Q12" s="88">
        <v>0</v>
      </c>
      <c r="R12" s="142">
        <v>0</v>
      </c>
      <c r="S12" s="88">
        <f t="shared" si="7"/>
        <v>22497.63</v>
      </c>
      <c r="T12" s="88">
        <f t="shared" si="8"/>
        <v>52700</v>
      </c>
      <c r="U12" s="88">
        <v>0</v>
      </c>
      <c r="V12" s="346">
        <v>0</v>
      </c>
      <c r="W12" s="88">
        <f t="shared" si="9"/>
        <v>210022.63</v>
      </c>
      <c r="X12" s="154">
        <f t="shared" si="2"/>
        <v>6220622.3700000001</v>
      </c>
      <c r="Y12" s="105"/>
      <c r="Z12" s="20">
        <f t="shared" si="3"/>
        <v>210022.63</v>
      </c>
      <c r="AA12" s="20">
        <f t="shared" si="4"/>
        <v>6220622.3700000001</v>
      </c>
      <c r="AB12" s="91">
        <f t="shared" si="10"/>
        <v>451802.36999999994</v>
      </c>
      <c r="AC12" s="91">
        <f t="shared" si="11"/>
        <v>451802.37</v>
      </c>
    </row>
    <row r="13" spans="2:29" ht="20.149999999999999" customHeight="1" x14ac:dyDescent="0.35">
      <c r="B13" s="129">
        <v>6</v>
      </c>
      <c r="C13" s="79" t="s">
        <v>102</v>
      </c>
      <c r="D13" s="80" t="s">
        <v>52</v>
      </c>
      <c r="E13" s="283" t="s">
        <v>235</v>
      </c>
      <c r="F13" s="81" t="s">
        <v>72</v>
      </c>
      <c r="G13" s="82" t="s">
        <v>106</v>
      </c>
      <c r="H13" s="83" t="s">
        <v>35</v>
      </c>
      <c r="I13" s="84">
        <f>I11</f>
        <v>3370645</v>
      </c>
      <c r="J13" s="84">
        <v>2533000</v>
      </c>
      <c r="K13" s="84">
        <v>527000</v>
      </c>
      <c r="L13" s="86">
        <f t="shared" si="0"/>
        <v>6430645</v>
      </c>
      <c r="M13" s="214">
        <f t="shared" si="6"/>
        <v>33706</v>
      </c>
      <c r="N13" s="87">
        <v>101119</v>
      </c>
      <c r="O13" s="152">
        <v>0</v>
      </c>
      <c r="P13" s="88">
        <v>0</v>
      </c>
      <c r="Q13" s="295">
        <f>15%*K13</f>
        <v>79050</v>
      </c>
      <c r="R13" s="88">
        <v>0</v>
      </c>
      <c r="S13" s="88">
        <f t="shared" si="7"/>
        <v>22497.63</v>
      </c>
      <c r="T13" s="88">
        <f t="shared" si="8"/>
        <v>52700</v>
      </c>
      <c r="U13" s="88">
        <v>0</v>
      </c>
      <c r="V13" s="337">
        <v>32468</v>
      </c>
      <c r="W13" s="88">
        <f t="shared" si="9"/>
        <v>321540.63</v>
      </c>
      <c r="X13" s="154">
        <f t="shared" si="2"/>
        <v>6109104.3700000001</v>
      </c>
      <c r="Y13" s="105"/>
      <c r="Z13" s="20">
        <f t="shared" si="3"/>
        <v>321540.63</v>
      </c>
      <c r="AA13" s="20">
        <f t="shared" si="4"/>
        <v>6109104.3700000001</v>
      </c>
      <c r="AB13" s="91">
        <f t="shared" si="10"/>
        <v>451802.36999999994</v>
      </c>
      <c r="AC13" s="91">
        <f t="shared" si="11"/>
        <v>451802.37</v>
      </c>
    </row>
    <row r="14" spans="2:29" ht="20.149999999999999" customHeight="1" x14ac:dyDescent="0.35">
      <c r="B14" s="129">
        <v>7</v>
      </c>
      <c r="C14" s="79" t="s">
        <v>103</v>
      </c>
      <c r="D14" s="80" t="s">
        <v>86</v>
      </c>
      <c r="E14" s="283" t="s">
        <v>233</v>
      </c>
      <c r="F14" s="81" t="s">
        <v>72</v>
      </c>
      <c r="G14" s="82" t="s">
        <v>107</v>
      </c>
      <c r="H14" s="83" t="s">
        <v>1</v>
      </c>
      <c r="I14" s="84">
        <f>I11</f>
        <v>3370645</v>
      </c>
      <c r="J14" s="84">
        <v>2533000</v>
      </c>
      <c r="K14" s="84">
        <v>527000</v>
      </c>
      <c r="L14" s="86">
        <f t="shared" si="0"/>
        <v>6430645</v>
      </c>
      <c r="M14" s="214">
        <f t="shared" si="6"/>
        <v>33706</v>
      </c>
      <c r="N14" s="87">
        <v>101119</v>
      </c>
      <c r="O14" s="152">
        <v>0</v>
      </c>
      <c r="P14" s="88">
        <v>0</v>
      </c>
      <c r="Q14" s="295">
        <f>15%*K14</f>
        <v>79050</v>
      </c>
      <c r="R14" s="88">
        <f>55%*K14</f>
        <v>289850</v>
      </c>
      <c r="S14" s="88">
        <f t="shared" si="7"/>
        <v>22497.63</v>
      </c>
      <c r="T14" s="88">
        <f t="shared" si="8"/>
        <v>52700</v>
      </c>
      <c r="U14" s="88">
        <v>0</v>
      </c>
      <c r="V14" s="337">
        <v>118302</v>
      </c>
      <c r="W14" s="88">
        <f t="shared" si="9"/>
        <v>697224.63</v>
      </c>
      <c r="X14" s="154">
        <f t="shared" si="2"/>
        <v>5733420.3700000001</v>
      </c>
      <c r="Y14" s="105"/>
      <c r="Z14" s="20">
        <f t="shared" si="3"/>
        <v>697224.63</v>
      </c>
      <c r="AA14" s="20">
        <f t="shared" si="4"/>
        <v>5733420.3700000001</v>
      </c>
      <c r="AB14" s="91">
        <f t="shared" si="10"/>
        <v>451802.36999999994</v>
      </c>
      <c r="AC14" s="91">
        <f t="shared" si="11"/>
        <v>451802.37</v>
      </c>
    </row>
    <row r="15" spans="2:29" ht="20.149999999999999" customHeight="1" x14ac:dyDescent="0.35">
      <c r="B15" s="129">
        <v>8</v>
      </c>
      <c r="C15" s="79" t="s">
        <v>104</v>
      </c>
      <c r="D15" s="80" t="s">
        <v>52</v>
      </c>
      <c r="E15" s="254">
        <v>6.2499999999999995E-3</v>
      </c>
      <c r="F15" s="81" t="s">
        <v>72</v>
      </c>
      <c r="G15" s="82" t="s">
        <v>105</v>
      </c>
      <c r="H15" s="349" t="s">
        <v>45</v>
      </c>
      <c r="I15" s="84">
        <f>I11</f>
        <v>3370645</v>
      </c>
      <c r="J15" s="84">
        <v>2533000</v>
      </c>
      <c r="K15" s="84">
        <v>527000</v>
      </c>
      <c r="L15" s="86">
        <f t="shared" si="0"/>
        <v>6430645</v>
      </c>
      <c r="M15" s="214">
        <f t="shared" si="6"/>
        <v>33706</v>
      </c>
      <c r="N15" s="87">
        <v>101119</v>
      </c>
      <c r="O15" s="152">
        <v>0</v>
      </c>
      <c r="P15" s="88">
        <v>0</v>
      </c>
      <c r="Q15" s="296">
        <v>0</v>
      </c>
      <c r="R15" s="88">
        <v>0</v>
      </c>
      <c r="S15" s="88">
        <f t="shared" si="7"/>
        <v>22497.63</v>
      </c>
      <c r="T15" s="88">
        <f t="shared" si="8"/>
        <v>52700</v>
      </c>
      <c r="U15" s="88">
        <v>0</v>
      </c>
      <c r="V15" s="88">
        <v>0</v>
      </c>
      <c r="W15" s="88">
        <f t="shared" si="9"/>
        <v>210022.63</v>
      </c>
      <c r="X15" s="154">
        <f t="shared" si="2"/>
        <v>6220622.3700000001</v>
      </c>
      <c r="Y15" s="105"/>
      <c r="Z15" s="20">
        <f t="shared" si="3"/>
        <v>210022.63</v>
      </c>
      <c r="AA15" s="20">
        <f t="shared" si="4"/>
        <v>6220622.3700000001</v>
      </c>
      <c r="AB15" s="91">
        <f t="shared" si="10"/>
        <v>451802.36999999994</v>
      </c>
      <c r="AC15" s="91">
        <f t="shared" si="11"/>
        <v>451802.37</v>
      </c>
    </row>
    <row r="16" spans="2:29" ht="20.149999999999999" customHeight="1" x14ac:dyDescent="0.35">
      <c r="B16" s="129">
        <v>9</v>
      </c>
      <c r="C16" s="143" t="s">
        <v>112</v>
      </c>
      <c r="D16" s="144" t="s">
        <v>86</v>
      </c>
      <c r="E16" s="341" t="s">
        <v>234</v>
      </c>
      <c r="F16" s="145" t="s">
        <v>72</v>
      </c>
      <c r="G16" s="146" t="s">
        <v>113</v>
      </c>
      <c r="H16" s="350" t="s">
        <v>34</v>
      </c>
      <c r="I16" s="351">
        <v>3370645</v>
      </c>
      <c r="J16" s="84">
        <v>2533000</v>
      </c>
      <c r="K16" s="84">
        <v>527000</v>
      </c>
      <c r="L16" s="147">
        <f t="shared" si="0"/>
        <v>6430645</v>
      </c>
      <c r="M16" s="216">
        <f t="shared" si="6"/>
        <v>33706</v>
      </c>
      <c r="N16" s="156">
        <v>101119</v>
      </c>
      <c r="O16" s="148">
        <v>0</v>
      </c>
      <c r="P16" s="149">
        <v>0</v>
      </c>
      <c r="Q16" s="295">
        <f>15%*K16</f>
        <v>79050</v>
      </c>
      <c r="R16" s="149">
        <v>0</v>
      </c>
      <c r="S16" s="88">
        <f t="shared" si="7"/>
        <v>22497.63</v>
      </c>
      <c r="T16" s="88">
        <f t="shared" si="8"/>
        <v>52700</v>
      </c>
      <c r="U16" s="88">
        <v>0</v>
      </c>
      <c r="V16" s="88">
        <v>28582</v>
      </c>
      <c r="W16" s="88">
        <f>SUM(M16:V16)</f>
        <v>317654.63</v>
      </c>
      <c r="X16" s="154">
        <f>L16-(M16+N16+Q16+R16+S16+T16+U16+V16)</f>
        <v>6112990.3700000001</v>
      </c>
      <c r="Y16" s="105"/>
      <c r="Z16" s="20">
        <f t="shared" si="3"/>
        <v>317654.63</v>
      </c>
      <c r="AA16" s="20">
        <f t="shared" si="4"/>
        <v>6112990.3700000001</v>
      </c>
      <c r="AB16" s="91">
        <f t="shared" si="10"/>
        <v>451802.36999999994</v>
      </c>
      <c r="AC16" s="91">
        <f t="shared" si="11"/>
        <v>451802.37</v>
      </c>
    </row>
    <row r="17" spans="2:29" ht="20.149999999999999" customHeight="1" x14ac:dyDescent="0.35">
      <c r="B17" s="129">
        <v>10</v>
      </c>
      <c r="C17" s="79" t="s">
        <v>127</v>
      </c>
      <c r="D17" s="80" t="s">
        <v>50</v>
      </c>
      <c r="E17" s="254">
        <v>1.3194444444444444E-2</v>
      </c>
      <c r="F17" s="81" t="s">
        <v>72</v>
      </c>
      <c r="G17" s="82" t="s">
        <v>128</v>
      </c>
      <c r="H17" s="350" t="s">
        <v>34</v>
      </c>
      <c r="I17" s="84">
        <f>I11</f>
        <v>3370645</v>
      </c>
      <c r="J17" s="84">
        <v>2533000</v>
      </c>
      <c r="K17" s="84">
        <v>527000</v>
      </c>
      <c r="L17" s="86">
        <f t="shared" si="0"/>
        <v>6430645</v>
      </c>
      <c r="M17" s="214">
        <f t="shared" si="6"/>
        <v>33706</v>
      </c>
      <c r="N17" s="87">
        <f>N16</f>
        <v>101119</v>
      </c>
      <c r="O17" s="141">
        <v>0</v>
      </c>
      <c r="P17" s="88">
        <v>0</v>
      </c>
      <c r="Q17" s="88">
        <v>0</v>
      </c>
      <c r="R17" s="88">
        <v>0</v>
      </c>
      <c r="S17" s="88">
        <f t="shared" si="7"/>
        <v>22497.63</v>
      </c>
      <c r="T17" s="88">
        <f t="shared" si="8"/>
        <v>52700</v>
      </c>
      <c r="U17" s="88">
        <v>0</v>
      </c>
      <c r="V17" s="88">
        <v>0</v>
      </c>
      <c r="W17" s="88">
        <f t="shared" si="9"/>
        <v>210022.63</v>
      </c>
      <c r="X17" s="154">
        <f t="shared" si="2"/>
        <v>6220622.3700000001</v>
      </c>
      <c r="Y17" s="105"/>
      <c r="Z17" s="20">
        <f t="shared" si="3"/>
        <v>210022.63</v>
      </c>
      <c r="AA17" s="20">
        <f t="shared" si="4"/>
        <v>6220622.3700000001</v>
      </c>
      <c r="AB17" s="91">
        <f t="shared" si="10"/>
        <v>451802.36999999994</v>
      </c>
      <c r="AC17" s="91">
        <f t="shared" si="11"/>
        <v>451802.37</v>
      </c>
    </row>
    <row r="18" spans="2:29" ht="20.149999999999999" customHeight="1" x14ac:dyDescent="0.35">
      <c r="B18" s="129">
        <v>11</v>
      </c>
      <c r="C18" s="79" t="s">
        <v>90</v>
      </c>
      <c r="D18" s="80" t="s">
        <v>51</v>
      </c>
      <c r="E18" s="254">
        <v>3.4027777777777775E-2</v>
      </c>
      <c r="F18" s="81" t="s">
        <v>72</v>
      </c>
      <c r="G18" s="82" t="s">
        <v>91</v>
      </c>
      <c r="H18" s="349" t="s">
        <v>1</v>
      </c>
      <c r="I18" s="84">
        <f>I17</f>
        <v>3370645</v>
      </c>
      <c r="J18" s="85">
        <f>J17</f>
        <v>2533000</v>
      </c>
      <c r="K18" s="85">
        <f>K17</f>
        <v>527000</v>
      </c>
      <c r="L18" s="86">
        <f t="shared" si="0"/>
        <v>6430645</v>
      </c>
      <c r="M18" s="214">
        <f>M16</f>
        <v>33706</v>
      </c>
      <c r="N18" s="87">
        <f>N17</f>
        <v>101119</v>
      </c>
      <c r="O18" s="261">
        <v>0</v>
      </c>
      <c r="P18" s="88">
        <v>0</v>
      </c>
      <c r="Q18" s="296">
        <f>15%*K18</f>
        <v>79050</v>
      </c>
      <c r="R18" s="88">
        <v>0</v>
      </c>
      <c r="S18" s="88">
        <f t="shared" si="7"/>
        <v>22497.63</v>
      </c>
      <c r="T18" s="88">
        <f t="shared" si="8"/>
        <v>52700</v>
      </c>
      <c r="U18" s="88">
        <v>0</v>
      </c>
      <c r="V18" s="88">
        <v>0</v>
      </c>
      <c r="W18" s="88">
        <f t="shared" si="9"/>
        <v>289072.63</v>
      </c>
      <c r="X18" s="154">
        <f t="shared" si="2"/>
        <v>6141572.3700000001</v>
      </c>
      <c r="Y18" s="20">
        <f>SUM(L18:V18)</f>
        <v>6719717.6299999999</v>
      </c>
      <c r="Z18" s="20">
        <f t="shared" si="3"/>
        <v>289072.63</v>
      </c>
      <c r="AA18" s="20">
        <f t="shared" si="4"/>
        <v>6141572.3700000001</v>
      </c>
      <c r="AB18" s="91">
        <f t="shared" si="10"/>
        <v>451802.36999999994</v>
      </c>
      <c r="AC18" s="91">
        <f t="shared" si="11"/>
        <v>451802.37</v>
      </c>
    </row>
    <row r="19" spans="2:29" ht="20.149999999999999" customHeight="1" x14ac:dyDescent="0.35">
      <c r="B19" s="150">
        <v>12</v>
      </c>
      <c r="C19" s="292" t="s">
        <v>198</v>
      </c>
      <c r="D19" s="168" t="s">
        <v>199</v>
      </c>
      <c r="E19" s="344">
        <v>0</v>
      </c>
      <c r="F19" s="169" t="str">
        <f>F18</f>
        <v>Madya Grade 2</v>
      </c>
      <c r="G19" s="293" t="s">
        <v>200</v>
      </c>
      <c r="H19" s="294" t="s">
        <v>35</v>
      </c>
      <c r="I19" s="287">
        <v>3370645</v>
      </c>
      <c r="J19" s="288">
        <f>20%*J18</f>
        <v>506600</v>
      </c>
      <c r="K19" s="288">
        <v>527000</v>
      </c>
      <c r="L19" s="289">
        <f>I19+J19+K19</f>
        <v>4404245</v>
      </c>
      <c r="M19" s="290">
        <v>33706</v>
      </c>
      <c r="N19" s="291">
        <v>101119</v>
      </c>
      <c r="O19" s="155"/>
      <c r="P19" s="173"/>
      <c r="Q19" s="297">
        <v>0</v>
      </c>
      <c r="R19" s="173">
        <v>0</v>
      </c>
      <c r="S19" s="173">
        <v>0</v>
      </c>
      <c r="T19" s="88">
        <v>0</v>
      </c>
      <c r="U19" s="173">
        <v>0</v>
      </c>
      <c r="V19" s="173">
        <v>0</v>
      </c>
      <c r="W19" s="173">
        <f t="shared" si="9"/>
        <v>134825</v>
      </c>
      <c r="X19" s="167">
        <f>L19-(M19+N19+Q19+R19+S19+U19+V19)</f>
        <v>4269420</v>
      </c>
      <c r="Y19" s="20"/>
      <c r="Z19" s="20">
        <f t="shared" si="3"/>
        <v>134825</v>
      </c>
      <c r="AA19" s="20">
        <f t="shared" si="4"/>
        <v>4269420</v>
      </c>
      <c r="AB19" s="91"/>
    </row>
    <row r="20" spans="2:29" ht="10.5" customHeight="1" x14ac:dyDescent="0.35">
      <c r="B20" s="74"/>
      <c r="C20" s="74"/>
      <c r="D20" s="74"/>
      <c r="E20" s="74"/>
      <c r="F20" s="74"/>
      <c r="G20" s="73"/>
      <c r="H20" s="21"/>
      <c r="I20" s="401">
        <f t="shared" ref="I20:N20" si="13">SUM(I8:I19)</f>
        <v>40447740</v>
      </c>
      <c r="J20" s="401">
        <f t="shared" si="13"/>
        <v>32997600</v>
      </c>
      <c r="K20" s="401">
        <f t="shared" si="13"/>
        <v>8442000</v>
      </c>
      <c r="L20" s="405">
        <f t="shared" si="13"/>
        <v>81887340</v>
      </c>
      <c r="M20" s="407">
        <f t="shared" si="13"/>
        <v>404472</v>
      </c>
      <c r="N20" s="398">
        <f t="shared" si="13"/>
        <v>1213428</v>
      </c>
      <c r="O20" s="398">
        <f t="shared" ref="O20:P20" si="14">SUM(O8:O18)</f>
        <v>0</v>
      </c>
      <c r="P20" s="398">
        <f t="shared" si="14"/>
        <v>0</v>
      </c>
      <c r="Q20" s="393">
        <f t="shared" ref="Q20:X20" si="15">SUM(Q8:Q19)</f>
        <v>536850</v>
      </c>
      <c r="R20" s="393">
        <f t="shared" si="15"/>
        <v>289850</v>
      </c>
      <c r="S20" s="393">
        <f t="shared" si="15"/>
        <v>337891.35000000003</v>
      </c>
      <c r="T20" s="397">
        <f t="shared" si="15"/>
        <v>791500</v>
      </c>
      <c r="U20" s="393">
        <f t="shared" si="15"/>
        <v>0</v>
      </c>
      <c r="V20" s="393">
        <f>SUM(V8:V19)</f>
        <v>198781</v>
      </c>
      <c r="W20" s="395">
        <f t="shared" si="15"/>
        <v>3772772.3499999992</v>
      </c>
      <c r="X20" s="410">
        <f t="shared" si="15"/>
        <v>78114567.649999991</v>
      </c>
      <c r="Y20" s="106"/>
      <c r="Z20" s="93"/>
      <c r="AA20" s="20"/>
    </row>
    <row r="21" spans="2:29" ht="10.5" customHeight="1" thickBot="1" x14ac:dyDescent="0.4">
      <c r="B21" s="75"/>
      <c r="C21" s="75"/>
      <c r="D21" s="75"/>
      <c r="E21" s="75"/>
      <c r="F21" s="75"/>
      <c r="G21" s="76"/>
      <c r="H21" s="77"/>
      <c r="I21" s="402"/>
      <c r="J21" s="402"/>
      <c r="K21" s="402"/>
      <c r="L21" s="406"/>
      <c r="M21" s="408"/>
      <c r="N21" s="399"/>
      <c r="O21" s="399"/>
      <c r="P21" s="399"/>
      <c r="Q21" s="394"/>
      <c r="R21" s="394"/>
      <c r="S21" s="394"/>
      <c r="T21" s="394"/>
      <c r="U21" s="394"/>
      <c r="V21" s="394"/>
      <c r="W21" s="396"/>
      <c r="X21" s="411"/>
      <c r="Y21" s="106"/>
      <c r="Z21" s="20">
        <f>SUM(Z8:Z19)</f>
        <v>3772772.3499999992</v>
      </c>
      <c r="AA21" s="93">
        <f>SUM(AA8:AA19)</f>
        <v>78114567.649999991</v>
      </c>
      <c r="AB21" s="20"/>
    </row>
    <row r="22" spans="2:29" ht="6.75" customHeight="1" thickTop="1" x14ac:dyDescent="0.35"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t="s">
        <v>43</v>
      </c>
    </row>
    <row r="23" spans="2:29" ht="12.75" customHeight="1" x14ac:dyDescent="0.35">
      <c r="B23" s="26" t="s">
        <v>227</v>
      </c>
      <c r="C23" s="26"/>
      <c r="D23" s="26"/>
      <c r="E23" s="26"/>
      <c r="F23" s="26"/>
      <c r="G23" s="26"/>
      <c r="H23" s="28"/>
      <c r="I23" s="26"/>
      <c r="J23" s="26"/>
      <c r="K23" s="2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AA23" s="20">
        <f>L20-Z21</f>
        <v>78114567.650000006</v>
      </c>
    </row>
    <row r="24" spans="2:29" ht="12.75" customHeight="1" x14ac:dyDescent="0.35">
      <c r="B24" s="26" t="s">
        <v>240</v>
      </c>
      <c r="C24" s="26"/>
      <c r="D24" s="26"/>
      <c r="E24" s="26"/>
      <c r="F24" s="26"/>
      <c r="G24" s="26"/>
      <c r="H24" s="26"/>
      <c r="I24" s="26"/>
      <c r="J24" s="26"/>
      <c r="K24" s="26"/>
      <c r="L24" s="6"/>
      <c r="M24" s="6"/>
      <c r="N24" s="6"/>
      <c r="O24" s="6"/>
      <c r="P24" s="6"/>
      <c r="Q24" s="6"/>
      <c r="R24" s="6"/>
      <c r="S24" s="6"/>
      <c r="T24" s="6"/>
      <c r="U24" s="6"/>
      <c r="V24" s="409" t="s">
        <v>229</v>
      </c>
      <c r="W24" s="409"/>
      <c r="X24" s="409"/>
      <c r="Y24" s="6"/>
    </row>
    <row r="25" spans="2:29" ht="13.5" customHeight="1" x14ac:dyDescent="0.35">
      <c r="B25" s="26" t="s">
        <v>236</v>
      </c>
      <c r="C25" s="26"/>
      <c r="D25" s="26"/>
      <c r="E25" s="26"/>
      <c r="F25" s="26"/>
      <c r="G25" s="26"/>
      <c r="H25" s="26"/>
      <c r="I25" s="26"/>
      <c r="J25" s="26"/>
      <c r="K25" s="26"/>
      <c r="N25" s="19"/>
      <c r="O25" s="19"/>
      <c r="P25" s="19"/>
      <c r="Q25" s="19"/>
      <c r="R25" s="19"/>
      <c r="S25" s="19"/>
      <c r="T25" s="19"/>
      <c r="U25" s="19"/>
      <c r="V25" s="409" t="s">
        <v>36</v>
      </c>
      <c r="W25" s="409"/>
      <c r="X25" s="409"/>
    </row>
    <row r="26" spans="2:29" ht="6" customHeight="1" x14ac:dyDescent="0.35">
      <c r="C26" s="6"/>
      <c r="D26" s="6"/>
      <c r="E26" s="6"/>
      <c r="F26" s="6"/>
      <c r="G26" s="6" t="s">
        <v>137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2:29" ht="13.5" customHeight="1" x14ac:dyDescent="0.35">
      <c r="B27" s="27"/>
      <c r="C27" s="6"/>
      <c r="D27" s="6"/>
      <c r="E27" s="6"/>
      <c r="F27" s="6"/>
      <c r="G27" s="6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2:29" ht="15" customHeight="1" x14ac:dyDescent="0.35">
      <c r="C28" s="6"/>
      <c r="D28" s="6"/>
      <c r="E28" s="6"/>
      <c r="F28" s="6"/>
      <c r="G28" s="6"/>
      <c r="N28" s="8"/>
      <c r="O28" s="8"/>
      <c r="P28" s="8"/>
      <c r="Q28" s="8"/>
      <c r="R28" s="8"/>
      <c r="S28" s="94"/>
      <c r="T28" s="94"/>
      <c r="U28" s="94"/>
      <c r="V28" s="400"/>
      <c r="W28" s="400"/>
      <c r="X28" s="400"/>
    </row>
    <row r="29" spans="2:29" ht="14.5" x14ac:dyDescent="0.35">
      <c r="C29" s="6"/>
      <c r="D29" s="6"/>
      <c r="E29" s="6"/>
      <c r="F29" s="6"/>
      <c r="G29" s="6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2:29" ht="13" x14ac:dyDescent="0.3">
      <c r="J30" s="20"/>
      <c r="V30" s="378" t="s">
        <v>167</v>
      </c>
      <c r="W30" s="378"/>
      <c r="X30" s="378"/>
    </row>
    <row r="32" spans="2:29" x14ac:dyDescent="0.25">
      <c r="J32" s="20">
        <f>J20+K20</f>
        <v>41439600</v>
      </c>
    </row>
    <row r="33" spans="13:23" x14ac:dyDescent="0.25">
      <c r="M33">
        <f>10-5.731</f>
        <v>4.2690000000000001</v>
      </c>
    </row>
    <row r="40" spans="13:23" ht="13" x14ac:dyDescent="0.3">
      <c r="V40" s="252"/>
      <c r="W40" s="252">
        <f>10-7.12</f>
        <v>2.88</v>
      </c>
    </row>
    <row r="41" spans="13:23" ht="13" x14ac:dyDescent="0.3">
      <c r="V41" s="252"/>
      <c r="W41" s="252">
        <f>W40+30+10</f>
        <v>42.88</v>
      </c>
    </row>
    <row r="42" spans="13:23" ht="13" x14ac:dyDescent="0.3">
      <c r="V42" s="120"/>
      <c r="W42" s="120">
        <f>50-W41</f>
        <v>7.1199999999999974</v>
      </c>
    </row>
    <row r="43" spans="13:23" ht="13" x14ac:dyDescent="0.3">
      <c r="V43" s="120">
        <f>100-V44</f>
        <v>42.88</v>
      </c>
      <c r="W43" s="120"/>
    </row>
    <row r="44" spans="13:23" ht="13" x14ac:dyDescent="0.3">
      <c r="V44" s="120">
        <f>50+W42</f>
        <v>57.12</v>
      </c>
      <c r="W44" s="120"/>
    </row>
  </sheetData>
  <mergeCells count="41">
    <mergeCell ref="E5:E6"/>
    <mergeCell ref="I20:I21"/>
    <mergeCell ref="J20:J21"/>
    <mergeCell ref="B2:X2"/>
    <mergeCell ref="B3:X3"/>
    <mergeCell ref="B5:B6"/>
    <mergeCell ref="C5:C6"/>
    <mergeCell ref="K5:K6"/>
    <mergeCell ref="D5:D6"/>
    <mergeCell ref="G5:G6"/>
    <mergeCell ref="X5:X6"/>
    <mergeCell ref="W5:W6"/>
    <mergeCell ref="I5:I6"/>
    <mergeCell ref="H5:H6"/>
    <mergeCell ref="F5:F6"/>
    <mergeCell ref="J5:J6"/>
    <mergeCell ref="V30:X30"/>
    <mergeCell ref="V28:X28"/>
    <mergeCell ref="P5:P6"/>
    <mergeCell ref="V5:V6"/>
    <mergeCell ref="K20:K21"/>
    <mergeCell ref="L5:L6"/>
    <mergeCell ref="M5:M6"/>
    <mergeCell ref="L20:L21"/>
    <mergeCell ref="N5:N6"/>
    <mergeCell ref="M20:M21"/>
    <mergeCell ref="N20:N21"/>
    <mergeCell ref="O5:O6"/>
    <mergeCell ref="Q5:U5"/>
    <mergeCell ref="V25:X25"/>
    <mergeCell ref="V24:X24"/>
    <mergeCell ref="X20:X21"/>
    <mergeCell ref="U20:U21"/>
    <mergeCell ref="V20:V21"/>
    <mergeCell ref="W20:W21"/>
    <mergeCell ref="T20:T21"/>
    <mergeCell ref="O20:O21"/>
    <mergeCell ref="P20:P21"/>
    <mergeCell ref="Q20:Q21"/>
    <mergeCell ref="R20:R21"/>
    <mergeCell ref="S20:S21"/>
  </mergeCells>
  <printOptions horizontalCentered="1"/>
  <pageMargins left="0.11811023622047245" right="0.11811023622047245" top="0.11811023622047245" bottom="0.19685039370078741" header="0.31496062992125984" footer="0.11811023622047245"/>
  <pageSetup paperSize="9" scale="47" orientation="landscape" r:id="rId1"/>
  <headerFooter>
    <oddFooter xml:space="preserve">&amp;C&amp;9
&amp;10Grha Pelindo Satu Gedung B Lt. 2, Jl. Lingkar Pelabuhan No. 1, Belawan - Indonesia
e-mail : prima@primatpk.co.id., website : http://www.primatpk.co.id
</oddFooter>
  </headerFooter>
  <ignoredErrors>
    <ignoredError sqref="L12 Q20" formula="1"/>
    <ignoredError sqref="M21" formula="1" formulaRange="1"/>
    <ignoredError sqref="S20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21"/>
  <sheetViews>
    <sheetView view="pageBreakPreview" zoomScale="60" zoomScaleNormal="100" workbookViewId="0">
      <selection activeCell="AA19" sqref="AA19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8" ht="18.75" customHeight="1" x14ac:dyDescent="0.35">
      <c r="A1" s="357" t="s">
        <v>42</v>
      </c>
      <c r="B1" s="35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8" ht="21" customHeight="1" x14ac:dyDescent="0.35">
      <c r="A2" s="160"/>
      <c r="B2" s="16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8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6.5" customHeight="1" x14ac:dyDescent="0.25">
      <c r="A4" s="13"/>
      <c r="B4" s="358" t="s">
        <v>139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</row>
    <row r="5" spans="1:28" ht="16.5" customHeight="1" x14ac:dyDescent="0.25">
      <c r="A5" s="13"/>
      <c r="B5" s="358" t="s">
        <v>228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  <c r="X5" s="358"/>
    </row>
    <row r="6" spans="1:28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8" ht="20.149999999999999" customHeight="1" x14ac:dyDescent="0.25">
      <c r="A7" s="359" t="s">
        <v>7</v>
      </c>
      <c r="B7" s="359" t="s">
        <v>66</v>
      </c>
      <c r="C7" s="359" t="s">
        <v>21</v>
      </c>
      <c r="D7" s="359" t="s">
        <v>0</v>
      </c>
      <c r="E7" s="359" t="s">
        <v>2</v>
      </c>
      <c r="F7" s="359" t="s">
        <v>16</v>
      </c>
      <c r="G7" s="359" t="s">
        <v>17</v>
      </c>
      <c r="H7" s="359" t="s">
        <v>18</v>
      </c>
      <c r="I7" s="359" t="s">
        <v>6</v>
      </c>
      <c r="J7" s="359" t="s">
        <v>23</v>
      </c>
      <c r="K7" s="359" t="s">
        <v>4</v>
      </c>
      <c r="L7" s="359" t="s">
        <v>3</v>
      </c>
      <c r="M7" s="359" t="s">
        <v>19</v>
      </c>
      <c r="N7" s="359" t="s">
        <v>9</v>
      </c>
      <c r="O7" s="359" t="s">
        <v>8</v>
      </c>
      <c r="P7" s="359" t="s">
        <v>5</v>
      </c>
      <c r="Q7" s="359" t="s">
        <v>11</v>
      </c>
      <c r="R7" s="359" t="s">
        <v>10</v>
      </c>
      <c r="S7" s="22" t="s">
        <v>12</v>
      </c>
      <c r="T7" s="22"/>
      <c r="U7" s="22"/>
      <c r="V7" s="22"/>
      <c r="W7" s="22"/>
      <c r="X7" s="362" t="s">
        <v>24</v>
      </c>
    </row>
    <row r="8" spans="1:28" ht="20.149999999999999" customHeight="1" x14ac:dyDescent="0.25">
      <c r="A8" s="360"/>
      <c r="B8" s="361"/>
      <c r="C8" s="361"/>
      <c r="D8" s="361"/>
      <c r="E8" s="361"/>
      <c r="F8" s="361"/>
      <c r="G8" s="360"/>
      <c r="H8" s="360"/>
      <c r="I8" s="360"/>
      <c r="J8" s="360"/>
      <c r="K8" s="360"/>
      <c r="L8" s="360"/>
      <c r="M8" s="360"/>
      <c r="N8" s="360"/>
      <c r="O8" s="360"/>
      <c r="P8" s="360"/>
      <c r="Q8" s="360"/>
      <c r="R8" s="360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62"/>
    </row>
    <row r="9" spans="1:28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8" ht="20.149999999999999" hidden="1" customHeight="1" x14ac:dyDescent="0.35">
      <c r="A10" s="126">
        <v>1</v>
      </c>
      <c r="B10" s="46" t="s">
        <v>117</v>
      </c>
      <c r="C10" s="36" t="s">
        <v>14</v>
      </c>
      <c r="D10" s="37"/>
      <c r="E10" s="38"/>
      <c r="F10" s="39"/>
      <c r="G10" s="40"/>
      <c r="H10" s="40"/>
      <c r="I10" s="40"/>
      <c r="J10" s="41">
        <f>'NET DIREKSI '!V9</f>
        <v>73794437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43" t="s">
        <v>118</v>
      </c>
      <c r="Y10" t="e">
        <f>'NET PEGAWAI PTP'!#REF!</f>
        <v>#REF!</v>
      </c>
      <c r="Z10" s="30" t="e">
        <f>'NET PEGAWAI PTP'!#REF!+'NET PEGAWAI PTP'!#REF!</f>
        <v>#REF!</v>
      </c>
      <c r="AA10" s="48" t="e">
        <f>Y10-Z10</f>
        <v>#REF!</v>
      </c>
      <c r="AB10" s="45"/>
    </row>
    <row r="11" spans="1:28" ht="20.149999999999999" customHeight="1" x14ac:dyDescent="0.35">
      <c r="A11" s="126">
        <v>1</v>
      </c>
      <c r="B11" s="46" t="s">
        <v>157</v>
      </c>
      <c r="C11" s="36" t="s">
        <v>14</v>
      </c>
      <c r="D11" s="37"/>
      <c r="E11" s="38"/>
      <c r="F11" s="39"/>
      <c r="G11" s="40"/>
      <c r="H11" s="40"/>
      <c r="I11" s="40"/>
      <c r="J11" s="41">
        <f>'NET DIREKSI '!V10</f>
        <v>73666078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43" t="s">
        <v>164</v>
      </c>
      <c r="Z11" s="30"/>
      <c r="AA11" s="48"/>
      <c r="AB11" s="45"/>
    </row>
    <row r="12" spans="1:28" ht="20.149999999999999" customHeight="1" x14ac:dyDescent="0.35">
      <c r="A12" s="126">
        <v>2</v>
      </c>
      <c r="B12" s="46" t="s">
        <v>184</v>
      </c>
      <c r="C12" s="36" t="s">
        <v>185</v>
      </c>
      <c r="D12" s="37"/>
      <c r="E12" s="38"/>
      <c r="F12" s="39"/>
      <c r="G12" s="40"/>
      <c r="H12" s="40"/>
      <c r="I12" s="40"/>
      <c r="J12" s="41">
        <f>'NET DIREKSI '!V11</f>
        <v>65472084</v>
      </c>
      <c r="K12" s="42"/>
      <c r="L12" s="42"/>
      <c r="M12" s="42"/>
      <c r="N12" s="39"/>
      <c r="O12" s="43"/>
      <c r="P12" s="42"/>
      <c r="Q12" s="39"/>
      <c r="R12" s="39"/>
      <c r="S12" s="43"/>
      <c r="T12" s="43"/>
      <c r="U12" s="43"/>
      <c r="V12" s="43"/>
      <c r="W12" s="43"/>
      <c r="X12" s="43" t="s">
        <v>188</v>
      </c>
      <c r="Z12" s="30"/>
      <c r="AA12" s="48"/>
      <c r="AB12" s="45"/>
    </row>
    <row r="13" spans="1:28" ht="20.149999999999999" customHeight="1" x14ac:dyDescent="0.35">
      <c r="A13" s="126">
        <v>3</v>
      </c>
      <c r="B13" s="46" t="s">
        <v>92</v>
      </c>
      <c r="C13" s="36" t="s">
        <v>48</v>
      </c>
      <c r="D13" s="37"/>
      <c r="E13" s="38"/>
      <c r="F13" s="39"/>
      <c r="G13" s="40"/>
      <c r="H13" s="40"/>
      <c r="I13" s="40"/>
      <c r="J13" s="179">
        <f>'NET DIREKSI '!V12</f>
        <v>58635225</v>
      </c>
      <c r="K13" s="42"/>
      <c r="L13" s="42"/>
      <c r="M13" s="42"/>
      <c r="N13" s="39"/>
      <c r="O13" s="43"/>
      <c r="P13" s="42"/>
      <c r="Q13" s="39"/>
      <c r="R13" s="39"/>
      <c r="S13" s="43"/>
      <c r="T13" s="43"/>
      <c r="U13" s="43"/>
      <c r="V13" s="43"/>
      <c r="W13" s="43"/>
      <c r="X13" s="43" t="s">
        <v>94</v>
      </c>
      <c r="AB13" s="45"/>
    </row>
    <row r="14" spans="1:28" ht="15" customHeight="1" x14ac:dyDescent="0.35">
      <c r="A14" s="53"/>
      <c r="B14" s="54"/>
      <c r="C14" s="54"/>
      <c r="D14" s="55"/>
      <c r="E14" s="56"/>
      <c r="F14" s="353">
        <f>SUM(F9:F13)</f>
        <v>0</v>
      </c>
      <c r="G14" s="353">
        <f>SUM(G9:G13)</f>
        <v>0</v>
      </c>
      <c r="H14" s="353">
        <f>SUM(H9:H13)</f>
        <v>0</v>
      </c>
      <c r="I14" s="353">
        <f>SUM(I9:I13)</f>
        <v>0</v>
      </c>
      <c r="J14" s="355">
        <f>SUM(J11:J13)</f>
        <v>197773387</v>
      </c>
      <c r="K14" s="353">
        <f t="shared" ref="K14:W14" si="0">SUM(K9:K13)</f>
        <v>0</v>
      </c>
      <c r="L14" s="353">
        <f t="shared" si="0"/>
        <v>0</v>
      </c>
      <c r="M14" s="353">
        <f t="shared" si="0"/>
        <v>0</v>
      </c>
      <c r="N14" s="353">
        <f t="shared" si="0"/>
        <v>0</v>
      </c>
      <c r="O14" s="353">
        <f t="shared" si="0"/>
        <v>0</v>
      </c>
      <c r="P14" s="353">
        <f t="shared" si="0"/>
        <v>0</v>
      </c>
      <c r="Q14" s="353">
        <f t="shared" si="0"/>
        <v>0</v>
      </c>
      <c r="R14" s="353">
        <f t="shared" si="0"/>
        <v>0</v>
      </c>
      <c r="S14" s="353">
        <f t="shared" si="0"/>
        <v>0</v>
      </c>
      <c r="T14" s="353">
        <f t="shared" si="0"/>
        <v>0</v>
      </c>
      <c r="U14" s="353">
        <f t="shared" si="0"/>
        <v>0</v>
      </c>
      <c r="V14" s="353">
        <f t="shared" si="0"/>
        <v>0</v>
      </c>
      <c r="W14" s="353">
        <f t="shared" si="0"/>
        <v>0</v>
      </c>
      <c r="X14" s="353"/>
      <c r="AA14" s="20"/>
    </row>
    <row r="15" spans="1:28" ht="15" customHeight="1" thickBot="1" x14ac:dyDescent="0.4">
      <c r="A15" s="57"/>
      <c r="B15" s="58"/>
      <c r="C15" s="58"/>
      <c r="D15" s="59"/>
      <c r="E15" s="60"/>
      <c r="F15" s="354"/>
      <c r="G15" s="354"/>
      <c r="H15" s="354"/>
      <c r="I15" s="354"/>
      <c r="J15" s="356"/>
      <c r="K15" s="354"/>
      <c r="L15" s="354"/>
      <c r="M15" s="354"/>
      <c r="N15" s="354"/>
      <c r="O15" s="354"/>
      <c r="P15" s="354"/>
      <c r="Q15" s="354"/>
      <c r="R15" s="354"/>
      <c r="S15" s="354"/>
      <c r="T15" s="354"/>
      <c r="U15" s="354"/>
      <c r="V15" s="354"/>
      <c r="W15" s="354"/>
      <c r="X15" s="354"/>
      <c r="Z15" s="20"/>
    </row>
    <row r="16" spans="1:28" ht="11.25" customHeight="1" thickTop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4.5" x14ac:dyDescent="0.35">
      <c r="A17" s="6"/>
      <c r="B17" s="278" t="s">
        <v>195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61" t="s">
        <v>230</v>
      </c>
    </row>
    <row r="18" spans="1:24" ht="14.5" x14ac:dyDescent="0.35">
      <c r="A18" s="6"/>
      <c r="B18" s="278" t="s">
        <v>185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61" t="s">
        <v>36</v>
      </c>
    </row>
    <row r="19" spans="1:24" ht="24.7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24.7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4.5" x14ac:dyDescent="0.35">
      <c r="A21" s="6"/>
      <c r="B21" s="278" t="s">
        <v>184</v>
      </c>
      <c r="C21" s="6" t="s">
        <v>43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161" t="s">
        <v>167</v>
      </c>
    </row>
  </sheetData>
  <mergeCells count="41"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1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A32"/>
  <sheetViews>
    <sheetView view="pageBreakPreview" zoomScaleNormal="90" zoomScaleSheetLayoutView="100" workbookViewId="0">
      <pane xSplit="4" topLeftCell="E1" activePane="topRight" state="frozen"/>
      <selection activeCell="O40" sqref="O40"/>
      <selection pane="topRight" activeCell="H6" sqref="H6:H7"/>
    </sheetView>
  </sheetViews>
  <sheetFormatPr defaultRowHeight="12.5" x14ac:dyDescent="0.25"/>
  <cols>
    <col min="1" max="1" width="2.7265625" customWidth="1"/>
    <col min="2" max="2" width="3.81640625" customWidth="1"/>
    <col min="3" max="3" width="20.54296875" customWidth="1"/>
    <col min="4" max="4" width="29" customWidth="1"/>
    <col min="5" max="5" width="22.54296875" customWidth="1"/>
    <col min="6" max="6" width="8.1796875" customWidth="1"/>
    <col min="7" max="7" width="12.7265625" customWidth="1"/>
    <col min="8" max="8" width="12.81640625" customWidth="1"/>
    <col min="9" max="9" width="12.1796875" customWidth="1"/>
    <col min="10" max="10" width="12" hidden="1" customWidth="1"/>
    <col min="11" max="11" width="12" customWidth="1"/>
    <col min="12" max="12" width="11.81640625" hidden="1" customWidth="1"/>
    <col min="13" max="13" width="12.453125" customWidth="1"/>
    <col min="14" max="14" width="12.81640625" customWidth="1"/>
    <col min="15" max="15" width="12.54296875" customWidth="1"/>
    <col min="16" max="16" width="12.26953125" customWidth="1"/>
    <col min="17" max="17" width="11.26953125" customWidth="1"/>
    <col min="18" max="18" width="10.54296875" customWidth="1"/>
    <col min="19" max="19" width="11.453125" hidden="1" customWidth="1"/>
    <col min="20" max="20" width="11.7265625" customWidth="1"/>
    <col min="21" max="21" width="12.54296875" hidden="1" customWidth="1"/>
    <col min="22" max="22" width="14.1796875" customWidth="1"/>
    <col min="23" max="23" width="2.7265625" customWidth="1"/>
    <col min="24" max="27" width="13.26953125" bestFit="1" customWidth="1"/>
  </cols>
  <sheetData>
    <row r="1" spans="2:27" ht="38.2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2:27" ht="12.75" customHeight="1" x14ac:dyDescent="0.25">
      <c r="B2" s="415" t="s">
        <v>15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163"/>
    </row>
    <row r="3" spans="2:27" ht="12.75" customHeight="1" x14ac:dyDescent="0.25">
      <c r="B3" s="363" t="s">
        <v>145</v>
      </c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164"/>
    </row>
    <row r="4" spans="2:27" ht="12.75" customHeight="1" x14ac:dyDescent="0.25">
      <c r="B4" s="364" t="s">
        <v>228</v>
      </c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165"/>
    </row>
    <row r="5" spans="2:27" ht="6" customHeight="1" x14ac:dyDescent="0.35">
      <c r="B5" s="1"/>
      <c r="C5" s="2"/>
      <c r="D5" s="2"/>
      <c r="E5" s="3"/>
      <c r="F5" s="1"/>
      <c r="G5" s="4"/>
      <c r="H5" s="2"/>
      <c r="I5" s="2"/>
      <c r="J5" s="2"/>
      <c r="K5" s="2"/>
      <c r="L5" s="2"/>
      <c r="M5" s="2"/>
      <c r="N5" s="5"/>
      <c r="O5" s="2"/>
      <c r="P5" s="2"/>
      <c r="Q5" s="2"/>
      <c r="R5" s="2"/>
      <c r="S5" s="2"/>
      <c r="T5" s="2"/>
      <c r="U5" s="2"/>
      <c r="V5" s="2"/>
      <c r="W5" s="2"/>
    </row>
    <row r="6" spans="2:27" ht="36" customHeight="1" x14ac:dyDescent="0.25">
      <c r="B6" s="373" t="s">
        <v>7</v>
      </c>
      <c r="C6" s="373" t="s">
        <v>66</v>
      </c>
      <c r="D6" s="373" t="s">
        <v>21</v>
      </c>
      <c r="E6" s="373" t="s">
        <v>0</v>
      </c>
      <c r="F6" s="373" t="s">
        <v>2</v>
      </c>
      <c r="G6" s="373" t="s">
        <v>67</v>
      </c>
      <c r="H6" s="373" t="s">
        <v>17</v>
      </c>
      <c r="I6" s="373" t="s">
        <v>18</v>
      </c>
      <c r="J6" s="373" t="s">
        <v>30</v>
      </c>
      <c r="K6" s="373" t="s">
        <v>29</v>
      </c>
      <c r="L6" s="373" t="s">
        <v>6</v>
      </c>
      <c r="M6" s="373" t="s">
        <v>47</v>
      </c>
      <c r="N6" s="379" t="s">
        <v>68</v>
      </c>
      <c r="O6" s="403" t="s">
        <v>83</v>
      </c>
      <c r="P6" s="373" t="s">
        <v>60</v>
      </c>
      <c r="Q6" s="373" t="s">
        <v>190</v>
      </c>
      <c r="R6" s="373" t="s">
        <v>95</v>
      </c>
      <c r="S6" s="373" t="s">
        <v>56</v>
      </c>
      <c r="T6" s="373" t="s">
        <v>49</v>
      </c>
      <c r="U6" s="373" t="s">
        <v>46</v>
      </c>
      <c r="V6" s="373" t="s">
        <v>82</v>
      </c>
      <c r="W6" s="107"/>
    </row>
    <row r="7" spans="2:27" ht="36" customHeight="1" thickBot="1" x14ac:dyDescent="0.3">
      <c r="B7" s="374"/>
      <c r="C7" s="375"/>
      <c r="D7" s="375"/>
      <c r="E7" s="375"/>
      <c r="F7" s="375"/>
      <c r="G7" s="375"/>
      <c r="H7" s="374"/>
      <c r="I7" s="374"/>
      <c r="J7" s="374"/>
      <c r="K7" s="374"/>
      <c r="L7" s="374"/>
      <c r="M7" s="374"/>
      <c r="N7" s="380"/>
      <c r="O7" s="404"/>
      <c r="P7" s="374"/>
      <c r="Q7" s="374"/>
      <c r="R7" s="374"/>
      <c r="S7" s="374"/>
      <c r="T7" s="374"/>
      <c r="U7" s="374"/>
      <c r="V7" s="374"/>
      <c r="W7" s="107"/>
      <c r="X7" t="s">
        <v>161</v>
      </c>
      <c r="Y7" t="s">
        <v>162</v>
      </c>
    </row>
    <row r="8" spans="2:27" s="25" customFormat="1" ht="9" customHeight="1" x14ac:dyDescent="0.25">
      <c r="B8" s="116">
        <v>1</v>
      </c>
      <c r="C8" s="116">
        <v>2</v>
      </c>
      <c r="D8" s="116">
        <v>3</v>
      </c>
      <c r="E8" s="117">
        <v>6</v>
      </c>
      <c r="F8" s="117">
        <v>7</v>
      </c>
      <c r="G8" s="116">
        <v>8</v>
      </c>
      <c r="H8" s="116">
        <v>9</v>
      </c>
      <c r="I8" s="116">
        <v>10</v>
      </c>
      <c r="J8" s="116">
        <v>11</v>
      </c>
      <c r="K8" s="116">
        <v>12</v>
      </c>
      <c r="L8" s="116">
        <v>13</v>
      </c>
      <c r="M8" s="116">
        <v>14</v>
      </c>
      <c r="N8" s="306" t="s">
        <v>131</v>
      </c>
      <c r="O8" s="119">
        <v>15</v>
      </c>
      <c r="P8" s="117">
        <v>16</v>
      </c>
      <c r="Q8" s="117"/>
      <c r="R8" s="117">
        <v>17</v>
      </c>
      <c r="S8" s="117">
        <v>18</v>
      </c>
      <c r="T8" s="117">
        <v>19</v>
      </c>
      <c r="U8" s="117">
        <v>18</v>
      </c>
      <c r="V8" s="117" t="s">
        <v>130</v>
      </c>
      <c r="W8" s="102"/>
    </row>
    <row r="9" spans="2:27" ht="20.149999999999999" hidden="1" customHeight="1" x14ac:dyDescent="0.25">
      <c r="B9" s="217" t="s">
        <v>32</v>
      </c>
      <c r="C9" s="218"/>
      <c r="D9" s="218" t="s">
        <v>14</v>
      </c>
      <c r="E9" s="219"/>
      <c r="F9" s="220"/>
      <c r="G9" s="221">
        <f>60000000</f>
        <v>60000000</v>
      </c>
      <c r="H9" s="222">
        <f>15000000</f>
        <v>15000000</v>
      </c>
      <c r="I9" s="222">
        <v>0</v>
      </c>
      <c r="J9" s="222">
        <v>0</v>
      </c>
      <c r="K9" s="222">
        <v>0</v>
      </c>
      <c r="L9" s="222">
        <v>0</v>
      </c>
      <c r="M9" s="222">
        <v>0</v>
      </c>
      <c r="N9" s="223">
        <f>SUM(G9:M9)</f>
        <v>75000000</v>
      </c>
      <c r="O9" s="224">
        <v>710506</v>
      </c>
      <c r="P9" s="225">
        <v>495057</v>
      </c>
      <c r="Q9" s="224"/>
      <c r="R9" s="226">
        <v>0</v>
      </c>
      <c r="S9" s="225">
        <v>0</v>
      </c>
      <c r="T9" s="225">
        <v>0</v>
      </c>
      <c r="U9" s="227">
        <v>16243042</v>
      </c>
      <c r="V9" s="228">
        <f>N9-(O9+P9+R9+S9+T9)</f>
        <v>73794437</v>
      </c>
      <c r="W9" s="104"/>
      <c r="X9" s="20">
        <f>SUM(O9:T9)</f>
        <v>1205563</v>
      </c>
      <c r="Y9" s="20">
        <f>N9-O9-P9-S9-T9</f>
        <v>73794437</v>
      </c>
      <c r="Z9" s="91">
        <f>O9+P9</f>
        <v>1205563</v>
      </c>
      <c r="AA9" s="90"/>
    </row>
    <row r="10" spans="2:27" ht="20.149999999999999" customHeight="1" x14ac:dyDescent="0.25">
      <c r="B10" s="176" t="s">
        <v>32</v>
      </c>
      <c r="C10" s="80" t="s">
        <v>157</v>
      </c>
      <c r="D10" s="80" t="s">
        <v>14</v>
      </c>
      <c r="E10" s="81" t="s">
        <v>158</v>
      </c>
      <c r="F10" s="130" t="s">
        <v>31</v>
      </c>
      <c r="G10" s="97">
        <v>60000000</v>
      </c>
      <c r="H10" s="98">
        <v>15000000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9">
        <f>G10+H10+I10+J10+K10+L10+M10</f>
        <v>75000000</v>
      </c>
      <c r="O10" s="100">
        <v>756006</v>
      </c>
      <c r="P10" s="88">
        <v>527916</v>
      </c>
      <c r="Q10" s="88">
        <v>50000</v>
      </c>
      <c r="R10" s="261">
        <v>0</v>
      </c>
      <c r="S10" s="88"/>
      <c r="T10" s="88">
        <v>0</v>
      </c>
      <c r="U10" s="101"/>
      <c r="V10" s="154">
        <f>N10-(SUM(O10:T10))</f>
        <v>73666078</v>
      </c>
      <c r="W10" s="104"/>
      <c r="X10" s="20">
        <f>O10+P10+Q10</f>
        <v>1333922</v>
      </c>
      <c r="Y10" s="20">
        <f>N10-(O10+P10+Q10+R10+T10)</f>
        <v>73666078</v>
      </c>
      <c r="Z10" s="91"/>
      <c r="AA10" s="90"/>
    </row>
    <row r="11" spans="2:27" ht="20.149999999999999" customHeight="1" x14ac:dyDescent="0.25">
      <c r="B11" s="176" t="s">
        <v>38</v>
      </c>
      <c r="C11" s="80" t="s">
        <v>184</v>
      </c>
      <c r="D11" s="80" t="s">
        <v>185</v>
      </c>
      <c r="E11" s="81" t="s">
        <v>186</v>
      </c>
      <c r="F11" s="130" t="s">
        <v>31</v>
      </c>
      <c r="G11" s="97">
        <v>51000000</v>
      </c>
      <c r="H11" s="98">
        <v>15000000</v>
      </c>
      <c r="I11" s="98">
        <v>0</v>
      </c>
      <c r="J11" s="98"/>
      <c r="K11" s="98">
        <v>0</v>
      </c>
      <c r="L11" s="98"/>
      <c r="M11" s="98">
        <v>0</v>
      </c>
      <c r="N11" s="99">
        <f>G11+H11</f>
        <v>66000000</v>
      </c>
      <c r="O11" s="100">
        <v>0</v>
      </c>
      <c r="P11" s="88">
        <f>120000+317140+90776</f>
        <v>527916</v>
      </c>
      <c r="Q11" s="88"/>
      <c r="R11" s="261">
        <v>0</v>
      </c>
      <c r="S11" s="88"/>
      <c r="T11" s="88">
        <v>0</v>
      </c>
      <c r="U11" s="101"/>
      <c r="V11" s="154">
        <f>N11-(SUM(O11:T11))</f>
        <v>65472084</v>
      </c>
      <c r="W11" s="104"/>
      <c r="X11" s="20">
        <f>O11+P11+Q11+R11+T11</f>
        <v>527916</v>
      </c>
      <c r="Y11" s="20">
        <f>N11-(O11+P11+Q11+R11+T11)</f>
        <v>65472084</v>
      </c>
      <c r="Z11" s="91"/>
      <c r="AA11" s="90"/>
    </row>
    <row r="12" spans="2:27" ht="20.149999999999999" customHeight="1" x14ac:dyDescent="0.25">
      <c r="B12" s="177" t="s">
        <v>187</v>
      </c>
      <c r="C12" s="168" t="s">
        <v>92</v>
      </c>
      <c r="D12" s="168" t="s">
        <v>22</v>
      </c>
      <c r="E12" s="169" t="s">
        <v>93</v>
      </c>
      <c r="F12" s="170" t="s">
        <v>34</v>
      </c>
      <c r="G12" s="171">
        <f>85%*G9</f>
        <v>51000000</v>
      </c>
      <c r="H12" s="172">
        <f>15000000</f>
        <v>15000000</v>
      </c>
      <c r="I12" s="172">
        <v>0</v>
      </c>
      <c r="J12" s="172">
        <v>0</v>
      </c>
      <c r="K12" s="172">
        <v>0</v>
      </c>
      <c r="L12" s="172">
        <v>0</v>
      </c>
      <c r="M12" s="172">
        <v>0</v>
      </c>
      <c r="N12" s="307">
        <f>SUM(G12:M12)</f>
        <v>66000000</v>
      </c>
      <c r="O12" s="305">
        <v>0</v>
      </c>
      <c r="P12" s="173">
        <f xml:space="preserve"> 317140+90776</f>
        <v>407916</v>
      </c>
      <c r="Q12" s="173"/>
      <c r="R12" s="174">
        <v>6956859</v>
      </c>
      <c r="S12" s="173">
        <v>0</v>
      </c>
      <c r="T12" s="173">
        <v>0</v>
      </c>
      <c r="U12" s="175">
        <v>14316667</v>
      </c>
      <c r="V12" s="154">
        <f>N12-(SUM(O12:T12))</f>
        <v>58635225</v>
      </c>
      <c r="W12" s="104"/>
      <c r="X12" s="20">
        <f>SUM(O12:T12)</f>
        <v>7364775</v>
      </c>
      <c r="Y12" s="20">
        <f>N12-(O12+P12+Q12+R12+T12)</f>
        <v>58635225</v>
      </c>
      <c r="Z12" s="90"/>
      <c r="AA12" s="91" t="e">
        <f>#REF!-R12</f>
        <v>#REF!</v>
      </c>
    </row>
    <row r="13" spans="2:27" ht="10.5" customHeight="1" x14ac:dyDescent="0.35">
      <c r="B13" s="74"/>
      <c r="C13" s="74"/>
      <c r="D13" s="74"/>
      <c r="E13" s="73"/>
      <c r="F13" s="21"/>
      <c r="G13" s="401">
        <f>SUM(G10:G12)</f>
        <v>162000000</v>
      </c>
      <c r="H13" s="401">
        <f>SUM(H10:H12)</f>
        <v>45000000</v>
      </c>
      <c r="I13" s="401">
        <f>SUM(I9:I12)</f>
        <v>0</v>
      </c>
      <c r="J13" s="414">
        <f>SUM(J9:J12)</f>
        <v>0</v>
      </c>
      <c r="K13" s="401">
        <f>SUM(K9:K12)</f>
        <v>0</v>
      </c>
      <c r="L13" s="401">
        <f>SUM(L9:L12)</f>
        <v>0</v>
      </c>
      <c r="M13" s="401">
        <f>SUM(M9:M12)</f>
        <v>0</v>
      </c>
      <c r="N13" s="405">
        <f>SUM(N10:N12)</f>
        <v>207000000</v>
      </c>
      <c r="O13" s="407">
        <f>O10+O11+O12</f>
        <v>756006</v>
      </c>
      <c r="P13" s="398">
        <f>P10+P11+P12</f>
        <v>1463748</v>
      </c>
      <c r="Q13" s="397">
        <f>Q10+Q11+Q12</f>
        <v>50000</v>
      </c>
      <c r="R13" s="398">
        <f>SUM(R9:R12)</f>
        <v>6956859</v>
      </c>
      <c r="S13" s="398">
        <f>SUM(S9:S12)</f>
        <v>0</v>
      </c>
      <c r="T13" s="413">
        <f>SUM(T9:T12)</f>
        <v>0</v>
      </c>
      <c r="U13" s="401">
        <f>SUM(U9:U12)</f>
        <v>30559709</v>
      </c>
      <c r="V13" s="410">
        <f>SUM(V10:V12)</f>
        <v>197773387</v>
      </c>
      <c r="W13" s="106"/>
      <c r="X13" s="20"/>
      <c r="Y13" s="20"/>
    </row>
    <row r="14" spans="2:27" ht="10.5" customHeight="1" thickBot="1" x14ac:dyDescent="0.4">
      <c r="B14" s="75"/>
      <c r="C14" s="75"/>
      <c r="D14" s="75"/>
      <c r="E14" s="76"/>
      <c r="F14" s="77"/>
      <c r="G14" s="402"/>
      <c r="H14" s="402"/>
      <c r="I14" s="402"/>
      <c r="J14" s="402"/>
      <c r="K14" s="402"/>
      <c r="L14" s="402"/>
      <c r="M14" s="402"/>
      <c r="N14" s="406"/>
      <c r="O14" s="408"/>
      <c r="P14" s="399"/>
      <c r="Q14" s="394"/>
      <c r="R14" s="399"/>
      <c r="S14" s="399"/>
      <c r="T14" s="399"/>
      <c r="U14" s="402"/>
      <c r="V14" s="411"/>
      <c r="W14" s="106"/>
      <c r="X14" s="20">
        <f>X10+X11+X12</f>
        <v>9226613</v>
      </c>
      <c r="Y14" s="93">
        <f>N13-X14</f>
        <v>197773387</v>
      </c>
      <c r="Z14" s="20"/>
    </row>
    <row r="15" spans="2:27" ht="6.75" customHeight="1" thickTop="1" x14ac:dyDescent="0.35">
      <c r="B15" s="6"/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7"/>
      <c r="O15" s="6"/>
      <c r="P15" s="6"/>
      <c r="Q15" s="6"/>
      <c r="R15" s="6"/>
      <c r="S15" s="6"/>
      <c r="T15" s="6"/>
      <c r="U15" s="6"/>
      <c r="V15" s="6"/>
      <c r="W15" s="6"/>
      <c r="X15" t="s">
        <v>43</v>
      </c>
    </row>
    <row r="16" spans="2:27" ht="12.75" customHeight="1" x14ac:dyDescent="0.35">
      <c r="B16" s="31"/>
      <c r="C16" s="26"/>
      <c r="D16" s="26"/>
      <c r="E16" s="26"/>
      <c r="F16" s="26"/>
      <c r="G16" s="26"/>
      <c r="H16" s="26"/>
      <c r="I16" s="26"/>
      <c r="J16" s="2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2:27" ht="11.25" customHeight="1" x14ac:dyDescent="0.35">
      <c r="B17" s="27"/>
      <c r="C17" s="237"/>
      <c r="D17" s="237"/>
      <c r="E17" s="26"/>
      <c r="F17" s="26"/>
      <c r="G17" s="26"/>
      <c r="H17" s="28"/>
      <c r="I17" s="28"/>
      <c r="J17" s="28"/>
      <c r="K17" s="7"/>
      <c r="L17" s="7"/>
      <c r="M17" s="7"/>
      <c r="N17" s="6"/>
      <c r="O17" s="94"/>
      <c r="P17" s="94"/>
      <c r="Q17" s="94"/>
      <c r="R17" s="94"/>
      <c r="S17" s="94"/>
      <c r="T17" s="94"/>
      <c r="U17" s="94"/>
      <c r="V17" s="94"/>
      <c r="W17" s="94"/>
      <c r="X17" s="20"/>
    </row>
    <row r="18" spans="2:27" ht="15" customHeight="1" x14ac:dyDescent="0.35">
      <c r="B18" s="26"/>
      <c r="C18" s="237"/>
      <c r="D18" s="237"/>
      <c r="E18" s="26"/>
      <c r="F18" s="26"/>
      <c r="G18" s="26"/>
      <c r="H18" s="26"/>
      <c r="I18" s="26"/>
      <c r="J18" s="26"/>
      <c r="K18" s="6"/>
      <c r="L18" s="6" t="s">
        <v>43</v>
      </c>
      <c r="M18" s="6"/>
      <c r="N18" s="6"/>
      <c r="O18" s="94"/>
      <c r="P18" s="94"/>
      <c r="Q18" s="94"/>
      <c r="R18" s="400" t="s">
        <v>229</v>
      </c>
      <c r="S18" s="400"/>
      <c r="T18" s="400"/>
      <c r="U18" s="400"/>
      <c r="V18" s="400"/>
      <c r="W18" s="94"/>
      <c r="X18" s="20" t="e">
        <f>P9+#REF!+#REF!+#REF!+#REF!+#REF!+#REF!+#REF!+#REF!</f>
        <v>#REF!</v>
      </c>
      <c r="AA18" s="20">
        <f>G13+H13+I13+J13+K13+L13+M13</f>
        <v>207000000</v>
      </c>
    </row>
    <row r="19" spans="2:27" ht="3.75" customHeight="1" x14ac:dyDescent="0.35">
      <c r="B19" s="26"/>
      <c r="C19" s="237"/>
      <c r="D19" s="237"/>
      <c r="E19" s="26"/>
      <c r="F19" s="26"/>
      <c r="G19" s="26"/>
      <c r="H19" s="26"/>
      <c r="I19" s="26"/>
      <c r="J19" s="26"/>
      <c r="K19" s="6"/>
      <c r="L19" s="6"/>
      <c r="M19" s="6"/>
      <c r="N19" s="6"/>
      <c r="O19" s="400"/>
      <c r="P19" s="400"/>
      <c r="Q19" s="400"/>
      <c r="R19" s="400"/>
      <c r="S19" s="400"/>
      <c r="T19" s="400"/>
      <c r="U19" s="400"/>
      <c r="V19" s="400"/>
      <c r="W19" s="162"/>
    </row>
    <row r="20" spans="2:27" ht="15" customHeight="1" x14ac:dyDescent="0.35">
      <c r="B20" s="27"/>
      <c r="C20" s="237"/>
      <c r="D20" s="237"/>
      <c r="E20" s="26"/>
      <c r="F20" s="26"/>
      <c r="G20" s="26"/>
      <c r="H20" s="26"/>
      <c r="I20" s="26"/>
      <c r="J20" s="26"/>
      <c r="K20" s="6"/>
      <c r="L20" s="6"/>
      <c r="M20" s="6"/>
      <c r="N20" s="6"/>
      <c r="O20" s="6"/>
      <c r="P20" s="6"/>
      <c r="Q20" s="6"/>
      <c r="R20" s="400" t="s">
        <v>36</v>
      </c>
      <c r="S20" s="400"/>
      <c r="T20" s="400"/>
      <c r="U20" s="400"/>
      <c r="V20" s="400"/>
      <c r="W20" s="6"/>
    </row>
    <row r="21" spans="2:27" ht="24.75" customHeight="1" x14ac:dyDescent="0.3">
      <c r="B21" s="29"/>
      <c r="C21" s="237"/>
      <c r="D21" s="237"/>
      <c r="E21" s="26"/>
      <c r="F21" s="26"/>
      <c r="G21" s="26"/>
      <c r="H21" s="26"/>
      <c r="I21" s="26"/>
      <c r="J21" s="26"/>
    </row>
    <row r="22" spans="2:27" ht="24.75" customHeight="1" x14ac:dyDescent="0.3">
      <c r="B22" s="29"/>
      <c r="C22" s="237"/>
      <c r="D22" s="237"/>
      <c r="E22" s="26"/>
      <c r="F22" s="26"/>
      <c r="G22" s="26"/>
      <c r="H22" s="26"/>
      <c r="I22" s="26"/>
      <c r="J22" s="26"/>
    </row>
    <row r="23" spans="2:27" ht="13.5" customHeight="1" x14ac:dyDescent="0.3">
      <c r="B23" s="29"/>
      <c r="C23" s="26"/>
      <c r="D23" s="26"/>
      <c r="E23" s="26"/>
      <c r="F23" s="26"/>
      <c r="G23" s="26"/>
      <c r="H23" s="26"/>
      <c r="I23" s="26"/>
      <c r="J23" s="26"/>
      <c r="P23" s="308"/>
      <c r="Q23" s="308"/>
      <c r="R23" s="378" t="s">
        <v>167</v>
      </c>
      <c r="S23" s="378"/>
      <c r="T23" s="378"/>
      <c r="U23" s="378"/>
      <c r="V23" s="378"/>
    </row>
    <row r="24" spans="2:27" ht="14.5" x14ac:dyDescent="0.35">
      <c r="C24" s="6"/>
      <c r="D24" s="6"/>
      <c r="E24" s="6" t="s">
        <v>137</v>
      </c>
    </row>
    <row r="25" spans="2:27" ht="14.5" x14ac:dyDescent="0.35">
      <c r="C25" s="6"/>
      <c r="D25" s="6"/>
      <c r="E25" s="6"/>
    </row>
    <row r="26" spans="2:27" ht="14.5" x14ac:dyDescent="0.35">
      <c r="C26" s="6"/>
      <c r="D26" s="6"/>
      <c r="E26" s="6"/>
    </row>
    <row r="27" spans="2:27" ht="14.5" x14ac:dyDescent="0.35">
      <c r="C27" s="6"/>
      <c r="D27" s="6"/>
      <c r="E27" s="6"/>
      <c r="W27" t="s">
        <v>230</v>
      </c>
    </row>
    <row r="32" spans="2:27" x14ac:dyDescent="0.25">
      <c r="O32" s="20"/>
    </row>
  </sheetData>
  <mergeCells count="44">
    <mergeCell ref="R23:V23"/>
    <mergeCell ref="B2:V2"/>
    <mergeCell ref="B3:V3"/>
    <mergeCell ref="B4:V4"/>
    <mergeCell ref="B6:B7"/>
    <mergeCell ref="C6:C7"/>
    <mergeCell ref="D6:D7"/>
    <mergeCell ref="E6:E7"/>
    <mergeCell ref="F6:F7"/>
    <mergeCell ref="G6:G7"/>
    <mergeCell ref="T6:T7"/>
    <mergeCell ref="H6:H7"/>
    <mergeCell ref="I6:I7"/>
    <mergeCell ref="J6:J7"/>
    <mergeCell ref="K6:K7"/>
    <mergeCell ref="L6:L7"/>
    <mergeCell ref="S6:S7"/>
    <mergeCell ref="U6:U7"/>
    <mergeCell ref="V6:V7"/>
    <mergeCell ref="L13:L14"/>
    <mergeCell ref="M13:M14"/>
    <mergeCell ref="V13:V14"/>
    <mergeCell ref="N13:N14"/>
    <mergeCell ref="N6:N7"/>
    <mergeCell ref="O6:O7"/>
    <mergeCell ref="P6:P7"/>
    <mergeCell ref="M6:M7"/>
    <mergeCell ref="R6:R7"/>
    <mergeCell ref="Q6:Q7"/>
    <mergeCell ref="G13:G14"/>
    <mergeCell ref="H13:H14"/>
    <mergeCell ref="I13:I14"/>
    <mergeCell ref="J13:J14"/>
    <mergeCell ref="K13:K14"/>
    <mergeCell ref="R20:V20"/>
    <mergeCell ref="O19:V19"/>
    <mergeCell ref="O13:O14"/>
    <mergeCell ref="P13:P14"/>
    <mergeCell ref="R13:R14"/>
    <mergeCell ref="S13:S14"/>
    <mergeCell ref="T13:T14"/>
    <mergeCell ref="U13:U14"/>
    <mergeCell ref="Q13:Q14"/>
    <mergeCell ref="R18:V18"/>
  </mergeCells>
  <printOptions horizontalCentered="1"/>
  <pageMargins left="0.118110236220472" right="0.118110236220472" top="0.118110236220472" bottom="0.35433070866141703" header="0.31496062992126" footer="0.31496062992126"/>
  <pageSetup paperSize="9" scale="62" orientation="landscape" r:id="rId1"/>
  <headerFooter>
    <oddFooter xml:space="preserve">&amp;C&amp;8
&amp;9Grha Pelindo Satu Gedung B Lt. 2, Jl. Lingkar Pelabuhan No. 1, Belawan - Indonesia
e-mail : prima@primatpk.co.id., website : http://www.primatpk.co.id
</oddFooter>
  </headerFooter>
  <ignoredErrors>
    <ignoredError sqref="R13 T13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28"/>
  <sheetViews>
    <sheetView view="pageBreakPreview" zoomScale="60" zoomScaleNormal="100" workbookViewId="0">
      <selection activeCell="AC14" sqref="AC14:AD15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7" ht="18.75" customHeight="1" x14ac:dyDescent="0.35">
      <c r="A1" s="357" t="s">
        <v>42</v>
      </c>
      <c r="B1" s="35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35">
      <c r="A2" s="160"/>
      <c r="B2" s="16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58" t="s">
        <v>138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</row>
    <row r="5" spans="1:27" ht="16.5" customHeight="1" x14ac:dyDescent="0.25">
      <c r="A5" s="13"/>
      <c r="B5" s="358" t="s">
        <v>228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  <c r="X5" s="358"/>
      <c r="Y5" s="151" t="s">
        <v>43</v>
      </c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59" t="s">
        <v>7</v>
      </c>
      <c r="B7" s="359" t="s">
        <v>66</v>
      </c>
      <c r="C7" s="359" t="s">
        <v>21</v>
      </c>
      <c r="D7" s="359" t="s">
        <v>0</v>
      </c>
      <c r="E7" s="359" t="s">
        <v>2</v>
      </c>
      <c r="F7" s="359" t="s">
        <v>16</v>
      </c>
      <c r="G7" s="359" t="s">
        <v>17</v>
      </c>
      <c r="H7" s="359" t="s">
        <v>18</v>
      </c>
      <c r="I7" s="359" t="s">
        <v>6</v>
      </c>
      <c r="J7" s="359" t="s">
        <v>23</v>
      </c>
      <c r="K7" s="359" t="s">
        <v>4</v>
      </c>
      <c r="L7" s="359" t="s">
        <v>3</v>
      </c>
      <c r="M7" s="359" t="s">
        <v>19</v>
      </c>
      <c r="N7" s="359" t="s">
        <v>9</v>
      </c>
      <c r="O7" s="359" t="s">
        <v>8</v>
      </c>
      <c r="P7" s="359" t="s">
        <v>5</v>
      </c>
      <c r="Q7" s="359" t="s">
        <v>11</v>
      </c>
      <c r="R7" s="359" t="s">
        <v>10</v>
      </c>
      <c r="S7" s="22" t="s">
        <v>12</v>
      </c>
      <c r="T7" s="22"/>
      <c r="U7" s="22"/>
      <c r="V7" s="22"/>
      <c r="W7" s="22"/>
      <c r="X7" s="362" t="s">
        <v>24</v>
      </c>
    </row>
    <row r="8" spans="1:27" ht="20.149999999999999" customHeight="1" x14ac:dyDescent="0.25">
      <c r="A8" s="360"/>
      <c r="B8" s="361"/>
      <c r="C8" s="361"/>
      <c r="D8" s="361"/>
      <c r="E8" s="361"/>
      <c r="F8" s="361"/>
      <c r="G8" s="360"/>
      <c r="H8" s="360"/>
      <c r="I8" s="360"/>
      <c r="J8" s="360"/>
      <c r="K8" s="360"/>
      <c r="L8" s="360"/>
      <c r="M8" s="360"/>
      <c r="N8" s="360"/>
      <c r="O8" s="360"/>
      <c r="P8" s="360"/>
      <c r="Q8" s="360"/>
      <c r="R8" s="360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62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19.5" hidden="1" customHeight="1" x14ac:dyDescent="0.35">
      <c r="A10" s="121">
        <v>1</v>
      </c>
      <c r="B10" s="46" t="s">
        <v>196</v>
      </c>
      <c r="C10" s="36" t="s">
        <v>65</v>
      </c>
      <c r="D10" s="51"/>
      <c r="E10" s="51"/>
      <c r="F10" s="51"/>
      <c r="G10" s="51"/>
      <c r="H10" s="51"/>
      <c r="I10" s="51"/>
      <c r="J10" s="112">
        <f>'NET KOMISARIS'!$Q$8</f>
        <v>27000000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43" t="s">
        <v>163</v>
      </c>
    </row>
    <row r="11" spans="1:27" ht="19.5" customHeight="1" x14ac:dyDescent="0.35">
      <c r="A11" s="122">
        <v>1</v>
      </c>
      <c r="B11" s="46" t="s">
        <v>159</v>
      </c>
      <c r="C11" s="36" t="s">
        <v>59</v>
      </c>
      <c r="D11" s="51"/>
      <c r="E11" s="51"/>
      <c r="F11" s="51"/>
      <c r="G11" s="51"/>
      <c r="H11" s="51"/>
      <c r="I11" s="51"/>
      <c r="J11" s="52">
        <f>'NET KOMISARIS'!$Q$9</f>
        <v>29160000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43" t="s">
        <v>160</v>
      </c>
    </row>
    <row r="12" spans="1:27" ht="20.149999999999999" customHeight="1" x14ac:dyDescent="0.35">
      <c r="A12" s="126">
        <v>2</v>
      </c>
      <c r="B12" s="46" t="s">
        <v>39</v>
      </c>
      <c r="C12" s="36" t="s">
        <v>218</v>
      </c>
      <c r="D12" s="37" t="s">
        <v>20</v>
      </c>
      <c r="E12" s="38" t="s">
        <v>1</v>
      </c>
      <c r="F12" s="39">
        <v>18000000</v>
      </c>
      <c r="G12" s="40">
        <v>0</v>
      </c>
      <c r="H12" s="40">
        <v>1000000</v>
      </c>
      <c r="I12" s="40">
        <v>0</v>
      </c>
      <c r="J12" s="41">
        <f>'NET KOMISARIS'!$Q$10</f>
        <v>29160000</v>
      </c>
      <c r="K12" s="42"/>
      <c r="L12" s="42"/>
      <c r="M12" s="42">
        <f>SUM(K12:L12)</f>
        <v>0</v>
      </c>
      <c r="N12" s="39">
        <f>J12+M12</f>
        <v>29160000</v>
      </c>
      <c r="O12" s="43">
        <f>(IF(J12*0.05&lt;500000,J12*0.05,500000))</f>
        <v>500000</v>
      </c>
      <c r="P12" s="42">
        <v>0</v>
      </c>
      <c r="Q12" s="39">
        <f>O12+P12</f>
        <v>500000</v>
      </c>
      <c r="R12" s="39">
        <f>N12-Q12</f>
        <v>28660000</v>
      </c>
      <c r="S12" s="43">
        <f>R12*5%</f>
        <v>1433000</v>
      </c>
      <c r="T12" s="43">
        <v>0</v>
      </c>
      <c r="U12" s="43">
        <v>0</v>
      </c>
      <c r="V12" s="43">
        <v>0</v>
      </c>
      <c r="W12" s="43">
        <f>IF(D12="NA",0,IF(D12="",1/0,SUM(S12:V12)))</f>
        <v>1433000</v>
      </c>
      <c r="X12" s="43" t="s">
        <v>41</v>
      </c>
    </row>
    <row r="13" spans="1:27" ht="20.149999999999999" customHeight="1" x14ac:dyDescent="0.35">
      <c r="A13" s="272">
        <v>3</v>
      </c>
      <c r="B13" s="267" t="s">
        <v>191</v>
      </c>
      <c r="C13" s="273" t="s">
        <v>44</v>
      </c>
      <c r="D13" s="274"/>
      <c r="E13" s="275"/>
      <c r="F13" s="276"/>
      <c r="G13" s="266"/>
      <c r="H13" s="266"/>
      <c r="I13" s="266"/>
      <c r="J13" s="179">
        <f>'NET KOMISARIS'!Q11</f>
        <v>9450000</v>
      </c>
      <c r="K13" s="277"/>
      <c r="L13" s="277"/>
      <c r="M13" s="277"/>
      <c r="N13" s="276"/>
      <c r="O13" s="268"/>
      <c r="P13" s="277"/>
      <c r="Q13" s="276"/>
      <c r="R13" s="276"/>
      <c r="S13" s="268"/>
      <c r="T13" s="268"/>
      <c r="U13" s="268"/>
      <c r="V13" s="268"/>
      <c r="W13" s="268"/>
      <c r="X13" s="268" t="s">
        <v>194</v>
      </c>
    </row>
    <row r="14" spans="1:27" ht="15" customHeight="1" x14ac:dyDescent="0.35">
      <c r="A14" s="53"/>
      <c r="B14" s="54"/>
      <c r="C14" s="54"/>
      <c r="D14" s="55"/>
      <c r="E14" s="56"/>
      <c r="F14" s="353">
        <f>SUM(F9:F12)</f>
        <v>18000000</v>
      </c>
      <c r="G14" s="353">
        <f>SUM(G9:G12)</f>
        <v>0</v>
      </c>
      <c r="H14" s="353">
        <f>SUM(H9:H12)</f>
        <v>1000000</v>
      </c>
      <c r="I14" s="353">
        <f>SUM(I9:I12)</f>
        <v>0</v>
      </c>
      <c r="J14" s="355">
        <f>SUM(J11:J13)</f>
        <v>67770000</v>
      </c>
      <c r="K14" s="353">
        <f t="shared" ref="K14:W14" si="0">SUM(K9:K12)</f>
        <v>0</v>
      </c>
      <c r="L14" s="353">
        <f t="shared" si="0"/>
        <v>0</v>
      </c>
      <c r="M14" s="353">
        <f t="shared" si="0"/>
        <v>0</v>
      </c>
      <c r="N14" s="353">
        <f t="shared" si="0"/>
        <v>29160000</v>
      </c>
      <c r="O14" s="353">
        <f t="shared" si="0"/>
        <v>500000</v>
      </c>
      <c r="P14" s="353">
        <f t="shared" si="0"/>
        <v>0</v>
      </c>
      <c r="Q14" s="353">
        <f t="shared" si="0"/>
        <v>500000</v>
      </c>
      <c r="R14" s="353">
        <f t="shared" si="0"/>
        <v>28660000</v>
      </c>
      <c r="S14" s="353">
        <f t="shared" si="0"/>
        <v>1433000</v>
      </c>
      <c r="T14" s="353">
        <f t="shared" si="0"/>
        <v>0</v>
      </c>
      <c r="U14" s="353">
        <f t="shared" si="0"/>
        <v>0</v>
      </c>
      <c r="V14" s="353">
        <f t="shared" si="0"/>
        <v>0</v>
      </c>
      <c r="W14" s="353">
        <f t="shared" si="0"/>
        <v>1433000</v>
      </c>
      <c r="X14" s="353"/>
      <c r="AA14" s="20"/>
    </row>
    <row r="15" spans="1:27" ht="15" customHeight="1" thickBot="1" x14ac:dyDescent="0.4">
      <c r="A15" s="57"/>
      <c r="B15" s="58"/>
      <c r="C15" s="58"/>
      <c r="D15" s="59"/>
      <c r="E15" s="60"/>
      <c r="F15" s="354"/>
      <c r="G15" s="354"/>
      <c r="H15" s="354"/>
      <c r="I15" s="354"/>
      <c r="J15" s="356"/>
      <c r="K15" s="354"/>
      <c r="L15" s="354"/>
      <c r="M15" s="354"/>
      <c r="N15" s="354"/>
      <c r="O15" s="354"/>
      <c r="P15" s="354"/>
      <c r="Q15" s="354"/>
      <c r="R15" s="354"/>
      <c r="S15" s="354"/>
      <c r="T15" s="354"/>
      <c r="U15" s="354"/>
      <c r="V15" s="354"/>
      <c r="W15" s="354"/>
      <c r="X15" s="354"/>
      <c r="Z15" s="20"/>
    </row>
    <row r="16" spans="1:27" ht="11.25" customHeight="1" thickTop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5" ht="14.5" x14ac:dyDescent="0.35">
      <c r="A17" s="6"/>
      <c r="B17" s="161" t="s">
        <v>195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61" t="s">
        <v>230</v>
      </c>
      <c r="Y17" s="151" t="s">
        <v>43</v>
      </c>
    </row>
    <row r="18" spans="1:25" ht="14.5" x14ac:dyDescent="0.35">
      <c r="A18" s="6"/>
      <c r="B18" s="161" t="s">
        <v>185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61" t="s">
        <v>36</v>
      </c>
    </row>
    <row r="19" spans="1:25" ht="16.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5" ht="16.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5" ht="16.5" customHeigh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5" ht="14.5" x14ac:dyDescent="0.35">
      <c r="A22" s="6"/>
      <c r="B22" s="161" t="s">
        <v>184</v>
      </c>
      <c r="C22" s="6" t="s">
        <v>43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161" t="s">
        <v>167</v>
      </c>
    </row>
    <row r="28" spans="1:25" x14ac:dyDescent="0.25">
      <c r="X28" s="151" t="s">
        <v>43</v>
      </c>
    </row>
  </sheetData>
  <mergeCells count="41"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1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REK BNI</vt:lpstr>
      <vt:lpstr>REK MANDIRI</vt:lpstr>
      <vt:lpstr>NET PEG PELINDO DIPERBANTUKAN</vt:lpstr>
      <vt:lpstr>REK PEGAWAI PTP</vt:lpstr>
      <vt:lpstr>NET PEGAWAI PTP</vt:lpstr>
      <vt:lpstr>REK DIREKSI</vt:lpstr>
      <vt:lpstr>NET DIREKSI </vt:lpstr>
      <vt:lpstr>REK KOMISARIS</vt:lpstr>
      <vt:lpstr>NET KOMISARIS</vt:lpstr>
      <vt:lpstr>'NET DIREKSI '!Print_Area</vt:lpstr>
      <vt:lpstr>'NET KOMISARIS'!Print_Area</vt:lpstr>
      <vt:lpstr>'NET PEG PELINDO DIPERBANTUKAN'!Print_Area</vt:lpstr>
      <vt:lpstr>'NET PEGAWAI PTP'!Print_Area</vt:lpstr>
      <vt:lpstr>'REK BNI'!Print_Area</vt:lpstr>
      <vt:lpstr>'REK DIREKSI'!Print_Area</vt:lpstr>
      <vt:lpstr>'REK KOMISARIS'!Print_Area</vt:lpstr>
      <vt:lpstr>'REK MANDIRI'!Print_Area</vt:lpstr>
      <vt:lpstr>'REK PEGAWAI PTP'!Print_Area</vt:lpstr>
    </vt:vector>
  </TitlesOfParts>
  <Company>KAWASAKI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Asus</cp:lastModifiedBy>
  <cp:lastPrinted>2022-04-25T06:35:15Z</cp:lastPrinted>
  <dcterms:created xsi:type="dcterms:W3CDTF">1999-12-02T03:49:52Z</dcterms:created>
  <dcterms:modified xsi:type="dcterms:W3CDTF">2022-05-04T21:45:12Z</dcterms:modified>
</cp:coreProperties>
</file>