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5100" yWindow="5100" windowWidth="14145" windowHeight="11325" tabRatio="661" firstSheet="1" activeTab="1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DIPERBANTUKAN'!$B$1:$V$25</definedName>
    <definedName name="_xlnm.Print_Area" localSheetId="2">'NET PEGAWAI PTP'!$B$1:$T$21</definedName>
  </definedNames>
  <calcPr calcId="152511"/>
  <fileRecoveryPr autoRecover="0"/>
</workbook>
</file>

<file path=xl/calcChain.xml><?xml version="1.0" encoding="utf-8"?>
<calcChain xmlns="http://schemas.openxmlformats.org/spreadsheetml/2006/main">
  <c r="U11" i="68" l="1"/>
  <c r="T34" i="68" l="1"/>
  <c r="S20" i="68" l="1"/>
  <c r="S14" i="68" l="1"/>
  <c r="H17" i="59"/>
  <c r="H16" i="59"/>
  <c r="H15" i="59"/>
  <c r="H14" i="59"/>
  <c r="H13" i="59"/>
  <c r="H12" i="59"/>
  <c r="H11" i="59"/>
  <c r="M11" i="59" s="1"/>
  <c r="H10" i="59"/>
  <c r="G12" i="59"/>
  <c r="G16" i="59" s="1"/>
  <c r="G13" i="59"/>
  <c r="G17" i="59" s="1"/>
  <c r="G14" i="59"/>
  <c r="G11" i="59"/>
  <c r="T32" i="68"/>
  <c r="V32" i="68" s="1"/>
  <c r="N29" i="59"/>
  <c r="N30" i="59" s="1"/>
  <c r="Q29" i="59" l="1"/>
  <c r="V34" i="68"/>
  <c r="V35" i="68" s="1"/>
  <c r="Q27" i="59" l="1"/>
  <c r="S27" i="59" s="1"/>
  <c r="M18" i="59" l="1"/>
  <c r="S18" i="59" s="1"/>
  <c r="Q21" i="68" l="1"/>
  <c r="U21" i="68" s="1"/>
  <c r="Z8" i="59"/>
  <c r="G24" i="68"/>
  <c r="I24" i="68"/>
  <c r="J24" i="68"/>
  <c r="K24" i="68"/>
  <c r="F24" i="68"/>
  <c r="F10" i="59"/>
  <c r="F16" i="59" s="1"/>
  <c r="F17" i="59" s="1"/>
  <c r="F18" i="59" s="1"/>
  <c r="I18" i="59" s="1"/>
  <c r="F8" i="59"/>
  <c r="T18" i="59" l="1"/>
  <c r="U22" i="68"/>
  <c r="U23" i="68"/>
  <c r="F13" i="59"/>
  <c r="F12" i="59"/>
  <c r="F14" i="59"/>
  <c r="F11" i="59"/>
  <c r="H19" i="68" l="1"/>
  <c r="H14" i="68"/>
  <c r="O14" i="68" s="1"/>
  <c r="H13" i="68"/>
  <c r="H12" i="68"/>
  <c r="U12" i="68" s="1"/>
  <c r="H10" i="68"/>
  <c r="L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U13" i="68" l="1"/>
  <c r="P19" i="68"/>
  <c r="U19" i="68" s="1"/>
  <c r="L12" i="68"/>
  <c r="V12" i="68" s="1"/>
  <c r="U14" i="68"/>
  <c r="L14" i="68"/>
  <c r="L13" i="68"/>
  <c r="U10" i="68"/>
  <c r="L19" i="68"/>
  <c r="V13" i="68" l="1"/>
  <c r="V10" i="68"/>
  <c r="V19" i="68"/>
  <c r="V14" i="68"/>
  <c r="P19" i="59"/>
  <c r="M7" i="59"/>
  <c r="M8" i="59"/>
  <c r="R24" i="68"/>
  <c r="Y17" i="68" l="1"/>
  <c r="E21" i="68" l="1"/>
  <c r="N21" i="68" s="1"/>
  <c r="L22" i="68"/>
  <c r="V22" i="68" s="1"/>
  <c r="L21" i="68" l="1"/>
  <c r="V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9" i="59" l="1"/>
  <c r="B14" i="59" l="1"/>
  <c r="B15" i="59" s="1"/>
  <c r="B16" i="59" s="1"/>
  <c r="B17" i="59" s="1"/>
  <c r="H18" i="68" l="1"/>
  <c r="H20" i="68"/>
  <c r="O20" i="68" s="1"/>
  <c r="H16" i="68"/>
  <c r="H17" i="68"/>
  <c r="H15" i="68"/>
  <c r="H11" i="68"/>
  <c r="H9" i="68"/>
  <c r="L9" i="68" s="1"/>
  <c r="V9" i="68" s="1"/>
  <c r="H9" i="59"/>
  <c r="G9" i="59"/>
  <c r="L16" i="68" l="1"/>
  <c r="O16" i="68"/>
  <c r="U16" i="68" s="1"/>
  <c r="M9" i="59"/>
  <c r="S9" i="59" s="1"/>
  <c r="U20" i="68"/>
  <c r="U17" i="68"/>
  <c r="H24" i="68"/>
  <c r="T24" i="68"/>
  <c r="H8" i="59"/>
  <c r="S7" i="59"/>
  <c r="U18" i="68"/>
  <c r="J9" i="59"/>
  <c r="P24" i="68"/>
  <c r="Y15" i="68"/>
  <c r="Y18" i="68" s="1"/>
  <c r="Z34" i="59"/>
  <c r="M10" i="59"/>
  <c r="L20" i="68"/>
  <c r="L18" i="68"/>
  <c r="L17" i="68"/>
  <c r="L11" i="68"/>
  <c r="I9" i="59"/>
  <c r="I7" i="59"/>
  <c r="U15" i="68" l="1"/>
  <c r="V18" i="68"/>
  <c r="V20" i="68"/>
  <c r="V11" i="68"/>
  <c r="V16" i="68"/>
  <c r="V17" i="68"/>
  <c r="S10" i="59"/>
  <c r="S8" i="59"/>
  <c r="T7" i="59"/>
  <c r="I8" i="59"/>
  <c r="T9" i="59"/>
  <c r="O24" i="68"/>
  <c r="I27" i="59"/>
  <c r="M16" i="59"/>
  <c r="Z35" i="59"/>
  <c r="Z37" i="59" s="1"/>
  <c r="I10" i="59"/>
  <c r="N13" i="59"/>
  <c r="L15" i="68"/>
  <c r="L23" i="68"/>
  <c r="V23" i="68" s="1"/>
  <c r="V15" i="68" l="1"/>
  <c r="V24" i="68" s="1"/>
  <c r="G28" i="59"/>
  <c r="S14" i="59"/>
  <c r="M13" i="59"/>
  <c r="N19" i="59"/>
  <c r="L24" i="68"/>
  <c r="S11" i="59"/>
  <c r="M12" i="59"/>
  <c r="T8" i="59"/>
  <c r="M17" i="59"/>
  <c r="S16" i="59"/>
  <c r="T10" i="59"/>
  <c r="J12" i="59"/>
  <c r="J13" i="59"/>
  <c r="Z9" i="59"/>
  <c r="Z11" i="59" s="1"/>
  <c r="I11" i="59"/>
  <c r="G15" i="59"/>
  <c r="I14" i="59"/>
  <c r="I16" i="59"/>
  <c r="I12" i="59"/>
  <c r="I13" i="59"/>
  <c r="F19" i="59"/>
  <c r="T14" i="59" l="1"/>
  <c r="Q19" i="59"/>
  <c r="S29" i="59"/>
  <c r="S30" i="59" s="1"/>
  <c r="M15" i="59"/>
  <c r="T11" i="59"/>
  <c r="I17" i="59"/>
  <c r="I15" i="59"/>
  <c r="S12" i="59"/>
  <c r="H19" i="59"/>
  <c r="S13" i="59"/>
  <c r="T13" i="59" s="1"/>
  <c r="T16" i="59"/>
  <c r="J17" i="59"/>
  <c r="S17" i="59" s="1"/>
  <c r="O19" i="59"/>
  <c r="G19" i="59"/>
  <c r="X25" i="68"/>
  <c r="I19" i="59" l="1"/>
  <c r="T12" i="59"/>
  <c r="S15" i="59"/>
  <c r="T15" i="59" s="1"/>
  <c r="T17" i="59"/>
  <c r="J19" i="59"/>
  <c r="M19" i="59"/>
  <c r="T19" i="59" l="1"/>
  <c r="S19" i="59"/>
</calcChain>
</file>

<file path=xl/sharedStrings.xml><?xml version="1.0" encoding="utf-8"?>
<sst xmlns="http://schemas.openxmlformats.org/spreadsheetml/2006/main" count="83" uniqueCount="63">
  <si>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</si>
  <si>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</si>
  <si>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</si>
  <si>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</si>
  <si>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</si>
  <si>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</si>
  <si>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</si>
  <si>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</si>
  <si>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</si>
  <si>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</si>
  <si>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</si>
  <si>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</si>
  <si>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</si>
  <si>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</si>
  <si>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</si>
  <si>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</si>
  <si>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</si>
  <si>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</si>
  <si>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</si>
  <si>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</si>
  <si>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</si>
  <si>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</si>
  <si>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</si>
  <si>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</si>
  <si>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</si>
  <si>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</si>
  <si>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</si>
  <si>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</si>
  <si>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</si>
  <si>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</si>
  <si>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</si>
  <si>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</si>
  <si>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</si>
  <si>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</si>
  <si>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</si>
  <si>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</si>
  <si>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</si>
  <si>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</si>
  <si>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</si>
  <si>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</si>
  <si>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</si>
  <si>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</si>
  <si>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</si>
  <si>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</si>
  <si>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</si>
  <si>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</si>
  <si>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</si>
  <si>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</si>
  <si>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</si>
  <si>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</si>
  <si>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</si>
  <si>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</si>
  <si>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</si>
  <si>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</si>
  <si>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</si>
  <si>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</si>
  <si>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</si>
  <si>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</si>
  <si>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BULAN NOVEMBER 2021</t>
  </si>
  <si>
    <t>10:20:00</t>
  </si>
  <si>
    <t>122:19:00</t>
  </si>
  <si>
    <t>Tunjangan Jabatan</t>
  </si>
  <si>
    <t>14:47:00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</si>
</sst>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67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8" fillId="0" borderId="18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6" xfId="9" applyNumberFormat="1" applyFont="1" applyFill="1" applyBorder="1" applyAlignment="1" applyProtection="1">
      <alignment vertical="center"/>
    </xf>
    <xf numFmtId="43" fontId="17" fillId="0" borderId="14" xfId="9" applyFont="1" applyFill="1" applyBorder="1" applyAlignment="1" applyProtection="1">
      <alignment horizontal="left" vertical="center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1" fillId="4" borderId="7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1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43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7" xfId="9" applyNumberFormat="1" applyFont="1" applyFill="1" applyBorder="1" applyAlignment="1" applyProtection="1">
      <alignment vertical="center"/>
    </xf>
    <xf numFmtId="165" fontId="2" fillId="0" borderId="14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center" vertical="center"/>
    </xf>
    <xf numFmtId="165" fontId="17" fillId="0" borderId="6" xfId="9" applyNumberFormat="1" applyFont="1" applyFill="1" applyBorder="1" applyAlignment="1" applyProtection="1">
      <alignment vertical="center"/>
      <protection hidden="1"/>
    </xf>
    <xf numFmtId="165" fontId="18" fillId="0" borderId="27" xfId="9" applyNumberFormat="1" applyFont="1" applyFill="1" applyBorder="1" applyAlignment="1" applyProtection="1">
      <alignment vertical="center"/>
    </xf>
    <xf numFmtId="3" fontId="19" fillId="0" borderId="28" xfId="9" applyNumberFormat="1" applyFont="1" applyFill="1" applyBorder="1" applyAlignment="1" applyProtection="1">
      <alignment horizontal="right" vertical="center"/>
    </xf>
    <xf numFmtId="165" fontId="30" fillId="0" borderId="28" xfId="9" applyNumberFormat="1" applyFont="1" applyFill="1" applyBorder="1" applyAlignment="1" applyProtection="1">
      <alignment horizontal="right" vertical="center"/>
    </xf>
    <xf numFmtId="178" fontId="30" fillId="0" borderId="28" xfId="10" applyNumberFormat="1" applyFont="1" applyFill="1" applyBorder="1" applyAlignment="1" applyProtection="1">
      <alignment horizontal="right" vertical="center"/>
    </xf>
    <xf numFmtId="41" fontId="30" fillId="0" borderId="6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165" fontId="21" fillId="4" borderId="6" xfId="9" applyNumberFormat="1" applyFont="1" applyFill="1" applyBorder="1" applyAlignment="1" applyProtection="1">
      <alignment horizontal="right" vertical="center"/>
    </xf>
    <xf numFmtId="43" fontId="1" fillId="0" borderId="6" xfId="9" applyFont="1" applyFill="1" applyBorder="1" applyAlignment="1" applyProtection="1">
      <alignment horizontal="left" vertical="center"/>
    </xf>
    <xf numFmtId="43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43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0" fontId="20" fillId="5" borderId="1" xfId="0" quotePrefix="1" applyFont="1" applyFill="1" applyBorder="1" applyAlignment="1" applyProtection="1">
      <alignment horizont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1" fillId="6" borderId="1" xfId="0" applyFont="1" applyFill="1" applyBorder="1" applyAlignment="1" applyProtection="1">
      <alignment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26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  <xf numFmtId="165" fontId="21" fillId="5" borderId="24" xfId="9" applyNumberFormat="1" applyFont="1" applyFill="1" applyBorder="1" applyAlignment="1" applyProtection="1">
      <alignment horizontal="center"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1" fillId="5" borderId="20" xfId="9" applyNumberFormat="1" applyFont="1" applyFill="1" applyBorder="1" applyAlignment="1" applyProtection="1">
      <alignment vertical="center" wrapText="1"/>
    </xf>
    <xf numFmtId="165" fontId="21" fillId="5" borderId="22" xfId="9" applyNumberFormat="1" applyFont="1" applyFill="1" applyBorder="1" applyAlignment="1" applyProtection="1">
      <alignment vertical="center" wrapText="1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xmlns="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view="pageBreakPreview" topLeftCell="A4" zoomScale="70" zoomScaleNormal="100" zoomScaleSheetLayoutView="70" workbookViewId="0">
      <selection activeCell="O14" sqref="O14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9" width="15" customWidth="1"/>
    <col min="20" max="20" width="12.5703125" customWidth="1"/>
    <col min="21" max="21" width="14" customWidth="1"/>
    <col min="22" max="22" width="15.85546875" customWidth="1"/>
    <col min="24" max="24" width="12.28515625" bestFit="1" customWidth="1"/>
    <col min="25" max="25" width="10.28515625" bestFit="1" customWidth="1"/>
  </cols>
  <sheetData>
    <row r="1" spans="1:25" ht="24.75" customHeight="1" x14ac:dyDescent="0.2"/>
    <row r="2" spans="1:25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5" ht="12.75" customHeight="1" x14ac:dyDescent="0.2">
      <c r="A3" s="143" t="s">
        <v>32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5" ht="13.5" customHeight="1" x14ac:dyDescent="0.2">
      <c r="A4" s="144" t="s">
        <v>58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5" ht="10.5" customHeight="1" x14ac:dyDescent="0.2"/>
    <row r="6" spans="1:25" ht="38.25" customHeight="1" x14ac:dyDescent="0.2">
      <c r="B6" s="142" t="s">
        <v>0</v>
      </c>
      <c r="C6" s="142" t="s">
        <v>9</v>
      </c>
      <c r="D6" s="142" t="s">
        <v>35</v>
      </c>
      <c r="E6" s="76"/>
      <c r="F6" s="142" t="s">
        <v>10</v>
      </c>
      <c r="G6" s="142" t="s">
        <v>27</v>
      </c>
      <c r="H6" s="142" t="s">
        <v>28</v>
      </c>
      <c r="I6" s="142" t="s">
        <v>31</v>
      </c>
      <c r="J6" s="142" t="s">
        <v>3</v>
      </c>
      <c r="K6" s="142" t="s">
        <v>30</v>
      </c>
      <c r="L6" s="142" t="s">
        <v>11</v>
      </c>
      <c r="M6" s="142" t="s">
        <v>40</v>
      </c>
      <c r="N6" s="142" t="s">
        <v>39</v>
      </c>
      <c r="O6" s="142" t="s">
        <v>42</v>
      </c>
      <c r="P6" s="142"/>
      <c r="Q6" s="142"/>
      <c r="R6" s="142"/>
      <c r="S6" s="135"/>
      <c r="T6" s="142" t="s">
        <v>34</v>
      </c>
      <c r="U6" s="142" t="s">
        <v>47</v>
      </c>
      <c r="V6" s="145" t="s">
        <v>41</v>
      </c>
    </row>
    <row r="7" spans="1:25" ht="81" customHeight="1" x14ac:dyDescent="0.2">
      <c r="B7" s="142"/>
      <c r="C7" s="148"/>
      <c r="D7" s="142"/>
      <c r="E7" s="76"/>
      <c r="F7" s="142"/>
      <c r="G7" s="142"/>
      <c r="H7" s="142"/>
      <c r="I7" s="142"/>
      <c r="J7" s="142"/>
      <c r="K7" s="142"/>
      <c r="L7" s="142"/>
      <c r="M7" s="142"/>
      <c r="N7" s="142"/>
      <c r="O7" s="76" t="s">
        <v>46</v>
      </c>
      <c r="P7" s="76" t="s">
        <v>48</v>
      </c>
      <c r="Q7" s="76" t="s">
        <v>44</v>
      </c>
      <c r="R7" s="76" t="s">
        <v>45</v>
      </c>
      <c r="S7" s="135" t="s">
        <v>61</v>
      </c>
      <c r="T7" s="142"/>
      <c r="U7" s="142"/>
      <c r="V7" s="145"/>
      <c r="X7" s="70">
        <v>4.2361111111111106E-2</v>
      </c>
    </row>
    <row r="8" spans="1:25" ht="9.75" customHeight="1" x14ac:dyDescent="0.2">
      <c r="B8" s="86"/>
      <c r="C8" s="86"/>
      <c r="D8" s="86"/>
      <c r="E8" s="86"/>
      <c r="F8" s="86"/>
      <c r="G8" s="86"/>
      <c r="H8" s="86"/>
      <c r="I8" s="86"/>
      <c r="J8" s="86"/>
      <c r="K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8"/>
    </row>
    <row r="9" spans="1:25" ht="18.75" hidden="1" customHeight="1" x14ac:dyDescent="0.2">
      <c r="B9" s="89">
        <v>1</v>
      </c>
      <c r="C9" s="90" t="s">
        <v>25</v>
      </c>
      <c r="D9" s="90" t="s">
        <v>5</v>
      </c>
      <c r="E9" s="90"/>
      <c r="F9" s="91">
        <v>9000000</v>
      </c>
      <c r="G9" s="92">
        <v>0</v>
      </c>
      <c r="H9" s="92">
        <f>5%*F9</f>
        <v>450000</v>
      </c>
      <c r="I9" s="92">
        <v>0</v>
      </c>
      <c r="J9" s="92"/>
      <c r="K9" s="92">
        <v>0</v>
      </c>
      <c r="L9" s="93">
        <f>SUM(F9:H9)</f>
        <v>9450000</v>
      </c>
      <c r="M9" s="93"/>
      <c r="N9" s="93"/>
      <c r="O9" s="93"/>
      <c r="P9" s="93"/>
      <c r="Q9" s="93"/>
      <c r="R9" s="93"/>
      <c r="S9" s="93"/>
      <c r="T9" s="93"/>
      <c r="U9" s="93"/>
      <c r="V9" s="94">
        <f>L9</f>
        <v>9450000</v>
      </c>
    </row>
    <row r="10" spans="1:25" ht="18.75" customHeight="1" x14ac:dyDescent="0.2">
      <c r="B10" s="89">
        <v>1</v>
      </c>
      <c r="C10" s="113" t="s">
        <v>50</v>
      </c>
      <c r="D10" s="97">
        <v>1.0416666666666666E-2</v>
      </c>
      <c r="E10" s="98">
        <f>D10*24</f>
        <v>0.25</v>
      </c>
      <c r="F10" s="118">
        <v>9739000</v>
      </c>
      <c r="G10" s="92">
        <v>4612000</v>
      </c>
      <c r="H10" s="100">
        <f t="shared" ref="H10:H15" si="0">12300000</f>
        <v>12300000</v>
      </c>
      <c r="I10" s="100">
        <v>600000</v>
      </c>
      <c r="J10" s="100">
        <v>4000000</v>
      </c>
      <c r="K10" s="100">
        <v>4500000</v>
      </c>
      <c r="L10" s="101">
        <f t="shared" ref="L10:L20" si="1">SUM(F10:K10)</f>
        <v>35751000</v>
      </c>
      <c r="M10" s="93"/>
      <c r="N10" s="93"/>
      <c r="O10" s="103">
        <v>0</v>
      </c>
      <c r="P10" s="103">
        <v>0</v>
      </c>
      <c r="Q10" s="103">
        <v>0</v>
      </c>
      <c r="R10" s="104">
        <v>0</v>
      </c>
      <c r="S10" s="104"/>
      <c r="T10" s="106"/>
      <c r="U10" s="103">
        <f>SUM(O10:T10)</f>
        <v>0</v>
      </c>
      <c r="V10" s="105">
        <f>L10-U10</f>
        <v>35751000</v>
      </c>
    </row>
    <row r="11" spans="1:25" ht="18.75" customHeight="1" x14ac:dyDescent="0.2">
      <c r="B11" s="95">
        <f>B10+1</f>
        <v>2</v>
      </c>
      <c r="C11" s="96" t="s">
        <v>6</v>
      </c>
      <c r="D11" s="97">
        <v>4.1666666666666666E-3</v>
      </c>
      <c r="E11" s="98">
        <f>D11*24</f>
        <v>0.1</v>
      </c>
      <c r="F11" s="99">
        <v>10454000</v>
      </c>
      <c r="G11" s="100">
        <v>4612000</v>
      </c>
      <c r="H11" s="100">
        <f t="shared" si="0"/>
        <v>12300000</v>
      </c>
      <c r="I11" s="100">
        <v>600000</v>
      </c>
      <c r="J11" s="100">
        <v>4000000</v>
      </c>
      <c r="K11" s="100">
        <v>4500000</v>
      </c>
      <c r="L11" s="101">
        <f t="shared" si="1"/>
        <v>36466000</v>
      </c>
      <c r="M11" s="101">
        <v>136</v>
      </c>
      <c r="N11" s="102">
        <f>(M11-E11)/M11</f>
        <v>0.99926470588235294</v>
      </c>
      <c r="O11" s="103">
        <v>0</v>
      </c>
      <c r="P11" s="103">
        <v>0</v>
      </c>
      <c r="Q11" s="103">
        <v>0</v>
      </c>
      <c r="R11" s="104">
        <v>0</v>
      </c>
      <c r="S11" s="104">
        <v>0</v>
      </c>
      <c r="T11" s="103">
        <v>0</v>
      </c>
      <c r="U11" s="103">
        <f>SUM(O11:T11)</f>
        <v>0</v>
      </c>
      <c r="V11" s="105">
        <f t="shared" ref="V11:V23" si="2">L11-U11</f>
        <v>36466000</v>
      </c>
      <c r="X11" s="8"/>
    </row>
    <row r="12" spans="1:25" ht="18.75" customHeight="1" x14ac:dyDescent="0.2">
      <c r="B12" s="95">
        <f t="shared" ref="B12:B23" si="3">B11+1</f>
        <v>3</v>
      </c>
      <c r="C12" s="96" t="s">
        <v>49</v>
      </c>
      <c r="D12" s="97">
        <v>0</v>
      </c>
      <c r="E12" s="98">
        <f>D12*24</f>
        <v>0</v>
      </c>
      <c r="F12" s="99">
        <v>8203000</v>
      </c>
      <c r="G12" s="100">
        <v>4342000</v>
      </c>
      <c r="H12" s="100">
        <f t="shared" si="0"/>
        <v>12300000</v>
      </c>
      <c r="I12" s="100">
        <v>600000</v>
      </c>
      <c r="J12" s="100">
        <v>4000000</v>
      </c>
      <c r="K12" s="100">
        <v>4500000</v>
      </c>
      <c r="L12" s="101">
        <f t="shared" si="1"/>
        <v>33945000</v>
      </c>
      <c r="M12" s="101"/>
      <c r="N12" s="102"/>
      <c r="O12" s="103">
        <v>0</v>
      </c>
      <c r="P12" s="103">
        <v>0</v>
      </c>
      <c r="Q12" s="103">
        <v>0</v>
      </c>
      <c r="R12" s="104">
        <v>0</v>
      </c>
      <c r="S12" s="104"/>
      <c r="T12" s="106"/>
      <c r="U12" s="103">
        <f>SUM(O12:T12)</f>
        <v>0</v>
      </c>
      <c r="V12" s="105">
        <f t="shared" si="2"/>
        <v>33945000</v>
      </c>
      <c r="X12" s="8"/>
    </row>
    <row r="13" spans="1:25" ht="18.75" customHeight="1" x14ac:dyDescent="0.2">
      <c r="B13" s="95">
        <f t="shared" si="3"/>
        <v>4</v>
      </c>
      <c r="C13" s="96" t="s">
        <v>51</v>
      </c>
      <c r="D13" s="112">
        <v>4.8611111111111112E-3</v>
      </c>
      <c r="E13" s="98">
        <f>D13*24</f>
        <v>0.11666666666666667</v>
      </c>
      <c r="F13" s="99">
        <v>9017000</v>
      </c>
      <c r="G13" s="100">
        <v>4612000</v>
      </c>
      <c r="H13" s="100">
        <f t="shared" si="0"/>
        <v>12300000</v>
      </c>
      <c r="I13" s="100">
        <v>600000</v>
      </c>
      <c r="J13" s="100">
        <v>4000000</v>
      </c>
      <c r="K13" s="100">
        <v>4500000</v>
      </c>
      <c r="L13" s="101">
        <f t="shared" si="1"/>
        <v>35029000</v>
      </c>
      <c r="M13" s="101"/>
      <c r="N13" s="102"/>
      <c r="O13" s="103">
        <v>0</v>
      </c>
      <c r="P13" s="103">
        <v>0</v>
      </c>
      <c r="Q13" s="103">
        <v>0</v>
      </c>
      <c r="R13" s="104">
        <v>0</v>
      </c>
      <c r="S13" s="104">
        <v>0</v>
      </c>
      <c r="T13" s="106">
        <v>0</v>
      </c>
      <c r="U13" s="103">
        <f>SUM(O13:T13)</f>
        <v>0</v>
      </c>
      <c r="V13" s="105">
        <f t="shared" si="2"/>
        <v>35029000</v>
      </c>
      <c r="X13" s="8"/>
    </row>
    <row r="14" spans="1:25" ht="18.75" customHeight="1" x14ac:dyDescent="0.2">
      <c r="B14" s="138">
        <f t="shared" si="3"/>
        <v>5</v>
      </c>
      <c r="C14" s="90" t="s">
        <v>52</v>
      </c>
      <c r="D14" s="139" t="s">
        <v>60</v>
      </c>
      <c r="E14" s="98">
        <f>D14*24</f>
        <v>122.31666666666666</v>
      </c>
      <c r="F14" s="99">
        <v>9017000</v>
      </c>
      <c r="G14" s="100">
        <v>4612000</v>
      </c>
      <c r="H14" s="100">
        <f t="shared" si="0"/>
        <v>12300000</v>
      </c>
      <c r="I14" s="100">
        <v>600000</v>
      </c>
      <c r="J14" s="100">
        <v>4000000</v>
      </c>
      <c r="K14" s="100">
        <v>4500000</v>
      </c>
      <c r="L14" s="101">
        <f t="shared" si="1"/>
        <v>35029000</v>
      </c>
      <c r="M14" s="101"/>
      <c r="N14" s="102"/>
      <c r="O14" s="103">
        <f>H14*10%</f>
        <v>1230000</v>
      </c>
      <c r="P14" s="103">
        <v>0</v>
      </c>
      <c r="Q14" s="103">
        <v>0</v>
      </c>
      <c r="R14" s="104">
        <v>0</v>
      </c>
      <c r="S14" s="104">
        <f>J14*75%</f>
        <v>3000000</v>
      </c>
      <c r="T14" s="106">
        <v>2098056</v>
      </c>
      <c r="U14" s="103">
        <f>SUM(O14:T14)</f>
        <v>6328056</v>
      </c>
      <c r="V14" s="105">
        <f t="shared" si="2"/>
        <v>28700944</v>
      </c>
      <c r="X14" s="8"/>
    </row>
    <row r="15" spans="1:25" ht="18.75" customHeight="1" x14ac:dyDescent="0.2">
      <c r="B15" s="95">
        <f t="shared" si="3"/>
        <v>6</v>
      </c>
      <c r="C15" s="96" t="s">
        <v>20</v>
      </c>
      <c r="D15" s="97">
        <v>0</v>
      </c>
      <c r="E15" s="98">
        <f t="shared" ref="E15:E23" si="4">D15*24</f>
        <v>0</v>
      </c>
      <c r="F15" s="99">
        <v>7823000</v>
      </c>
      <c r="G15" s="100">
        <v>4114000</v>
      </c>
      <c r="H15" s="100">
        <f t="shared" si="0"/>
        <v>12300000</v>
      </c>
      <c r="I15" s="100">
        <v>600000</v>
      </c>
      <c r="J15" s="100">
        <v>4000000</v>
      </c>
      <c r="K15" s="100">
        <v>4500000</v>
      </c>
      <c r="L15" s="101">
        <f t="shared" si="1"/>
        <v>33337000</v>
      </c>
      <c r="M15" s="101">
        <v>136</v>
      </c>
      <c r="N15" s="102">
        <f t="shared" ref="N15:N23" si="5">(M15-E15)/M15</f>
        <v>1</v>
      </c>
      <c r="O15" s="103">
        <v>0</v>
      </c>
      <c r="P15" s="103">
        <v>0</v>
      </c>
      <c r="Q15" s="103">
        <v>0</v>
      </c>
      <c r="R15" s="104">
        <v>0</v>
      </c>
      <c r="S15" s="104"/>
      <c r="T15" s="106"/>
      <c r="U15" s="103">
        <f t="shared" ref="U15:U23" si="6">SUM(O15:T15)</f>
        <v>0</v>
      </c>
      <c r="V15" s="105">
        <f t="shared" si="2"/>
        <v>33337000</v>
      </c>
      <c r="X15" s="8"/>
      <c r="Y15" s="8" t="e">
        <f>#REF!-#REF!</f>
        <v>#REF!</v>
      </c>
    </row>
    <row r="16" spans="1:25" ht="19.5" customHeight="1" x14ac:dyDescent="0.2">
      <c r="B16" s="95">
        <f t="shared" si="3"/>
        <v>7</v>
      </c>
      <c r="C16" s="107" t="s">
        <v>12</v>
      </c>
      <c r="D16" s="97">
        <v>8.4027777777777771E-2</v>
      </c>
      <c r="E16" s="98">
        <f t="shared" si="4"/>
        <v>2.0166666666666666</v>
      </c>
      <c r="F16" s="108">
        <v>6918000</v>
      </c>
      <c r="G16" s="109">
        <v>4114000</v>
      </c>
      <c r="H16" s="109">
        <f>7800000</f>
        <v>7800000</v>
      </c>
      <c r="I16" s="109">
        <v>350000</v>
      </c>
      <c r="J16" s="109">
        <v>2800000</v>
      </c>
      <c r="K16" s="109">
        <v>2000000</v>
      </c>
      <c r="L16" s="110">
        <f t="shared" si="1"/>
        <v>23982000</v>
      </c>
      <c r="M16" s="110">
        <v>136</v>
      </c>
      <c r="N16" s="111">
        <f t="shared" si="5"/>
        <v>0.98517156862745092</v>
      </c>
      <c r="O16" s="103">
        <f>H16*10%</f>
        <v>780000</v>
      </c>
      <c r="P16" s="103">
        <v>0</v>
      </c>
      <c r="Q16" s="103">
        <v>0</v>
      </c>
      <c r="R16" s="104">
        <v>0</v>
      </c>
      <c r="S16" s="104"/>
      <c r="T16" s="106">
        <v>15581</v>
      </c>
      <c r="U16" s="103">
        <f t="shared" si="6"/>
        <v>795581</v>
      </c>
      <c r="V16" s="105">
        <f t="shared" si="2"/>
        <v>23186419</v>
      </c>
      <c r="X16" s="8"/>
    </row>
    <row r="17" spans="2:25" ht="18.75" customHeight="1" x14ac:dyDescent="0.2">
      <c r="B17" s="95">
        <f t="shared" si="3"/>
        <v>8</v>
      </c>
      <c r="C17" s="96" t="s">
        <v>15</v>
      </c>
      <c r="D17" s="97">
        <v>2.0833333333333332E-2</v>
      </c>
      <c r="E17" s="98">
        <f t="shared" si="4"/>
        <v>0.5</v>
      </c>
      <c r="F17" s="99">
        <v>5867000</v>
      </c>
      <c r="G17" s="100">
        <v>3919000</v>
      </c>
      <c r="H17" s="100">
        <f>7800000</f>
        <v>7800000</v>
      </c>
      <c r="I17" s="100">
        <v>350000</v>
      </c>
      <c r="J17" s="100">
        <v>2800000</v>
      </c>
      <c r="K17" s="100">
        <v>2000000</v>
      </c>
      <c r="L17" s="101">
        <f t="shared" si="1"/>
        <v>22736000</v>
      </c>
      <c r="M17" s="101">
        <v>136</v>
      </c>
      <c r="N17" s="102">
        <f t="shared" si="5"/>
        <v>0.99632352941176472</v>
      </c>
      <c r="O17" s="103">
        <v>0</v>
      </c>
      <c r="P17" s="103">
        <v>0</v>
      </c>
      <c r="Q17" s="103">
        <v>0</v>
      </c>
      <c r="R17" s="104">
        <v>0</v>
      </c>
      <c r="S17" s="104">
        <v>0</v>
      </c>
      <c r="T17" s="106">
        <v>0</v>
      </c>
      <c r="U17" s="103">
        <f t="shared" si="6"/>
        <v>0</v>
      </c>
      <c r="V17" s="105">
        <f t="shared" si="2"/>
        <v>22736000</v>
      </c>
      <c r="X17" s="8"/>
      <c r="Y17" s="44">
        <f>'[1]THR PEG PELINDO'!$G$10</f>
        <v>4342000</v>
      </c>
    </row>
    <row r="18" spans="2:25" ht="18.75" customHeight="1" x14ac:dyDescent="0.2">
      <c r="B18" s="95">
        <f t="shared" si="3"/>
        <v>9</v>
      </c>
      <c r="C18" s="107" t="s">
        <v>56</v>
      </c>
      <c r="D18" s="97">
        <v>4.8611111111111112E-3</v>
      </c>
      <c r="E18" s="98">
        <f t="shared" si="4"/>
        <v>0.11666666666666667</v>
      </c>
      <c r="F18" s="108">
        <v>6918000</v>
      </c>
      <c r="G18" s="109">
        <v>3919000</v>
      </c>
      <c r="H18" s="109">
        <f>7800000</f>
        <v>7800000</v>
      </c>
      <c r="I18" s="109">
        <v>350000</v>
      </c>
      <c r="J18" s="109">
        <v>2800000</v>
      </c>
      <c r="K18" s="109">
        <v>2000000</v>
      </c>
      <c r="L18" s="110">
        <f t="shared" si="1"/>
        <v>23787000</v>
      </c>
      <c r="M18" s="110">
        <v>136</v>
      </c>
      <c r="N18" s="111">
        <f t="shared" si="5"/>
        <v>0.99914215686274499</v>
      </c>
      <c r="O18" s="103">
        <v>0</v>
      </c>
      <c r="P18" s="103">
        <v>0</v>
      </c>
      <c r="Q18" s="103">
        <v>0</v>
      </c>
      <c r="R18" s="104">
        <v>0</v>
      </c>
      <c r="S18" s="104"/>
      <c r="T18" s="106"/>
      <c r="U18" s="103">
        <f t="shared" si="6"/>
        <v>0</v>
      </c>
      <c r="V18" s="105">
        <f t="shared" si="2"/>
        <v>23787000</v>
      </c>
      <c r="X18" s="8"/>
      <c r="Y18" s="8" t="e">
        <f>Y17-Y15</f>
        <v>#REF!</v>
      </c>
    </row>
    <row r="19" spans="2:25" ht="18.75" customHeight="1" x14ac:dyDescent="0.2">
      <c r="B19" s="95">
        <f t="shared" si="3"/>
        <v>10</v>
      </c>
      <c r="C19" s="114" t="s">
        <v>53</v>
      </c>
      <c r="D19" s="97">
        <v>0</v>
      </c>
      <c r="E19" s="98">
        <f>D19*24</f>
        <v>0</v>
      </c>
      <c r="F19" s="108">
        <v>7230000</v>
      </c>
      <c r="G19" s="109">
        <v>4114000</v>
      </c>
      <c r="H19" s="109">
        <f>7800000</f>
        <v>7800000</v>
      </c>
      <c r="I19" s="109">
        <v>350000</v>
      </c>
      <c r="J19" s="109">
        <v>2800000</v>
      </c>
      <c r="K19" s="109">
        <v>2000000</v>
      </c>
      <c r="L19" s="110">
        <f t="shared" si="1"/>
        <v>24294000</v>
      </c>
      <c r="M19" s="110"/>
      <c r="N19" s="111"/>
      <c r="O19" s="103">
        <v>0</v>
      </c>
      <c r="P19" s="103">
        <f>H19*20%</f>
        <v>1560000</v>
      </c>
      <c r="Q19" s="103">
        <v>0</v>
      </c>
      <c r="R19" s="104">
        <v>0</v>
      </c>
      <c r="S19" s="104"/>
      <c r="T19" s="106"/>
      <c r="U19" s="103">
        <f>SUM(O19:T19)</f>
        <v>1560000</v>
      </c>
      <c r="V19" s="105">
        <f t="shared" si="2"/>
        <v>22734000</v>
      </c>
      <c r="X19" s="8"/>
      <c r="Y19" s="8"/>
    </row>
    <row r="20" spans="2:25" ht="18.75" customHeight="1" x14ac:dyDescent="0.2">
      <c r="B20" s="138">
        <f t="shared" si="3"/>
        <v>11</v>
      </c>
      <c r="C20" s="137" t="s">
        <v>57</v>
      </c>
      <c r="D20" s="112">
        <v>0.34236111111111112</v>
      </c>
      <c r="E20" s="98">
        <f t="shared" si="4"/>
        <v>8.2166666666666668</v>
      </c>
      <c r="F20" s="108">
        <v>5400000</v>
      </c>
      <c r="G20" s="109">
        <v>3435000</v>
      </c>
      <c r="H20" s="109">
        <f>7800000</f>
        <v>7800000</v>
      </c>
      <c r="I20" s="109">
        <v>350000</v>
      </c>
      <c r="J20" s="109">
        <v>2800000</v>
      </c>
      <c r="K20" s="109">
        <v>2000000</v>
      </c>
      <c r="L20" s="110">
        <f t="shared" si="1"/>
        <v>21785000</v>
      </c>
      <c r="M20" s="110">
        <v>136</v>
      </c>
      <c r="N20" s="111">
        <f t="shared" si="5"/>
        <v>0.93958333333333333</v>
      </c>
      <c r="O20" s="103">
        <f>H20*10%</f>
        <v>780000</v>
      </c>
      <c r="P20" s="103">
        <v>0</v>
      </c>
      <c r="Q20" s="103">
        <v>0</v>
      </c>
      <c r="R20" s="104">
        <v>0</v>
      </c>
      <c r="S20" s="104">
        <f>J20*25%</f>
        <v>700000</v>
      </c>
      <c r="T20" s="106">
        <v>92873</v>
      </c>
      <c r="U20" s="103">
        <f t="shared" si="6"/>
        <v>1572873</v>
      </c>
      <c r="V20" s="105">
        <f t="shared" si="2"/>
        <v>20212127</v>
      </c>
      <c r="X20" s="8"/>
    </row>
    <row r="21" spans="2:25" ht="18.75" hidden="1" customHeight="1" x14ac:dyDescent="0.2">
      <c r="B21" s="95">
        <f t="shared" si="3"/>
        <v>12</v>
      </c>
      <c r="C21" s="96" t="s">
        <v>16</v>
      </c>
      <c r="D21" s="97">
        <v>0</v>
      </c>
      <c r="E21" s="98">
        <f t="shared" si="4"/>
        <v>0</v>
      </c>
      <c r="F21" s="119" t="s">
        <v>54</v>
      </c>
      <c r="G21" s="100">
        <v>0</v>
      </c>
      <c r="H21" s="100">
        <v>6000000</v>
      </c>
      <c r="I21" s="100">
        <v>0</v>
      </c>
      <c r="J21" s="100">
        <v>0</v>
      </c>
      <c r="K21" s="100">
        <v>0</v>
      </c>
      <c r="L21" s="101">
        <f t="shared" ref="L21:L23" si="7">SUM(F21:H21)</f>
        <v>6000000</v>
      </c>
      <c r="M21" s="101">
        <v>136</v>
      </c>
      <c r="N21" s="102">
        <f t="shared" si="5"/>
        <v>1</v>
      </c>
      <c r="O21" s="103">
        <v>0</v>
      </c>
      <c r="P21" s="103">
        <v>0</v>
      </c>
      <c r="Q21" s="103">
        <f t="shared" ref="Q21" si="8">H21*20%</f>
        <v>1200000</v>
      </c>
      <c r="R21" s="104">
        <v>0</v>
      </c>
      <c r="S21" s="104"/>
      <c r="T21" s="106"/>
      <c r="U21" s="103">
        <f t="shared" si="6"/>
        <v>1200000</v>
      </c>
      <c r="V21" s="105">
        <f t="shared" si="2"/>
        <v>4800000</v>
      </c>
      <c r="X21" s="8"/>
    </row>
    <row r="22" spans="2:25" ht="18.75" customHeight="1" x14ac:dyDescent="0.2">
      <c r="B22" s="95">
        <f t="shared" si="3"/>
        <v>13</v>
      </c>
      <c r="C22" s="107" t="s">
        <v>17</v>
      </c>
      <c r="D22" s="112">
        <v>4.8611111111111112E-3</v>
      </c>
      <c r="E22" s="98">
        <f t="shared" si="4"/>
        <v>0.11666666666666667</v>
      </c>
      <c r="F22" s="99">
        <v>4543000</v>
      </c>
      <c r="G22" s="100">
        <v>3435000</v>
      </c>
      <c r="H22" s="100">
        <v>6000000</v>
      </c>
      <c r="I22" s="100">
        <v>0</v>
      </c>
      <c r="J22" s="100">
        <v>0</v>
      </c>
      <c r="K22" s="100">
        <v>0</v>
      </c>
      <c r="L22" s="110">
        <f t="shared" si="7"/>
        <v>13978000</v>
      </c>
      <c r="M22" s="110">
        <v>136</v>
      </c>
      <c r="N22" s="111">
        <f t="shared" si="5"/>
        <v>0.99914215686274499</v>
      </c>
      <c r="O22" s="103">
        <v>0</v>
      </c>
      <c r="P22" s="103">
        <v>0</v>
      </c>
      <c r="Q22" s="103">
        <v>0</v>
      </c>
      <c r="R22" s="104">
        <v>0</v>
      </c>
      <c r="S22" s="104"/>
      <c r="T22" s="106">
        <v>0</v>
      </c>
      <c r="U22" s="103">
        <f t="shared" si="6"/>
        <v>0</v>
      </c>
      <c r="V22" s="105">
        <f t="shared" si="2"/>
        <v>13978000</v>
      </c>
      <c r="X22" s="8"/>
    </row>
    <row r="23" spans="2:25" ht="18.75" customHeight="1" x14ac:dyDescent="0.2">
      <c r="B23" s="95">
        <f t="shared" si="3"/>
        <v>14</v>
      </c>
      <c r="C23" s="107" t="s">
        <v>13</v>
      </c>
      <c r="D23" s="112">
        <v>4.8611111111111112E-3</v>
      </c>
      <c r="E23" s="98">
        <f t="shared" si="4"/>
        <v>0.11666666666666667</v>
      </c>
      <c r="F23" s="99">
        <v>4543000</v>
      </c>
      <c r="G23" s="100">
        <v>3435000</v>
      </c>
      <c r="H23" s="100">
        <v>6000000</v>
      </c>
      <c r="I23" s="100">
        <v>0</v>
      </c>
      <c r="J23" s="100">
        <v>0</v>
      </c>
      <c r="K23" s="100">
        <v>0</v>
      </c>
      <c r="L23" s="110">
        <f t="shared" si="7"/>
        <v>13978000</v>
      </c>
      <c r="M23" s="110">
        <v>136</v>
      </c>
      <c r="N23" s="111">
        <f t="shared" si="5"/>
        <v>0.99914215686274499</v>
      </c>
      <c r="O23" s="103">
        <v>0</v>
      </c>
      <c r="P23" s="103">
        <v>0</v>
      </c>
      <c r="Q23" s="103">
        <v>0</v>
      </c>
      <c r="R23" s="104">
        <v>0</v>
      </c>
      <c r="S23" s="104"/>
      <c r="T23" s="106"/>
      <c r="U23" s="103">
        <f t="shared" si="6"/>
        <v>0</v>
      </c>
      <c r="V23" s="105">
        <f t="shared" si="2"/>
        <v>13978000</v>
      </c>
      <c r="X23" s="8"/>
    </row>
    <row r="24" spans="2:25" ht="15" x14ac:dyDescent="0.25">
      <c r="B24" s="140"/>
      <c r="C24" s="140"/>
      <c r="D24" s="140"/>
      <c r="E24" s="84"/>
      <c r="F24" s="141">
        <f>SUM(F10:F23)</f>
        <v>95672000</v>
      </c>
      <c r="G24" s="141">
        <f t="shared" ref="G24:L24" si="9">SUM(G10:G23)</f>
        <v>53275000</v>
      </c>
      <c r="H24" s="141">
        <f t="shared" si="9"/>
        <v>130800000</v>
      </c>
      <c r="I24" s="141">
        <f t="shared" si="9"/>
        <v>5350000</v>
      </c>
      <c r="J24" s="141">
        <f t="shared" si="9"/>
        <v>38000000</v>
      </c>
      <c r="K24" s="141">
        <f t="shared" si="9"/>
        <v>37000000</v>
      </c>
      <c r="L24" s="141">
        <f t="shared" si="9"/>
        <v>360097000</v>
      </c>
      <c r="M24" s="85"/>
      <c r="N24" s="85"/>
      <c r="O24" s="149">
        <f>SUM(O11:O23)</f>
        <v>2790000</v>
      </c>
      <c r="P24" s="149">
        <f t="shared" ref="P24:R24" si="10">SUM(P11:P23)</f>
        <v>1560000</v>
      </c>
      <c r="Q24" s="149">
        <v>0</v>
      </c>
      <c r="R24" s="149">
        <f t="shared" si="10"/>
        <v>0</v>
      </c>
      <c r="S24" s="136"/>
      <c r="T24" s="149">
        <f>SUM(T11:T23)</f>
        <v>2206510</v>
      </c>
      <c r="U24" s="149"/>
      <c r="V24" s="146">
        <f>SUM(V11:V23)</f>
        <v>312889490</v>
      </c>
      <c r="X24" s="8"/>
    </row>
    <row r="25" spans="2:25" ht="15" x14ac:dyDescent="0.25">
      <c r="B25" s="140"/>
      <c r="C25" s="140"/>
      <c r="D25" s="140"/>
      <c r="E25" s="84"/>
      <c r="F25" s="141"/>
      <c r="G25" s="141"/>
      <c r="H25" s="141"/>
      <c r="I25" s="141"/>
      <c r="J25" s="141"/>
      <c r="K25" s="141"/>
      <c r="L25" s="141"/>
      <c r="M25" s="85"/>
      <c r="N25" s="85"/>
      <c r="O25" s="149"/>
      <c r="P25" s="149"/>
      <c r="Q25" s="149"/>
      <c r="R25" s="149"/>
      <c r="S25" s="136"/>
      <c r="T25" s="149"/>
      <c r="U25" s="149"/>
      <c r="V25" s="147"/>
      <c r="X25" s="24" t="e">
        <f>L24-(#REF!+#REF!)</f>
        <v>#REF!</v>
      </c>
    </row>
    <row r="27" spans="2:25" x14ac:dyDescent="0.2">
      <c r="B27" s="13"/>
      <c r="C27" s="9"/>
      <c r="D27" s="9"/>
      <c r="E27" s="9"/>
      <c r="F27" s="9"/>
      <c r="G27" s="9"/>
    </row>
    <row r="28" spans="2:25" x14ac:dyDescent="0.2">
      <c r="B28" s="10"/>
      <c r="C28" s="9"/>
      <c r="D28" s="9"/>
      <c r="E28" s="9"/>
      <c r="F28" s="9"/>
      <c r="G28" s="114"/>
      <c r="H28" s="47"/>
      <c r="V28" s="9"/>
    </row>
    <row r="29" spans="2:25" x14ac:dyDescent="0.2">
      <c r="B29" s="9"/>
      <c r="C29" s="9"/>
      <c r="D29" s="9"/>
      <c r="E29" s="9"/>
      <c r="F29" s="9"/>
      <c r="G29" s="11"/>
      <c r="H29" s="48"/>
      <c r="V29" s="46"/>
    </row>
    <row r="30" spans="2:25" x14ac:dyDescent="0.2">
      <c r="B30" s="9"/>
      <c r="C30" s="9"/>
      <c r="D30" s="9"/>
      <c r="E30" s="9"/>
      <c r="F30" s="9"/>
      <c r="G30" s="11"/>
      <c r="H30" s="45"/>
      <c r="V30" s="46"/>
    </row>
    <row r="31" spans="2:25" x14ac:dyDescent="0.2">
      <c r="B31" s="9"/>
      <c r="C31" s="9"/>
      <c r="D31" s="21"/>
      <c r="E31" s="21"/>
      <c r="F31" s="9"/>
      <c r="G31" s="11"/>
      <c r="H31" s="45"/>
      <c r="R31" t="s">
        <v>39</v>
      </c>
      <c r="T31">
        <v>160</v>
      </c>
      <c r="V31">
        <v>7.21</v>
      </c>
    </row>
    <row r="32" spans="2:25" x14ac:dyDescent="0.2">
      <c r="B32" s="9"/>
      <c r="C32" s="9"/>
      <c r="D32" s="9"/>
      <c r="E32" s="9"/>
      <c r="F32" s="9"/>
      <c r="G32" s="9"/>
      <c r="H32" s="45"/>
      <c r="T32" s="45">
        <f>T31-V31</f>
        <v>152.79</v>
      </c>
      <c r="V32">
        <f>T32/T31</f>
        <v>0.95493749999999999</v>
      </c>
    </row>
    <row r="33" spans="2:22" x14ac:dyDescent="0.2">
      <c r="B33" s="9"/>
      <c r="C33" s="9"/>
      <c r="D33" s="9"/>
      <c r="E33" s="9"/>
      <c r="F33" s="9"/>
      <c r="G33" s="9"/>
    </row>
    <row r="34" spans="2:22" x14ac:dyDescent="0.2">
      <c r="B34" s="9"/>
      <c r="C34" s="9"/>
      <c r="D34" s="9"/>
      <c r="E34" s="9"/>
      <c r="F34" s="9"/>
      <c r="G34" s="9"/>
      <c r="T34" s="8">
        <f>G20*60%</f>
        <v>2061000</v>
      </c>
      <c r="V34" s="134">
        <f>V32*T34</f>
        <v>1968126.1875</v>
      </c>
    </row>
    <row r="35" spans="2:22" x14ac:dyDescent="0.2">
      <c r="V35" s="134">
        <f>T34-V34</f>
        <v>92873.8125</v>
      </c>
    </row>
    <row r="36" spans="2:22" x14ac:dyDescent="0.2">
      <c r="B36" s="10"/>
      <c r="C36" s="9"/>
      <c r="D36" s="9"/>
      <c r="E36" s="9"/>
      <c r="F36" s="9"/>
      <c r="G36" s="9"/>
    </row>
    <row r="37" spans="2:22" x14ac:dyDescent="0.2">
      <c r="B37" s="10"/>
      <c r="C37" s="9"/>
      <c r="D37" s="9"/>
      <c r="E37" s="9"/>
      <c r="F37" s="9"/>
      <c r="G37" s="9"/>
    </row>
    <row r="38" spans="2:22" x14ac:dyDescent="0.2">
      <c r="B38" s="10"/>
      <c r="C38" s="9"/>
      <c r="D38" s="43"/>
      <c r="E38" s="43"/>
      <c r="F38" s="9"/>
      <c r="G38" s="9"/>
      <c r="H38" s="45"/>
    </row>
    <row r="39" spans="2:22" x14ac:dyDescent="0.2">
      <c r="B39" s="10"/>
      <c r="C39" s="9"/>
      <c r="D39" s="9"/>
      <c r="E39" s="9"/>
      <c r="F39" s="9"/>
      <c r="G39" s="9"/>
    </row>
    <row r="40" spans="2:22" x14ac:dyDescent="0.2">
      <c r="B40" s="10"/>
      <c r="C40" s="9"/>
      <c r="D40" s="9"/>
      <c r="E40" s="9"/>
      <c r="F40" s="9"/>
      <c r="G40" s="9"/>
    </row>
    <row r="41" spans="2:22" x14ac:dyDescent="0.2">
      <c r="B41" s="10"/>
      <c r="C41" s="9"/>
      <c r="D41" s="9"/>
      <c r="E41" s="9"/>
      <c r="F41" s="9"/>
      <c r="G41" s="9"/>
    </row>
    <row r="42" spans="2:22" x14ac:dyDescent="0.2">
      <c r="B42" s="9"/>
      <c r="C42" s="9"/>
      <c r="D42" s="9"/>
      <c r="E42" s="9"/>
      <c r="F42" s="9"/>
      <c r="G42" s="9"/>
    </row>
    <row r="43" spans="2:22" x14ac:dyDescent="0.2">
      <c r="B43" s="9"/>
      <c r="C43" s="9"/>
      <c r="D43" s="9"/>
      <c r="E43" s="9"/>
      <c r="F43" s="9"/>
      <c r="G43" s="9"/>
    </row>
    <row r="44" spans="2:22" x14ac:dyDescent="0.2">
      <c r="B44" s="9"/>
      <c r="C44" s="9"/>
      <c r="D44" s="9"/>
      <c r="E44" s="9"/>
      <c r="F44" s="9"/>
      <c r="G44" s="9"/>
    </row>
  </sheetData>
  <mergeCells count="33">
    <mergeCell ref="T6:T7"/>
    <mergeCell ref="T24:T25"/>
    <mergeCell ref="M6:M7"/>
    <mergeCell ref="N6:N7"/>
    <mergeCell ref="U6:U7"/>
    <mergeCell ref="O24:O25"/>
    <mergeCell ref="U24:U25"/>
    <mergeCell ref="O6:R6"/>
    <mergeCell ref="P24:P25"/>
    <mergeCell ref="Q24:Q25"/>
    <mergeCell ref="R24:R25"/>
    <mergeCell ref="A3:V3"/>
    <mergeCell ref="A4:V4"/>
    <mergeCell ref="V6:V7"/>
    <mergeCell ref="V24:V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2"/>
  <sheetViews>
    <sheetView view="pageBreakPreview" topLeftCell="A4" zoomScale="85" zoomScaleNormal="90" zoomScaleSheetLayoutView="85" workbookViewId="0">
      <pane xSplit="4" topLeftCell="F1" activePane="topRight" state="frozen"/>
      <selection pane="topRight" activeCell="F12" sqref="F12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43" t="s">
        <v>29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25"/>
    </row>
    <row r="3" spans="2:27" ht="12.75" customHeight="1" x14ac:dyDescent="0.2">
      <c r="B3" s="144" t="s">
        <v>58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53" t="s">
        <v>0</v>
      </c>
      <c r="C5" s="153" t="s">
        <v>9</v>
      </c>
      <c r="D5" s="153" t="s">
        <v>36</v>
      </c>
      <c r="E5" s="153"/>
      <c r="F5" s="153" t="s">
        <v>10</v>
      </c>
      <c r="G5" s="153" t="s">
        <v>27</v>
      </c>
      <c r="H5" s="153" t="s">
        <v>28</v>
      </c>
      <c r="I5" s="156" t="s">
        <v>11</v>
      </c>
      <c r="J5" s="78"/>
      <c r="K5" s="153" t="s">
        <v>40</v>
      </c>
      <c r="L5" s="153" t="s">
        <v>39</v>
      </c>
      <c r="M5" s="142" t="s">
        <v>42</v>
      </c>
      <c r="N5" s="142"/>
      <c r="O5" s="142"/>
      <c r="P5" s="142"/>
      <c r="Q5" s="142" t="s">
        <v>33</v>
      </c>
      <c r="R5" s="142" t="s">
        <v>33</v>
      </c>
      <c r="S5" s="142" t="s">
        <v>47</v>
      </c>
      <c r="T5" s="142" t="s">
        <v>41</v>
      </c>
      <c r="U5" s="34"/>
    </row>
    <row r="6" spans="2:27" ht="78.75" customHeight="1" thickBot="1" x14ac:dyDescent="0.25">
      <c r="B6" s="154"/>
      <c r="C6" s="155"/>
      <c r="D6" s="154"/>
      <c r="E6" s="154"/>
      <c r="F6" s="155"/>
      <c r="G6" s="154"/>
      <c r="H6" s="154"/>
      <c r="I6" s="157"/>
      <c r="J6" s="77" t="s">
        <v>46</v>
      </c>
      <c r="K6" s="158"/>
      <c r="L6" s="158"/>
      <c r="M6" s="77" t="s">
        <v>46</v>
      </c>
      <c r="N6" s="75" t="s">
        <v>43</v>
      </c>
      <c r="O6" s="75" t="s">
        <v>44</v>
      </c>
      <c r="P6" s="75" t="s">
        <v>45</v>
      </c>
      <c r="Q6" s="142"/>
      <c r="R6" s="142"/>
      <c r="S6" s="142"/>
      <c r="T6" s="142"/>
      <c r="U6" s="34"/>
      <c r="V6" s="70">
        <v>4.2361111111111106E-2</v>
      </c>
    </row>
    <row r="7" spans="2:27" ht="20.100000000000001" customHeight="1" x14ac:dyDescent="0.2">
      <c r="B7" s="35">
        <v>1</v>
      </c>
      <c r="C7" s="17" t="s">
        <v>1</v>
      </c>
      <c r="D7" s="70">
        <v>0</v>
      </c>
      <c r="E7" s="72">
        <f>D7*24</f>
        <v>0</v>
      </c>
      <c r="F7" s="28">
        <v>3330000</v>
      </c>
      <c r="G7" s="29">
        <v>4706000</v>
      </c>
      <c r="H7" s="29">
        <v>2755000</v>
      </c>
      <c r="I7" s="30">
        <f t="shared" ref="I7:I17" si="0">SUM(F7:H7)</f>
        <v>10791000</v>
      </c>
      <c r="J7" s="49">
        <v>0</v>
      </c>
      <c r="K7" s="49">
        <v>136</v>
      </c>
      <c r="L7" s="64">
        <f>(K7-E7)/K7</f>
        <v>1</v>
      </c>
      <c r="M7" s="79">
        <f t="shared" ref="M7:M8" si="1">J7</f>
        <v>0</v>
      </c>
      <c r="N7" s="59">
        <v>0</v>
      </c>
      <c r="O7" s="103">
        <v>0</v>
      </c>
      <c r="P7" s="59">
        <v>0</v>
      </c>
      <c r="Q7" s="54"/>
      <c r="R7" s="82">
        <v>0</v>
      </c>
      <c r="S7" s="82">
        <f>SUM(M7:Q7)</f>
        <v>0</v>
      </c>
      <c r="T7" s="83">
        <f>S7-I7</f>
        <v>-10791000</v>
      </c>
      <c r="U7" s="31"/>
      <c r="V7" s="8"/>
      <c r="W7" s="8"/>
      <c r="X7" s="22"/>
      <c r="Y7" s="22"/>
    </row>
    <row r="8" spans="2:27" ht="20.100000000000001" customHeight="1" x14ac:dyDescent="0.2">
      <c r="B8" s="35">
        <v>2</v>
      </c>
      <c r="C8" s="17" t="s">
        <v>2</v>
      </c>
      <c r="D8" s="70">
        <v>0</v>
      </c>
      <c r="E8" s="72">
        <f t="shared" ref="E8:E17" si="2">D8*24</f>
        <v>0</v>
      </c>
      <c r="F8" s="28">
        <f t="shared" ref="F8" si="3">F7</f>
        <v>3330000</v>
      </c>
      <c r="G8" s="29">
        <v>4706000</v>
      </c>
      <c r="H8" s="29">
        <f t="shared" ref="H8" si="4">H7</f>
        <v>2755000</v>
      </c>
      <c r="I8" s="30">
        <f t="shared" si="0"/>
        <v>10791000</v>
      </c>
      <c r="J8" s="50">
        <v>0</v>
      </c>
      <c r="K8" s="50">
        <v>136</v>
      </c>
      <c r="L8" s="65">
        <f t="shared" ref="L8:L17" si="5">(K8-E8)/K8</f>
        <v>1</v>
      </c>
      <c r="M8" s="80">
        <f t="shared" si="1"/>
        <v>0</v>
      </c>
      <c r="N8" s="59">
        <v>0</v>
      </c>
      <c r="O8" s="103">
        <v>0</v>
      </c>
      <c r="P8" s="59">
        <v>0</v>
      </c>
      <c r="Q8" s="50"/>
      <c r="R8" s="50">
        <v>0</v>
      </c>
      <c r="S8" s="82">
        <f t="shared" ref="S8:S17" si="6">SUM(M8:Q8)</f>
        <v>0</v>
      </c>
      <c r="T8" s="58">
        <f t="shared" ref="T8:T18" si="7">S8-I8</f>
        <v>-10791000</v>
      </c>
      <c r="U8" s="31"/>
      <c r="V8" s="8"/>
      <c r="W8" s="8"/>
      <c r="X8" s="22"/>
      <c r="Y8" s="22" t="s">
        <v>37</v>
      </c>
      <c r="Z8">
        <f>(132-18.14)/136</f>
        <v>0.83720588235294113</v>
      </c>
      <c r="AA8" s="42"/>
    </row>
    <row r="9" spans="2:27" ht="20.100000000000001" customHeight="1" x14ac:dyDescent="0.2">
      <c r="B9" s="35">
        <v>3</v>
      </c>
      <c r="C9" s="16" t="s">
        <v>8</v>
      </c>
      <c r="D9" s="70">
        <v>0.10902777777777778</v>
      </c>
      <c r="E9" s="72">
        <f t="shared" si="2"/>
        <v>2.6166666666666667</v>
      </c>
      <c r="F9" s="115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1">
        <f t="shared" ref="J9" si="8">H9*10%</f>
        <v>52700</v>
      </c>
      <c r="K9" s="51">
        <v>136</v>
      </c>
      <c r="L9" s="66">
        <f t="shared" si="5"/>
        <v>0.98075980392156858</v>
      </c>
      <c r="M9" s="79">
        <f>H9*10%</f>
        <v>52700</v>
      </c>
      <c r="N9" s="59">
        <v>0</v>
      </c>
      <c r="O9" s="103">
        <v>0</v>
      </c>
      <c r="P9" s="59">
        <v>0</v>
      </c>
      <c r="Q9" s="51">
        <v>15292</v>
      </c>
      <c r="R9" s="51">
        <v>202715</v>
      </c>
      <c r="S9" s="82">
        <f t="shared" si="6"/>
        <v>67992</v>
      </c>
      <c r="T9" s="58">
        <f t="shared" si="7"/>
        <v>-6322008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5">
        <v>4</v>
      </c>
      <c r="C10" s="16" t="s">
        <v>14</v>
      </c>
      <c r="D10" s="70">
        <v>0.34861111111111115</v>
      </c>
      <c r="E10" s="72">
        <f t="shared" si="2"/>
        <v>8.3666666666666671</v>
      </c>
      <c r="F10" s="115">
        <f t="shared" ref="F10:F11" si="9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50">
        <v>0</v>
      </c>
      <c r="K10" s="50">
        <v>136</v>
      </c>
      <c r="L10" s="65">
        <f t="shared" si="5"/>
        <v>0.93848039215686274</v>
      </c>
      <c r="M10" s="81">
        <f>H10*10%</f>
        <v>94400</v>
      </c>
      <c r="N10" s="59">
        <v>0</v>
      </c>
      <c r="O10" s="103">
        <v>0</v>
      </c>
      <c r="P10" s="59">
        <v>0</v>
      </c>
      <c r="Q10" s="51">
        <v>77694</v>
      </c>
      <c r="R10" s="50">
        <v>0</v>
      </c>
      <c r="S10" s="82">
        <f>SUM(M10:Q10)</f>
        <v>172094</v>
      </c>
      <c r="T10" s="58">
        <f t="shared" si="7"/>
        <v>-6916906</v>
      </c>
      <c r="U10" s="32"/>
      <c r="V10" s="8"/>
      <c r="W10" s="8"/>
      <c r="X10" s="23"/>
      <c r="Y10" s="22" t="s">
        <v>38</v>
      </c>
      <c r="Z10" s="45">
        <v>2533000</v>
      </c>
    </row>
    <row r="11" spans="2:27" ht="20.100000000000001" customHeight="1" x14ac:dyDescent="0.2">
      <c r="B11" s="35">
        <v>5</v>
      </c>
      <c r="C11" s="36" t="s">
        <v>19</v>
      </c>
      <c r="D11" s="71">
        <v>2.9861111111111113E-2</v>
      </c>
      <c r="E11" s="73">
        <f t="shared" si="2"/>
        <v>0.71666666666666667</v>
      </c>
      <c r="F11" s="116">
        <f t="shared" si="9"/>
        <v>3330000</v>
      </c>
      <c r="G11" s="19">
        <f>[2]Sheet1!$O$19</f>
        <v>2533000</v>
      </c>
      <c r="H11" s="19">
        <f>[2]Sheet1!$Q$19</f>
        <v>527000</v>
      </c>
      <c r="I11" s="37">
        <f t="shared" si="0"/>
        <v>6390000</v>
      </c>
      <c r="J11" s="50">
        <v>0</v>
      </c>
      <c r="K11" s="52">
        <v>136</v>
      </c>
      <c r="L11" s="67">
        <f t="shared" si="5"/>
        <v>0.99473039215686276</v>
      </c>
      <c r="M11" s="81">
        <f>H11*10%</f>
        <v>52700</v>
      </c>
      <c r="N11" s="59">
        <v>0</v>
      </c>
      <c r="O11" s="103">
        <v>0</v>
      </c>
      <c r="P11" s="59">
        <v>0</v>
      </c>
      <c r="Q11" s="51"/>
      <c r="R11" s="52">
        <v>15980</v>
      </c>
      <c r="S11" s="82">
        <f t="shared" si="6"/>
        <v>52700</v>
      </c>
      <c r="T11" s="58">
        <f t="shared" si="7"/>
        <v>-6337300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5">
        <v>6</v>
      </c>
      <c r="C12" s="16" t="s">
        <v>21</v>
      </c>
      <c r="D12" s="120" t="s">
        <v>62</v>
      </c>
      <c r="E12" s="73">
        <f t="shared" si="2"/>
        <v>14.783333333333335</v>
      </c>
      <c r="F12" s="115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51">
        <f t="shared" ref="J12:J13" si="10">H12*10%</f>
        <v>52700</v>
      </c>
      <c r="K12" s="52">
        <v>136</v>
      </c>
      <c r="L12" s="67">
        <f t="shared" si="5"/>
        <v>0.89129901960784319</v>
      </c>
      <c r="M12" s="81">
        <f t="shared" ref="M12:M18" si="11">H12*10%</f>
        <v>52700</v>
      </c>
      <c r="N12" s="59">
        <v>0</v>
      </c>
      <c r="O12" s="103">
        <v>0</v>
      </c>
      <c r="P12" s="59">
        <v>0</v>
      </c>
      <c r="Q12" s="51">
        <v>130892</v>
      </c>
      <c r="R12" s="51">
        <v>0</v>
      </c>
      <c r="S12" s="82">
        <f t="shared" si="6"/>
        <v>183592</v>
      </c>
      <c r="T12" s="58">
        <f t="shared" si="7"/>
        <v>-6206408</v>
      </c>
      <c r="U12" s="32"/>
      <c r="V12" s="8"/>
      <c r="W12" s="8"/>
      <c r="X12" s="23"/>
    </row>
    <row r="13" spans="2:27" ht="20.100000000000001" customHeight="1" x14ac:dyDescent="0.2">
      <c r="B13" s="35">
        <v>7</v>
      </c>
      <c r="C13" s="16" t="s">
        <v>22</v>
      </c>
      <c r="D13" s="120" t="s">
        <v>59</v>
      </c>
      <c r="E13" s="72">
        <f t="shared" si="2"/>
        <v>10.333333333333334</v>
      </c>
      <c r="F13" s="115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51">
        <f t="shared" si="10"/>
        <v>52700</v>
      </c>
      <c r="K13" s="52">
        <v>136</v>
      </c>
      <c r="L13" s="67">
        <f t="shared" si="5"/>
        <v>0.9240196078431373</v>
      </c>
      <c r="M13" s="81">
        <f t="shared" si="11"/>
        <v>52700</v>
      </c>
      <c r="N13" s="59">
        <f>H13*20%</f>
        <v>105400</v>
      </c>
      <c r="O13" s="103">
        <v>0</v>
      </c>
      <c r="P13" s="59">
        <v>0</v>
      </c>
      <c r="Q13" s="51">
        <v>98122</v>
      </c>
      <c r="R13" s="51">
        <v>218248</v>
      </c>
      <c r="S13" s="82">
        <f t="shared" si="6"/>
        <v>256222</v>
      </c>
      <c r="T13" s="58">
        <f t="shared" si="7"/>
        <v>-6133778</v>
      </c>
      <c r="U13" s="32"/>
      <c r="V13" s="8"/>
      <c r="W13" s="8"/>
      <c r="X13" s="23"/>
    </row>
    <row r="14" spans="2:27" ht="20.100000000000001" customHeight="1" x14ac:dyDescent="0.2">
      <c r="B14" s="35">
        <f t="shared" ref="B14:B17" si="12">B13+1</f>
        <v>8</v>
      </c>
      <c r="C14" s="16" t="s">
        <v>23</v>
      </c>
      <c r="D14" s="70">
        <v>2.0833333333333333E-3</v>
      </c>
      <c r="E14" s="72">
        <f t="shared" si="2"/>
        <v>0.05</v>
      </c>
      <c r="F14" s="115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50">
        <v>0</v>
      </c>
      <c r="K14" s="50">
        <v>136</v>
      </c>
      <c r="L14" s="65">
        <f t="shared" si="5"/>
        <v>0.99963235294117636</v>
      </c>
      <c r="M14" s="80">
        <v>0</v>
      </c>
      <c r="N14" s="59">
        <v>0</v>
      </c>
      <c r="O14" s="103">
        <v>0</v>
      </c>
      <c r="P14" s="59">
        <v>0</v>
      </c>
      <c r="Q14" s="51">
        <v>0</v>
      </c>
      <c r="R14" s="53">
        <v>0</v>
      </c>
      <c r="S14" s="82">
        <f t="shared" si="6"/>
        <v>0</v>
      </c>
      <c r="T14" s="58">
        <f t="shared" si="7"/>
        <v>-6390000</v>
      </c>
      <c r="U14" s="32"/>
      <c r="V14" s="8"/>
      <c r="W14" s="8"/>
      <c r="X14" s="23"/>
    </row>
    <row r="15" spans="2:27" ht="20.100000000000001" customHeight="1" x14ac:dyDescent="0.2">
      <c r="B15" s="35">
        <f t="shared" si="12"/>
        <v>9</v>
      </c>
      <c r="C15" s="38" t="s">
        <v>24</v>
      </c>
      <c r="D15" s="70">
        <v>0.5854166666666667</v>
      </c>
      <c r="E15" s="72">
        <f t="shared" si="2"/>
        <v>14.05</v>
      </c>
      <c r="F15" s="115">
        <v>3330000</v>
      </c>
      <c r="G15" s="18">
        <f t="shared" ref="G15" si="13">G11</f>
        <v>2533000</v>
      </c>
      <c r="H15" s="19">
        <f>[2]Sheet1!$Q$19</f>
        <v>527000</v>
      </c>
      <c r="I15" s="39">
        <f t="shared" si="0"/>
        <v>6390000</v>
      </c>
      <c r="J15" s="54">
        <v>0</v>
      </c>
      <c r="K15" s="54">
        <v>136</v>
      </c>
      <c r="L15" s="68">
        <f t="shared" si="5"/>
        <v>0.89669117647058827</v>
      </c>
      <c r="M15" s="81">
        <f t="shared" si="11"/>
        <v>52700</v>
      </c>
      <c r="N15" s="59">
        <v>0</v>
      </c>
      <c r="O15" s="103">
        <v>0</v>
      </c>
      <c r="P15" s="59">
        <v>0</v>
      </c>
      <c r="Q15" s="51">
        <v>297785</v>
      </c>
      <c r="R15" s="55">
        <v>0</v>
      </c>
      <c r="S15" s="82">
        <f t="shared" si="6"/>
        <v>350485</v>
      </c>
      <c r="T15" s="58">
        <f t="shared" si="7"/>
        <v>-6039515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5">
        <f t="shared" si="12"/>
        <v>10</v>
      </c>
      <c r="C16" s="16" t="s">
        <v>26</v>
      </c>
      <c r="D16" s="70">
        <v>3.6111111111111115E-2</v>
      </c>
      <c r="E16" s="72">
        <f t="shared" si="2"/>
        <v>0.8666666666666667</v>
      </c>
      <c r="F16" s="115">
        <f>F10</f>
        <v>3330000</v>
      </c>
      <c r="G16" s="18">
        <f t="shared" ref="G16" si="14">G12</f>
        <v>2533000</v>
      </c>
      <c r="H16" s="19">
        <f>[2]Sheet1!$Q$19</f>
        <v>527000</v>
      </c>
      <c r="I16" s="20">
        <f t="shared" si="0"/>
        <v>6390000</v>
      </c>
      <c r="J16" s="50">
        <v>0</v>
      </c>
      <c r="K16" s="50">
        <v>136</v>
      </c>
      <c r="L16" s="65">
        <f t="shared" si="5"/>
        <v>0.99362745098039207</v>
      </c>
      <c r="M16" s="81">
        <f t="shared" si="11"/>
        <v>52700</v>
      </c>
      <c r="N16" s="59">
        <v>0</v>
      </c>
      <c r="O16" s="103">
        <v>0</v>
      </c>
      <c r="P16" s="59">
        <v>0</v>
      </c>
      <c r="Q16" s="51">
        <v>0</v>
      </c>
      <c r="R16" s="53">
        <v>0</v>
      </c>
      <c r="S16" s="82">
        <f t="shared" si="6"/>
        <v>52700</v>
      </c>
      <c r="T16" s="58">
        <f t="shared" si="7"/>
        <v>-6337300</v>
      </c>
      <c r="U16" s="32"/>
      <c r="V16" s="8"/>
      <c r="W16" s="8"/>
      <c r="X16" s="23"/>
    </row>
    <row r="17" spans="2:28" ht="20.100000000000001" customHeight="1" x14ac:dyDescent="0.2">
      <c r="B17" s="35">
        <f t="shared" si="12"/>
        <v>11</v>
      </c>
      <c r="C17" s="40" t="s">
        <v>18</v>
      </c>
      <c r="D17" s="70">
        <v>3.4027777777777775E-2</v>
      </c>
      <c r="E17" s="74">
        <f t="shared" si="2"/>
        <v>0.81666666666666665</v>
      </c>
      <c r="F17" s="117">
        <f>F16</f>
        <v>3330000</v>
      </c>
      <c r="G17" s="18">
        <f t="shared" ref="G17" si="15">G13</f>
        <v>2533000</v>
      </c>
      <c r="H17" s="19">
        <f>[2]Sheet1!$Q$19</f>
        <v>527000</v>
      </c>
      <c r="I17" s="41">
        <f t="shared" si="0"/>
        <v>6390000</v>
      </c>
      <c r="J17" s="51">
        <f t="shared" ref="J17" si="16">H17*10%</f>
        <v>52700</v>
      </c>
      <c r="K17" s="56">
        <v>136</v>
      </c>
      <c r="L17" s="69">
        <f t="shared" si="5"/>
        <v>0.99399509803921571</v>
      </c>
      <c r="M17" s="81">
        <f t="shared" si="11"/>
        <v>52700</v>
      </c>
      <c r="N17" s="59">
        <v>0</v>
      </c>
      <c r="O17" s="103">
        <v>0</v>
      </c>
      <c r="P17" s="59">
        <v>0</v>
      </c>
      <c r="Q17" s="51">
        <v>0</v>
      </c>
      <c r="R17" s="57">
        <v>0</v>
      </c>
      <c r="S17" s="82">
        <f t="shared" si="6"/>
        <v>52700</v>
      </c>
      <c r="T17" s="58">
        <f t="shared" si="7"/>
        <v>-6337300</v>
      </c>
      <c r="U17" s="32"/>
      <c r="V17" s="8"/>
      <c r="W17" s="8"/>
      <c r="X17" s="8"/>
    </row>
    <row r="18" spans="2:28" ht="20.100000000000001" customHeight="1" x14ac:dyDescent="0.2">
      <c r="B18" s="121">
        <v>12</v>
      </c>
      <c r="C18" s="133" t="s">
        <v>55</v>
      </c>
      <c r="D18" s="70">
        <v>0.10833333333333334</v>
      </c>
      <c r="E18" s="73"/>
      <c r="F18" s="117">
        <f>F17</f>
        <v>3330000</v>
      </c>
      <c r="G18" s="122">
        <v>506600</v>
      </c>
      <c r="H18" s="122">
        <v>527000</v>
      </c>
      <c r="I18" s="123">
        <f>SUM(F18:H18)</f>
        <v>4363600</v>
      </c>
      <c r="J18" s="124"/>
      <c r="K18" s="125"/>
      <c r="L18" s="126"/>
      <c r="M18" s="127">
        <f t="shared" si="11"/>
        <v>52700</v>
      </c>
      <c r="N18" s="128"/>
      <c r="O18" s="129"/>
      <c r="P18" s="128"/>
      <c r="Q18" s="52">
        <v>3039</v>
      </c>
      <c r="R18" s="130"/>
      <c r="S18" s="131">
        <f>M18+Q18</f>
        <v>55739</v>
      </c>
      <c r="T18" s="132">
        <f t="shared" si="7"/>
        <v>-4307861</v>
      </c>
      <c r="U18" s="32"/>
      <c r="V18" s="8"/>
      <c r="W18" s="8"/>
      <c r="X18" s="8"/>
    </row>
    <row r="19" spans="2:28" ht="10.5" customHeight="1" x14ac:dyDescent="0.25">
      <c r="B19" s="14"/>
      <c r="C19" s="14"/>
      <c r="D19" s="14"/>
      <c r="E19" s="14"/>
      <c r="F19" s="161">
        <f>SUM(F7:F17)</f>
        <v>36630000</v>
      </c>
      <c r="G19" s="161">
        <f>SUM(G7:G17)</f>
        <v>32491000</v>
      </c>
      <c r="H19" s="161">
        <f>SUM(H7:H17)</f>
        <v>10670000</v>
      </c>
      <c r="I19" s="163">
        <f>SUM(I7:I18)</f>
        <v>84154600</v>
      </c>
      <c r="J19" s="159">
        <f>SUM(J7:J17)</f>
        <v>210800</v>
      </c>
      <c r="K19" s="62"/>
      <c r="L19" s="62"/>
      <c r="M19" s="165">
        <f t="shared" ref="M19:R19" si="17">SUM(M7:M17)</f>
        <v>463300</v>
      </c>
      <c r="N19" s="165">
        <f t="shared" si="17"/>
        <v>105400</v>
      </c>
      <c r="O19" s="165">
        <f t="shared" si="17"/>
        <v>0</v>
      </c>
      <c r="P19" s="165">
        <f t="shared" si="17"/>
        <v>0</v>
      </c>
      <c r="Q19" s="165">
        <f t="shared" si="17"/>
        <v>619785</v>
      </c>
      <c r="R19" s="165">
        <f t="shared" si="17"/>
        <v>436943</v>
      </c>
      <c r="S19" s="165">
        <f>SUM(S7:S18)</f>
        <v>1244224</v>
      </c>
      <c r="T19" s="150">
        <f>SUM(T7:T18)</f>
        <v>-82910376</v>
      </c>
      <c r="U19" s="33"/>
      <c r="V19" s="8"/>
      <c r="W19" s="8"/>
    </row>
    <row r="20" spans="2:28" ht="10.5" customHeight="1" thickBot="1" x14ac:dyDescent="0.3">
      <c r="B20" s="15"/>
      <c r="C20" s="15"/>
      <c r="D20" s="15"/>
      <c r="E20" s="15"/>
      <c r="F20" s="162"/>
      <c r="G20" s="162"/>
      <c r="H20" s="162"/>
      <c r="I20" s="164"/>
      <c r="J20" s="160"/>
      <c r="K20" s="63"/>
      <c r="L20" s="63"/>
      <c r="M20" s="166"/>
      <c r="N20" s="166"/>
      <c r="O20" s="166"/>
      <c r="P20" s="166"/>
      <c r="Q20" s="166"/>
      <c r="R20" s="166"/>
      <c r="S20" s="166"/>
      <c r="T20" s="151"/>
      <c r="U20" s="33"/>
      <c r="V20" s="8"/>
      <c r="W20" s="24"/>
      <c r="X20" s="8"/>
    </row>
    <row r="21" spans="2:28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  <c r="U21" s="5"/>
    </row>
    <row r="22" spans="2:28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8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1"/>
      <c r="U23" s="26"/>
    </row>
    <row r="24" spans="2:28" ht="13.5" customHeight="1" x14ac:dyDescent="0.25">
      <c r="B24" s="12"/>
      <c r="C24" s="9"/>
      <c r="D24" s="9"/>
      <c r="E24" s="9"/>
      <c r="F24" s="9"/>
      <c r="G24" s="9"/>
      <c r="H24" s="9"/>
      <c r="T24" s="60"/>
    </row>
    <row r="25" spans="2:28" ht="15" x14ac:dyDescent="0.25">
      <c r="C25" s="5"/>
      <c r="D25" s="5"/>
      <c r="E25" s="5"/>
      <c r="F25" s="8"/>
      <c r="T25" s="7"/>
      <c r="Y25" s="8"/>
    </row>
    <row r="26" spans="2:28" ht="15" x14ac:dyDescent="0.25">
      <c r="C26" s="5"/>
      <c r="D26" s="5"/>
      <c r="E26" s="5"/>
      <c r="P26" t="s">
        <v>39</v>
      </c>
      <c r="Q26">
        <v>160</v>
      </c>
      <c r="S26">
        <v>31.35</v>
      </c>
      <c r="T26" s="7"/>
      <c r="X26" s="42" t="s">
        <v>4</v>
      </c>
      <c r="Y26" s="8"/>
    </row>
    <row r="27" spans="2:28" ht="15" x14ac:dyDescent="0.25">
      <c r="C27" s="5"/>
      <c r="D27" s="5"/>
      <c r="E27" s="5"/>
      <c r="I27" s="8">
        <f>G14*60%</f>
        <v>1519800</v>
      </c>
      <c r="Q27" s="45">
        <f>Q26-S26</f>
        <v>128.65</v>
      </c>
      <c r="S27">
        <f>Q27/Q26</f>
        <v>0.80406250000000001</v>
      </c>
      <c r="T27" s="7"/>
      <c r="Y27" s="8"/>
    </row>
    <row r="28" spans="2:28" ht="15" x14ac:dyDescent="0.25">
      <c r="C28" s="5"/>
      <c r="D28" s="5"/>
      <c r="E28" s="5"/>
      <c r="G28" s="8">
        <f>F13+G13</f>
        <v>5863000</v>
      </c>
      <c r="T28" s="60"/>
      <c r="AA28" s="8"/>
      <c r="AB28" s="8"/>
    </row>
    <row r="29" spans="2:28" x14ac:dyDescent="0.2">
      <c r="N29">
        <f>8*60</f>
        <v>480</v>
      </c>
      <c r="Q29" s="8">
        <f>G12*60%</f>
        <v>1519800</v>
      </c>
      <c r="S29" s="134">
        <f>S27*Q29</f>
        <v>1222014.1875</v>
      </c>
    </row>
    <row r="30" spans="2:28" x14ac:dyDescent="0.2">
      <c r="N30">
        <f>N29+52</f>
        <v>532</v>
      </c>
      <c r="S30" s="134">
        <f>Q29-S29</f>
        <v>297785.8125</v>
      </c>
      <c r="Y30" s="45"/>
      <c r="Z30" s="8"/>
      <c r="AB30" s="8"/>
    </row>
    <row r="31" spans="2:28" x14ac:dyDescent="0.2">
      <c r="Z31" s="8"/>
    </row>
    <row r="34" spans="25:26" x14ac:dyDescent="0.2">
      <c r="Y34">
        <v>13.933</v>
      </c>
      <c r="Z34" s="8">
        <f>G9*60%</f>
        <v>1519800</v>
      </c>
    </row>
    <row r="35" spans="25:26" x14ac:dyDescent="0.2">
      <c r="Y35">
        <v>0.89700000000000002</v>
      </c>
      <c r="Z35" s="8">
        <f>Y35*Z30</f>
        <v>0</v>
      </c>
    </row>
    <row r="37" spans="25:26" x14ac:dyDescent="0.2">
      <c r="Z37" s="8">
        <f>Z34-Z35</f>
        <v>1519800</v>
      </c>
    </row>
    <row r="42" spans="25:26" x14ac:dyDescent="0.2">
      <c r="Y42">
        <v>13.54</v>
      </c>
    </row>
  </sheetData>
  <mergeCells count="30">
    <mergeCell ref="S5:S6"/>
    <mergeCell ref="N19:N20"/>
    <mergeCell ref="O19:O20"/>
    <mergeCell ref="P19:P20"/>
    <mergeCell ref="R5:R6"/>
    <mergeCell ref="M5:P5"/>
    <mergeCell ref="S19:S20"/>
    <mergeCell ref="R19:R20"/>
    <mergeCell ref="F19:F20"/>
    <mergeCell ref="G19:G20"/>
    <mergeCell ref="H19:H20"/>
    <mergeCell ref="I19:I20"/>
    <mergeCell ref="Q19:Q20"/>
    <mergeCell ref="M19:M20"/>
    <mergeCell ref="T19:T20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9:J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2021-11-29T09:59:32Z</dcterms:modified>
</cp:coreProperties>
</file>