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2\"/>
    </mc:Choice>
  </mc:AlternateContent>
  <xr:revisionPtr revIDLastSave="0" documentId="8_{A0A0E578-078D-4E5B-A61D-46259C139E50}" xr6:coauthVersionLast="36" xr6:coauthVersionMax="36" xr10:uidLastSave="{00000000-0000-0000-0000-000000000000}"/>
  <bookViews>
    <workbookView xWindow="0" yWindow="0" windowWidth="19200" windowHeight="6810" tabRatio="661" firstSheet="1" activeTab="3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7">'NET DIREKSI '!$B$1:$V$23</definedName>
    <definedName name="_xlnm.Print_Area" localSheetId="9">'NET KOMISARIS'!$B$1:$Q$20</definedName>
    <definedName name="_xlnm.Print_Area" localSheetId="3">'NET PEG PELINDO DIPERBANTUKAN'!$A$1:$Y$32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KOMISARIS'!$A$1:$X$22</definedName>
    <definedName name="_xlnm.Print_Area" localSheetId="2">'REK MANDIRI'!$A$1:$X$19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F56" i="68" l="1"/>
  <c r="T9" i="59"/>
  <c r="S10" i="68" l="1"/>
  <c r="F40" i="68"/>
  <c r="F34" i="68"/>
  <c r="E34" i="68"/>
  <c r="S21" i="68"/>
  <c r="S19" i="68"/>
  <c r="S14" i="68"/>
  <c r="S13" i="68"/>
  <c r="S12" i="68"/>
  <c r="S17" i="59"/>
  <c r="S16" i="59"/>
  <c r="S15" i="59"/>
  <c r="S14" i="59"/>
  <c r="S13" i="59"/>
  <c r="S12" i="59"/>
  <c r="S11" i="59"/>
  <c r="S9" i="59"/>
  <c r="J42" i="59"/>
  <c r="F41" i="68" l="1"/>
  <c r="M48" i="68" l="1"/>
  <c r="P22" i="68" l="1"/>
  <c r="AC12" i="68" l="1"/>
  <c r="AC13" i="68"/>
  <c r="AC14" i="68"/>
  <c r="AC19" i="68"/>
  <c r="AC21" i="68"/>
  <c r="AC10" i="68"/>
  <c r="AB11" i="59" l="1"/>
  <c r="AB12" i="59"/>
  <c r="AB13" i="59"/>
  <c r="AB14" i="59"/>
  <c r="AB15" i="59"/>
  <c r="AB16" i="59"/>
  <c r="AB17" i="59"/>
  <c r="AB9" i="59"/>
  <c r="M19" i="59" l="1"/>
  <c r="Q12" i="59" l="1"/>
  <c r="N8" i="59"/>
  <c r="N18" i="59"/>
  <c r="N17" i="59"/>
  <c r="N16" i="59"/>
  <c r="N15" i="59"/>
  <c r="N14" i="59"/>
  <c r="N13" i="59"/>
  <c r="N12" i="59"/>
  <c r="N10" i="59"/>
  <c r="N11" i="59"/>
  <c r="N9" i="59"/>
  <c r="S1" i="59" l="1"/>
  <c r="Q16" i="59" l="1"/>
  <c r="Q14" i="59"/>
  <c r="Q13" i="59"/>
  <c r="T12" i="68"/>
  <c r="T13" i="68"/>
  <c r="AD13" i="68" s="1"/>
  <c r="T14" i="68"/>
  <c r="T19" i="68"/>
  <c r="AD19" i="68" s="1"/>
  <c r="T21" i="68"/>
  <c r="T10" i="68"/>
  <c r="R14" i="59"/>
  <c r="T11" i="59"/>
  <c r="T12" i="59"/>
  <c r="T13" i="59"/>
  <c r="T14" i="59"/>
  <c r="AC14" i="59" s="1"/>
  <c r="T15" i="59"/>
  <c r="T16" i="59"/>
  <c r="T17" i="59"/>
  <c r="AC9" i="59"/>
  <c r="M33" i="59"/>
  <c r="AB10" i="68" l="1"/>
  <c r="AD10" i="68"/>
  <c r="AD21" i="68"/>
  <c r="AD12" i="68"/>
  <c r="X14" i="68"/>
  <c r="AD14" i="68"/>
  <c r="AC17" i="59"/>
  <c r="AC13" i="59"/>
  <c r="AC15" i="59"/>
  <c r="AC11" i="59"/>
  <c r="AC16" i="59"/>
  <c r="AC12" i="59"/>
  <c r="P11" i="63" l="1"/>
  <c r="P12" i="63"/>
  <c r="AC8" i="59" l="1"/>
  <c r="W40" i="59"/>
  <c r="T40" i="68"/>
  <c r="T41" i="68" s="1"/>
  <c r="T42" i="68" s="1"/>
  <c r="S44" i="68" s="1"/>
  <c r="S43" i="68" s="1"/>
  <c r="S8" i="59"/>
  <c r="V20" i="59"/>
  <c r="T8" i="59"/>
  <c r="W41" i="59" l="1"/>
  <c r="J11" i="64"/>
  <c r="Q11" i="64" s="1"/>
  <c r="W42" i="59" l="1"/>
  <c r="V44" i="59" s="1"/>
  <c r="V43" i="59" s="1"/>
  <c r="U28" i="64"/>
  <c r="V22" i="68" l="1"/>
  <c r="R22" i="68"/>
  <c r="AB21" i="68"/>
  <c r="AB19" i="68"/>
  <c r="AB14" i="68"/>
  <c r="AB13" i="68"/>
  <c r="AB12" i="68"/>
  <c r="X10" i="68" l="1"/>
  <c r="X19" i="68"/>
  <c r="X13" i="68"/>
  <c r="X21" i="68"/>
  <c r="X12" i="68"/>
  <c r="W22" i="68"/>
  <c r="R20" i="59"/>
  <c r="U8" i="59"/>
  <c r="W8" i="59" l="1"/>
  <c r="Z8" i="59"/>
  <c r="W9" i="59"/>
  <c r="AB8" i="59"/>
  <c r="Z9" i="59"/>
  <c r="N22" i="68" l="1"/>
  <c r="M22" i="68"/>
  <c r="L22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1" i="69"/>
  <c r="Z10" i="69"/>
  <c r="F19" i="59" l="1"/>
  <c r="J13" i="63" l="1"/>
  <c r="J13" i="67" l="1"/>
  <c r="X12" i="63" l="1"/>
  <c r="X11" i="63"/>
  <c r="Q13" i="63"/>
  <c r="P13" i="63"/>
  <c r="O13" i="63"/>
  <c r="X10" i="63"/>
  <c r="X14" i="63" l="1"/>
  <c r="O10" i="68" l="1"/>
  <c r="AA10" i="68" s="1"/>
  <c r="Y10" i="68" l="1"/>
  <c r="N11" i="63"/>
  <c r="V11" i="63" s="1"/>
  <c r="J12" i="65" l="1"/>
  <c r="Y11" i="63"/>
  <c r="W11" i="59" l="1"/>
  <c r="Z11" i="59"/>
  <c r="W12" i="59"/>
  <c r="J10" i="58"/>
  <c r="Z12" i="59" l="1"/>
  <c r="M13" i="59"/>
  <c r="N10" i="63"/>
  <c r="V10" i="63" s="1"/>
  <c r="Y10" i="63" l="1"/>
  <c r="J11" i="65"/>
  <c r="M14" i="59"/>
  <c r="W14" i="59" s="1"/>
  <c r="M15" i="59" l="1"/>
  <c r="Z15" i="59" l="1"/>
  <c r="W15" i="59"/>
  <c r="M16" i="59"/>
  <c r="W16" i="59" s="1"/>
  <c r="G9" i="63"/>
  <c r="H9" i="63"/>
  <c r="X9" i="63"/>
  <c r="Z9" i="63"/>
  <c r="N9" i="63" l="1"/>
  <c r="V9" i="63" s="1"/>
  <c r="M18" i="59"/>
  <c r="M17" i="59"/>
  <c r="Z19" i="59" l="1"/>
  <c r="W19" i="59"/>
  <c r="Y9" i="63"/>
  <c r="M20" i="59"/>
  <c r="P20" i="59"/>
  <c r="O20" i="59" l="1"/>
  <c r="K18" i="68"/>
  <c r="S18" i="68" s="1"/>
  <c r="K20" i="68"/>
  <c r="S20" i="68" s="1"/>
  <c r="K16" i="68"/>
  <c r="S16" i="68" s="1"/>
  <c r="K17" i="68"/>
  <c r="S17" i="68" s="1"/>
  <c r="K15" i="68"/>
  <c r="K11" i="68"/>
  <c r="J16" i="68"/>
  <c r="J17" i="68"/>
  <c r="J11" i="68"/>
  <c r="K9" i="68"/>
  <c r="O9" i="68" s="1"/>
  <c r="Y9" i="68" s="1"/>
  <c r="K10" i="59"/>
  <c r="J10" i="59"/>
  <c r="I11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I8" i="64" s="1"/>
  <c r="H12" i="64"/>
  <c r="L12" i="64"/>
  <c r="M12" i="64"/>
  <c r="N12" i="64"/>
  <c r="O12" i="64"/>
  <c r="P12" i="64"/>
  <c r="S12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F11" i="58"/>
  <c r="G11" i="58"/>
  <c r="H11" i="58"/>
  <c r="I11" i="58"/>
  <c r="K11" i="58"/>
  <c r="L11" i="58"/>
  <c r="M11" i="58"/>
  <c r="N11" i="58"/>
  <c r="O11" i="58"/>
  <c r="P11" i="58"/>
  <c r="Q11" i="58"/>
  <c r="R11" i="58"/>
  <c r="S11" i="58"/>
  <c r="T11" i="58"/>
  <c r="U11" i="58"/>
  <c r="V11" i="58"/>
  <c r="W11" i="58"/>
  <c r="S11" i="68" l="1"/>
  <c r="K22" i="68"/>
  <c r="Q22" i="68"/>
  <c r="T15" i="68"/>
  <c r="AC15" i="68"/>
  <c r="S15" i="68"/>
  <c r="AB10" i="59"/>
  <c r="S10" i="59"/>
  <c r="AC16" i="68"/>
  <c r="AC11" i="68"/>
  <c r="AC20" i="68"/>
  <c r="AC18" i="68"/>
  <c r="AC17" i="68"/>
  <c r="Q10" i="59"/>
  <c r="T10" i="59"/>
  <c r="T11" i="68"/>
  <c r="T18" i="68"/>
  <c r="T16" i="68"/>
  <c r="T20" i="68"/>
  <c r="T17" i="68"/>
  <c r="AA10" i="65"/>
  <c r="J19" i="68"/>
  <c r="J13" i="68"/>
  <c r="Z12" i="69"/>
  <c r="G12" i="63"/>
  <c r="G13" i="63" s="1"/>
  <c r="S13" i="64"/>
  <c r="G10" i="64"/>
  <c r="G9" i="64"/>
  <c r="J8" i="64"/>
  <c r="O16" i="68"/>
  <c r="O20" i="68"/>
  <c r="O17" i="68"/>
  <c r="O11" i="68"/>
  <c r="O12" i="68"/>
  <c r="Y12" i="68" s="1"/>
  <c r="J10" i="65"/>
  <c r="L10" i="59"/>
  <c r="I17" i="59"/>
  <c r="I14" i="59"/>
  <c r="I12" i="59"/>
  <c r="I15" i="59"/>
  <c r="I13" i="59"/>
  <c r="L8" i="59"/>
  <c r="AC10" i="59" l="1"/>
  <c r="AD16" i="68"/>
  <c r="AD15" i="68"/>
  <c r="AD17" i="68"/>
  <c r="AD11" i="68"/>
  <c r="AD20" i="68"/>
  <c r="AD18" i="68"/>
  <c r="Y11" i="68"/>
  <c r="X11" i="68"/>
  <c r="Y20" i="68"/>
  <c r="D19" i="61" s="1"/>
  <c r="Y17" i="68"/>
  <c r="D15" i="61" s="1"/>
  <c r="Y16" i="68"/>
  <c r="D14" i="61" s="1"/>
  <c r="AB20" i="68"/>
  <c r="X20" i="68"/>
  <c r="AA20" i="68" s="1"/>
  <c r="AB15" i="68"/>
  <c r="AB16" i="68"/>
  <c r="AB18" i="68"/>
  <c r="AB11" i="68"/>
  <c r="AB17" i="68"/>
  <c r="S22" i="68"/>
  <c r="AA23" i="68" s="1"/>
  <c r="X18" i="68"/>
  <c r="X17" i="68"/>
  <c r="AA17" i="68" s="1"/>
  <c r="U22" i="68"/>
  <c r="T22" i="68"/>
  <c r="X10" i="59"/>
  <c r="J12" i="69" s="1"/>
  <c r="G12" i="64"/>
  <c r="X15" i="68"/>
  <c r="X16" i="68"/>
  <c r="AA16" i="68" s="1"/>
  <c r="X8" i="59"/>
  <c r="J10" i="69" s="1"/>
  <c r="Y10" i="69"/>
  <c r="AA10" i="69" s="1"/>
  <c r="Z10" i="59"/>
  <c r="W10" i="59"/>
  <c r="Y12" i="69"/>
  <c r="AA12" i="69" s="1"/>
  <c r="O18" i="68"/>
  <c r="Y18" i="68" s="1"/>
  <c r="D12" i="61"/>
  <c r="AA12" i="68"/>
  <c r="I22" i="68"/>
  <c r="O13" i="68"/>
  <c r="Y13" i="68" s="1"/>
  <c r="AA8" i="59"/>
  <c r="J14" i="68"/>
  <c r="J22" i="68" s="1"/>
  <c r="O19" i="68"/>
  <c r="Y19" i="68" s="1"/>
  <c r="L9" i="59"/>
  <c r="L11" i="59"/>
  <c r="X11" i="59" s="1"/>
  <c r="J18" i="59"/>
  <c r="N12" i="63"/>
  <c r="V12" i="63" s="1"/>
  <c r="Q8" i="64"/>
  <c r="I10" i="64"/>
  <c r="J10" i="64" s="1"/>
  <c r="T8" i="64"/>
  <c r="I9" i="64"/>
  <c r="O15" i="68"/>
  <c r="Y15" i="68" s="1"/>
  <c r="O21" i="68"/>
  <c r="Y21" i="68" s="1"/>
  <c r="I18" i="59"/>
  <c r="I20" i="59" s="1"/>
  <c r="K41" i="68" l="1"/>
  <c r="F57" i="68"/>
  <c r="X22" i="68"/>
  <c r="I12" i="64"/>
  <c r="AA18" i="68"/>
  <c r="D18" i="61"/>
  <c r="Z17" i="59"/>
  <c r="W17" i="59"/>
  <c r="X9" i="59"/>
  <c r="J11" i="69" s="1"/>
  <c r="Y11" i="69"/>
  <c r="AA11" i="69" s="1"/>
  <c r="AA10" i="59"/>
  <c r="J19" i="59"/>
  <c r="J20" i="59" s="1"/>
  <c r="D10" i="61"/>
  <c r="AA11" i="59"/>
  <c r="N13" i="63"/>
  <c r="Y14" i="63" s="1"/>
  <c r="Y12" i="63"/>
  <c r="K18" i="59"/>
  <c r="AA15" i="68"/>
  <c r="D16" i="61"/>
  <c r="AA21" i="68"/>
  <c r="D11" i="61"/>
  <c r="D20" i="61"/>
  <c r="AA19" i="68"/>
  <c r="AA13" i="68"/>
  <c r="AA11" i="68"/>
  <c r="AA9" i="59"/>
  <c r="O14" i="68"/>
  <c r="Y14" i="68" s="1"/>
  <c r="Y22" i="68" s="1"/>
  <c r="J13" i="69"/>
  <c r="L15" i="59"/>
  <c r="X15" i="59" s="1"/>
  <c r="L17" i="59"/>
  <c r="X17" i="59" s="1"/>
  <c r="L12" i="59"/>
  <c r="X12" i="59" s="1"/>
  <c r="L14" i="59"/>
  <c r="L13" i="59"/>
  <c r="AA18" i="63"/>
  <c r="L16" i="59"/>
  <c r="X16" i="59" s="1"/>
  <c r="J10" i="67"/>
  <c r="Q10" i="64"/>
  <c r="J12" i="67" s="1"/>
  <c r="T10" i="64"/>
  <c r="T12" i="64" s="1"/>
  <c r="J9" i="64"/>
  <c r="J12" i="64" s="1"/>
  <c r="O22" i="68" l="1"/>
  <c r="AB18" i="59"/>
  <c r="S18" i="59"/>
  <c r="Q18" i="59"/>
  <c r="T18" i="59"/>
  <c r="T20" i="59" s="1"/>
  <c r="Z16" i="59"/>
  <c r="AA16" i="59" s="1"/>
  <c r="W13" i="59"/>
  <c r="Z13" i="59"/>
  <c r="AA13" i="59" s="1"/>
  <c r="J18" i="69"/>
  <c r="L19" i="59"/>
  <c r="X19" i="59" s="1"/>
  <c r="N20" i="59"/>
  <c r="U20" i="59"/>
  <c r="K20" i="59"/>
  <c r="J32" i="59" s="1"/>
  <c r="K42" i="68" s="1"/>
  <c r="X13" i="59"/>
  <c r="J14" i="69" s="1"/>
  <c r="Z14" i="59"/>
  <c r="AA14" i="59" s="1"/>
  <c r="X14" i="59"/>
  <c r="J16" i="69" s="1"/>
  <c r="L18" i="59"/>
  <c r="AA17" i="59"/>
  <c r="AA12" i="59"/>
  <c r="AA14" i="68"/>
  <c r="J21" i="69"/>
  <c r="J17" i="69"/>
  <c r="J20" i="69"/>
  <c r="AA15" i="59"/>
  <c r="J13" i="65"/>
  <c r="V13" i="63"/>
  <c r="D13" i="61"/>
  <c r="Q9" i="64"/>
  <c r="Q12" i="64" s="1"/>
  <c r="T13" i="64"/>
  <c r="N12" i="67"/>
  <c r="N14" i="67" s="1"/>
  <c r="O12" i="67"/>
  <c r="AB24" i="68" l="1"/>
  <c r="AA26" i="68"/>
  <c r="AA24" i="68"/>
  <c r="AC18" i="59"/>
  <c r="S20" i="59"/>
  <c r="Z18" i="59"/>
  <c r="AA18" i="59" s="1"/>
  <c r="AA19" i="59"/>
  <c r="J15" i="69"/>
  <c r="L20" i="59"/>
  <c r="W18" i="59"/>
  <c r="W20" i="59" s="1"/>
  <c r="Q20" i="59"/>
  <c r="X18" i="59"/>
  <c r="Y18" i="59"/>
  <c r="D17" i="61"/>
  <c r="D22" i="61" s="1"/>
  <c r="J14" i="65"/>
  <c r="O14" i="67"/>
  <c r="Q12" i="67"/>
  <c r="Q14" i="67" s="1"/>
  <c r="J11" i="67"/>
  <c r="J14" i="67" s="1"/>
  <c r="AA21" i="59" l="1"/>
  <c r="Z21" i="59"/>
  <c r="AA23" i="59" s="1"/>
  <c r="J11" i="58"/>
  <c r="J19" i="69"/>
  <c r="J22" i="69" s="1"/>
  <c r="X20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<sst xmlns="http://schemas.openxmlformats.org/spreadsheetml/2006/main" count="549" uniqueCount="244">
  <si>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</si>
  <si>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</si>
  <si>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</si>
  <si>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</si>
  <si>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</si>
  <si>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</si>
  <si>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</si>
  <si>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</si>
  <si>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</si>
  <si>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</si>
  <si>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</si>
  <si>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</si>
  <si>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</si>
  <si>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</si>
  <si>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</si>
  <si>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</si>
  <si>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</si>
  <si>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</si>
  <si>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</si>
  <si>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</si>
  <si>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</si>
  <si>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</si>
  <si>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</si>
  <si>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</si>
  <si>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</si>
  <si>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</si>
  <si>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</si>
  <si>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</si>
  <si>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</si>
  <si>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</si>
  <si>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</si>
  <si>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</si>
  <si>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</si>
  <si>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</si>
  <si>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</si>
  <si>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</si>
  <si>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</si>
  <si>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</si>
  <si>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</si>
  <si>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</si>
  <si>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</si>
  <si>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</si>
  <si>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</si>
  <si>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</si>
  <si>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</si>
  <si>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</si>
  <si>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</si>
  <si>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</si>
  <si>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</si>
  <si>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</si>
  <si>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</si>
  <si>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</si>
  <si>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</si>
  <si>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</si>
  <si>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</si>
  <si>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</si>
  <si>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</si>
  <si>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</si>
  <si>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</si>
  <si>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</si>
  <si>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</si>
  <si>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</si>
  <si>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</si>
  <si>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</si>
  <si>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</si>
  <si>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</si>
  <si>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</si>
  <si>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</si>
  <si>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</si>
  <si>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</si>
  <si>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</si>
  <si>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</si>
  <si>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</si>
  <si>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</si>
  <si>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</si>
  <si>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</si>
  <si>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</si>
  <si>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58.288.608.1-112.000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</si>
  <si>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</si>
  <si>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</si>
  <si>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</si>
  <si>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</si>
  <si>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</si>
  <si>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</si>
  <si>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</si>
  <si>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</si>
  <si>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</si>
  <si>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</si>
  <si>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</si>
  <si>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</si>
  <si>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</si>
  <si>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</si>
  <si>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</si>
  <si>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</si>
  <si>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</si>
  <si>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</si>
  <si>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</si>
  <si>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</si>
  <si>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</si>
  <si>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</si>
  <si>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</si>
  <si>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</si>
  <si>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</si>
  <si>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</si>
  <si>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</si>
  <si>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</si>
  <si>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</si>
  <si>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</si>
  <si>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</si>
  <si>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</si>
  <si>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</si>
  <si>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</si>
  <si>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</si>
  <si>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RIDWAN SANI SIREGAR</t>
  </si>
  <si>
    <t>Bank BNI AC. 005-8782-955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</si>
  <si>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</si>
  <si>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</si>
  <si>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</si>
  <si>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</si>
  <si>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</si>
  <si>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</si>
  <si>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</si>
  <si>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</si>
  <si>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</si>
  <si>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</si>
  <si>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</si>
  <si>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</si>
  <si>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</si>
  <si>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</si>
  <si>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</si>
  <si>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</si>
  <si>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</si>
  <si>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</si>
  <si>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</si>
  <si>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</si>
  <si>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</si>
  <si>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</si>
  <si>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</si>
  <si>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</si>
  <si>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</si>
  <si>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</si>
  <si>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</si>
  <si>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</si>
  <si>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</si>
  <si>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</si>
  <si>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</si>
  <si>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</si>
  <si>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</si>
  <si>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</si>
  <si>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</si>
  <si>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</si>
  <si>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</si>
  <si>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</si>
  <si>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</si>
  <si>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</si>
  <si>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</si>
  <si>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</si>
  <si>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</si>
  <si>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</si>
  <si>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</si>
  <si>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</si>
  <si>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</si>
  <si>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</si>
  <si>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</si>
  <si>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</si>
  <si>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</si>
  <si>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</si>
  <si>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</si>
  <si>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</si>
  <si>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</si>
  <si>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</si>
  <si>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</si>
  <si>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</si>
  <si>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</si>
  <si>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</si>
  <si>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</si>
  <si>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</si>
  <si>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</si>
  <si>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</si>
  <si>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</si>
  <si>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</si>
  <si>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</si>
  <si>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</si>
  <si>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</si>
  <si>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</si>
  <si>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</si>
  <si>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</si>
  <si>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</si>
  <si>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</si>
  <si>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</si>
  <si>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Senior Grade 3</t>
  </si>
  <si>
    <t>KARINA CITA LESTARI</t>
  </si>
  <si>
    <t>PKWT - STAF SISTEM MANAJEMEN</t>
  </si>
  <si>
    <t>95.266.277.3-119.000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</si>
  <si>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</si>
  <si>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</si>
  <si>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</si>
  <si>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</si>
  <si>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</si>
  <si>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</si>
  <si>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</si>
  <si>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</si>
  <si>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</si>
  <si>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</si>
  <si>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</si>
  <si>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14=8+…+13</t>
  </si>
  <si>
    <t>24=15-......22</t>
  </si>
  <si>
    <t>Bank BNI AC.  005-8822-117</t>
  </si>
  <si>
    <t>POTONGAN TUNJANGAN JABATAN</t>
  </si>
  <si>
    <t>Potongan 10% Pencairan Piutang tidak tercapai</t>
  </si>
  <si>
    <t>Pot 10% Pendapatan Usaha tidak tercapai</t>
  </si>
  <si>
    <t>KOMISARIS II/PLT KOMISARIS UTAMA</t>
  </si>
  <si>
    <t>Bank BSI AC. 7183-5822-45</t>
  </si>
  <si>
    <t>Bank BSI AC. 1015-2219-40</t>
  </si>
  <si>
    <t>Bank BNI AC. 0436-336-752</t>
  </si>
  <si>
    <t>Bank BSI AC. 718-7060-057</t>
  </si>
  <si>
    <t>K/4</t>
  </si>
  <si>
    <t>check</t>
  </si>
  <si>
    <t>Note :</t>
  </si>
  <si>
    <t>Medan,          April 2022</t>
  </si>
  <si>
    <t>Pot 15% Disiplin Kerja</t>
  </si>
  <si>
    <t>Pot 55% tidak mengumpulkan RKB (mendapatkan kategori Baik (C))</t>
  </si>
  <si>
    <t>Laba/Rugi Bersih 10%</t>
  </si>
  <si>
    <t>KOMISARIS II</t>
  </si>
  <si>
    <t>RIZKI KURNIAWAN</t>
  </si>
  <si>
    <t>49.810.964-4-643-000</t>
  </si>
  <si>
    <t>K/</t>
  </si>
  <si>
    <t>Bank BNI AC. 210-2200-331</t>
  </si>
  <si>
    <t>Pot 55% tidak mengumpulkan RKB (mendapatkan kategori Baik (C)</t>
  </si>
  <si>
    <t>BULAN JUNI 2022</t>
  </si>
  <si>
    <t>Medan,         Juni 2022</t>
  </si>
  <si>
    <t>Medan,          Juni 2022</t>
  </si>
  <si>
    <t>Medan,       Juni 2022</t>
  </si>
  <si>
    <t>Medan,          JUNI 2022</t>
  </si>
  <si>
    <t>Medan,        Juni 2022</t>
  </si>
  <si>
    <t>2:35</t>
  </si>
  <si>
    <t>07:16</t>
  </si>
  <si>
    <t>04:54</t>
  </si>
  <si>
    <t xml:space="preserve">2. Hal tersebut diakibatkan Laba/Rugi bersih tidak tercapai, dan capaian pendapatan usaha hanya 5.85% </t>
  </si>
  <si>
    <t>1. Capaian maksimal tunjangan kinerja maksimal pada Bulan Mei 2022 adalah 85.85%</t>
  </si>
  <si>
    <t>00:20</t>
  </si>
  <si>
    <t>Catatan :</t>
  </si>
  <si>
    <t>Bank Syariah Indonesia AC. 5555198778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</si>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</sst>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5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9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427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3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3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5" fontId="2" fillId="0" borderId="9" xfId="9" applyFont="1" applyFill="1" applyBorder="1" applyAlignment="1" applyProtection="1">
      <alignment horizontal="left" vertical="center"/>
    </xf>
    <xf numFmtId="165" fontId="2" fillId="0" borderId="17" xfId="9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8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49" xfId="9" applyFont="1" applyFill="1" applyBorder="1" applyAlignment="1" applyProtection="1">
      <alignment horizontal="center"/>
    </xf>
    <xf numFmtId="0" fontId="21" fillId="5" borderId="49" xfId="0" applyFont="1" applyFill="1" applyBorder="1" applyAlignment="1" applyProtection="1">
      <alignment horizontal="center"/>
    </xf>
    <xf numFmtId="167" fontId="21" fillId="5" borderId="49" xfId="9" applyNumberFormat="1" applyFont="1" applyFill="1" applyBorder="1" applyProtection="1"/>
    <xf numFmtId="167" fontId="21" fillId="5" borderId="49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49" xfId="9" applyNumberFormat="1" applyFont="1" applyFill="1" applyBorder="1" applyProtection="1"/>
    <xf numFmtId="167" fontId="21" fillId="5" borderId="49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33" fillId="0" borderId="0" xfId="0" applyFont="1" applyBorder="1"/>
    <xf numFmtId="0" fontId="33" fillId="0" borderId="0" xfId="0" applyFont="1"/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29" fillId="0" borderId="8" xfId="0" applyNumberFormat="1" applyFont="1" applyBorder="1" applyAlignment="1">
      <alignment vertical="center"/>
    </xf>
    <xf numFmtId="3" fontId="20" fillId="0" borderId="8" xfId="9" applyNumberFormat="1" applyFont="1" applyFill="1" applyBorder="1" applyAlignment="1" applyProtection="1">
      <alignment horizontal="right" vertical="center"/>
    </xf>
    <xf numFmtId="0" fontId="21" fillId="0" borderId="0" xfId="0" applyFont="1" applyAlignment="1">
      <alignment vertical="top" wrapText="1"/>
    </xf>
    <xf numFmtId="167" fontId="34" fillId="0" borderId="28" xfId="9" applyNumberFormat="1" applyFont="1" applyFill="1" applyBorder="1" applyAlignment="1" applyProtection="1">
      <alignment vertical="center"/>
    </xf>
    <xf numFmtId="0" fontId="22" fillId="7" borderId="50" xfId="0" applyFont="1" applyFill="1" applyBorder="1" applyAlignment="1" applyProtection="1">
      <alignment horizontal="center" vertical="center" wrapText="1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0" fontId="29" fillId="7" borderId="50" xfId="0" applyFont="1" applyFill="1" applyBorder="1" applyAlignment="1" applyProtection="1">
      <alignment horizontal="center" vertical="center" wrapText="1"/>
    </xf>
    <xf numFmtId="20" fontId="21" fillId="0" borderId="6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30" fillId="0" borderId="11" xfId="9" applyNumberFormat="1" applyFont="1" applyFill="1" applyBorder="1" applyAlignment="1" applyProtection="1">
      <alignment vertical="center"/>
    </xf>
    <xf numFmtId="167" fontId="20" fillId="0" borderId="11" xfId="9" applyNumberFormat="1" applyFont="1" applyFill="1" applyBorder="1" applyAlignment="1" applyProtection="1">
      <alignment vertical="center"/>
    </xf>
    <xf numFmtId="0" fontId="23" fillId="5" borderId="28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167" fontId="18" fillId="5" borderId="8" xfId="9" applyNumberFormat="1" applyFont="1" applyFill="1" applyBorder="1" applyAlignment="1" applyProtection="1">
      <alignment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164" fontId="20" fillId="0" borderId="17" xfId="9" applyNumberFormat="1" applyFont="1" applyFill="1" applyBorder="1" applyAlignment="1" applyProtection="1"/>
    <xf numFmtId="10" fontId="0" fillId="0" borderId="0" xfId="0" applyNumberFormat="1"/>
    <xf numFmtId="20" fontId="23" fillId="5" borderId="8" xfId="9" applyNumberFormat="1" applyFont="1" applyFill="1" applyBorder="1" applyAlignment="1" applyProtection="1">
      <alignment horizontal="center" vertical="center"/>
    </xf>
    <xf numFmtId="20" fontId="23" fillId="5" borderId="8" xfId="0" applyNumberFormat="1" applyFont="1" applyFill="1" applyBorder="1" applyAlignment="1" applyProtection="1">
      <alignment horizontal="center" vertical="center"/>
    </xf>
    <xf numFmtId="20" fontId="23" fillId="5" borderId="8" xfId="9" quotePrefix="1" applyNumberFormat="1" applyFont="1" applyFill="1" applyBorder="1" applyAlignment="1" applyProtection="1">
      <alignment horizontal="center" vertical="center"/>
    </xf>
    <xf numFmtId="0" fontId="29" fillId="0" borderId="0" xfId="0" applyFont="1" applyAlignment="1">
      <alignment horizontal="center"/>
    </xf>
    <xf numFmtId="167" fontId="22" fillId="5" borderId="32" xfId="9" applyNumberFormat="1" applyFont="1" applyFill="1" applyBorder="1" applyAlignment="1" applyProtection="1">
      <alignment vertical="center"/>
    </xf>
    <xf numFmtId="167" fontId="22" fillId="4" borderId="17" xfId="9" applyNumberFormat="1" applyFont="1" applyFill="1" applyBorder="1" applyAlignment="1" applyProtection="1">
      <alignment horizontal="center" vertical="center"/>
    </xf>
    <xf numFmtId="0" fontId="35" fillId="0" borderId="0" xfId="0" applyFont="1"/>
    <xf numFmtId="0" fontId="23" fillId="4" borderId="9" xfId="0" applyFont="1" applyFill="1" applyBorder="1" applyAlignment="1" applyProtection="1">
      <alignment horizontal="center" vertical="center"/>
    </xf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79" fontId="23" fillId="0" borderId="9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23" fillId="0" borderId="51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167" fontId="34" fillId="0" borderId="17" xfId="9" applyNumberFormat="1" applyFont="1" applyFill="1" applyBorder="1" applyAlignment="1" applyProtection="1">
      <alignment vertical="center"/>
    </xf>
    <xf numFmtId="167" fontId="20" fillId="0" borderId="9" xfId="9" applyNumberFormat="1" applyFont="1" applyFill="1" applyBorder="1" applyAlignment="1" applyProtection="1"/>
    <xf numFmtId="167" fontId="22" fillId="5" borderId="7" xfId="9" applyNumberFormat="1" applyFont="1" applyFill="1" applyBorder="1" applyProtection="1"/>
    <xf numFmtId="0" fontId="29" fillId="0" borderId="0" xfId="0" applyFont="1" applyAlignment="1" applyProtection="1">
      <alignment horizontal="centerContinuous"/>
    </xf>
    <xf numFmtId="0" fontId="29" fillId="0" borderId="0" xfId="0" applyFont="1" applyAlignment="1">
      <alignment horizontal="centerContinuous"/>
    </xf>
    <xf numFmtId="0" fontId="21" fillId="0" borderId="0" xfId="0" applyFont="1" applyAlignment="1">
      <alignment horizontal="left"/>
    </xf>
    <xf numFmtId="177" fontId="32" fillId="0" borderId="0" xfId="0" applyNumberFormat="1" applyFont="1" applyFill="1" applyBorder="1" applyAlignment="1" applyProtection="1">
      <alignment horizontal="center" vertical="center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vertical="center" wrapText="1"/>
    </xf>
    <xf numFmtId="0" fontId="22" fillId="6" borderId="1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47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67" fontId="23" fillId="5" borderId="6" xfId="9" applyNumberFormat="1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0" fontId="22" fillId="7" borderId="34" xfId="0" applyFont="1" applyFill="1" applyBorder="1" applyAlignment="1" applyProtection="1">
      <alignment vertical="center" wrapText="1"/>
    </xf>
    <xf numFmtId="177" fontId="19" fillId="0" borderId="0" xfId="0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/>
    </xf>
    <xf numFmtId="167" fontId="21" fillId="5" borderId="13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  <xf numFmtId="167" fontId="20" fillId="5" borderId="46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0</xdr:row>
      <xdr:rowOff>79375</xdr:rowOff>
    </xdr:from>
    <xdr:to>
      <xdr:col>3</xdr:col>
      <xdr:colOff>413311</xdr:colOff>
      <xdr:row>1</xdr:row>
      <xdr:rowOff>409575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00" y="79375"/>
          <a:ext cx="2000811" cy="56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1270000</xdr:colOff>
      <xdr:row>0</xdr:row>
      <xdr:rowOff>95250</xdr:rowOff>
    </xdr:from>
    <xdr:to>
      <xdr:col>9</xdr:col>
      <xdr:colOff>746686</xdr:colOff>
      <xdr:row>1</xdr:row>
      <xdr:rowOff>453040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952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448236</xdr:colOff>
      <xdr:row>0</xdr:row>
      <xdr:rowOff>78441</xdr:rowOff>
    </xdr:from>
    <xdr:to>
      <xdr:col>12</xdr:col>
      <xdr:colOff>745753</xdr:colOff>
      <xdr:row>2</xdr:row>
      <xdr:rowOff>24415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9824" y="78441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0</xdr:row>
      <xdr:rowOff>95250</xdr:rowOff>
    </xdr:from>
    <xdr:to>
      <xdr:col>9</xdr:col>
      <xdr:colOff>714936</xdr:colOff>
      <xdr:row>1</xdr:row>
      <xdr:rowOff>453040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1125" y="952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771526</xdr:colOff>
      <xdr:row>0</xdr:row>
      <xdr:rowOff>169209</xdr:rowOff>
    </xdr:from>
    <xdr:to>
      <xdr:col>11</xdr:col>
      <xdr:colOff>438152</xdr:colOff>
      <xdr:row>0</xdr:row>
      <xdr:rowOff>765124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6" y="169209"/>
          <a:ext cx="2181226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0</xdr:row>
      <xdr:rowOff>158750</xdr:rowOff>
    </xdr:from>
    <xdr:to>
      <xdr:col>9</xdr:col>
      <xdr:colOff>714936</xdr:colOff>
      <xdr:row>1</xdr:row>
      <xdr:rowOff>516540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1125" y="1587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47625</xdr:rowOff>
    </xdr:from>
    <xdr:to>
      <xdr:col>10</xdr:col>
      <xdr:colOff>581586</xdr:colOff>
      <xdr:row>0</xdr:row>
      <xdr:rowOff>643540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4762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1317625</xdr:colOff>
      <xdr:row>0</xdr:row>
      <xdr:rowOff>79375</xdr:rowOff>
    </xdr:from>
    <xdr:to>
      <xdr:col>9</xdr:col>
      <xdr:colOff>794311</xdr:colOff>
      <xdr:row>1</xdr:row>
      <xdr:rowOff>437165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7937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800658</xdr:colOff>
      <xdr:row>0</xdr:row>
      <xdr:rowOff>67235</xdr:rowOff>
    </xdr:from>
    <xdr:to>
      <xdr:col>6</xdr:col>
      <xdr:colOff>761999</xdr:colOff>
      <xdr:row>0</xdr:row>
      <xdr:rowOff>663150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776" y="6723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U28"/>
  <sheetViews>
    <sheetView zoomScale="90" zoomScaleNormal="90" zoomScaleSheetLayoutView="85" workbookViewId="0">
      <pane xSplit="4" topLeftCell="E1" activePane="topRight" state="frozen"/>
      <selection pane="topRight" activeCell="H19" sqref="H19"/>
    </sheetView>
  </sheetViews>
  <sheetFormatPr defaultRowHeight="12.5" x14ac:dyDescent="0.25"/>
  <cols>
    <col min="1" max="1" width="2.7265625" customWidth="1"/>
    <col min="2" max="2" width="3.81640625" customWidth="1"/>
    <col min="3" max="3" width="25.81640625" customWidth="1"/>
    <col min="4" max="4" width="33.7265625" customWidth="1"/>
    <col min="5" max="5" width="22.54296875" customWidth="1"/>
    <col min="6" max="6" width="8.1796875" customWidth="1"/>
    <col min="7" max="10" width="15.7265625" customWidth="1"/>
    <col min="11" max="11" width="12.54296875" hidden="1" customWidth="1"/>
    <col min="12" max="12" width="12.26953125" hidden="1" customWidth="1"/>
    <col min="13" max="14" width="11.453125" hidden="1" customWidth="1"/>
    <col min="15" max="15" width="11.7265625" customWidth="1"/>
    <col min="16" max="16" width="12.54296875" hidden="1" customWidth="1"/>
    <col min="17" max="17" width="12.81640625" customWidth="1"/>
    <col min="18" max="18" width="2.7265625" customWidth="1"/>
    <col min="19" max="22" width="13.26953125" bestFit="1" customWidth="1"/>
  </cols>
  <sheetData>
    <row r="1" spans="2:21" ht="52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21" ht="12.75" customHeight="1" x14ac:dyDescent="0.25">
      <c r="B2" s="387" t="s">
        <v>150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159"/>
    </row>
    <row r="3" spans="2:21" ht="12.75" customHeight="1" x14ac:dyDescent="0.25">
      <c r="B3" s="388" t="s">
        <v>229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160"/>
    </row>
    <row r="4" spans="2:21" ht="6" customHeight="1" x14ac:dyDescent="0.35">
      <c r="B4" s="1"/>
      <c r="C4" s="2"/>
      <c r="D4" s="2"/>
      <c r="E4" s="3"/>
      <c r="F4" s="1"/>
      <c r="G4" s="4"/>
      <c r="H4" s="2"/>
      <c r="I4" s="2"/>
      <c r="J4" s="5"/>
      <c r="K4" s="2"/>
      <c r="L4" s="2"/>
      <c r="M4" s="2"/>
      <c r="N4" s="2"/>
      <c r="O4" s="2"/>
      <c r="P4" s="2"/>
      <c r="Q4" s="2"/>
      <c r="R4" s="2"/>
    </row>
    <row r="5" spans="2:21" ht="36" customHeight="1" x14ac:dyDescent="0.25">
      <c r="B5" s="369" t="s">
        <v>7</v>
      </c>
      <c r="C5" s="369" t="s">
        <v>66</v>
      </c>
      <c r="D5" s="369" t="s">
        <v>21</v>
      </c>
      <c r="E5" s="369" t="s">
        <v>0</v>
      </c>
      <c r="F5" s="369" t="s">
        <v>2</v>
      </c>
      <c r="G5" s="369" t="s">
        <v>67</v>
      </c>
      <c r="H5" s="369" t="s">
        <v>17</v>
      </c>
      <c r="I5" s="369" t="s">
        <v>6</v>
      </c>
      <c r="J5" s="380" t="s">
        <v>68</v>
      </c>
      <c r="K5" s="382" t="s">
        <v>80</v>
      </c>
      <c r="L5" s="369" t="s">
        <v>60</v>
      </c>
      <c r="M5" s="369" t="s">
        <v>92</v>
      </c>
      <c r="N5" s="369" t="s">
        <v>56</v>
      </c>
      <c r="O5" s="369" t="s">
        <v>49</v>
      </c>
      <c r="P5" s="369" t="s">
        <v>46</v>
      </c>
      <c r="Q5" s="369" t="s">
        <v>79</v>
      </c>
      <c r="R5" s="106"/>
    </row>
    <row r="6" spans="2:21" ht="36" customHeight="1" thickBot="1" x14ac:dyDescent="0.3">
      <c r="B6" s="370"/>
      <c r="C6" s="397"/>
      <c r="D6" s="397"/>
      <c r="E6" s="397"/>
      <c r="F6" s="397"/>
      <c r="G6" s="397"/>
      <c r="H6" s="370"/>
      <c r="I6" s="370"/>
      <c r="J6" s="381"/>
      <c r="K6" s="383"/>
      <c r="L6" s="370"/>
      <c r="M6" s="370"/>
      <c r="N6" s="370"/>
      <c r="O6" s="370"/>
      <c r="P6" s="370"/>
      <c r="Q6" s="370"/>
      <c r="R6" s="106"/>
    </row>
    <row r="7" spans="2:21" s="24" customFormat="1" ht="9.75" customHeight="1" x14ac:dyDescent="0.25">
      <c r="B7" s="115">
        <v>1</v>
      </c>
      <c r="C7" s="115">
        <v>2</v>
      </c>
      <c r="D7" s="115">
        <v>3</v>
      </c>
      <c r="E7" s="116">
        <v>6</v>
      </c>
      <c r="F7" s="116">
        <v>7</v>
      </c>
      <c r="G7" s="115">
        <v>8</v>
      </c>
      <c r="H7" s="115">
        <v>9</v>
      </c>
      <c r="I7" s="115">
        <v>13</v>
      </c>
      <c r="J7" s="117" t="s">
        <v>126</v>
      </c>
      <c r="K7" s="118">
        <v>15</v>
      </c>
      <c r="L7" s="116">
        <v>16</v>
      </c>
      <c r="M7" s="116">
        <v>17</v>
      </c>
      <c r="N7" s="116">
        <v>18</v>
      </c>
      <c r="O7" s="116">
        <v>19</v>
      </c>
      <c r="P7" s="116">
        <v>18</v>
      </c>
      <c r="Q7" s="116" t="s">
        <v>125</v>
      </c>
      <c r="R7" s="101"/>
    </row>
    <row r="8" spans="2:21" s="24" customFormat="1" ht="18.75" customHeight="1" x14ac:dyDescent="0.35">
      <c r="B8" s="113">
        <v>1</v>
      </c>
      <c r="C8" s="109" t="s">
        <v>224</v>
      </c>
      <c r="D8" s="109" t="s">
        <v>65</v>
      </c>
      <c r="E8" s="107" t="s">
        <v>225</v>
      </c>
      <c r="F8" s="108" t="s">
        <v>226</v>
      </c>
      <c r="G8" s="112">
        <f>45%*60000000</f>
        <v>27000000</v>
      </c>
      <c r="H8" s="39">
        <v>0</v>
      </c>
      <c r="I8" s="48">
        <f>20%*G8</f>
        <v>5400000</v>
      </c>
      <c r="J8" s="110">
        <f>SUM(G8:I8)</f>
        <v>32400000</v>
      </c>
      <c r="K8" s="154">
        <v>0</v>
      </c>
      <c r="L8" s="154">
        <v>0</v>
      </c>
      <c r="M8" s="149">
        <v>0</v>
      </c>
      <c r="N8" s="154">
        <v>0</v>
      </c>
      <c r="O8" s="154">
        <v>0</v>
      </c>
      <c r="P8" s="49">
        <v>1720000</v>
      </c>
      <c r="Q8" s="150">
        <f>J8-(K8+L8+M8+N8+O8)</f>
        <v>32400000</v>
      </c>
      <c r="R8" s="102"/>
      <c r="T8" s="19">
        <f>J8-K8-L8-N8-O8</f>
        <v>32400000</v>
      </c>
    </row>
    <row r="9" spans="2:21" s="24" customFormat="1" ht="18.75" customHeight="1" x14ac:dyDescent="0.3">
      <c r="B9" s="114">
        <v>2</v>
      </c>
      <c r="C9" s="91" t="s">
        <v>154</v>
      </c>
      <c r="D9" s="283" t="s">
        <v>59</v>
      </c>
      <c r="E9" s="278" t="s">
        <v>86</v>
      </c>
      <c r="F9" s="122" t="s">
        <v>35</v>
      </c>
      <c r="G9" s="123">
        <f>90%*G8</f>
        <v>24300000</v>
      </c>
      <c r="H9" s="48">
        <v>0</v>
      </c>
      <c r="I9" s="48">
        <f>20%*G9</f>
        <v>4860000</v>
      </c>
      <c r="J9" s="124">
        <f>SUM(G9:I9)</f>
        <v>29160000</v>
      </c>
      <c r="K9" s="155">
        <v>0</v>
      </c>
      <c r="L9" s="155">
        <v>0</v>
      </c>
      <c r="M9" s="279">
        <v>0</v>
      </c>
      <c r="N9" s="155">
        <v>0</v>
      </c>
      <c r="O9" s="155">
        <v>0</v>
      </c>
      <c r="P9" s="49"/>
      <c r="Q9" s="280">
        <f>J9-(K9+L9+M9+N9+O9)</f>
        <v>29160000</v>
      </c>
      <c r="R9" s="102"/>
      <c r="T9" s="19"/>
    </row>
    <row r="10" spans="2:21" ht="20.149999999999999" customHeight="1" x14ac:dyDescent="0.3">
      <c r="B10" s="114">
        <v>3</v>
      </c>
      <c r="C10" s="175" t="s">
        <v>39</v>
      </c>
      <c r="D10" s="283" t="s">
        <v>223</v>
      </c>
      <c r="E10" s="281" t="s">
        <v>40</v>
      </c>
      <c r="F10" s="177" t="s">
        <v>34</v>
      </c>
      <c r="G10" s="266">
        <f>90%*G8</f>
        <v>24300000</v>
      </c>
      <c r="H10" s="179">
        <v>0</v>
      </c>
      <c r="I10" s="39">
        <f>20%*G10</f>
        <v>4860000</v>
      </c>
      <c r="J10" s="268">
        <f>SUM(G10:I10)</f>
        <v>29160000</v>
      </c>
      <c r="K10" s="154">
        <v>0</v>
      </c>
      <c r="L10" s="252">
        <v>0</v>
      </c>
      <c r="M10" s="245">
        <v>0</v>
      </c>
      <c r="N10" s="252">
        <v>0</v>
      </c>
      <c r="O10" s="252">
        <v>0</v>
      </c>
      <c r="P10" s="65">
        <v>3790000</v>
      </c>
      <c r="Q10" s="251">
        <f>J10-(K10+L10+M10+N10+O10)</f>
        <v>29160000</v>
      </c>
      <c r="R10" s="103"/>
      <c r="T10" s="19">
        <f>J10-K10-L10-N10-O10</f>
        <v>29160000</v>
      </c>
    </row>
    <row r="11" spans="2:21" ht="20.149999999999999" customHeight="1" x14ac:dyDescent="0.3">
      <c r="B11" s="253">
        <v>4</v>
      </c>
      <c r="C11" s="261" t="s">
        <v>185</v>
      </c>
      <c r="D11" s="284" t="s">
        <v>44</v>
      </c>
      <c r="E11" s="282" t="s">
        <v>186</v>
      </c>
      <c r="F11" s="262" t="s">
        <v>187</v>
      </c>
      <c r="G11" s="267">
        <v>9000000</v>
      </c>
      <c r="H11" s="263">
        <v>0</v>
      </c>
      <c r="I11" s="161">
        <v>450000</v>
      </c>
      <c r="J11" s="338">
        <f>SUM(G11:I11)</f>
        <v>9450000</v>
      </c>
      <c r="K11" s="243"/>
      <c r="L11" s="244"/>
      <c r="M11" s="152"/>
      <c r="N11" s="244"/>
      <c r="O11" s="244">
        <v>0</v>
      </c>
      <c r="P11" s="68"/>
      <c r="Q11" s="339">
        <f>J11-(K11+L11+M11+N11+O11)</f>
        <v>9450000</v>
      </c>
      <c r="R11" s="103"/>
      <c r="T11" s="19"/>
    </row>
    <row r="12" spans="2:21" ht="10.5" customHeight="1" x14ac:dyDescent="0.35">
      <c r="B12" s="73"/>
      <c r="C12" s="73"/>
      <c r="D12" s="73"/>
      <c r="E12" s="72"/>
      <c r="F12" s="20"/>
      <c r="G12" s="399">
        <f>SUM(G9:G11)</f>
        <v>57600000</v>
      </c>
      <c r="H12" s="399">
        <f>SUM(H8:H10)</f>
        <v>0</v>
      </c>
      <c r="I12" s="399">
        <f>SUM(I8:I11)</f>
        <v>15570000</v>
      </c>
      <c r="J12" s="405">
        <f>SUM(J8:J11)</f>
        <v>100170000</v>
      </c>
      <c r="K12" s="424">
        <v>0</v>
      </c>
      <c r="L12" s="409">
        <f>SUM(L10:L10)</f>
        <v>0</v>
      </c>
      <c r="M12" s="409">
        <f>SUM(M10:M10)</f>
        <v>0</v>
      </c>
      <c r="N12" s="409">
        <f>SUM(N10:N10)</f>
        <v>0</v>
      </c>
      <c r="O12" s="421">
        <f>SUM(O10:O10)</f>
        <v>0</v>
      </c>
      <c r="P12" s="399">
        <f>SUM(P10:P10)</f>
        <v>3790000</v>
      </c>
      <c r="Q12" s="412">
        <f>SUM(Q8:Q11)</f>
        <v>100170000</v>
      </c>
      <c r="R12" s="105"/>
      <c r="S12" s="19" t="e">
        <f>SUM(#REF!)</f>
        <v>#REF!</v>
      </c>
      <c r="T12" s="19">
        <f>SUM(T8:T10)</f>
        <v>61560000</v>
      </c>
    </row>
    <row r="13" spans="2:21" ht="10.5" customHeight="1" thickBot="1" x14ac:dyDescent="0.4">
      <c r="B13" s="74"/>
      <c r="C13" s="74"/>
      <c r="D13" s="74"/>
      <c r="E13" s="75"/>
      <c r="F13" s="76"/>
      <c r="G13" s="400"/>
      <c r="H13" s="400"/>
      <c r="I13" s="400"/>
      <c r="J13" s="406"/>
      <c r="K13" s="425"/>
      <c r="L13" s="410"/>
      <c r="M13" s="410"/>
      <c r="N13" s="410"/>
      <c r="O13" s="426"/>
      <c r="P13" s="400"/>
      <c r="Q13" s="413"/>
      <c r="R13" s="105"/>
      <c r="S13" s="19">
        <f>K12+L12+M12+N12+O12</f>
        <v>0</v>
      </c>
      <c r="T13" s="92">
        <f>J12-S13</f>
        <v>100170000</v>
      </c>
      <c r="U13" s="19"/>
    </row>
    <row r="14" spans="2:21" ht="6.75" customHeight="1" thickTop="1" x14ac:dyDescent="0.35">
      <c r="B14" s="6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  <c r="S14" t="s">
        <v>43</v>
      </c>
    </row>
    <row r="15" spans="2:21" ht="14.5" x14ac:dyDescent="0.35">
      <c r="B15" s="304"/>
      <c r="C15" s="6"/>
      <c r="D15" s="6"/>
      <c r="E15" s="6" t="s">
        <v>132</v>
      </c>
    </row>
    <row r="16" spans="2:21" ht="14.5" x14ac:dyDescent="0.35">
      <c r="B16" s="305"/>
      <c r="C16" s="6"/>
      <c r="D16" s="6"/>
      <c r="E16" s="6"/>
      <c r="J16" s="402" t="s">
        <v>232</v>
      </c>
      <c r="K16" s="402"/>
      <c r="L16" s="402"/>
      <c r="M16" s="402"/>
      <c r="N16" s="402"/>
      <c r="O16" s="402"/>
      <c r="P16" s="402"/>
      <c r="Q16" s="402"/>
    </row>
    <row r="17" spans="2:21" ht="15" customHeight="1" x14ac:dyDescent="0.25">
      <c r="B17" s="148"/>
      <c r="C17" s="423"/>
      <c r="D17" s="423"/>
      <c r="E17" s="423"/>
      <c r="F17" s="423"/>
      <c r="G17" s="423"/>
      <c r="H17" s="423"/>
      <c r="I17" s="316"/>
      <c r="J17" s="402" t="s">
        <v>36</v>
      </c>
      <c r="K17" s="402"/>
      <c r="L17" s="402"/>
      <c r="M17" s="402"/>
      <c r="N17" s="402"/>
      <c r="O17" s="402"/>
      <c r="P17" s="402"/>
      <c r="Q17" s="402"/>
    </row>
    <row r="18" spans="2:21" ht="24.75" customHeight="1" x14ac:dyDescent="0.35">
      <c r="C18" s="423"/>
      <c r="D18" s="423"/>
      <c r="E18" s="423"/>
      <c r="F18" s="423"/>
      <c r="G18" s="423"/>
      <c r="H18" s="423"/>
      <c r="I18" s="316"/>
      <c r="M18" s="8"/>
      <c r="N18" s="8"/>
      <c r="O18" s="8"/>
      <c r="P18" s="8"/>
    </row>
    <row r="19" spans="2:21" ht="27" customHeight="1" x14ac:dyDescent="0.35">
      <c r="M19" s="8"/>
      <c r="N19" s="8"/>
      <c r="O19" s="8"/>
      <c r="P19" s="8"/>
    </row>
    <row r="20" spans="2:21" ht="14.5" x14ac:dyDescent="0.35">
      <c r="J20" s="411" t="s">
        <v>161</v>
      </c>
      <c r="K20" s="411"/>
      <c r="L20" s="411"/>
      <c r="M20" s="411"/>
      <c r="N20" s="411"/>
      <c r="O20" s="411"/>
      <c r="P20" s="411"/>
      <c r="Q20" s="411"/>
    </row>
    <row r="22" spans="2:21" ht="14.5" x14ac:dyDescent="0.25">
      <c r="C22" s="422"/>
      <c r="D22" s="422"/>
      <c r="E22" s="422"/>
      <c r="F22" s="422"/>
      <c r="G22" s="422"/>
      <c r="H22" s="422"/>
    </row>
    <row r="28" spans="2:21" x14ac:dyDescent="0.25">
      <c r="U28">
        <f>15%*'NET DIREKSI '!G10</f>
        <v>9000000</v>
      </c>
    </row>
  </sheetData>
  <mergeCells count="34">
    <mergeCell ref="O5:O6"/>
    <mergeCell ref="P5:P6"/>
    <mergeCell ref="N5:N6"/>
    <mergeCell ref="M5:M6"/>
    <mergeCell ref="J17:Q17"/>
    <mergeCell ref="Q12:Q13"/>
    <mergeCell ref="J16:Q16"/>
    <mergeCell ref="K12:K13"/>
    <mergeCell ref="L12:L13"/>
    <mergeCell ref="M12:M13"/>
    <mergeCell ref="N12:N13"/>
    <mergeCell ref="O12:O13"/>
    <mergeCell ref="P12:P13"/>
    <mergeCell ref="G12:G13"/>
    <mergeCell ref="H12:H13"/>
    <mergeCell ref="I12:I13"/>
    <mergeCell ref="J12:J13"/>
    <mergeCell ref="K5:K6"/>
    <mergeCell ref="C22:H22"/>
    <mergeCell ref="C17:H18"/>
    <mergeCell ref="J20:Q20"/>
    <mergeCell ref="B2:Q2"/>
    <mergeCell ref="B3:Q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L5:L6"/>
    <mergeCell ref="Q5:Q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80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zoomScaleNormal="100" workbookViewId="0">
      <selection activeCell="V25" sqref="V25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57" t="s">
        <v>118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36" customHeight="1" x14ac:dyDescent="0.35">
      <c r="A2" s="126"/>
      <c r="B2" s="12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0"/>
      <c r="B3" s="355" t="s">
        <v>25</v>
      </c>
      <c r="C3" s="355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</row>
    <row r="4" spans="1:21" ht="16.5" customHeight="1" x14ac:dyDescent="0.25">
      <c r="A4" s="12"/>
      <c r="B4" s="358" t="s">
        <v>127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</row>
    <row r="5" spans="1:21" ht="16.5" customHeight="1" x14ac:dyDescent="0.25">
      <c r="A5" s="12"/>
      <c r="B5" s="358" t="s">
        <v>229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</row>
    <row r="6" spans="1:21" ht="10.5" customHeight="1" x14ac:dyDescent="0.35">
      <c r="A6" s="13"/>
      <c r="B6" s="14"/>
      <c r="C6" s="14"/>
      <c r="D6" s="14"/>
      <c r="E6" s="1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21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23</v>
      </c>
      <c r="E7" s="359" t="s">
        <v>4</v>
      </c>
      <c r="F7" s="359" t="s">
        <v>3</v>
      </c>
      <c r="G7" s="359" t="s">
        <v>19</v>
      </c>
      <c r="H7" s="359" t="s">
        <v>9</v>
      </c>
      <c r="I7" s="359" t="s">
        <v>8</v>
      </c>
      <c r="J7" s="359" t="s">
        <v>5</v>
      </c>
      <c r="K7" s="359" t="s">
        <v>11</v>
      </c>
      <c r="L7" s="359" t="s">
        <v>10</v>
      </c>
      <c r="M7" s="21" t="s">
        <v>12</v>
      </c>
      <c r="N7" s="21"/>
      <c r="O7" s="21"/>
      <c r="P7" s="21"/>
      <c r="Q7" s="21"/>
      <c r="R7" s="362" t="s">
        <v>24</v>
      </c>
    </row>
    <row r="8" spans="1:21" ht="20.149999999999999" customHeight="1" x14ac:dyDescent="0.25">
      <c r="A8" s="360"/>
      <c r="B8" s="361"/>
      <c r="C8" s="361"/>
      <c r="D8" s="360"/>
      <c r="E8" s="360"/>
      <c r="F8" s="360"/>
      <c r="G8" s="360"/>
      <c r="H8" s="360"/>
      <c r="I8" s="360"/>
      <c r="J8" s="360"/>
      <c r="K8" s="360"/>
      <c r="L8" s="360"/>
      <c r="M8" s="22">
        <v>0.05</v>
      </c>
      <c r="N8" s="22">
        <v>0.15</v>
      </c>
      <c r="O8" s="22">
        <v>0.25</v>
      </c>
      <c r="P8" s="22">
        <v>0.3</v>
      </c>
      <c r="Q8" s="23" t="s">
        <v>13</v>
      </c>
      <c r="R8" s="362"/>
    </row>
    <row r="9" spans="1:21" ht="8.25" customHeight="1" x14ac:dyDescent="0.25">
      <c r="A9" s="31">
        <v>1</v>
      </c>
      <c r="B9" s="32">
        <v>2</v>
      </c>
      <c r="C9" s="32">
        <v>3</v>
      </c>
      <c r="D9" s="34">
        <v>4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>
        <v>5</v>
      </c>
    </row>
    <row r="10" spans="1:21" ht="20.149999999999999" customHeight="1" x14ac:dyDescent="0.35">
      <c r="A10" s="121">
        <v>1</v>
      </c>
      <c r="B10" s="45" t="s">
        <v>164</v>
      </c>
      <c r="C10" s="35" t="s">
        <v>57</v>
      </c>
      <c r="D10" s="40">
        <f>'NET PEG PELINDO DIPERBANTUKAN'!Y13</f>
        <v>32997935</v>
      </c>
      <c r="E10" s="41"/>
      <c r="F10" s="41"/>
      <c r="G10" s="41"/>
      <c r="H10" s="38"/>
      <c r="I10" s="42"/>
      <c r="J10" s="41"/>
      <c r="K10" s="38"/>
      <c r="L10" s="38"/>
      <c r="M10" s="42"/>
      <c r="N10" s="42"/>
      <c r="O10" s="42"/>
      <c r="P10" s="42"/>
      <c r="Q10" s="42"/>
      <c r="R10" s="232" t="s">
        <v>213</v>
      </c>
      <c r="T10" s="29"/>
      <c r="U10" s="47"/>
    </row>
    <row r="11" spans="1:21" ht="20.149999999999999" customHeight="1" x14ac:dyDescent="0.35">
      <c r="A11" s="125">
        <v>2</v>
      </c>
      <c r="B11" s="45" t="s">
        <v>53</v>
      </c>
      <c r="C11" s="35" t="s">
        <v>54</v>
      </c>
      <c r="D11" s="69">
        <f>'NET PEG PELINDO DIPERBANTUKAN'!Y11</f>
        <v>33614618</v>
      </c>
      <c r="E11" s="64"/>
      <c r="F11" s="64"/>
      <c r="G11" s="64"/>
      <c r="H11" s="62"/>
      <c r="I11" s="65"/>
      <c r="J11" s="64"/>
      <c r="K11" s="62"/>
      <c r="L11" s="62"/>
      <c r="M11" s="65"/>
      <c r="N11" s="65"/>
      <c r="O11" s="65"/>
      <c r="P11" s="65"/>
      <c r="Q11" s="65"/>
      <c r="R11" s="233" t="s">
        <v>117</v>
      </c>
      <c r="T11" s="29"/>
      <c r="U11" s="47"/>
    </row>
    <row r="12" spans="1:21" ht="20.149999999999999" customHeight="1" x14ac:dyDescent="0.35">
      <c r="A12" s="125">
        <v>3</v>
      </c>
      <c r="B12" s="45" t="s">
        <v>161</v>
      </c>
      <c r="C12" s="35" t="s">
        <v>36</v>
      </c>
      <c r="D12" s="69">
        <f>'NET PEG PELINDO DIPERBANTUKAN'!Y12</f>
        <v>31366974</v>
      </c>
      <c r="E12" s="64"/>
      <c r="F12" s="64"/>
      <c r="G12" s="64"/>
      <c r="H12" s="62"/>
      <c r="I12" s="65"/>
      <c r="J12" s="64"/>
      <c r="K12" s="62"/>
      <c r="L12" s="62"/>
      <c r="M12" s="65"/>
      <c r="N12" s="65"/>
      <c r="O12" s="65"/>
      <c r="P12" s="65"/>
      <c r="Q12" s="65"/>
      <c r="R12" s="234" t="s">
        <v>171</v>
      </c>
      <c r="T12" s="29"/>
      <c r="U12" s="47"/>
    </row>
    <row r="13" spans="1:21" ht="20.149999999999999" customHeight="1" x14ac:dyDescent="0.35">
      <c r="A13" s="125">
        <v>4</v>
      </c>
      <c r="B13" s="45" t="s">
        <v>95</v>
      </c>
      <c r="C13" s="35" t="s">
        <v>96</v>
      </c>
      <c r="D13" s="40">
        <f>'NET PEG PELINDO DIPERBANTUKAN'!Y15</f>
        <v>30956586</v>
      </c>
      <c r="E13" s="41"/>
      <c r="F13" s="41"/>
      <c r="G13" s="41"/>
      <c r="H13" s="38"/>
      <c r="I13" s="42"/>
      <c r="J13" s="41"/>
      <c r="K13" s="38"/>
      <c r="L13" s="38"/>
      <c r="M13" s="42"/>
      <c r="N13" s="42"/>
      <c r="O13" s="42"/>
      <c r="P13" s="42"/>
      <c r="Q13" s="42"/>
      <c r="R13" s="232" t="s">
        <v>212</v>
      </c>
      <c r="T13" s="29"/>
      <c r="U13" s="47"/>
    </row>
    <row r="14" spans="1:21" ht="20.149999999999999" customHeight="1" x14ac:dyDescent="0.35">
      <c r="A14" s="125">
        <v>5</v>
      </c>
      <c r="B14" s="45" t="s">
        <v>75</v>
      </c>
      <c r="C14" s="35" t="s">
        <v>76</v>
      </c>
      <c r="D14" s="40">
        <f>'NET PEG PELINDO DIPERBANTUKAN'!Y16</f>
        <v>22077872</v>
      </c>
      <c r="E14" s="41"/>
      <c r="F14" s="41"/>
      <c r="G14" s="41"/>
      <c r="H14" s="38"/>
      <c r="I14" s="42"/>
      <c r="J14" s="41"/>
      <c r="K14" s="38"/>
      <c r="L14" s="38"/>
      <c r="M14" s="42"/>
      <c r="N14" s="42"/>
      <c r="O14" s="42"/>
      <c r="P14" s="42"/>
      <c r="Q14" s="42"/>
      <c r="R14" s="232" t="s">
        <v>200</v>
      </c>
      <c r="T14" s="29"/>
      <c r="U14" s="47"/>
    </row>
    <row r="15" spans="1:21" ht="20.149999999999999" customHeight="1" x14ac:dyDescent="0.35">
      <c r="A15" s="121">
        <v>6</v>
      </c>
      <c r="B15" s="45" t="s">
        <v>81</v>
      </c>
      <c r="C15" s="35" t="s">
        <v>108</v>
      </c>
      <c r="D15" s="40">
        <f>'NET PEG PELINDO DIPERBANTUKAN'!Y17</f>
        <v>20910812</v>
      </c>
      <c r="E15" s="41"/>
      <c r="F15" s="41"/>
      <c r="G15" s="41"/>
      <c r="H15" s="38"/>
      <c r="I15" s="42"/>
      <c r="J15" s="41"/>
      <c r="K15" s="38"/>
      <c r="L15" s="38"/>
      <c r="M15" s="42"/>
      <c r="N15" s="42"/>
      <c r="O15" s="42"/>
      <c r="P15" s="42"/>
      <c r="Q15" s="42"/>
      <c r="R15" s="232" t="s">
        <v>214</v>
      </c>
      <c r="T15" s="29"/>
      <c r="U15" s="47"/>
    </row>
    <row r="16" spans="1:21" ht="20.149999999999999" customHeight="1" x14ac:dyDescent="0.35">
      <c r="A16" s="125">
        <v>7</v>
      </c>
      <c r="B16" s="45" t="s">
        <v>84</v>
      </c>
      <c r="C16" s="35" t="s">
        <v>52</v>
      </c>
      <c r="D16" s="69">
        <f>'NET PEG PELINDO DIPERBANTUKAN'!Y21</f>
        <v>12541449</v>
      </c>
      <c r="E16" s="64"/>
      <c r="F16" s="64"/>
      <c r="G16" s="64"/>
      <c r="H16" s="62"/>
      <c r="I16" s="65"/>
      <c r="J16" s="64"/>
      <c r="K16" s="62"/>
      <c r="L16" s="62"/>
      <c r="M16" s="65"/>
      <c r="N16" s="65"/>
      <c r="O16" s="65"/>
      <c r="P16" s="65"/>
      <c r="Q16" s="65"/>
      <c r="R16" s="233" t="s">
        <v>215</v>
      </c>
      <c r="T16" s="29"/>
      <c r="U16" s="47"/>
    </row>
    <row r="17" spans="1:21" ht="20.149999999999999" customHeight="1" x14ac:dyDescent="0.35">
      <c r="A17" s="125">
        <v>8</v>
      </c>
      <c r="B17" s="45" t="s">
        <v>165</v>
      </c>
      <c r="C17" s="35" t="s">
        <v>96</v>
      </c>
      <c r="D17" s="69">
        <f>'NET PEG PELINDO DIPERBANTUKAN'!Y14</f>
        <v>32386117</v>
      </c>
      <c r="E17" s="64"/>
      <c r="F17" s="64"/>
      <c r="G17" s="64"/>
      <c r="H17" s="62"/>
      <c r="I17" s="65"/>
      <c r="J17" s="64"/>
      <c r="K17" s="62"/>
      <c r="L17" s="62"/>
      <c r="M17" s="65"/>
      <c r="N17" s="65"/>
      <c r="O17" s="65"/>
      <c r="P17" s="65"/>
      <c r="Q17" s="65"/>
      <c r="R17" s="234" t="s">
        <v>177</v>
      </c>
      <c r="T17" s="29"/>
      <c r="U17" s="47"/>
    </row>
    <row r="18" spans="1:21" ht="20.149999999999999" customHeight="1" x14ac:dyDescent="0.35">
      <c r="A18" s="125">
        <v>9</v>
      </c>
      <c r="B18" s="45" t="s">
        <v>197</v>
      </c>
      <c r="C18" s="35" t="s">
        <v>131</v>
      </c>
      <c r="D18" s="69">
        <f>'NET PEG PELINDO DIPERBANTUKAN'!Y18</f>
        <v>20071564</v>
      </c>
      <c r="E18" s="64"/>
      <c r="F18" s="64"/>
      <c r="G18" s="64"/>
      <c r="H18" s="62"/>
      <c r="I18" s="65"/>
      <c r="J18" s="64"/>
      <c r="K18" s="62"/>
      <c r="L18" s="62"/>
      <c r="M18" s="65"/>
      <c r="N18" s="65"/>
      <c r="O18" s="65"/>
      <c r="P18" s="65"/>
      <c r="Q18" s="65"/>
      <c r="R18" s="234" t="s">
        <v>201</v>
      </c>
      <c r="T18" s="29"/>
      <c r="U18" s="47"/>
    </row>
    <row r="19" spans="1:21" ht="20.149999999999999" customHeight="1" x14ac:dyDescent="0.35">
      <c r="A19" s="125">
        <v>10</v>
      </c>
      <c r="B19" s="45" t="s">
        <v>204</v>
      </c>
      <c r="C19" s="35" t="s">
        <v>202</v>
      </c>
      <c r="D19" s="69">
        <f>'NET PEG PELINDO DIPERBANTUKAN'!Y20</f>
        <v>22137684</v>
      </c>
      <c r="E19" s="64"/>
      <c r="F19" s="64"/>
      <c r="G19" s="64"/>
      <c r="H19" s="62"/>
      <c r="I19" s="65"/>
      <c r="J19" s="64"/>
      <c r="K19" s="62"/>
      <c r="L19" s="62"/>
      <c r="M19" s="65"/>
      <c r="N19" s="65"/>
      <c r="O19" s="65"/>
      <c r="P19" s="65"/>
      <c r="Q19" s="65"/>
      <c r="R19" s="234" t="s">
        <v>207</v>
      </c>
      <c r="T19" s="29"/>
      <c r="U19" s="47"/>
    </row>
    <row r="20" spans="1:21" ht="20.149999999999999" customHeight="1" x14ac:dyDescent="0.35">
      <c r="A20" s="125">
        <v>11</v>
      </c>
      <c r="B20" s="45" t="s">
        <v>166</v>
      </c>
      <c r="C20" s="35" t="s">
        <v>130</v>
      </c>
      <c r="D20" s="69">
        <f>'NET PEG PELINDO DIPERBANTUKAN'!Y19</f>
        <v>22346412</v>
      </c>
      <c r="E20" s="64"/>
      <c r="F20" s="64"/>
      <c r="G20" s="64"/>
      <c r="H20" s="62"/>
      <c r="I20" s="65"/>
      <c r="J20" s="64"/>
      <c r="K20" s="62"/>
      <c r="L20" s="62"/>
      <c r="M20" s="65"/>
      <c r="N20" s="65"/>
      <c r="O20" s="65"/>
      <c r="P20" s="65"/>
      <c r="Q20" s="65"/>
      <c r="R20" s="234" t="s">
        <v>172</v>
      </c>
      <c r="T20" s="29"/>
      <c r="U20" s="47"/>
    </row>
    <row r="21" spans="1:21" ht="7.5" customHeight="1" x14ac:dyDescent="0.35">
      <c r="A21" s="125"/>
      <c r="B21" s="77"/>
      <c r="C21" s="43"/>
      <c r="D21" s="70"/>
      <c r="E21" s="67"/>
      <c r="F21" s="67"/>
      <c r="G21" s="67"/>
      <c r="H21" s="66"/>
      <c r="I21" s="68"/>
      <c r="J21" s="67"/>
      <c r="K21" s="66"/>
      <c r="L21" s="66"/>
      <c r="M21" s="68"/>
      <c r="N21" s="68"/>
      <c r="O21" s="68"/>
      <c r="P21" s="68"/>
      <c r="Q21" s="68"/>
      <c r="R21" s="71"/>
      <c r="T21" s="29"/>
      <c r="U21" s="47"/>
    </row>
    <row r="22" spans="1:21" ht="15" customHeight="1" x14ac:dyDescent="0.35">
      <c r="A22" s="52"/>
      <c r="B22" s="53"/>
      <c r="C22" s="53"/>
      <c r="D22" s="365">
        <f>SUM(D10:D21)</f>
        <v>281408023</v>
      </c>
      <c r="E22" s="363">
        <f t="shared" ref="E22:Q22" si="0">SUM(E9:E15)</f>
        <v>0</v>
      </c>
      <c r="F22" s="363">
        <f t="shared" si="0"/>
        <v>0</v>
      </c>
      <c r="G22" s="363">
        <f t="shared" si="0"/>
        <v>0</v>
      </c>
      <c r="H22" s="363">
        <f t="shared" si="0"/>
        <v>0</v>
      </c>
      <c r="I22" s="363">
        <f t="shared" si="0"/>
        <v>0</v>
      </c>
      <c r="J22" s="363">
        <f t="shared" si="0"/>
        <v>0</v>
      </c>
      <c r="K22" s="363">
        <f t="shared" si="0"/>
        <v>0</v>
      </c>
      <c r="L22" s="363">
        <f t="shared" si="0"/>
        <v>0</v>
      </c>
      <c r="M22" s="363">
        <f t="shared" si="0"/>
        <v>0</v>
      </c>
      <c r="N22" s="363">
        <f t="shared" si="0"/>
        <v>0</v>
      </c>
      <c r="O22" s="363">
        <f t="shared" si="0"/>
        <v>0</v>
      </c>
      <c r="P22" s="363">
        <f t="shared" si="0"/>
        <v>0</v>
      </c>
      <c r="Q22" s="363">
        <f t="shared" si="0"/>
        <v>0</v>
      </c>
      <c r="R22" s="363"/>
    </row>
    <row r="23" spans="1:21" ht="15" customHeight="1" thickBot="1" x14ac:dyDescent="0.4">
      <c r="A23" s="56"/>
      <c r="B23" s="57"/>
      <c r="C23" s="57"/>
      <c r="D23" s="366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337" t="s">
        <v>189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37" t="s">
        <v>230</v>
      </c>
    </row>
    <row r="26" spans="1:21" ht="14.5" x14ac:dyDescent="0.35">
      <c r="A26" s="6"/>
      <c r="B26" s="337" t="s">
        <v>179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337" t="s">
        <v>36</v>
      </c>
    </row>
    <row r="27" spans="1:21" ht="23.25" customHeight="1" x14ac:dyDescent="0.35">
      <c r="A27" s="6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21" ht="23.25" customHeight="1" x14ac:dyDescent="0.35">
      <c r="A28" s="6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21" ht="14.5" x14ac:dyDescent="0.35">
      <c r="A29" s="6"/>
      <c r="B29" s="337" t="s">
        <v>178</v>
      </c>
      <c r="C29" s="25" t="s">
        <v>43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37" t="s">
        <v>161</v>
      </c>
    </row>
  </sheetData>
  <mergeCells count="31"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19"/>
  <sheetViews>
    <sheetView zoomScaleNormal="100" workbookViewId="0">
      <selection activeCell="C29" sqref="C29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39.75" customHeight="1" x14ac:dyDescent="0.35">
      <c r="A2" s="9"/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0"/>
      <c r="B3" s="355" t="s">
        <v>25</v>
      </c>
      <c r="C3" s="355"/>
      <c r="D3" s="355"/>
      <c r="E3" s="355"/>
      <c r="F3" s="355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</row>
    <row r="4" spans="1:27" ht="16.5" customHeight="1" x14ac:dyDescent="0.25">
      <c r="A4" s="12"/>
      <c r="B4" s="358" t="s">
        <v>159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27" ht="16.5" customHeight="1" x14ac:dyDescent="0.25">
      <c r="A5" s="12"/>
      <c r="B5" s="358" t="s">
        <v>229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27" ht="10.5" customHeight="1" x14ac:dyDescent="0.35">
      <c r="A6" s="13"/>
      <c r="B6" s="14"/>
      <c r="C6" s="14"/>
      <c r="D6" s="15"/>
      <c r="E6" s="13"/>
      <c r="F6" s="16"/>
      <c r="G6" s="14"/>
      <c r="H6" s="14"/>
      <c r="I6" s="14"/>
      <c r="J6" s="14"/>
      <c r="K6" s="17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7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1" t="s">
        <v>12</v>
      </c>
      <c r="T7" s="21"/>
      <c r="U7" s="21"/>
      <c r="V7" s="21"/>
      <c r="W7" s="21"/>
      <c r="X7" s="362" t="s">
        <v>24</v>
      </c>
    </row>
    <row r="8" spans="1:27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2">
        <v>0.05</v>
      </c>
      <c r="T8" s="22">
        <v>0.15</v>
      </c>
      <c r="U8" s="22">
        <v>0.25</v>
      </c>
      <c r="V8" s="22">
        <v>0.3</v>
      </c>
      <c r="W8" s="23" t="s">
        <v>13</v>
      </c>
      <c r="X8" s="362"/>
    </row>
    <row r="9" spans="1:27" ht="8.25" customHeight="1" x14ac:dyDescent="0.25">
      <c r="A9" s="31">
        <v>1</v>
      </c>
      <c r="B9" s="32">
        <v>2</v>
      </c>
      <c r="C9" s="32">
        <v>3</v>
      </c>
      <c r="D9" s="33"/>
      <c r="E9" s="33"/>
      <c r="F9" s="33"/>
      <c r="G9" s="33"/>
      <c r="H9" s="33"/>
      <c r="I9" s="33"/>
      <c r="J9" s="34">
        <v>4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>
        <v>5</v>
      </c>
    </row>
    <row r="10" spans="1:27" ht="20.149999999999999" customHeight="1" x14ac:dyDescent="0.35">
      <c r="A10" s="121">
        <v>1</v>
      </c>
      <c r="B10" s="45" t="s">
        <v>162</v>
      </c>
      <c r="C10" s="35" t="s">
        <v>174</v>
      </c>
      <c r="D10" s="60"/>
      <c r="E10" s="61"/>
      <c r="F10" s="62"/>
      <c r="G10" s="63"/>
      <c r="H10" s="63"/>
      <c r="I10" s="63"/>
      <c r="J10" s="354">
        <f>'NET PEG PELINDO DIPERBANTUKAN'!Y10</f>
        <v>32990125</v>
      </c>
      <c r="K10" s="64"/>
      <c r="L10" s="64"/>
      <c r="M10" s="64"/>
      <c r="N10" s="62"/>
      <c r="O10" s="65"/>
      <c r="P10" s="64"/>
      <c r="Q10" s="62"/>
      <c r="R10" s="62"/>
      <c r="S10" s="65"/>
      <c r="T10" s="65"/>
      <c r="U10" s="65"/>
      <c r="V10" s="65"/>
      <c r="W10" s="65"/>
      <c r="X10" s="46" t="s">
        <v>175</v>
      </c>
    </row>
    <row r="11" spans="1:27" ht="15" customHeight="1" x14ac:dyDescent="0.35">
      <c r="A11" s="52"/>
      <c r="B11" s="53"/>
      <c r="C11" s="53"/>
      <c r="D11" s="54"/>
      <c r="E11" s="55"/>
      <c r="F11" s="363">
        <f>SUM(F9:F10)</f>
        <v>0</v>
      </c>
      <c r="G11" s="363">
        <f>SUM(G9:G10)</f>
        <v>0</v>
      </c>
      <c r="H11" s="363">
        <f>SUM(H9:H10)</f>
        <v>0</v>
      </c>
      <c r="I11" s="363">
        <f>SUM(I9:I10)</f>
        <v>0</v>
      </c>
      <c r="J11" s="365">
        <f>SUM(J10:J10)</f>
        <v>32990125</v>
      </c>
      <c r="K11" s="363">
        <f t="shared" ref="K11:W11" si="0">SUM(K9:K10)</f>
        <v>0</v>
      </c>
      <c r="L11" s="363">
        <f t="shared" si="0"/>
        <v>0</v>
      </c>
      <c r="M11" s="363">
        <f t="shared" si="0"/>
        <v>0</v>
      </c>
      <c r="N11" s="363">
        <f t="shared" si="0"/>
        <v>0</v>
      </c>
      <c r="O11" s="363">
        <f t="shared" si="0"/>
        <v>0</v>
      </c>
      <c r="P11" s="363">
        <f t="shared" si="0"/>
        <v>0</v>
      </c>
      <c r="Q11" s="363">
        <f t="shared" si="0"/>
        <v>0</v>
      </c>
      <c r="R11" s="363">
        <f t="shared" si="0"/>
        <v>0</v>
      </c>
      <c r="S11" s="363">
        <f t="shared" si="0"/>
        <v>0</v>
      </c>
      <c r="T11" s="363">
        <f t="shared" si="0"/>
        <v>0</v>
      </c>
      <c r="U11" s="363">
        <f t="shared" si="0"/>
        <v>0</v>
      </c>
      <c r="V11" s="363">
        <f t="shared" si="0"/>
        <v>0</v>
      </c>
      <c r="W11" s="363">
        <f t="shared" si="0"/>
        <v>0</v>
      </c>
      <c r="X11" s="363"/>
      <c r="AA11" s="19"/>
    </row>
    <row r="12" spans="1:27" ht="15" customHeight="1" thickBot="1" x14ac:dyDescent="0.4">
      <c r="A12" s="56"/>
      <c r="B12" s="57"/>
      <c r="C12" s="57"/>
      <c r="D12" s="58"/>
      <c r="E12" s="59"/>
      <c r="F12" s="364"/>
      <c r="G12" s="364"/>
      <c r="H12" s="364"/>
      <c r="I12" s="364"/>
      <c r="J12" s="366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Z12" s="19"/>
    </row>
    <row r="13" spans="1:27" ht="11.25" customHeight="1" thickTop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7" ht="14.5" x14ac:dyDescent="0.35">
      <c r="A14" s="6"/>
      <c r="B14" s="337" t="s">
        <v>189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337" t="s">
        <v>230</v>
      </c>
    </row>
    <row r="15" spans="1:27" ht="14.5" x14ac:dyDescent="0.35">
      <c r="A15" s="6"/>
      <c r="B15" s="337" t="s">
        <v>179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337" t="s">
        <v>36</v>
      </c>
    </row>
    <row r="16" spans="1:27" ht="17.25" customHeight="1" x14ac:dyDescent="0.35">
      <c r="A16" s="6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17.25" customHeight="1" x14ac:dyDescent="0.35">
      <c r="A17" s="6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ht="17.25" customHeight="1" x14ac:dyDescent="0.35">
      <c r="A18" s="6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ht="14.5" x14ac:dyDescent="0.35">
      <c r="A19" s="6"/>
      <c r="B19" s="337" t="s">
        <v>178</v>
      </c>
      <c r="C19" s="25" t="s">
        <v>43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337" t="s">
        <v>161</v>
      </c>
    </row>
  </sheetData>
  <mergeCells count="41">
    <mergeCell ref="O7:O8"/>
    <mergeCell ref="X11:X12"/>
    <mergeCell ref="W11:W12"/>
    <mergeCell ref="U11:U12"/>
    <mergeCell ref="Q11:Q12"/>
    <mergeCell ref="R11:R12"/>
    <mergeCell ref="T11:T12"/>
    <mergeCell ref="V11:V12"/>
    <mergeCell ref="S11:S12"/>
    <mergeCell ref="G7:G8"/>
    <mergeCell ref="F11:F12"/>
    <mergeCell ref="E7:E8"/>
    <mergeCell ref="P11:P12"/>
    <mergeCell ref="G11:G12"/>
    <mergeCell ref="N11:N12"/>
    <mergeCell ref="O11:O12"/>
    <mergeCell ref="L11:L12"/>
    <mergeCell ref="M11:M12"/>
    <mergeCell ref="J11:J12"/>
    <mergeCell ref="H11:H12"/>
    <mergeCell ref="I11:I12"/>
    <mergeCell ref="K11:K12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D59"/>
  <sheetViews>
    <sheetView tabSelected="1" topLeftCell="A5" zoomScale="85" zoomScaleNormal="85" zoomScaleSheetLayoutView="70" workbookViewId="0">
      <selection activeCell="K31" sqref="K31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" customWidth="1"/>
    <col min="10" max="11" width="12.54296875" customWidth="1"/>
    <col min="12" max="12" width="12.81640625" customWidth="1"/>
    <col min="13" max="14" width="12.45312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81640625" customWidth="1"/>
    <col min="20" max="20" width="10.54296875" customWidth="1"/>
    <col min="21" max="21" width="12.26953125" customWidth="1"/>
    <col min="22" max="22" width="12.453125" customWidth="1"/>
    <col min="23" max="23" width="12.81640625" customWidth="1"/>
    <col min="24" max="24" width="12.26953125" customWidth="1"/>
    <col min="25" max="25" width="12.1796875" customWidth="1"/>
    <col min="26" max="26" width="12" bestFit="1" customWidth="1"/>
    <col min="27" max="27" width="12.26953125" bestFit="1" customWidth="1"/>
    <col min="28" max="29" width="12.54296875" bestFit="1" customWidth="1"/>
    <col min="30" max="30" width="11.54296875" bestFit="1" customWidth="1"/>
  </cols>
  <sheetData>
    <row r="1" spans="1:30" ht="24.75" customHeight="1" x14ac:dyDescent="0.25"/>
    <row r="2" spans="1:30" ht="26.2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0" ht="18" customHeight="1" x14ac:dyDescent="0.25">
      <c r="A3" s="387" t="s">
        <v>145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30" ht="13.5" customHeight="1" x14ac:dyDescent="0.25">
      <c r="A4" s="388" t="s">
        <v>229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</row>
    <row r="5" spans="1:30" ht="10.5" customHeight="1" x14ac:dyDescent="0.25"/>
    <row r="6" spans="1:30" ht="38.25" customHeight="1" x14ac:dyDescent="0.25">
      <c r="B6" s="369" t="s">
        <v>7</v>
      </c>
      <c r="C6" s="369" t="s">
        <v>66</v>
      </c>
      <c r="D6" s="369" t="s">
        <v>21</v>
      </c>
      <c r="E6" s="369" t="s">
        <v>144</v>
      </c>
      <c r="F6" s="369" t="s">
        <v>0</v>
      </c>
      <c r="G6" s="369" t="s">
        <v>2</v>
      </c>
      <c r="H6" s="369" t="s">
        <v>170</v>
      </c>
      <c r="I6" s="369" t="s">
        <v>67</v>
      </c>
      <c r="J6" s="369" t="s">
        <v>135</v>
      </c>
      <c r="K6" s="369" t="s">
        <v>136</v>
      </c>
      <c r="L6" s="369" t="s">
        <v>142</v>
      </c>
      <c r="M6" s="369" t="s">
        <v>29</v>
      </c>
      <c r="N6" s="369" t="s">
        <v>141</v>
      </c>
      <c r="O6" s="380" t="s">
        <v>68</v>
      </c>
      <c r="P6" s="382" t="s">
        <v>143</v>
      </c>
      <c r="Q6" s="371" t="s">
        <v>148</v>
      </c>
      <c r="R6" s="372"/>
      <c r="S6" s="372"/>
      <c r="T6" s="372"/>
      <c r="U6" s="373"/>
      <c r="V6" s="369" t="s">
        <v>208</v>
      </c>
      <c r="W6" s="369" t="s">
        <v>149</v>
      </c>
      <c r="X6" s="369" t="s">
        <v>183</v>
      </c>
      <c r="Y6" s="389" t="s">
        <v>79</v>
      </c>
    </row>
    <row r="7" spans="1:30" ht="102" thickBot="1" x14ac:dyDescent="0.3">
      <c r="B7" s="370"/>
      <c r="C7" s="397"/>
      <c r="D7" s="397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81"/>
      <c r="P7" s="383"/>
      <c r="Q7" s="329" t="s">
        <v>220</v>
      </c>
      <c r="R7" s="329" t="s">
        <v>221</v>
      </c>
      <c r="S7" s="329" t="s">
        <v>210</v>
      </c>
      <c r="T7" s="320" t="s">
        <v>222</v>
      </c>
      <c r="U7" s="318" t="s">
        <v>209</v>
      </c>
      <c r="V7" s="370"/>
      <c r="W7" s="370"/>
      <c r="X7" s="370"/>
      <c r="Y7" s="390"/>
    </row>
    <row r="8" spans="1:30" ht="9.75" customHeight="1" x14ac:dyDescent="0.25">
      <c r="B8" s="196">
        <v>1</v>
      </c>
      <c r="C8" s="196">
        <v>2</v>
      </c>
      <c r="D8" s="196">
        <v>3</v>
      </c>
      <c r="E8" s="196">
        <v>5</v>
      </c>
      <c r="F8" s="197">
        <v>6</v>
      </c>
      <c r="G8" s="197">
        <v>7</v>
      </c>
      <c r="H8" s="197"/>
      <c r="I8" s="196">
        <v>8</v>
      </c>
      <c r="J8" s="196">
        <v>9</v>
      </c>
      <c r="K8" s="196">
        <v>10</v>
      </c>
      <c r="L8" s="216">
        <v>11</v>
      </c>
      <c r="M8" s="216">
        <v>12</v>
      </c>
      <c r="N8" s="216">
        <v>13</v>
      </c>
      <c r="O8" s="198" t="s">
        <v>205</v>
      </c>
      <c r="P8" s="199">
        <v>15</v>
      </c>
      <c r="Q8" s="197">
        <v>17</v>
      </c>
      <c r="R8" s="197">
        <v>18</v>
      </c>
      <c r="S8" s="197">
        <v>19</v>
      </c>
      <c r="T8" s="197"/>
      <c r="U8" s="197">
        <v>20</v>
      </c>
      <c r="V8" s="197"/>
      <c r="W8" s="197">
        <v>21</v>
      </c>
      <c r="X8" s="197">
        <v>23</v>
      </c>
      <c r="Y8" s="200" t="s">
        <v>206</v>
      </c>
      <c r="AA8" t="s">
        <v>217</v>
      </c>
      <c r="AB8" t="s">
        <v>217</v>
      </c>
      <c r="AC8" t="s">
        <v>217</v>
      </c>
    </row>
    <row r="9" spans="1:30" ht="18.75" hidden="1" customHeight="1" x14ac:dyDescent="0.3">
      <c r="B9" s="114">
        <v>1</v>
      </c>
      <c r="C9" s="175" t="s">
        <v>119</v>
      </c>
      <c r="D9" s="175" t="s">
        <v>44</v>
      </c>
      <c r="E9" s="176" t="s">
        <v>69</v>
      </c>
      <c r="F9" s="176" t="s">
        <v>120</v>
      </c>
      <c r="G9" s="177" t="s">
        <v>45</v>
      </c>
      <c r="H9" s="325"/>
      <c r="I9" s="178">
        <v>9000000</v>
      </c>
      <c r="J9" s="179">
        <v>0</v>
      </c>
      <c r="K9" s="179">
        <f>5%*I9</f>
        <v>450000</v>
      </c>
      <c r="L9" s="217">
        <v>0</v>
      </c>
      <c r="M9" s="217"/>
      <c r="N9" s="217">
        <v>0</v>
      </c>
      <c r="O9" s="180">
        <f>SUM(I9:K9)</f>
        <v>9450000</v>
      </c>
      <c r="P9" s="181">
        <v>0</v>
      </c>
      <c r="Q9" s="182"/>
      <c r="R9" s="182"/>
      <c r="S9" s="182"/>
      <c r="T9" s="182"/>
      <c r="U9" s="182"/>
      <c r="V9" s="182"/>
      <c r="W9" s="182"/>
      <c r="X9" s="246"/>
      <c r="Y9" s="201">
        <f>O9</f>
        <v>9450000</v>
      </c>
    </row>
    <row r="10" spans="1:30" ht="18.75" customHeight="1" x14ac:dyDescent="0.25">
      <c r="B10" s="114">
        <v>1</v>
      </c>
      <c r="C10" s="175" t="s">
        <v>162</v>
      </c>
      <c r="D10" s="175" t="s">
        <v>163</v>
      </c>
      <c r="E10" s="241">
        <v>6</v>
      </c>
      <c r="F10" s="176" t="s">
        <v>168</v>
      </c>
      <c r="G10" s="177" t="s">
        <v>35</v>
      </c>
      <c r="H10" s="247">
        <v>0</v>
      </c>
      <c r="I10" s="242">
        <v>9739000</v>
      </c>
      <c r="J10" s="179">
        <v>4612000</v>
      </c>
      <c r="K10" s="179">
        <v>12300000</v>
      </c>
      <c r="L10" s="217">
        <v>600000</v>
      </c>
      <c r="M10" s="217">
        <v>4000000</v>
      </c>
      <c r="N10" s="217">
        <v>4500000</v>
      </c>
      <c r="O10" s="180">
        <f>SUM(I10:N10)</f>
        <v>35751000</v>
      </c>
      <c r="P10" s="306">
        <v>1020425</v>
      </c>
      <c r="Q10" s="307">
        <v>0</v>
      </c>
      <c r="R10" s="307">
        <v>0</v>
      </c>
      <c r="S10" s="307">
        <f>K10*4.15%</f>
        <v>510450</v>
      </c>
      <c r="T10" s="307">
        <f>K10*10%</f>
        <v>1230000</v>
      </c>
      <c r="U10" s="307">
        <v>0</v>
      </c>
      <c r="V10" s="307">
        <v>0</v>
      </c>
      <c r="W10" s="307">
        <v>0</v>
      </c>
      <c r="X10" s="308">
        <f t="shared" ref="X10:X21" si="0">SUM(P10:W10)</f>
        <v>2760875</v>
      </c>
      <c r="Y10" s="314">
        <f>O10-(P10+Q10+R10+S10+T10+U10+V10)</f>
        <v>32990125</v>
      </c>
      <c r="AA10" s="19">
        <f>O10-X10</f>
        <v>32990125</v>
      </c>
      <c r="AB10" s="19">
        <f>SUM(S10:U10)</f>
        <v>1740450</v>
      </c>
      <c r="AC10" s="19">
        <f>K10*87.11%</f>
        <v>10714530</v>
      </c>
      <c r="AD10" s="19">
        <f>K10-S10-T10</f>
        <v>10559550</v>
      </c>
    </row>
    <row r="11" spans="1:30" ht="18.75" customHeight="1" x14ac:dyDescent="0.25">
      <c r="B11" s="127">
        <v>2</v>
      </c>
      <c r="C11" s="183" t="s">
        <v>53</v>
      </c>
      <c r="D11" s="183" t="s">
        <v>54</v>
      </c>
      <c r="E11" s="220">
        <v>6</v>
      </c>
      <c r="F11" s="184" t="s">
        <v>55</v>
      </c>
      <c r="G11" s="127" t="s">
        <v>45</v>
      </c>
      <c r="H11" s="334">
        <v>1.6666666666666666E-2</v>
      </c>
      <c r="I11" s="185">
        <v>10454000</v>
      </c>
      <c r="J11" s="186">
        <f>'[1]THR PEG PELINDO'!$G$8</f>
        <v>4612000</v>
      </c>
      <c r="K11" s="186">
        <f>12300000</f>
        <v>12300000</v>
      </c>
      <c r="L11" s="218">
        <v>600000</v>
      </c>
      <c r="M11" s="218">
        <v>4000000</v>
      </c>
      <c r="N11" s="218">
        <v>4500000</v>
      </c>
      <c r="O11" s="187">
        <f t="shared" ref="O11:O20" si="1">SUM(I11:N11)</f>
        <v>36466000</v>
      </c>
      <c r="P11" s="309">
        <v>1110932</v>
      </c>
      <c r="Q11" s="308">
        <v>0</v>
      </c>
      <c r="R11" s="308">
        <v>0</v>
      </c>
      <c r="S11" s="307">
        <f t="shared" ref="S11:S21" si="2">K11*4.15%</f>
        <v>510450</v>
      </c>
      <c r="T11" s="307">
        <f t="shared" ref="T11:T21" si="3">K11*10%</f>
        <v>1230000</v>
      </c>
      <c r="U11" s="307">
        <v>0</v>
      </c>
      <c r="V11" s="308">
        <v>0</v>
      </c>
      <c r="W11" s="308">
        <v>0</v>
      </c>
      <c r="X11" s="308">
        <f t="shared" si="0"/>
        <v>2851382</v>
      </c>
      <c r="Y11" s="314">
        <f>O11-(P11+Q11+R11+S11+T11+U11+V11)</f>
        <v>33614618</v>
      </c>
      <c r="AA11" s="19">
        <f t="shared" ref="AA11:AA21" si="4">O11-X11</f>
        <v>33614618</v>
      </c>
      <c r="AB11" s="19">
        <f t="shared" ref="AB11:AB21" si="5">SUM(S11:U11)</f>
        <v>1740450</v>
      </c>
      <c r="AC11" s="19">
        <f t="shared" ref="AC11:AC21" si="6">K11*87.11%</f>
        <v>10714530</v>
      </c>
      <c r="AD11" s="19">
        <f t="shared" ref="AD11:AD21" si="7">K11-S11-T11</f>
        <v>10559550</v>
      </c>
    </row>
    <row r="12" spans="1:30" ht="18.75" customHeight="1" x14ac:dyDescent="0.25">
      <c r="B12" s="114">
        <v>3</v>
      </c>
      <c r="C12" s="183" t="s">
        <v>161</v>
      </c>
      <c r="D12" s="183" t="s">
        <v>36</v>
      </c>
      <c r="E12" s="220">
        <v>7</v>
      </c>
      <c r="F12" s="188" t="s">
        <v>169</v>
      </c>
      <c r="G12" s="127" t="s">
        <v>45</v>
      </c>
      <c r="H12" s="335">
        <v>0</v>
      </c>
      <c r="I12" s="185">
        <v>8203000</v>
      </c>
      <c r="J12" s="186">
        <v>4342000</v>
      </c>
      <c r="K12" s="186">
        <v>12300000</v>
      </c>
      <c r="L12" s="218">
        <v>600000</v>
      </c>
      <c r="M12" s="218">
        <v>4000000</v>
      </c>
      <c r="N12" s="218">
        <v>4500000</v>
      </c>
      <c r="O12" s="187">
        <f t="shared" si="1"/>
        <v>33945000</v>
      </c>
      <c r="P12" s="309">
        <v>837576</v>
      </c>
      <c r="Q12" s="308">
        <v>0</v>
      </c>
      <c r="R12" s="308">
        <v>0</v>
      </c>
      <c r="S12" s="307">
        <f t="shared" si="2"/>
        <v>510450</v>
      </c>
      <c r="T12" s="307">
        <f t="shared" si="3"/>
        <v>1230000</v>
      </c>
      <c r="U12" s="307">
        <v>0</v>
      </c>
      <c r="V12" s="308">
        <v>0</v>
      </c>
      <c r="W12" s="308">
        <v>0</v>
      </c>
      <c r="X12" s="308">
        <f t="shared" si="0"/>
        <v>2578026</v>
      </c>
      <c r="Y12" s="314">
        <f t="shared" ref="Y12:Y21" si="8">O12-(P12+Q12+R12+S12+T12+U12+V12)</f>
        <v>31366974</v>
      </c>
      <c r="AA12" s="19">
        <f t="shared" si="4"/>
        <v>31366974</v>
      </c>
      <c r="AB12" s="19">
        <f t="shared" si="5"/>
        <v>1740450</v>
      </c>
      <c r="AC12" s="19">
        <f t="shared" si="6"/>
        <v>10714530</v>
      </c>
      <c r="AD12" s="19">
        <f t="shared" si="7"/>
        <v>10559550</v>
      </c>
    </row>
    <row r="13" spans="1:30" ht="18.75" customHeight="1" x14ac:dyDescent="0.25">
      <c r="B13" s="127">
        <v>4</v>
      </c>
      <c r="C13" s="183" t="s">
        <v>164</v>
      </c>
      <c r="D13" s="183" t="s">
        <v>167</v>
      </c>
      <c r="E13" s="220">
        <v>6</v>
      </c>
      <c r="F13" s="188" t="s">
        <v>58</v>
      </c>
      <c r="G13" s="127" t="s">
        <v>31</v>
      </c>
      <c r="H13" s="334">
        <v>1.4583333333333332E-2</v>
      </c>
      <c r="I13" s="242">
        <v>9739000</v>
      </c>
      <c r="J13" s="186">
        <f>J11</f>
        <v>4612000</v>
      </c>
      <c r="K13" s="186">
        <v>12300000</v>
      </c>
      <c r="L13" s="218">
        <v>600000</v>
      </c>
      <c r="M13" s="218">
        <v>4000000</v>
      </c>
      <c r="N13" s="218">
        <v>4500000</v>
      </c>
      <c r="O13" s="187">
        <f t="shared" si="1"/>
        <v>35751000</v>
      </c>
      <c r="P13" s="309">
        <v>1012615</v>
      </c>
      <c r="Q13" s="308">
        <v>0</v>
      </c>
      <c r="R13" s="308">
        <v>0</v>
      </c>
      <c r="S13" s="307">
        <f t="shared" si="2"/>
        <v>510450</v>
      </c>
      <c r="T13" s="307">
        <f t="shared" si="3"/>
        <v>1230000</v>
      </c>
      <c r="U13" s="307">
        <v>0</v>
      </c>
      <c r="V13" s="308">
        <v>0</v>
      </c>
      <c r="W13" s="308">
        <v>0</v>
      </c>
      <c r="X13" s="308">
        <f t="shared" si="0"/>
        <v>2753065</v>
      </c>
      <c r="Y13" s="314">
        <f t="shared" si="8"/>
        <v>32997935</v>
      </c>
      <c r="AA13" s="19">
        <f t="shared" si="4"/>
        <v>32997935</v>
      </c>
      <c r="AB13" s="19">
        <f t="shared" si="5"/>
        <v>1740450</v>
      </c>
      <c r="AC13" s="19">
        <f t="shared" si="6"/>
        <v>10714530</v>
      </c>
      <c r="AD13" s="19">
        <f t="shared" si="7"/>
        <v>10559550</v>
      </c>
    </row>
    <row r="14" spans="1:30" ht="18.75" customHeight="1" x14ac:dyDescent="0.25">
      <c r="B14" s="127">
        <v>5</v>
      </c>
      <c r="C14" s="183" t="s">
        <v>165</v>
      </c>
      <c r="D14" s="183" t="s">
        <v>96</v>
      </c>
      <c r="E14" s="220">
        <v>6</v>
      </c>
      <c r="F14" s="184" t="s">
        <v>116</v>
      </c>
      <c r="G14" s="127" t="s">
        <v>31</v>
      </c>
      <c r="H14" s="334">
        <v>0</v>
      </c>
      <c r="I14" s="185">
        <v>9017000</v>
      </c>
      <c r="J14" s="186">
        <f>J13</f>
        <v>4612000</v>
      </c>
      <c r="K14" s="186">
        <v>12300000</v>
      </c>
      <c r="L14" s="218">
        <v>600000</v>
      </c>
      <c r="M14" s="218">
        <v>4000000</v>
      </c>
      <c r="N14" s="218">
        <v>4500000</v>
      </c>
      <c r="O14" s="187">
        <f>SUM(I14:N14)</f>
        <v>35029000</v>
      </c>
      <c r="P14" s="309">
        <v>902433</v>
      </c>
      <c r="Q14" s="308">
        <v>0</v>
      </c>
      <c r="R14" s="308">
        <v>0</v>
      </c>
      <c r="S14" s="307">
        <f t="shared" si="2"/>
        <v>510450</v>
      </c>
      <c r="T14" s="307">
        <f t="shared" si="3"/>
        <v>1230000</v>
      </c>
      <c r="U14" s="307">
        <v>0</v>
      </c>
      <c r="V14" s="308">
        <v>0</v>
      </c>
      <c r="W14" s="308">
        <v>0</v>
      </c>
      <c r="X14" s="308">
        <f t="shared" si="0"/>
        <v>2642883</v>
      </c>
      <c r="Y14" s="314">
        <f t="shared" si="8"/>
        <v>32386117</v>
      </c>
      <c r="AA14" s="19">
        <f t="shared" si="4"/>
        <v>32386117</v>
      </c>
      <c r="AB14" s="19">
        <f t="shared" si="5"/>
        <v>1740450</v>
      </c>
      <c r="AC14" s="19">
        <f t="shared" si="6"/>
        <v>10714530</v>
      </c>
      <c r="AD14" s="19">
        <f t="shared" si="7"/>
        <v>10559550</v>
      </c>
    </row>
    <row r="15" spans="1:30" ht="18.75" customHeight="1" x14ac:dyDescent="0.25">
      <c r="B15" s="114">
        <v>6</v>
      </c>
      <c r="C15" s="183" t="s">
        <v>95</v>
      </c>
      <c r="D15" s="183" t="s">
        <v>115</v>
      </c>
      <c r="E15" s="220">
        <v>7</v>
      </c>
      <c r="F15" s="184" t="s">
        <v>97</v>
      </c>
      <c r="G15" s="127" t="s">
        <v>34</v>
      </c>
      <c r="H15" s="336" t="s">
        <v>240</v>
      </c>
      <c r="I15" s="185">
        <v>7823000</v>
      </c>
      <c r="J15" s="186">
        <v>4342000</v>
      </c>
      <c r="K15" s="186">
        <f>12300000</f>
        <v>12300000</v>
      </c>
      <c r="L15" s="218">
        <v>600000</v>
      </c>
      <c r="M15" s="218">
        <v>4000000</v>
      </c>
      <c r="N15" s="218">
        <v>4500000</v>
      </c>
      <c r="O15" s="187">
        <f t="shared" si="1"/>
        <v>33565000</v>
      </c>
      <c r="P15" s="309">
        <v>867964</v>
      </c>
      <c r="Q15" s="308">
        <v>0</v>
      </c>
      <c r="R15" s="308">
        <v>0</v>
      </c>
      <c r="S15" s="307">
        <f t="shared" si="2"/>
        <v>510450</v>
      </c>
      <c r="T15" s="307">
        <f>K15*10%</f>
        <v>1230000</v>
      </c>
      <c r="U15" s="307">
        <v>0</v>
      </c>
      <c r="V15" s="308">
        <v>0</v>
      </c>
      <c r="W15" s="308">
        <v>0</v>
      </c>
      <c r="X15" s="308">
        <f t="shared" si="0"/>
        <v>2608414</v>
      </c>
      <c r="Y15" s="314">
        <f t="shared" si="8"/>
        <v>30956586</v>
      </c>
      <c r="AA15" s="19">
        <f t="shared" si="4"/>
        <v>30956586</v>
      </c>
      <c r="AB15" s="19">
        <f t="shared" si="5"/>
        <v>1740450</v>
      </c>
      <c r="AC15" s="19">
        <f t="shared" si="6"/>
        <v>10714530</v>
      </c>
      <c r="AD15" s="19">
        <f t="shared" si="7"/>
        <v>10559550</v>
      </c>
    </row>
    <row r="16" spans="1:30" ht="19.5" customHeight="1" x14ac:dyDescent="0.3">
      <c r="B16" s="127">
        <v>7</v>
      </c>
      <c r="C16" s="190" t="s">
        <v>75</v>
      </c>
      <c r="D16" s="183" t="s">
        <v>76</v>
      </c>
      <c r="E16" s="220">
        <v>8</v>
      </c>
      <c r="F16" s="191" t="s">
        <v>77</v>
      </c>
      <c r="G16" s="192" t="s">
        <v>45</v>
      </c>
      <c r="H16" s="247">
        <v>2.7777777777777779E-3</v>
      </c>
      <c r="I16" s="193">
        <v>6918000</v>
      </c>
      <c r="J16" s="194">
        <f>'[1]THR PEG PELINDO'!$G$13</f>
        <v>4114000</v>
      </c>
      <c r="K16" s="194">
        <f>7800000</f>
        <v>7800000</v>
      </c>
      <c r="L16" s="219">
        <v>350000</v>
      </c>
      <c r="M16" s="219">
        <v>2800000</v>
      </c>
      <c r="N16" s="219">
        <v>2000000</v>
      </c>
      <c r="O16" s="195">
        <f>SUM(I16:N16)</f>
        <v>23982000</v>
      </c>
      <c r="P16" s="310">
        <v>800428</v>
      </c>
      <c r="Q16" s="311">
        <v>0</v>
      </c>
      <c r="R16" s="311">
        <v>0</v>
      </c>
      <c r="S16" s="307">
        <f t="shared" si="2"/>
        <v>323700</v>
      </c>
      <c r="T16" s="307">
        <f t="shared" si="3"/>
        <v>780000</v>
      </c>
      <c r="U16" s="307">
        <v>0</v>
      </c>
      <c r="V16" s="311">
        <v>0</v>
      </c>
      <c r="W16" s="311">
        <v>0</v>
      </c>
      <c r="X16" s="308">
        <f t="shared" si="0"/>
        <v>1904128</v>
      </c>
      <c r="Y16" s="314">
        <f t="shared" si="8"/>
        <v>22077872</v>
      </c>
      <c r="AA16" s="19">
        <f t="shared" si="4"/>
        <v>22077872</v>
      </c>
      <c r="AB16" s="19">
        <f t="shared" si="5"/>
        <v>1103700</v>
      </c>
      <c r="AC16" s="19">
        <f t="shared" si="6"/>
        <v>6794580</v>
      </c>
      <c r="AD16" s="19">
        <f t="shared" si="7"/>
        <v>6696300</v>
      </c>
    </row>
    <row r="17" spans="2:30" ht="18.75" customHeight="1" x14ac:dyDescent="0.25">
      <c r="B17" s="114">
        <v>8</v>
      </c>
      <c r="C17" s="183" t="s">
        <v>81</v>
      </c>
      <c r="D17" s="183" t="s">
        <v>108</v>
      </c>
      <c r="E17" s="220">
        <v>9</v>
      </c>
      <c r="F17" s="189" t="s">
        <v>82</v>
      </c>
      <c r="G17" s="127" t="s">
        <v>216</v>
      </c>
      <c r="H17" s="247">
        <v>1.3194444444444444E-2</v>
      </c>
      <c r="I17" s="185">
        <v>5867000</v>
      </c>
      <c r="J17" s="186">
        <f>'[1]THR PEG PELINDO'!$G$14</f>
        <v>3919000</v>
      </c>
      <c r="K17" s="186">
        <f>7800000</f>
        <v>7800000</v>
      </c>
      <c r="L17" s="218">
        <v>350000</v>
      </c>
      <c r="M17" s="218">
        <v>2800000</v>
      </c>
      <c r="N17" s="218">
        <v>2000000</v>
      </c>
      <c r="O17" s="187">
        <f t="shared" si="1"/>
        <v>22736000</v>
      </c>
      <c r="P17" s="309">
        <v>721488</v>
      </c>
      <c r="Q17" s="308">
        <v>0</v>
      </c>
      <c r="R17" s="308">
        <v>0</v>
      </c>
      <c r="S17" s="307">
        <f t="shared" si="2"/>
        <v>323700</v>
      </c>
      <c r="T17" s="307">
        <f t="shared" si="3"/>
        <v>780000</v>
      </c>
      <c r="U17" s="307">
        <v>0</v>
      </c>
      <c r="V17" s="308">
        <v>0</v>
      </c>
      <c r="W17" s="308">
        <v>0</v>
      </c>
      <c r="X17" s="308">
        <f t="shared" si="0"/>
        <v>1825188</v>
      </c>
      <c r="Y17" s="314">
        <f t="shared" si="8"/>
        <v>20910812</v>
      </c>
      <c r="AA17" s="19">
        <f t="shared" si="4"/>
        <v>20910812</v>
      </c>
      <c r="AB17" s="19">
        <f t="shared" si="5"/>
        <v>1103700</v>
      </c>
      <c r="AC17" s="19">
        <f t="shared" si="6"/>
        <v>6794580</v>
      </c>
      <c r="AD17" s="19">
        <f t="shared" si="7"/>
        <v>6696300</v>
      </c>
    </row>
    <row r="18" spans="2:30" ht="18.75" customHeight="1" x14ac:dyDescent="0.3">
      <c r="B18" s="127">
        <v>9</v>
      </c>
      <c r="C18" s="190" t="s">
        <v>197</v>
      </c>
      <c r="D18" s="183" t="s">
        <v>128</v>
      </c>
      <c r="E18" s="220">
        <v>10</v>
      </c>
      <c r="F18" s="191" t="s">
        <v>198</v>
      </c>
      <c r="G18" s="192" t="s">
        <v>34</v>
      </c>
      <c r="H18" s="247">
        <v>0</v>
      </c>
      <c r="I18" s="193">
        <v>5400000</v>
      </c>
      <c r="J18" s="194">
        <v>3479000</v>
      </c>
      <c r="K18" s="194">
        <f>7800000</f>
        <v>7800000</v>
      </c>
      <c r="L18" s="219">
        <v>350000</v>
      </c>
      <c r="M18" s="219">
        <v>2800000</v>
      </c>
      <c r="N18" s="219">
        <v>2000000</v>
      </c>
      <c r="O18" s="195">
        <f>SUM(I18:N18)</f>
        <v>21829000</v>
      </c>
      <c r="P18" s="310">
        <v>653736</v>
      </c>
      <c r="Q18" s="311">
        <v>0</v>
      </c>
      <c r="R18" s="311">
        <v>0</v>
      </c>
      <c r="S18" s="307">
        <f t="shared" si="2"/>
        <v>323700</v>
      </c>
      <c r="T18" s="307">
        <f t="shared" si="3"/>
        <v>780000</v>
      </c>
      <c r="U18" s="307">
        <v>0</v>
      </c>
      <c r="V18" s="311">
        <v>0</v>
      </c>
      <c r="W18" s="311">
        <v>0</v>
      </c>
      <c r="X18" s="308">
        <f t="shared" si="0"/>
        <v>1757436</v>
      </c>
      <c r="Y18" s="314">
        <f t="shared" si="8"/>
        <v>20071564</v>
      </c>
      <c r="AA18" s="19">
        <f t="shared" si="4"/>
        <v>20071564</v>
      </c>
      <c r="AB18" s="19">
        <f t="shared" si="5"/>
        <v>1103700</v>
      </c>
      <c r="AC18" s="19">
        <f t="shared" si="6"/>
        <v>6794580</v>
      </c>
      <c r="AD18" s="19">
        <f t="shared" si="7"/>
        <v>6696300</v>
      </c>
    </row>
    <row r="19" spans="2:30" ht="18.75" customHeight="1" x14ac:dyDescent="0.3">
      <c r="B19" s="114">
        <v>10</v>
      </c>
      <c r="C19" s="190" t="s">
        <v>166</v>
      </c>
      <c r="D19" s="183" t="s">
        <v>130</v>
      </c>
      <c r="E19" s="220">
        <v>8</v>
      </c>
      <c r="F19" s="191" t="s">
        <v>129</v>
      </c>
      <c r="G19" s="192" t="s">
        <v>216</v>
      </c>
      <c r="H19" s="247">
        <v>9.7222222222222224E-3</v>
      </c>
      <c r="I19" s="193">
        <v>7230000</v>
      </c>
      <c r="J19" s="194">
        <f>J16</f>
        <v>4114000</v>
      </c>
      <c r="K19" s="194">
        <v>7800000</v>
      </c>
      <c r="L19" s="219">
        <v>350000</v>
      </c>
      <c r="M19" s="219">
        <v>2800000</v>
      </c>
      <c r="N19" s="219">
        <v>2000000</v>
      </c>
      <c r="O19" s="195">
        <f>SUM(I19:N19)</f>
        <v>24294000</v>
      </c>
      <c r="P19" s="310">
        <v>843888</v>
      </c>
      <c r="Q19" s="311">
        <v>0</v>
      </c>
      <c r="R19" s="311">
        <v>0</v>
      </c>
      <c r="S19" s="307">
        <f t="shared" si="2"/>
        <v>323700</v>
      </c>
      <c r="T19" s="307">
        <f t="shared" si="3"/>
        <v>780000</v>
      </c>
      <c r="U19" s="307">
        <v>0</v>
      </c>
      <c r="V19" s="312">
        <v>0</v>
      </c>
      <c r="W19" s="312">
        <v>0</v>
      </c>
      <c r="X19" s="308">
        <f t="shared" si="0"/>
        <v>1947588</v>
      </c>
      <c r="Y19" s="314">
        <f t="shared" si="8"/>
        <v>22346412</v>
      </c>
      <c r="AA19" s="19">
        <f t="shared" si="4"/>
        <v>22346412</v>
      </c>
      <c r="AB19" s="19">
        <f t="shared" si="5"/>
        <v>1103700</v>
      </c>
      <c r="AC19" s="19">
        <f t="shared" si="6"/>
        <v>6794580</v>
      </c>
      <c r="AD19" s="19">
        <f t="shared" si="7"/>
        <v>6696300</v>
      </c>
    </row>
    <row r="20" spans="2:30" ht="18.75" customHeight="1" x14ac:dyDescent="0.3">
      <c r="B20" s="127">
        <v>11</v>
      </c>
      <c r="C20" s="190" t="s">
        <v>204</v>
      </c>
      <c r="D20" s="183" t="s">
        <v>194</v>
      </c>
      <c r="E20" s="220">
        <v>8</v>
      </c>
      <c r="F20" s="191" t="s">
        <v>121</v>
      </c>
      <c r="G20" s="192" t="s">
        <v>34</v>
      </c>
      <c r="H20" s="247">
        <v>0</v>
      </c>
      <c r="I20" s="193">
        <v>6918000</v>
      </c>
      <c r="J20" s="194">
        <v>4114000</v>
      </c>
      <c r="K20" s="194">
        <f>7800000</f>
        <v>7800000</v>
      </c>
      <c r="L20" s="219">
        <v>350000</v>
      </c>
      <c r="M20" s="194">
        <v>2800000</v>
      </c>
      <c r="N20" s="219">
        <v>2000000</v>
      </c>
      <c r="O20" s="195">
        <f t="shared" si="1"/>
        <v>23982000</v>
      </c>
      <c r="P20" s="310">
        <v>740616</v>
      </c>
      <c r="Q20" s="313">
        <v>0</v>
      </c>
      <c r="R20" s="313">
        <v>0</v>
      </c>
      <c r="S20" s="307">
        <f t="shared" si="2"/>
        <v>323700</v>
      </c>
      <c r="T20" s="307">
        <f t="shared" si="3"/>
        <v>780000</v>
      </c>
      <c r="U20" s="307">
        <v>0</v>
      </c>
      <c r="V20" s="317">
        <v>0</v>
      </c>
      <c r="W20" s="312">
        <v>0</v>
      </c>
      <c r="X20" s="308">
        <f t="shared" si="0"/>
        <v>1844316</v>
      </c>
      <c r="Y20" s="314">
        <f t="shared" si="8"/>
        <v>22137684</v>
      </c>
      <c r="AA20" s="19">
        <f t="shared" si="4"/>
        <v>22137684</v>
      </c>
      <c r="AB20" s="19">
        <f t="shared" si="5"/>
        <v>1103700</v>
      </c>
      <c r="AC20" s="19">
        <f t="shared" si="6"/>
        <v>6794580</v>
      </c>
      <c r="AD20" s="19">
        <f t="shared" si="7"/>
        <v>6696300</v>
      </c>
    </row>
    <row r="21" spans="2:30" ht="18.75" customHeight="1" x14ac:dyDescent="0.3">
      <c r="B21" s="341">
        <v>12</v>
      </c>
      <c r="C21" s="342" t="s">
        <v>84</v>
      </c>
      <c r="D21" s="343" t="s">
        <v>52</v>
      </c>
      <c r="E21" s="344">
        <v>11</v>
      </c>
      <c r="F21" s="345" t="s">
        <v>85</v>
      </c>
      <c r="G21" s="346" t="s">
        <v>34</v>
      </c>
      <c r="H21" s="347">
        <v>2.7777777777777779E-3</v>
      </c>
      <c r="I21" s="348">
        <v>4543000</v>
      </c>
      <c r="J21" s="349">
        <v>3435000</v>
      </c>
      <c r="K21" s="349">
        <v>6000000</v>
      </c>
      <c r="L21" s="350">
        <v>0</v>
      </c>
      <c r="M21" s="349">
        <v>0</v>
      </c>
      <c r="N21" s="218">
        <v>0</v>
      </c>
      <c r="O21" s="351">
        <f t="shared" ref="O21" si="9">SUM(I21:K21)</f>
        <v>13978000</v>
      </c>
      <c r="P21" s="352">
        <v>587551</v>
      </c>
      <c r="Q21" s="313">
        <v>0</v>
      </c>
      <c r="R21" s="311">
        <v>0</v>
      </c>
      <c r="S21" s="307">
        <f t="shared" si="2"/>
        <v>249000</v>
      </c>
      <c r="T21" s="307">
        <f t="shared" si="3"/>
        <v>600000</v>
      </c>
      <c r="U21" s="307">
        <v>0</v>
      </c>
      <c r="V21" s="311">
        <v>0</v>
      </c>
      <c r="W21" s="312">
        <v>0</v>
      </c>
      <c r="X21" s="308">
        <f t="shared" si="0"/>
        <v>1436551</v>
      </c>
      <c r="Y21" s="314">
        <f t="shared" si="8"/>
        <v>12541449</v>
      </c>
      <c r="AA21" s="19">
        <f t="shared" si="4"/>
        <v>12541449</v>
      </c>
      <c r="AB21" s="19">
        <f t="shared" si="5"/>
        <v>849000</v>
      </c>
      <c r="AC21" s="19">
        <f t="shared" si="6"/>
        <v>5226600</v>
      </c>
      <c r="AD21" s="19">
        <f t="shared" si="7"/>
        <v>5151000</v>
      </c>
    </row>
    <row r="22" spans="2:30" ht="14.5" x14ac:dyDescent="0.35">
      <c r="B22" s="73"/>
      <c r="C22" s="73"/>
      <c r="D22" s="73"/>
      <c r="E22" s="73"/>
      <c r="F22" s="72"/>
      <c r="G22" s="20"/>
      <c r="H22" s="20"/>
      <c r="I22" s="378">
        <f>SUM(I10:I21)</f>
        <v>91851000</v>
      </c>
      <c r="J22" s="378">
        <f>SUM(J10:J21)</f>
        <v>50307000</v>
      </c>
      <c r="K22" s="378">
        <f>K10+K11+K12+K13+K14+K15+K16+K17+K18+K19+K20+K21</f>
        <v>118800000</v>
      </c>
      <c r="L22" s="386">
        <f>SUM(L10:L21)</f>
        <v>5350000</v>
      </c>
      <c r="M22" s="386">
        <f>SUM(M10:M21)</f>
        <v>38000000</v>
      </c>
      <c r="N22" s="384">
        <f>SUM(N9:N21)</f>
        <v>37000000</v>
      </c>
      <c r="O22" s="393">
        <f>O10+O11+O12+O13+O14+O15+O16+O17+O18+O19+O20+O21</f>
        <v>341308000</v>
      </c>
      <c r="P22" s="395">
        <f>P10+P11+P12+P13+P14+P15+P16+P17+P18+P19+P20+P21</f>
        <v>10099652</v>
      </c>
      <c r="Q22" s="374">
        <f>Q10+Q11+Q12+Q13+Q14+Q15+Q16+Q17+Q18+Q19+Q20+Q21</f>
        <v>0</v>
      </c>
      <c r="R22" s="374">
        <f t="shared" ref="R22:X22" si="10">SUM(R10:R21)</f>
        <v>0</v>
      </c>
      <c r="S22" s="374">
        <f t="shared" si="10"/>
        <v>4930200</v>
      </c>
      <c r="T22" s="374">
        <f t="shared" si="10"/>
        <v>11880000</v>
      </c>
      <c r="U22" s="374">
        <f t="shared" si="10"/>
        <v>0</v>
      </c>
      <c r="V22" s="374">
        <f t="shared" si="10"/>
        <v>0</v>
      </c>
      <c r="W22" s="374">
        <f t="shared" si="10"/>
        <v>0</v>
      </c>
      <c r="X22" s="376">
        <f t="shared" si="10"/>
        <v>26909852</v>
      </c>
      <c r="Y22" s="391">
        <f>Y10+Y11+Y12+Y13+Y14+Y15+Y16+Y17+Y18+Y19+Y20+Y21</f>
        <v>314398148</v>
      </c>
      <c r="AA22" s="19"/>
    </row>
    <row r="23" spans="2:30" ht="15" thickBot="1" x14ac:dyDescent="0.4">
      <c r="B23" s="74"/>
      <c r="C23" s="74"/>
      <c r="D23" s="74"/>
      <c r="E23" s="74"/>
      <c r="F23" s="75"/>
      <c r="G23" s="76"/>
      <c r="H23" s="76"/>
      <c r="I23" s="379"/>
      <c r="J23" s="379"/>
      <c r="K23" s="379"/>
      <c r="L23" s="385"/>
      <c r="M23" s="385"/>
      <c r="N23" s="385"/>
      <c r="O23" s="394"/>
      <c r="P23" s="396"/>
      <c r="Q23" s="375"/>
      <c r="R23" s="375"/>
      <c r="S23" s="375"/>
      <c r="T23" s="375"/>
      <c r="U23" s="375"/>
      <c r="V23" s="375"/>
      <c r="W23" s="375"/>
      <c r="X23" s="377"/>
      <c r="Y23" s="392"/>
      <c r="AA23" s="92">
        <f>P22+Q22+R22+S22+T22+U22+V22+W22</f>
        <v>26909852</v>
      </c>
      <c r="AB23" s="148" t="s">
        <v>243</v>
      </c>
    </row>
    <row r="24" spans="2:30" ht="13.5" thickTop="1" x14ac:dyDescent="0.3">
      <c r="AA24" s="19">
        <f>O22-AA23</f>
        <v>314398148</v>
      </c>
      <c r="AB24" s="92">
        <f>O22-(P22+Q22+R22+S22+T22+U22+V22+W22)</f>
        <v>314398148</v>
      </c>
    </row>
    <row r="25" spans="2:30" ht="13" x14ac:dyDescent="0.3">
      <c r="B25" s="30"/>
      <c r="C25" s="25" t="s">
        <v>218</v>
      </c>
      <c r="D25" s="25"/>
      <c r="E25" s="25"/>
      <c r="F25" s="25"/>
      <c r="G25" s="25"/>
      <c r="H25" s="25"/>
      <c r="I25" s="27"/>
      <c r="J25" s="27"/>
      <c r="K25" s="19"/>
      <c r="L25" s="19"/>
      <c r="M25" s="19"/>
      <c r="N25" s="19"/>
      <c r="O25" s="19"/>
    </row>
    <row r="26" spans="2:30" ht="13" x14ac:dyDescent="0.3">
      <c r="B26" s="26"/>
      <c r="C26" s="25" t="s">
        <v>239</v>
      </c>
      <c r="D26" s="25"/>
      <c r="E26" s="25"/>
      <c r="F26" s="25"/>
      <c r="G26" s="25"/>
      <c r="H26" s="25"/>
      <c r="I26" s="25"/>
      <c r="J26" s="27"/>
      <c r="Q26" s="25"/>
      <c r="R26" s="25"/>
      <c r="S26" s="25"/>
      <c r="T26" s="25"/>
      <c r="U26" s="27"/>
      <c r="V26" s="25"/>
      <c r="W26" s="367" t="s">
        <v>231</v>
      </c>
      <c r="X26" s="367"/>
      <c r="Y26" s="367"/>
      <c r="Z26" s="367"/>
      <c r="AA26" s="19">
        <f>O22-AA23</f>
        <v>314398148</v>
      </c>
    </row>
    <row r="27" spans="2:30" ht="13" x14ac:dyDescent="0.3">
      <c r="B27" s="26"/>
      <c r="C27" s="25" t="s">
        <v>238</v>
      </c>
      <c r="D27" s="25"/>
      <c r="E27" s="25"/>
      <c r="F27" s="25"/>
      <c r="G27" s="25"/>
      <c r="H27" s="25"/>
      <c r="I27" s="25"/>
      <c r="J27" s="25"/>
      <c r="Q27" s="237"/>
      <c r="R27" s="237"/>
      <c r="S27" s="237"/>
      <c r="T27" s="237"/>
      <c r="U27" s="237"/>
      <c r="V27" s="237"/>
      <c r="W27" s="367" t="s">
        <v>36</v>
      </c>
      <c r="X27" s="367"/>
      <c r="Y27" s="367"/>
      <c r="Z27" s="367"/>
    </row>
    <row r="28" spans="2:30" ht="13" x14ac:dyDescent="0.3">
      <c r="B28" s="25"/>
      <c r="C28" s="25"/>
      <c r="D28" s="25"/>
      <c r="E28" s="25"/>
      <c r="F28" s="25"/>
      <c r="G28" s="25"/>
      <c r="H28" s="25"/>
      <c r="I28" s="25"/>
      <c r="J28" s="27"/>
      <c r="Q28" s="237"/>
      <c r="R28" s="237"/>
      <c r="S28" s="237"/>
      <c r="T28" s="237"/>
      <c r="U28" s="237"/>
      <c r="V28" s="237"/>
      <c r="W28" s="119"/>
      <c r="X28" s="119"/>
      <c r="Y28" s="119"/>
      <c r="Z28" s="119"/>
      <c r="AA28" s="19"/>
    </row>
    <row r="29" spans="2:30" ht="13" x14ac:dyDescent="0.3">
      <c r="B29" s="25"/>
      <c r="C29" s="25"/>
      <c r="D29" s="25"/>
      <c r="E29" s="25"/>
      <c r="F29" s="25"/>
      <c r="G29" s="25"/>
      <c r="H29" s="25"/>
      <c r="I29" s="25"/>
      <c r="J29" s="27"/>
      <c r="Q29" s="237"/>
      <c r="R29" s="237"/>
      <c r="S29" s="237"/>
      <c r="T29" s="237"/>
      <c r="U29" s="237"/>
      <c r="V29" s="237"/>
      <c r="W29" s="119"/>
      <c r="X29" s="119"/>
      <c r="Y29" s="119"/>
      <c r="Z29" s="264"/>
    </row>
    <row r="30" spans="2:30" ht="13" x14ac:dyDescent="0.3">
      <c r="B30" s="25"/>
      <c r="C30" s="25"/>
      <c r="D30" s="88"/>
      <c r="E30" s="25"/>
      <c r="F30" s="25"/>
      <c r="G30" s="25"/>
      <c r="H30" s="25"/>
      <c r="I30" s="25"/>
      <c r="J30" s="27"/>
      <c r="Q30" s="119"/>
      <c r="R30" s="119"/>
      <c r="S30" s="119"/>
      <c r="T30" s="119"/>
      <c r="U30" s="119"/>
      <c r="V30" s="119"/>
      <c r="W30" s="119"/>
      <c r="X30" s="119"/>
      <c r="Y30" s="119"/>
      <c r="Z30" s="264"/>
    </row>
    <row r="31" spans="2:30" ht="13" x14ac:dyDescent="0.3">
      <c r="B31" s="25"/>
      <c r="C31" s="25"/>
      <c r="D31" s="25"/>
      <c r="E31" s="25"/>
      <c r="F31" s="25"/>
      <c r="G31" s="25"/>
      <c r="H31" s="25"/>
      <c r="I31" s="25"/>
      <c r="J31" s="25"/>
      <c r="Q31" s="119"/>
      <c r="R31" s="119"/>
      <c r="S31" s="119"/>
      <c r="T31" s="119"/>
      <c r="U31" s="119"/>
      <c r="V31" s="119"/>
      <c r="W31" s="368" t="s">
        <v>161</v>
      </c>
      <c r="X31" s="368"/>
      <c r="Y31" s="368"/>
      <c r="Z31" s="368"/>
    </row>
    <row r="32" spans="2:30" ht="13" x14ac:dyDescent="0.3">
      <c r="B32" s="25"/>
      <c r="C32" s="25"/>
      <c r="D32" s="25"/>
      <c r="E32" s="25"/>
      <c r="F32" s="25"/>
      <c r="G32" s="25"/>
      <c r="H32" s="25"/>
      <c r="I32" s="25"/>
      <c r="J32" s="25"/>
      <c r="Q32" s="119"/>
      <c r="R32" s="119"/>
      <c r="S32" s="119"/>
      <c r="T32" s="119"/>
      <c r="U32" s="119"/>
      <c r="V32" s="119"/>
      <c r="W32" s="119"/>
      <c r="X32" s="119"/>
      <c r="Y32" s="119"/>
    </row>
    <row r="33" spans="2:25" ht="13" x14ac:dyDescent="0.3">
      <c r="B33" s="25"/>
      <c r="C33" s="25"/>
      <c r="D33" s="25"/>
      <c r="E33" s="25"/>
      <c r="F33" s="25"/>
      <c r="G33" s="25"/>
      <c r="H33" s="25"/>
      <c r="I33" s="27"/>
      <c r="J33" s="25"/>
      <c r="Q33" s="119"/>
      <c r="R33" s="119"/>
      <c r="S33" s="119"/>
      <c r="T33" s="119"/>
      <c r="U33" s="119"/>
      <c r="V33" s="119"/>
      <c r="W33" s="367"/>
      <c r="X33" s="367"/>
      <c r="Y33" s="367"/>
    </row>
    <row r="34" spans="2:25" ht="13" x14ac:dyDescent="0.3">
      <c r="E34">
        <f>10-5.85</f>
        <v>4.1500000000000004</v>
      </c>
      <c r="F34">
        <f>15+55+10+5.85</f>
        <v>85.85</v>
      </c>
      <c r="Q34" s="238"/>
      <c r="R34" s="238"/>
      <c r="S34" s="238"/>
      <c r="T34" s="238"/>
      <c r="U34" s="238" t="s">
        <v>43</v>
      </c>
      <c r="V34" s="238"/>
      <c r="W34" s="238"/>
      <c r="X34" s="238"/>
      <c r="Y34" s="238"/>
    </row>
    <row r="35" spans="2:25" ht="13" x14ac:dyDescent="0.3">
      <c r="B35" s="26"/>
      <c r="C35" s="25"/>
      <c r="D35" s="25"/>
      <c r="E35" s="25"/>
      <c r="F35" s="25"/>
      <c r="G35" s="25"/>
      <c r="H35" s="25"/>
      <c r="I35" s="25"/>
      <c r="J35" s="25"/>
    </row>
    <row r="36" spans="2:25" ht="13" x14ac:dyDescent="0.3">
      <c r="B36" s="26"/>
      <c r="C36" s="25"/>
      <c r="D36" s="25"/>
      <c r="E36" s="25"/>
      <c r="F36" s="25"/>
      <c r="G36" s="25"/>
      <c r="H36" s="25"/>
      <c r="I36" s="25"/>
      <c r="J36" s="25"/>
    </row>
    <row r="37" spans="2:25" ht="13" x14ac:dyDescent="0.3">
      <c r="B37" s="26"/>
      <c r="C37" s="25"/>
      <c r="D37" s="153"/>
      <c r="E37" s="25"/>
      <c r="F37" s="25"/>
      <c r="G37" s="25"/>
      <c r="H37" s="25"/>
      <c r="I37" s="25"/>
      <c r="J37" s="25"/>
    </row>
    <row r="38" spans="2:25" ht="13" x14ac:dyDescent="0.3">
      <c r="B38" s="26"/>
      <c r="C38" s="25"/>
      <c r="D38" s="25"/>
      <c r="E38" s="25"/>
      <c r="F38" s="25"/>
      <c r="G38" s="25"/>
      <c r="H38" s="25"/>
      <c r="I38" s="25"/>
      <c r="J38" s="25"/>
    </row>
    <row r="39" spans="2:25" ht="13" x14ac:dyDescent="0.3">
      <c r="B39" s="26"/>
      <c r="C39" s="25"/>
      <c r="D39" s="25"/>
      <c r="E39" s="25"/>
      <c r="F39" s="25"/>
      <c r="G39" s="25"/>
      <c r="H39" s="25"/>
      <c r="I39" s="25"/>
      <c r="J39" s="27"/>
    </row>
    <row r="40" spans="2:25" ht="13" x14ac:dyDescent="0.3">
      <c r="B40" s="26"/>
      <c r="C40" s="25"/>
      <c r="D40" s="25"/>
      <c r="E40" s="25"/>
      <c r="F40" s="25">
        <f>10+4.15</f>
        <v>14.15</v>
      </c>
      <c r="G40" s="25"/>
      <c r="H40" s="25"/>
      <c r="I40" s="25"/>
      <c r="J40" s="25"/>
      <c r="S40" s="237"/>
      <c r="T40" s="237">
        <f>10-7.12</f>
        <v>2.88</v>
      </c>
    </row>
    <row r="41" spans="2:25" ht="13" x14ac:dyDescent="0.3">
      <c r="B41" s="25"/>
      <c r="C41" s="25"/>
      <c r="D41" s="25"/>
      <c r="E41" s="25"/>
      <c r="F41" s="25">
        <f>F40+F34</f>
        <v>100</v>
      </c>
      <c r="G41" s="25"/>
      <c r="H41" s="25"/>
      <c r="I41" s="25"/>
      <c r="J41" s="25"/>
      <c r="K41" s="19">
        <f>J22+K22+L22+M22+N22</f>
        <v>249457000</v>
      </c>
      <c r="S41" s="237"/>
      <c r="T41" s="237">
        <f>T40+30+10</f>
        <v>42.88</v>
      </c>
    </row>
    <row r="42" spans="2:25" ht="13" x14ac:dyDescent="0.3">
      <c r="B42" s="25"/>
      <c r="C42" s="25"/>
      <c r="D42" s="25"/>
      <c r="E42" s="25"/>
      <c r="F42" s="25"/>
      <c r="G42" s="25"/>
      <c r="H42" s="25"/>
      <c r="I42" s="25"/>
      <c r="J42" s="25"/>
      <c r="K42" s="19">
        <f>K41+'NET PEGAWAI PTP'!J32</f>
        <v>290896600</v>
      </c>
      <c r="S42" s="119"/>
      <c r="T42" s="119">
        <f>50-T41</f>
        <v>7.1199999999999974</v>
      </c>
    </row>
    <row r="43" spans="2:25" ht="13" x14ac:dyDescent="0.3">
      <c r="B43" s="25"/>
      <c r="C43" s="25"/>
      <c r="D43" s="25"/>
      <c r="E43" s="25"/>
      <c r="F43" s="25"/>
      <c r="G43" s="25"/>
      <c r="H43" s="25"/>
      <c r="I43" s="25"/>
      <c r="J43" s="25"/>
      <c r="S43" s="119">
        <f>100-S44</f>
        <v>42.88</v>
      </c>
      <c r="T43" s="119"/>
    </row>
    <row r="44" spans="2:25" ht="13" x14ac:dyDescent="0.3">
      <c r="S44" s="119">
        <f>50+T42</f>
        <v>57.12</v>
      </c>
      <c r="T44" s="119"/>
    </row>
    <row r="48" spans="2:25" x14ac:dyDescent="0.25">
      <c r="M48" s="333">
        <f>10%-5.84%</f>
        <v>4.1600000000000005E-2</v>
      </c>
    </row>
    <row r="56" spans="5:9" x14ac:dyDescent="0.25">
      <c r="E56" t="s">
        <v>146</v>
      </c>
      <c r="F56" s="19">
        <f>91851000+40407095</f>
        <v>132258095</v>
      </c>
    </row>
    <row r="57" spans="5:9" x14ac:dyDescent="0.25">
      <c r="E57" s="148" t="s">
        <v>147</v>
      </c>
      <c r="F57" s="19">
        <f>J22+K22+L22+M22+N22+41439600</f>
        <v>290896600</v>
      </c>
      <c r="H57" s="148"/>
      <c r="I57" s="19"/>
    </row>
    <row r="59" spans="5:9" x14ac:dyDescent="0.25">
      <c r="E59" s="19"/>
    </row>
  </sheetData>
  <mergeCells count="43">
    <mergeCell ref="A3:Y3"/>
    <mergeCell ref="A4:Y4"/>
    <mergeCell ref="Y6:Y7"/>
    <mergeCell ref="Y22:Y23"/>
    <mergeCell ref="O22:O23"/>
    <mergeCell ref="P22:P23"/>
    <mergeCell ref="B6:B7"/>
    <mergeCell ref="C6:C7"/>
    <mergeCell ref="D6:D7"/>
    <mergeCell ref="E6:E7"/>
    <mergeCell ref="F6:F7"/>
    <mergeCell ref="G6:G7"/>
    <mergeCell ref="N6:N7"/>
    <mergeCell ref="I22:I23"/>
    <mergeCell ref="H6:H7"/>
    <mergeCell ref="I6:I7"/>
    <mergeCell ref="W33:Y33"/>
    <mergeCell ref="J22:J23"/>
    <mergeCell ref="K22:K23"/>
    <mergeCell ref="O6:O7"/>
    <mergeCell ref="P6:P7"/>
    <mergeCell ref="J6:J7"/>
    <mergeCell ref="K6:K7"/>
    <mergeCell ref="N22:N23"/>
    <mergeCell ref="M6:M7"/>
    <mergeCell ref="L6:L7"/>
    <mergeCell ref="L22:L23"/>
    <mergeCell ref="M22:M23"/>
    <mergeCell ref="X6:X7"/>
    <mergeCell ref="Q22:Q23"/>
    <mergeCell ref="R22:R23"/>
    <mergeCell ref="U22:U23"/>
    <mergeCell ref="W26:Z26"/>
    <mergeCell ref="W27:Z27"/>
    <mergeCell ref="W31:Z31"/>
    <mergeCell ref="W6:W7"/>
    <mergeCell ref="Q6:U6"/>
    <mergeCell ref="S22:S23"/>
    <mergeCell ref="W22:W23"/>
    <mergeCell ref="X22:X23"/>
    <mergeCell ref="V6:V7"/>
    <mergeCell ref="T22:T23"/>
    <mergeCell ref="V22:V23"/>
  </mergeCells>
  <printOptions horizontalCentered="1"/>
  <pageMargins left="0" right="0" top="0" bottom="0.74803149606299213" header="0.31496062992125984" footer="0.31496062992125984"/>
  <pageSetup paperSize="9" scale="46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topLeftCell="A9" zoomScaleNormal="100" workbookViewId="0">
      <selection activeCell="C34" sqref="C34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41.25" customHeight="1" x14ac:dyDescent="0.35">
      <c r="A2" s="289"/>
      <c r="B2" s="28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0"/>
      <c r="B3" s="10" t="s">
        <v>25</v>
      </c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32" ht="16.5" customHeight="1" x14ac:dyDescent="0.25">
      <c r="A4" s="12"/>
      <c r="B4" s="398" t="s">
        <v>159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</row>
    <row r="5" spans="1:32" ht="16.5" customHeight="1" x14ac:dyDescent="0.25">
      <c r="A5" s="12"/>
      <c r="B5" s="398" t="s">
        <v>229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</row>
    <row r="6" spans="1:32" ht="10.5" customHeight="1" x14ac:dyDescent="0.35">
      <c r="A6" s="13"/>
      <c r="B6" s="14"/>
      <c r="C6" s="14"/>
      <c r="D6" s="15"/>
      <c r="E6" s="13"/>
      <c r="F6" s="16"/>
      <c r="G6" s="14"/>
      <c r="H6" s="14"/>
      <c r="I6" s="14"/>
      <c r="J6" s="14"/>
      <c r="K6" s="17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32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1" t="s">
        <v>12</v>
      </c>
      <c r="T7" s="21"/>
      <c r="U7" s="21"/>
      <c r="V7" s="21"/>
      <c r="W7" s="21"/>
      <c r="X7" s="362" t="s">
        <v>24</v>
      </c>
    </row>
    <row r="8" spans="1:32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2">
        <v>0.05</v>
      </c>
      <c r="T8" s="22">
        <v>0.15</v>
      </c>
      <c r="U8" s="22">
        <v>0.25</v>
      </c>
      <c r="V8" s="22">
        <v>0.3</v>
      </c>
      <c r="W8" s="23" t="s">
        <v>13</v>
      </c>
      <c r="X8" s="362"/>
    </row>
    <row r="9" spans="1:32" ht="8.25" customHeight="1" x14ac:dyDescent="0.25">
      <c r="A9" s="31">
        <v>1</v>
      </c>
      <c r="B9" s="32">
        <v>2</v>
      </c>
      <c r="C9" s="32">
        <v>3</v>
      </c>
      <c r="D9" s="33"/>
      <c r="E9" s="33"/>
      <c r="F9" s="33"/>
      <c r="G9" s="33"/>
      <c r="H9" s="33"/>
      <c r="I9" s="33"/>
      <c r="J9" s="34">
        <v>4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>
        <v>5</v>
      </c>
    </row>
    <row r="10" spans="1:32" ht="20.149999999999999" customHeight="1" x14ac:dyDescent="0.35">
      <c r="A10" s="125">
        <v>1</v>
      </c>
      <c r="B10" s="45" t="s">
        <v>26</v>
      </c>
      <c r="C10" s="35" t="s">
        <v>50</v>
      </c>
      <c r="D10" s="36"/>
      <c r="E10" s="37"/>
      <c r="F10" s="38"/>
      <c r="G10" s="39"/>
      <c r="H10" s="39"/>
      <c r="I10" s="39"/>
      <c r="J10" s="40">
        <f>'NET PEGAWAI PTP'!X8</f>
        <v>7753579.6500000004</v>
      </c>
      <c r="K10" s="41"/>
      <c r="L10" s="41"/>
      <c r="M10" s="41"/>
      <c r="N10" s="38"/>
      <c r="O10" s="42"/>
      <c r="P10" s="41"/>
      <c r="Q10" s="38"/>
      <c r="R10" s="38"/>
      <c r="S10" s="42"/>
      <c r="T10" s="42"/>
      <c r="U10" s="42"/>
      <c r="V10" s="42"/>
      <c r="W10" s="42"/>
      <c r="X10" s="300" t="s">
        <v>242</v>
      </c>
      <c r="Y10">
        <f>'NET PEGAWAI PTP'!L8</f>
        <v>8076645</v>
      </c>
      <c r="Z10" s="29" t="e">
        <f>'NET PEGAWAI PTP'!N8+'NET PEGAWAI PTP'!P8+'NET PEGAWAI PTP'!#REF!</f>
        <v>#REF!</v>
      </c>
      <c r="AA10" s="47" t="e">
        <f>Y10-Z10</f>
        <v>#REF!</v>
      </c>
    </row>
    <row r="11" spans="1:32" ht="20.149999999999999" customHeight="1" x14ac:dyDescent="0.35">
      <c r="A11" s="121">
        <v>2</v>
      </c>
      <c r="B11" s="45" t="s">
        <v>27</v>
      </c>
      <c r="C11" s="35" t="s">
        <v>51</v>
      </c>
      <c r="D11" s="36"/>
      <c r="E11" s="37"/>
      <c r="F11" s="38"/>
      <c r="G11" s="39"/>
      <c r="H11" s="39"/>
      <c r="I11" s="39"/>
      <c r="J11" s="40">
        <f>'NET PEGAWAI PTP'!X9</f>
        <v>10118747.15</v>
      </c>
      <c r="K11" s="41"/>
      <c r="L11" s="41"/>
      <c r="M11" s="41"/>
      <c r="N11" s="38"/>
      <c r="O11" s="42"/>
      <c r="P11" s="41"/>
      <c r="Q11" s="38"/>
      <c r="R11" s="38"/>
      <c r="S11" s="42"/>
      <c r="T11" s="42"/>
      <c r="U11" s="42"/>
      <c r="V11" s="42"/>
      <c r="W11" s="42"/>
      <c r="X11" s="300" t="s">
        <v>28</v>
      </c>
      <c r="Y11">
        <f>'NET PEGAWAI PTP'!L9</f>
        <v>10831645</v>
      </c>
      <c r="Z11" s="29" t="e">
        <f>'NET PEGAWAI PTP'!N9+'NET PEGAWAI PTP'!P9+'NET PEGAWAI PTP'!#REF!</f>
        <v>#REF!</v>
      </c>
      <c r="AA11" s="47" t="e">
        <f>Y11-Z11</f>
        <v>#REF!</v>
      </c>
    </row>
    <row r="12" spans="1:32" ht="20.149999999999999" customHeight="1" x14ac:dyDescent="0.35">
      <c r="A12" s="125">
        <v>3</v>
      </c>
      <c r="B12" s="45" t="s">
        <v>63</v>
      </c>
      <c r="C12" s="35" t="s">
        <v>52</v>
      </c>
      <c r="D12" s="60"/>
      <c r="E12" s="61"/>
      <c r="F12" s="62"/>
      <c r="G12" s="63"/>
      <c r="H12" s="63"/>
      <c r="I12" s="63"/>
      <c r="J12" s="69">
        <f>'NET PEGAWAI PTP'!X10</f>
        <v>6022768.1500000004</v>
      </c>
      <c r="K12" s="64"/>
      <c r="L12" s="64"/>
      <c r="M12" s="64"/>
      <c r="N12" s="62"/>
      <c r="O12" s="65"/>
      <c r="P12" s="64"/>
      <c r="Q12" s="62"/>
      <c r="R12" s="62"/>
      <c r="S12" s="65"/>
      <c r="T12" s="65"/>
      <c r="U12" s="65"/>
      <c r="V12" s="65"/>
      <c r="W12" s="65"/>
      <c r="X12" s="301" t="s">
        <v>64</v>
      </c>
      <c r="Y12">
        <f>'NET PEGAWAI PTP'!L10</f>
        <v>6430645</v>
      </c>
      <c r="Z12" s="29" t="e">
        <f>'NET PEGAWAI PTP'!#REF!</f>
        <v>#REF!</v>
      </c>
      <c r="AA12" s="47" t="e">
        <f>Y12-Z12</f>
        <v>#REF!</v>
      </c>
    </row>
    <row r="13" spans="1:32" ht="20.149999999999999" customHeight="1" x14ac:dyDescent="0.35">
      <c r="A13" s="121">
        <v>4</v>
      </c>
      <c r="B13" s="45" t="s">
        <v>71</v>
      </c>
      <c r="C13" s="35" t="s">
        <v>51</v>
      </c>
      <c r="D13" s="60"/>
      <c r="E13" s="61"/>
      <c r="F13" s="62"/>
      <c r="G13" s="63"/>
      <c r="H13" s="63"/>
      <c r="I13" s="63"/>
      <c r="J13" s="69">
        <f>'NET PEGAWAI PTP'!X11</f>
        <v>6748643.6500000004</v>
      </c>
      <c r="K13" s="64"/>
      <c r="L13" s="64"/>
      <c r="M13" s="64"/>
      <c r="N13" s="62"/>
      <c r="O13" s="65"/>
      <c r="P13" s="64"/>
      <c r="Q13" s="62"/>
      <c r="R13" s="62"/>
      <c r="S13" s="65"/>
      <c r="T13" s="65"/>
      <c r="U13" s="65"/>
      <c r="V13" s="65"/>
      <c r="W13" s="65"/>
      <c r="X13" s="301" t="s">
        <v>74</v>
      </c>
      <c r="Z13" s="29"/>
      <c r="AA13" s="47"/>
    </row>
    <row r="14" spans="1:32" ht="20.149999999999999" customHeight="1" x14ac:dyDescent="0.35">
      <c r="A14" s="125">
        <v>5</v>
      </c>
      <c r="B14" s="45" t="s">
        <v>99</v>
      </c>
      <c r="C14" s="35" t="s">
        <v>52</v>
      </c>
      <c r="D14" s="60"/>
      <c r="E14" s="61"/>
      <c r="F14" s="62"/>
      <c r="G14" s="63"/>
      <c r="H14" s="63"/>
      <c r="I14" s="63"/>
      <c r="J14" s="69">
        <f>'NET PEGAWAI PTP'!X13</f>
        <v>6020868.1500000004</v>
      </c>
      <c r="K14" s="64"/>
      <c r="L14" s="64"/>
      <c r="M14" s="64"/>
      <c r="N14" s="62"/>
      <c r="O14" s="65"/>
      <c r="P14" s="64"/>
      <c r="Q14" s="62"/>
      <c r="R14" s="62"/>
      <c r="S14" s="65"/>
      <c r="T14" s="65"/>
      <c r="U14" s="65"/>
      <c r="V14" s="65"/>
      <c r="W14" s="65"/>
      <c r="X14" s="301" t="s">
        <v>106</v>
      </c>
      <c r="Z14" s="29"/>
      <c r="AA14" s="47"/>
      <c r="AD14" s="148"/>
      <c r="AE14" s="173"/>
      <c r="AF14" s="19"/>
    </row>
    <row r="15" spans="1:32" ht="20.149999999999999" customHeight="1" x14ac:dyDescent="0.35">
      <c r="A15" s="121">
        <v>6</v>
      </c>
      <c r="B15" s="45" t="s">
        <v>191</v>
      </c>
      <c r="C15" s="35" t="s">
        <v>83</v>
      </c>
      <c r="D15" s="60"/>
      <c r="E15" s="61"/>
      <c r="F15" s="62"/>
      <c r="G15" s="63"/>
      <c r="H15" s="63"/>
      <c r="I15" s="63"/>
      <c r="J15" s="69">
        <f>'NET PEGAWAI PTP'!X19</f>
        <v>4269419.55</v>
      </c>
      <c r="K15" s="64"/>
      <c r="L15" s="64"/>
      <c r="M15" s="64"/>
      <c r="N15" s="62"/>
      <c r="O15" s="65"/>
      <c r="P15" s="64"/>
      <c r="Q15" s="62"/>
      <c r="R15" s="62"/>
      <c r="S15" s="65"/>
      <c r="T15" s="65"/>
      <c r="U15" s="65"/>
      <c r="V15" s="65"/>
      <c r="W15" s="65"/>
      <c r="X15" s="302" t="s">
        <v>196</v>
      </c>
      <c r="Z15" s="29"/>
      <c r="AA15" s="47"/>
      <c r="AD15" s="148"/>
      <c r="AE15" s="19"/>
    </row>
    <row r="16" spans="1:32" ht="20.149999999999999" customHeight="1" x14ac:dyDescent="0.35">
      <c r="A16" s="121">
        <v>7</v>
      </c>
      <c r="B16" s="45" t="s">
        <v>105</v>
      </c>
      <c r="C16" s="35" t="s">
        <v>83</v>
      </c>
      <c r="D16" s="60"/>
      <c r="E16" s="61"/>
      <c r="F16" s="62"/>
      <c r="G16" s="63"/>
      <c r="H16" s="63"/>
      <c r="I16" s="63"/>
      <c r="J16" s="69">
        <f>'NET PEGAWAI PTP'!X14</f>
        <v>5671746.1500000004</v>
      </c>
      <c r="K16" s="64"/>
      <c r="L16" s="64"/>
      <c r="M16" s="64"/>
      <c r="N16" s="62"/>
      <c r="O16" s="65"/>
      <c r="P16" s="64"/>
      <c r="Q16" s="62"/>
      <c r="R16" s="62"/>
      <c r="S16" s="65"/>
      <c r="T16" s="65"/>
      <c r="U16" s="65"/>
      <c r="V16" s="65"/>
      <c r="W16" s="65"/>
      <c r="X16" s="301" t="s">
        <v>107</v>
      </c>
      <c r="Z16" s="29"/>
      <c r="AA16" s="47"/>
      <c r="AD16" s="148"/>
      <c r="AE16" s="173"/>
      <c r="AF16" s="19"/>
    </row>
    <row r="17" spans="1:31" ht="20.149999999999999" customHeight="1" x14ac:dyDescent="0.35">
      <c r="A17" s="125">
        <v>8</v>
      </c>
      <c r="B17" s="45" t="s">
        <v>93</v>
      </c>
      <c r="C17" s="35" t="s">
        <v>50</v>
      </c>
      <c r="D17" s="60"/>
      <c r="E17" s="61"/>
      <c r="F17" s="62"/>
      <c r="G17" s="63"/>
      <c r="H17" s="63"/>
      <c r="I17" s="63"/>
      <c r="J17" s="69">
        <f>'NET PEGAWAI PTP'!X12</f>
        <v>6040879.1500000004</v>
      </c>
      <c r="K17" s="64"/>
      <c r="L17" s="64"/>
      <c r="M17" s="64"/>
      <c r="N17" s="62"/>
      <c r="O17" s="65"/>
      <c r="P17" s="64"/>
      <c r="Q17" s="62"/>
      <c r="R17" s="62"/>
      <c r="S17" s="65"/>
      <c r="T17" s="65"/>
      <c r="U17" s="65"/>
      <c r="V17" s="65"/>
      <c r="W17" s="65"/>
      <c r="X17" s="301" t="s">
        <v>94</v>
      </c>
      <c r="Z17" s="29"/>
      <c r="AA17" s="47"/>
      <c r="AD17" s="235"/>
      <c r="AE17" s="236"/>
    </row>
    <row r="18" spans="1:31" ht="20.149999999999999" customHeight="1" x14ac:dyDescent="0.35">
      <c r="A18" s="121">
        <v>9</v>
      </c>
      <c r="B18" s="223" t="s">
        <v>112</v>
      </c>
      <c r="C18" s="224" t="s">
        <v>83</v>
      </c>
      <c r="D18" s="225"/>
      <c r="E18" s="226"/>
      <c r="F18" s="227"/>
      <c r="G18" s="228"/>
      <c r="H18" s="228"/>
      <c r="I18" s="228"/>
      <c r="J18" s="229">
        <f>'NET PEGAWAI PTP'!X16</f>
        <v>5991485.1500000004</v>
      </c>
      <c r="K18" s="230"/>
      <c r="L18" s="230"/>
      <c r="M18" s="230"/>
      <c r="N18" s="227"/>
      <c r="O18" s="231"/>
      <c r="P18" s="230"/>
      <c r="Q18" s="227"/>
      <c r="R18" s="227"/>
      <c r="S18" s="231"/>
      <c r="T18" s="231"/>
      <c r="U18" s="231"/>
      <c r="V18" s="231"/>
      <c r="W18" s="231"/>
      <c r="X18" s="303" t="s">
        <v>111</v>
      </c>
      <c r="Z18" s="29"/>
      <c r="AA18" s="47"/>
    </row>
    <row r="19" spans="1:31" ht="20.149999999999999" customHeight="1" x14ac:dyDescent="0.35">
      <c r="A19" s="121">
        <v>10</v>
      </c>
      <c r="B19" s="45" t="s">
        <v>87</v>
      </c>
      <c r="C19" s="35" t="s">
        <v>51</v>
      </c>
      <c r="D19" s="60"/>
      <c r="E19" s="61"/>
      <c r="F19" s="62"/>
      <c r="G19" s="63"/>
      <c r="H19" s="63"/>
      <c r="I19" s="63"/>
      <c r="J19" s="69">
        <f>'NET PEGAWAI PTP'!X18</f>
        <v>6030368.1500000004</v>
      </c>
      <c r="K19" s="64"/>
      <c r="L19" s="64"/>
      <c r="M19" s="64"/>
      <c r="N19" s="62"/>
      <c r="O19" s="65"/>
      <c r="P19" s="64"/>
      <c r="Q19" s="62"/>
      <c r="R19" s="62"/>
      <c r="S19" s="65"/>
      <c r="T19" s="65"/>
      <c r="U19" s="65"/>
      <c r="V19" s="65"/>
      <c r="W19" s="65"/>
      <c r="X19" s="301" t="s">
        <v>176</v>
      </c>
      <c r="Z19" s="29"/>
      <c r="AA19" s="47"/>
    </row>
    <row r="20" spans="1:31" ht="20.149999999999999" customHeight="1" x14ac:dyDescent="0.35">
      <c r="A20" s="125">
        <v>11</v>
      </c>
      <c r="B20" s="45" t="s">
        <v>203</v>
      </c>
      <c r="C20" s="35" t="s">
        <v>52</v>
      </c>
      <c r="D20" s="60"/>
      <c r="E20" s="61"/>
      <c r="F20" s="62"/>
      <c r="G20" s="63"/>
      <c r="H20" s="63"/>
      <c r="I20" s="63"/>
      <c r="J20" s="69">
        <f>'NET PEGAWAI PTP'!X15</f>
        <v>6119929.1500000004</v>
      </c>
      <c r="K20" s="64"/>
      <c r="L20" s="64"/>
      <c r="M20" s="64"/>
      <c r="N20" s="62"/>
      <c r="O20" s="65"/>
      <c r="P20" s="64"/>
      <c r="Q20" s="62"/>
      <c r="R20" s="62"/>
      <c r="S20" s="65"/>
      <c r="T20" s="65"/>
      <c r="U20" s="65"/>
      <c r="V20" s="65"/>
      <c r="W20" s="65"/>
      <c r="X20" s="234" t="s">
        <v>195</v>
      </c>
      <c r="Z20" s="29"/>
      <c r="AA20" s="47"/>
    </row>
    <row r="21" spans="1:31" ht="20.149999999999999" customHeight="1" x14ac:dyDescent="0.35">
      <c r="A21" s="125">
        <v>12</v>
      </c>
      <c r="B21" s="291" t="s">
        <v>122</v>
      </c>
      <c r="C21" s="292" t="s">
        <v>50</v>
      </c>
      <c r="D21" s="293"/>
      <c r="E21" s="294"/>
      <c r="F21" s="295"/>
      <c r="G21" s="296"/>
      <c r="H21" s="296"/>
      <c r="I21" s="296"/>
      <c r="J21" s="297">
        <f>'NET PEGAWAI PTP'!X17</f>
        <v>6119929.1500000004</v>
      </c>
      <c r="K21" s="298"/>
      <c r="L21" s="298"/>
      <c r="M21" s="298"/>
      <c r="N21" s="295"/>
      <c r="O21" s="299"/>
      <c r="P21" s="298"/>
      <c r="Q21" s="295"/>
      <c r="R21" s="295"/>
      <c r="S21" s="299"/>
      <c r="T21" s="299"/>
      <c r="U21" s="299"/>
      <c r="V21" s="299"/>
      <c r="W21" s="299"/>
      <c r="X21" s="234" t="s">
        <v>124</v>
      </c>
      <c r="Z21" s="29"/>
      <c r="AA21" s="47"/>
    </row>
    <row r="22" spans="1:31" ht="15" customHeight="1" x14ac:dyDescent="0.35">
      <c r="A22" s="52"/>
      <c r="B22" s="53"/>
      <c r="C22" s="53"/>
      <c r="D22" s="54"/>
      <c r="E22" s="55"/>
      <c r="F22" s="363">
        <f>SUM(F9:F11)</f>
        <v>0</v>
      </c>
      <c r="G22" s="363">
        <f>SUM(G9:G11)</f>
        <v>0</v>
      </c>
      <c r="H22" s="363">
        <f>SUM(H9:H11)</f>
        <v>0</v>
      </c>
      <c r="I22" s="363">
        <f>SUM(I9:I11)</f>
        <v>0</v>
      </c>
      <c r="J22" s="365">
        <f>SUM(J10:J21)</f>
        <v>76908363.200000003</v>
      </c>
      <c r="K22" s="363">
        <f t="shared" ref="K22:W22" si="0">SUM(K9:K11)</f>
        <v>0</v>
      </c>
      <c r="L22" s="363">
        <f t="shared" si="0"/>
        <v>0</v>
      </c>
      <c r="M22" s="363">
        <f t="shared" si="0"/>
        <v>0</v>
      </c>
      <c r="N22" s="363">
        <f t="shared" si="0"/>
        <v>0</v>
      </c>
      <c r="O22" s="363">
        <f t="shared" si="0"/>
        <v>0</v>
      </c>
      <c r="P22" s="363">
        <f t="shared" si="0"/>
        <v>0</v>
      </c>
      <c r="Q22" s="363">
        <f t="shared" si="0"/>
        <v>0</v>
      </c>
      <c r="R22" s="363">
        <f t="shared" si="0"/>
        <v>0</v>
      </c>
      <c r="S22" s="363">
        <f t="shared" si="0"/>
        <v>0</v>
      </c>
      <c r="T22" s="363">
        <f t="shared" si="0"/>
        <v>0</v>
      </c>
      <c r="U22" s="363">
        <f t="shared" si="0"/>
        <v>0</v>
      </c>
      <c r="V22" s="363">
        <f t="shared" si="0"/>
        <v>0</v>
      </c>
      <c r="W22" s="363">
        <f t="shared" si="0"/>
        <v>0</v>
      </c>
      <c r="X22" s="363"/>
      <c r="AA22" s="19"/>
    </row>
    <row r="23" spans="1:31" ht="15" customHeight="1" thickBot="1" x14ac:dyDescent="0.4">
      <c r="A23" s="56"/>
      <c r="B23" s="57"/>
      <c r="C23" s="57"/>
      <c r="D23" s="58"/>
      <c r="E23" s="59"/>
      <c r="F23" s="364"/>
      <c r="G23" s="364"/>
      <c r="H23" s="364"/>
      <c r="I23" s="364"/>
      <c r="J23" s="366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Z23" s="19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290" t="s">
        <v>189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290" t="s">
        <v>232</v>
      </c>
    </row>
    <row r="26" spans="1:31" ht="14.5" x14ac:dyDescent="0.35">
      <c r="A26" s="6"/>
      <c r="B26" s="290" t="s">
        <v>179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290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290" t="s">
        <v>178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290" t="s">
        <v>161</v>
      </c>
    </row>
  </sheetData>
  <mergeCells count="41">
    <mergeCell ref="N7:N8"/>
    <mergeCell ref="O7:O8"/>
    <mergeCell ref="X22:X23"/>
    <mergeCell ref="R22:R23"/>
    <mergeCell ref="S22:S23"/>
    <mergeCell ref="T22:T23"/>
    <mergeCell ref="U22:U23"/>
    <mergeCell ref="V22:V23"/>
    <mergeCell ref="W22:W23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44"/>
  <sheetViews>
    <sheetView view="pageBreakPreview" zoomScaleNormal="100" zoomScaleSheetLayoutView="100" workbookViewId="0">
      <selection activeCell="J20" sqref="J20:K21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3" customWidth="1"/>
    <col min="18" max="18" width="15" customWidth="1"/>
    <col min="19" max="19" width="12.1796875" customWidth="1"/>
    <col min="20" max="20" width="15" customWidth="1"/>
    <col min="21" max="21" width="11.7265625" customWidth="1"/>
    <col min="22" max="22" width="12.54296875" customWidth="1"/>
    <col min="23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60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>
        <f>10+10+10+15+55</f>
        <v>100</v>
      </c>
      <c r="T1" s="6"/>
      <c r="U1" s="6"/>
      <c r="V1" s="6"/>
      <c r="W1" s="6"/>
      <c r="X1" s="6"/>
      <c r="Y1" s="6"/>
    </row>
    <row r="2" spans="2:29" ht="12.75" customHeight="1" x14ac:dyDescent="0.25">
      <c r="B2" s="387" t="s">
        <v>137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94"/>
    </row>
    <row r="3" spans="2:29" ht="12.75" customHeight="1" x14ac:dyDescent="0.25">
      <c r="B3" s="388" t="s">
        <v>229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95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69" t="s">
        <v>7</v>
      </c>
      <c r="C5" s="369" t="s">
        <v>66</v>
      </c>
      <c r="D5" s="369" t="s">
        <v>21</v>
      </c>
      <c r="E5" s="369" t="s">
        <v>160</v>
      </c>
      <c r="F5" s="369" t="s">
        <v>70</v>
      </c>
      <c r="G5" s="369" t="s">
        <v>0</v>
      </c>
      <c r="H5" s="369" t="s">
        <v>2</v>
      </c>
      <c r="I5" s="369" t="s">
        <v>67</v>
      </c>
      <c r="J5" s="369" t="s">
        <v>135</v>
      </c>
      <c r="K5" s="369" t="s">
        <v>136</v>
      </c>
      <c r="L5" s="380" t="s">
        <v>68</v>
      </c>
      <c r="M5" s="403" t="s">
        <v>139</v>
      </c>
      <c r="N5" s="369" t="s">
        <v>138</v>
      </c>
      <c r="O5" s="369" t="s">
        <v>92</v>
      </c>
      <c r="P5" s="369" t="s">
        <v>56</v>
      </c>
      <c r="Q5" s="371" t="s">
        <v>148</v>
      </c>
      <c r="R5" s="372"/>
      <c r="S5" s="372"/>
      <c r="T5" s="372"/>
      <c r="U5" s="373"/>
      <c r="V5" s="369" t="s">
        <v>149</v>
      </c>
      <c r="W5" s="369" t="s">
        <v>183</v>
      </c>
      <c r="X5" s="369" t="s">
        <v>79</v>
      </c>
      <c r="Y5" s="106"/>
    </row>
    <row r="6" spans="2:29" ht="96" customHeight="1" thickBot="1" x14ac:dyDescent="0.3">
      <c r="B6" s="370"/>
      <c r="C6" s="397"/>
      <c r="D6" s="397"/>
      <c r="E6" s="370"/>
      <c r="F6" s="370"/>
      <c r="G6" s="397"/>
      <c r="H6" s="397"/>
      <c r="I6" s="397"/>
      <c r="J6" s="370"/>
      <c r="K6" s="370"/>
      <c r="L6" s="381"/>
      <c r="M6" s="404"/>
      <c r="N6" s="370"/>
      <c r="O6" s="370"/>
      <c r="P6" s="370"/>
      <c r="Q6" s="221" t="s">
        <v>220</v>
      </c>
      <c r="R6" s="221" t="s">
        <v>228</v>
      </c>
      <c r="S6" s="221" t="s">
        <v>210</v>
      </c>
      <c r="T6" s="320" t="s">
        <v>222</v>
      </c>
      <c r="U6" s="318" t="s">
        <v>209</v>
      </c>
      <c r="V6" s="370"/>
      <c r="W6" s="370"/>
      <c r="X6" s="370"/>
      <c r="Y6" s="106"/>
      <c r="Z6" t="s">
        <v>173</v>
      </c>
      <c r="AA6" t="s">
        <v>217</v>
      </c>
      <c r="AB6" t="s">
        <v>217</v>
      </c>
    </row>
    <row r="7" spans="2:29" s="24" customFormat="1" ht="9.75" customHeight="1" x14ac:dyDescent="0.25">
      <c r="B7" s="115">
        <v>1</v>
      </c>
      <c r="C7" s="115">
        <v>2</v>
      </c>
      <c r="D7" s="115">
        <v>3</v>
      </c>
      <c r="E7" s="115"/>
      <c r="F7" s="115">
        <v>5</v>
      </c>
      <c r="G7" s="116">
        <v>6</v>
      </c>
      <c r="H7" s="116">
        <v>7</v>
      </c>
      <c r="I7" s="115">
        <v>8</v>
      </c>
      <c r="J7" s="115">
        <v>9</v>
      </c>
      <c r="K7" s="115">
        <v>10</v>
      </c>
      <c r="L7" s="117" t="s">
        <v>126</v>
      </c>
      <c r="M7" s="118">
        <v>15</v>
      </c>
      <c r="N7" s="116">
        <v>16</v>
      </c>
      <c r="O7" s="116">
        <v>17</v>
      </c>
      <c r="P7" s="116">
        <v>18</v>
      </c>
      <c r="Q7" s="116">
        <v>17</v>
      </c>
      <c r="R7" s="116">
        <v>18</v>
      </c>
      <c r="S7" s="116">
        <v>19</v>
      </c>
      <c r="T7" s="116"/>
      <c r="U7" s="116">
        <v>20</v>
      </c>
      <c r="V7" s="116">
        <v>21</v>
      </c>
      <c r="W7" s="116">
        <v>23</v>
      </c>
      <c r="X7" s="116" t="s">
        <v>151</v>
      </c>
      <c r="Y7" s="101"/>
    </row>
    <row r="8" spans="2:29" ht="20.149999999999999" customHeight="1" x14ac:dyDescent="0.25">
      <c r="B8" s="127">
        <v>1</v>
      </c>
      <c r="C8" s="79" t="s">
        <v>26</v>
      </c>
      <c r="D8" s="79" t="s">
        <v>50</v>
      </c>
      <c r="E8" s="240">
        <v>0</v>
      </c>
      <c r="F8" s="80" t="s">
        <v>190</v>
      </c>
      <c r="G8" s="129" t="s">
        <v>33</v>
      </c>
      <c r="H8" s="128" t="s">
        <v>35</v>
      </c>
      <c r="I8" s="96">
        <v>3370645</v>
      </c>
      <c r="J8" s="97">
        <v>4706000</v>
      </c>
      <c r="K8" s="97">
        <v>0</v>
      </c>
      <c r="L8" s="98">
        <f t="shared" ref="L8:L18" si="0">SUM(I8:K8)</f>
        <v>8076645</v>
      </c>
      <c r="M8" s="99">
        <v>80766</v>
      </c>
      <c r="N8" s="87">
        <f>161532.9+80766.45</f>
        <v>242299.34999999998</v>
      </c>
      <c r="O8" s="149">
        <v>0</v>
      </c>
      <c r="P8" s="87">
        <v>0</v>
      </c>
      <c r="Q8" s="87">
        <v>0</v>
      </c>
      <c r="R8" s="87">
        <v>0</v>
      </c>
      <c r="S8" s="87">
        <f>K8*2.88%</f>
        <v>0</v>
      </c>
      <c r="T8" s="87">
        <f>K8*30%</f>
        <v>0</v>
      </c>
      <c r="U8" s="87">
        <f t="shared" ref="U8" si="1">10%*K8</f>
        <v>0</v>
      </c>
      <c r="V8" s="87">
        <v>0</v>
      </c>
      <c r="W8" s="87">
        <f>M8+N8+Q8+R8+S8+T8+U8+V8</f>
        <v>323065.34999999998</v>
      </c>
      <c r="X8" s="151">
        <f t="shared" ref="X8:X18" si="2">L8-(M8+N8+Q8+R8+S8+T8+U8+V8)</f>
        <v>7753579.6500000004</v>
      </c>
      <c r="Y8" s="103"/>
      <c r="Z8" s="19">
        <f>SUM(M8:V8)</f>
        <v>323065.34999999998</v>
      </c>
      <c r="AA8" s="19">
        <f t="shared" ref="AA8:AA19" si="3">L8-Z8</f>
        <v>7753579.6500000004</v>
      </c>
      <c r="AB8" s="90">
        <f>SUM(S8:U8)</f>
        <v>0</v>
      </c>
      <c r="AC8" s="90">
        <f>K8*42.88%</f>
        <v>0</v>
      </c>
    </row>
    <row r="9" spans="2:29" ht="20.149999999999999" customHeight="1" x14ac:dyDescent="0.25">
      <c r="B9" s="127">
        <v>2</v>
      </c>
      <c r="C9" s="79" t="s">
        <v>27</v>
      </c>
      <c r="D9" s="79" t="s">
        <v>51</v>
      </c>
      <c r="E9" s="239">
        <v>0</v>
      </c>
      <c r="F9" s="80" t="s">
        <v>190</v>
      </c>
      <c r="G9" s="129" t="s">
        <v>37</v>
      </c>
      <c r="H9" s="128" t="s">
        <v>35</v>
      </c>
      <c r="I9" s="96">
        <f t="shared" ref="I9" si="4">I8</f>
        <v>3370645</v>
      </c>
      <c r="J9" s="97">
        <v>4706000</v>
      </c>
      <c r="K9" s="97">
        <v>2755000</v>
      </c>
      <c r="L9" s="98">
        <f t="shared" si="0"/>
        <v>10831645</v>
      </c>
      <c r="M9" s="99">
        <v>80766</v>
      </c>
      <c r="N9" s="87">
        <f>161532.9+80766.45</f>
        <v>242299.34999999998</v>
      </c>
      <c r="O9" s="149">
        <v>0</v>
      </c>
      <c r="P9" s="87">
        <v>0</v>
      </c>
      <c r="Q9" s="87">
        <v>0</v>
      </c>
      <c r="R9" s="87">
        <v>0</v>
      </c>
      <c r="S9" s="87">
        <f t="shared" ref="S9:S18" si="5">K9*4.15%</f>
        <v>114332.5</v>
      </c>
      <c r="T9" s="87">
        <f>K9*10%</f>
        <v>275500</v>
      </c>
      <c r="U9" s="87">
        <v>0</v>
      </c>
      <c r="V9" s="87">
        <v>0</v>
      </c>
      <c r="W9" s="87">
        <f>M9+N9+Q9+R9+S9+T9+U9+V9</f>
        <v>712897.85</v>
      </c>
      <c r="X9" s="151">
        <f t="shared" si="2"/>
        <v>10118747.15</v>
      </c>
      <c r="Y9" s="103"/>
      <c r="Z9" s="19">
        <f t="shared" ref="Z9:Z19" si="6">SUM(M9:V9)</f>
        <v>712897.85</v>
      </c>
      <c r="AA9" s="19">
        <f t="shared" si="3"/>
        <v>10118747.15</v>
      </c>
      <c r="AB9" s="90">
        <f>K9*87.11%</f>
        <v>2399880.5</v>
      </c>
      <c r="AC9" s="90">
        <f>K9-S9-T9</f>
        <v>2365167.5</v>
      </c>
    </row>
    <row r="10" spans="2:29" ht="20.149999999999999" customHeight="1" x14ac:dyDescent="0.35">
      <c r="B10" s="127">
        <v>3</v>
      </c>
      <c r="C10" s="78" t="s">
        <v>61</v>
      </c>
      <c r="D10" s="79" t="s">
        <v>52</v>
      </c>
      <c r="E10" s="239">
        <v>0.1013888888888889</v>
      </c>
      <c r="F10" s="80" t="s">
        <v>72</v>
      </c>
      <c r="G10" s="81" t="s">
        <v>62</v>
      </c>
      <c r="H10" s="326" t="s">
        <v>31</v>
      </c>
      <c r="I10" s="83">
        <v>3370645</v>
      </c>
      <c r="J10" s="84">
        <f>[2]Sheet1!$O$19</f>
        <v>2533000</v>
      </c>
      <c r="K10" s="84">
        <f>[2]Sheet1!$Q$19</f>
        <v>527000</v>
      </c>
      <c r="L10" s="85">
        <f t="shared" si="0"/>
        <v>6430645</v>
      </c>
      <c r="M10" s="202">
        <v>59036</v>
      </c>
      <c r="N10" s="86">
        <f>118072.9+59036.45</f>
        <v>177109.34999999998</v>
      </c>
      <c r="O10" s="149">
        <v>0</v>
      </c>
      <c r="P10" s="87">
        <v>0</v>
      </c>
      <c r="Q10" s="87">
        <f>15%*K10</f>
        <v>79050</v>
      </c>
      <c r="R10" s="87">
        <v>0</v>
      </c>
      <c r="S10" s="87">
        <f t="shared" si="5"/>
        <v>21870.5</v>
      </c>
      <c r="T10" s="87">
        <f t="shared" ref="T10:T18" si="7">K10*10%</f>
        <v>52700</v>
      </c>
      <c r="U10" s="87">
        <v>0</v>
      </c>
      <c r="V10" s="323">
        <v>18111</v>
      </c>
      <c r="W10" s="87">
        <f t="shared" ref="W10:W19" si="8">SUM(M10:V10)</f>
        <v>407876.85</v>
      </c>
      <c r="X10" s="151">
        <f t="shared" si="2"/>
        <v>6022768.1500000004</v>
      </c>
      <c r="Y10" s="104"/>
      <c r="Z10" s="19">
        <f t="shared" si="6"/>
        <v>407876.85</v>
      </c>
      <c r="AA10" s="19">
        <f t="shared" si="3"/>
        <v>6022768.1500000004</v>
      </c>
      <c r="AB10" s="90">
        <f t="shared" ref="AB10:AB18" si="9">K10*87.11%</f>
        <v>459069.7</v>
      </c>
      <c r="AC10" s="90">
        <f t="shared" ref="AC10:AC18" si="10">K10-S10-T10</f>
        <v>452429.5</v>
      </c>
    </row>
    <row r="11" spans="2:29" ht="18" customHeight="1" x14ac:dyDescent="0.35">
      <c r="B11" s="127">
        <v>4</v>
      </c>
      <c r="C11" s="78" t="s">
        <v>78</v>
      </c>
      <c r="D11" s="79" t="s">
        <v>51</v>
      </c>
      <c r="E11" s="239">
        <v>3.472222222222222E-3</v>
      </c>
      <c r="F11" s="80" t="s">
        <v>199</v>
      </c>
      <c r="G11" s="81" t="s">
        <v>73</v>
      </c>
      <c r="H11" s="82" t="s">
        <v>34</v>
      </c>
      <c r="I11" s="83">
        <f t="shared" ref="I11:I12" si="11">I10</f>
        <v>3370645</v>
      </c>
      <c r="J11" s="84">
        <v>2815000</v>
      </c>
      <c r="K11" s="84">
        <v>944000</v>
      </c>
      <c r="L11" s="85">
        <f t="shared" si="0"/>
        <v>7129645</v>
      </c>
      <c r="M11" s="202">
        <v>61856</v>
      </c>
      <c r="N11" s="86">
        <f>123712.9+61856.45</f>
        <v>185569.34999999998</v>
      </c>
      <c r="O11" s="149">
        <v>0</v>
      </c>
      <c r="P11" s="87">
        <v>0</v>
      </c>
      <c r="Q11" s="87">
        <v>0</v>
      </c>
      <c r="R11" s="87">
        <v>0</v>
      </c>
      <c r="S11" s="87">
        <f t="shared" si="5"/>
        <v>39176</v>
      </c>
      <c r="T11" s="87">
        <f t="shared" si="7"/>
        <v>94400</v>
      </c>
      <c r="U11" s="87">
        <v>0</v>
      </c>
      <c r="V11" s="87">
        <v>0</v>
      </c>
      <c r="W11" s="87">
        <f t="shared" si="8"/>
        <v>381001.35</v>
      </c>
      <c r="X11" s="151">
        <f t="shared" si="2"/>
        <v>6748643.6500000004</v>
      </c>
      <c r="Y11" s="104"/>
      <c r="Z11" s="19">
        <f t="shared" si="6"/>
        <v>381001.35</v>
      </c>
      <c r="AA11" s="19">
        <f t="shared" si="3"/>
        <v>6748643.6500000004</v>
      </c>
      <c r="AB11" s="90">
        <f t="shared" si="9"/>
        <v>822318.4</v>
      </c>
      <c r="AC11" s="90">
        <f t="shared" si="10"/>
        <v>810424</v>
      </c>
    </row>
    <row r="12" spans="2:29" ht="20.149999999999999" customHeight="1" x14ac:dyDescent="0.35">
      <c r="B12" s="127">
        <v>5</v>
      </c>
      <c r="C12" s="130" t="s">
        <v>93</v>
      </c>
      <c r="D12" s="131" t="s">
        <v>50</v>
      </c>
      <c r="E12" s="321">
        <v>2.5694444444444447E-2</v>
      </c>
      <c r="F12" s="132" t="s">
        <v>72</v>
      </c>
      <c r="G12" s="133" t="s">
        <v>98</v>
      </c>
      <c r="H12" s="134" t="s">
        <v>35</v>
      </c>
      <c r="I12" s="135">
        <f t="shared" si="11"/>
        <v>3370645</v>
      </c>
      <c r="J12" s="136">
        <v>2533000</v>
      </c>
      <c r="K12" s="136">
        <v>527000</v>
      </c>
      <c r="L12" s="137">
        <f t="shared" si="0"/>
        <v>6430645</v>
      </c>
      <c r="M12" s="202">
        <v>59036</v>
      </c>
      <c r="N12" s="86">
        <f t="shared" ref="N12:N18" si="12">118072.9+59036.45</f>
        <v>177109.34999999998</v>
      </c>
      <c r="O12" s="149">
        <v>0</v>
      </c>
      <c r="P12" s="139">
        <v>0</v>
      </c>
      <c r="Q12" s="275">
        <f>15%*K12</f>
        <v>79050</v>
      </c>
      <c r="R12" s="139">
        <v>0</v>
      </c>
      <c r="S12" s="87">
        <f t="shared" si="5"/>
        <v>21870.5</v>
      </c>
      <c r="T12" s="87">
        <f t="shared" si="7"/>
        <v>52700</v>
      </c>
      <c r="U12" s="87">
        <v>0</v>
      </c>
      <c r="V12" s="324">
        <v>0</v>
      </c>
      <c r="W12" s="87">
        <f>SUM(M12:V12)</f>
        <v>389765.85</v>
      </c>
      <c r="X12" s="151">
        <f t="shared" si="2"/>
        <v>6040879.1500000004</v>
      </c>
      <c r="Y12" s="104"/>
      <c r="Z12" s="19">
        <f t="shared" si="6"/>
        <v>389765.85</v>
      </c>
      <c r="AA12" s="19">
        <f t="shared" si="3"/>
        <v>6040879.1500000004</v>
      </c>
      <c r="AB12" s="90">
        <f t="shared" si="9"/>
        <v>459069.7</v>
      </c>
      <c r="AC12" s="90">
        <f t="shared" si="10"/>
        <v>452429.5</v>
      </c>
    </row>
    <row r="13" spans="2:29" ht="20.149999999999999" customHeight="1" x14ac:dyDescent="0.35">
      <c r="B13" s="127">
        <v>6</v>
      </c>
      <c r="C13" s="78" t="s">
        <v>99</v>
      </c>
      <c r="D13" s="79" t="s">
        <v>52</v>
      </c>
      <c r="E13" s="265" t="s">
        <v>235</v>
      </c>
      <c r="F13" s="80" t="s">
        <v>72</v>
      </c>
      <c r="G13" s="81" t="s">
        <v>103</v>
      </c>
      <c r="H13" s="82" t="s">
        <v>35</v>
      </c>
      <c r="I13" s="83">
        <f>I11</f>
        <v>3370645</v>
      </c>
      <c r="J13" s="83">
        <v>2533000</v>
      </c>
      <c r="K13" s="83">
        <v>527000</v>
      </c>
      <c r="L13" s="85">
        <f t="shared" si="0"/>
        <v>6430645</v>
      </c>
      <c r="M13" s="202">
        <f t="shared" ref="M13:M17" si="13">M12</f>
        <v>59036</v>
      </c>
      <c r="N13" s="86">
        <f t="shared" si="12"/>
        <v>177109.34999999998</v>
      </c>
      <c r="O13" s="149">
        <v>0</v>
      </c>
      <c r="P13" s="87">
        <v>0</v>
      </c>
      <c r="Q13" s="275">
        <f>15%*K13</f>
        <v>79050</v>
      </c>
      <c r="R13" s="87">
        <v>0</v>
      </c>
      <c r="S13" s="87">
        <f t="shared" si="5"/>
        <v>21870.5</v>
      </c>
      <c r="T13" s="87">
        <f t="shared" si="7"/>
        <v>52700</v>
      </c>
      <c r="U13" s="87">
        <v>0</v>
      </c>
      <c r="V13" s="315">
        <v>20011</v>
      </c>
      <c r="W13" s="87">
        <f t="shared" si="8"/>
        <v>409776.85</v>
      </c>
      <c r="X13" s="151">
        <f t="shared" si="2"/>
        <v>6020868.1500000004</v>
      </c>
      <c r="Y13" s="104"/>
      <c r="Z13" s="19">
        <f t="shared" si="6"/>
        <v>409776.85</v>
      </c>
      <c r="AA13" s="19">
        <f t="shared" si="3"/>
        <v>6020868.1500000004</v>
      </c>
      <c r="AB13" s="90">
        <f t="shared" si="9"/>
        <v>459069.7</v>
      </c>
      <c r="AC13" s="90">
        <f t="shared" si="10"/>
        <v>452429.5</v>
      </c>
    </row>
    <row r="14" spans="2:29" ht="20.149999999999999" customHeight="1" x14ac:dyDescent="0.35">
      <c r="B14" s="127">
        <v>7</v>
      </c>
      <c r="C14" s="78" t="s">
        <v>100</v>
      </c>
      <c r="D14" s="79" t="s">
        <v>83</v>
      </c>
      <c r="E14" s="265" t="s">
        <v>236</v>
      </c>
      <c r="F14" s="80" t="s">
        <v>72</v>
      </c>
      <c r="G14" s="81" t="s">
        <v>104</v>
      </c>
      <c r="H14" s="82" t="s">
        <v>1</v>
      </c>
      <c r="I14" s="83">
        <f>I11</f>
        <v>3370645</v>
      </c>
      <c r="J14" s="83">
        <v>2533000</v>
      </c>
      <c r="K14" s="83">
        <v>527000</v>
      </c>
      <c r="L14" s="85">
        <f t="shared" si="0"/>
        <v>6430645</v>
      </c>
      <c r="M14" s="202">
        <f t="shared" si="13"/>
        <v>59036</v>
      </c>
      <c r="N14" s="86">
        <f t="shared" si="12"/>
        <v>177109.34999999998</v>
      </c>
      <c r="O14" s="149">
        <v>0</v>
      </c>
      <c r="P14" s="87">
        <v>0</v>
      </c>
      <c r="Q14" s="275">
        <f>15%*K14</f>
        <v>79050</v>
      </c>
      <c r="R14" s="87">
        <f>55%*K14</f>
        <v>289850</v>
      </c>
      <c r="S14" s="87">
        <f t="shared" si="5"/>
        <v>21870.5</v>
      </c>
      <c r="T14" s="87">
        <f t="shared" si="7"/>
        <v>52700</v>
      </c>
      <c r="U14" s="87">
        <v>0</v>
      </c>
      <c r="V14" s="315">
        <v>79283</v>
      </c>
      <c r="W14" s="87">
        <f>SUM(M14:V14)</f>
        <v>758898.85</v>
      </c>
      <c r="X14" s="151">
        <f t="shared" si="2"/>
        <v>5671746.1500000004</v>
      </c>
      <c r="Y14" s="104"/>
      <c r="Z14" s="19">
        <f t="shared" si="6"/>
        <v>758898.85</v>
      </c>
      <c r="AA14" s="19">
        <f t="shared" si="3"/>
        <v>5671746.1500000004</v>
      </c>
      <c r="AB14" s="90">
        <f t="shared" si="9"/>
        <v>459069.7</v>
      </c>
      <c r="AC14" s="90">
        <f>K14-S14-T14</f>
        <v>452429.5</v>
      </c>
    </row>
    <row r="15" spans="2:29" ht="20.149999999999999" customHeight="1" x14ac:dyDescent="0.35">
      <c r="B15" s="127">
        <v>8</v>
      </c>
      <c r="C15" s="78" t="s">
        <v>101</v>
      </c>
      <c r="D15" s="79" t="s">
        <v>52</v>
      </c>
      <c r="E15" s="239">
        <v>0</v>
      </c>
      <c r="F15" s="80" t="s">
        <v>72</v>
      </c>
      <c r="G15" s="81" t="s">
        <v>102</v>
      </c>
      <c r="H15" s="326" t="s">
        <v>45</v>
      </c>
      <c r="I15" s="83">
        <f>I11</f>
        <v>3370645</v>
      </c>
      <c r="J15" s="83">
        <v>2533000</v>
      </c>
      <c r="K15" s="83">
        <v>527000</v>
      </c>
      <c r="L15" s="85">
        <f t="shared" si="0"/>
        <v>6430645</v>
      </c>
      <c r="M15" s="202">
        <f t="shared" si="13"/>
        <v>59036</v>
      </c>
      <c r="N15" s="86">
        <f t="shared" si="12"/>
        <v>177109.34999999998</v>
      </c>
      <c r="O15" s="149">
        <v>0</v>
      </c>
      <c r="P15" s="87">
        <v>0</v>
      </c>
      <c r="Q15" s="276">
        <v>0</v>
      </c>
      <c r="R15" s="87">
        <v>0</v>
      </c>
      <c r="S15" s="87">
        <f t="shared" si="5"/>
        <v>21870.5</v>
      </c>
      <c r="T15" s="87">
        <f t="shared" si="7"/>
        <v>52700</v>
      </c>
      <c r="U15" s="87">
        <v>0</v>
      </c>
      <c r="V15" s="87">
        <v>0</v>
      </c>
      <c r="W15" s="87">
        <f t="shared" si="8"/>
        <v>310715.84999999998</v>
      </c>
      <c r="X15" s="151">
        <f t="shared" si="2"/>
        <v>6119929.1500000004</v>
      </c>
      <c r="Y15" s="104"/>
      <c r="Z15" s="19">
        <f t="shared" si="6"/>
        <v>310715.84999999998</v>
      </c>
      <c r="AA15" s="19">
        <f t="shared" si="3"/>
        <v>6119929.1500000004</v>
      </c>
      <c r="AB15" s="90">
        <f t="shared" si="9"/>
        <v>459069.7</v>
      </c>
      <c r="AC15" s="90">
        <f t="shared" si="10"/>
        <v>452429.5</v>
      </c>
    </row>
    <row r="16" spans="2:29" ht="20.149999999999999" customHeight="1" x14ac:dyDescent="0.35">
      <c r="B16" s="127">
        <v>9</v>
      </c>
      <c r="C16" s="140" t="s">
        <v>109</v>
      </c>
      <c r="D16" s="141" t="s">
        <v>83</v>
      </c>
      <c r="E16" s="319" t="s">
        <v>237</v>
      </c>
      <c r="F16" s="142" t="s">
        <v>72</v>
      </c>
      <c r="G16" s="143" t="s">
        <v>110</v>
      </c>
      <c r="H16" s="327" t="s">
        <v>34</v>
      </c>
      <c r="I16" s="328">
        <v>3370645</v>
      </c>
      <c r="J16" s="83">
        <v>2533000</v>
      </c>
      <c r="K16" s="83">
        <v>527000</v>
      </c>
      <c r="L16" s="144">
        <f t="shared" si="0"/>
        <v>6430645</v>
      </c>
      <c r="M16" s="203">
        <f t="shared" si="13"/>
        <v>59036</v>
      </c>
      <c r="N16" s="86">
        <f t="shared" si="12"/>
        <v>177109.34999999998</v>
      </c>
      <c r="O16" s="145">
        <v>0</v>
      </c>
      <c r="P16" s="146">
        <v>0</v>
      </c>
      <c r="Q16" s="275">
        <f>15%*K16</f>
        <v>79050</v>
      </c>
      <c r="R16" s="146">
        <v>0</v>
      </c>
      <c r="S16" s="87">
        <f t="shared" si="5"/>
        <v>21870.5</v>
      </c>
      <c r="T16" s="87">
        <f t="shared" si="7"/>
        <v>52700</v>
      </c>
      <c r="U16" s="87">
        <v>0</v>
      </c>
      <c r="V16" s="87">
        <v>49394</v>
      </c>
      <c r="W16" s="87">
        <f>SUM(M16:V16)</f>
        <v>439159.85</v>
      </c>
      <c r="X16" s="151">
        <f>L16-(M16+N16+Q16+R16+S16+T16+U16+V16)</f>
        <v>5991485.1500000004</v>
      </c>
      <c r="Y16" s="104"/>
      <c r="Z16" s="19">
        <f t="shared" si="6"/>
        <v>439159.85</v>
      </c>
      <c r="AA16" s="19">
        <f t="shared" si="3"/>
        <v>5991485.1500000004</v>
      </c>
      <c r="AB16" s="90">
        <f t="shared" si="9"/>
        <v>459069.7</v>
      </c>
      <c r="AC16" s="90">
        <f t="shared" si="10"/>
        <v>452429.5</v>
      </c>
    </row>
    <row r="17" spans="2:29" ht="20.149999999999999" customHeight="1" x14ac:dyDescent="0.35">
      <c r="B17" s="127">
        <v>10</v>
      </c>
      <c r="C17" s="78" t="s">
        <v>122</v>
      </c>
      <c r="D17" s="79" t="s">
        <v>50</v>
      </c>
      <c r="E17" s="239">
        <v>6.9444444444444447E-4</v>
      </c>
      <c r="F17" s="80" t="s">
        <v>72</v>
      </c>
      <c r="G17" s="81" t="s">
        <v>123</v>
      </c>
      <c r="H17" s="327" t="s">
        <v>34</v>
      </c>
      <c r="I17" s="83">
        <f>I11</f>
        <v>3370645</v>
      </c>
      <c r="J17" s="83">
        <v>2533000</v>
      </c>
      <c r="K17" s="83">
        <v>527000</v>
      </c>
      <c r="L17" s="85">
        <f t="shared" si="0"/>
        <v>6430645</v>
      </c>
      <c r="M17" s="202">
        <f t="shared" si="13"/>
        <v>59036</v>
      </c>
      <c r="N17" s="86">
        <f t="shared" si="12"/>
        <v>177109.34999999998</v>
      </c>
      <c r="O17" s="138">
        <v>0</v>
      </c>
      <c r="P17" s="87">
        <v>0</v>
      </c>
      <c r="Q17" s="276"/>
      <c r="R17" s="87">
        <v>0</v>
      </c>
      <c r="S17" s="87">
        <f t="shared" si="5"/>
        <v>21870.5</v>
      </c>
      <c r="T17" s="87">
        <f t="shared" si="7"/>
        <v>52700</v>
      </c>
      <c r="U17" s="87">
        <v>0</v>
      </c>
      <c r="V17" s="87">
        <v>0</v>
      </c>
      <c r="W17" s="87">
        <f t="shared" si="8"/>
        <v>310715.84999999998</v>
      </c>
      <c r="X17" s="151">
        <f t="shared" si="2"/>
        <v>6119929.1500000004</v>
      </c>
      <c r="Y17" s="104"/>
      <c r="Z17" s="19">
        <f t="shared" si="6"/>
        <v>310715.84999999998</v>
      </c>
      <c r="AA17" s="19">
        <f t="shared" si="3"/>
        <v>6119929.1500000004</v>
      </c>
      <c r="AB17" s="90">
        <f t="shared" si="9"/>
        <v>459069.7</v>
      </c>
      <c r="AC17" s="90">
        <f t="shared" si="10"/>
        <v>452429.5</v>
      </c>
    </row>
    <row r="18" spans="2:29" ht="20.149999999999999" customHeight="1" x14ac:dyDescent="0.35">
      <c r="B18" s="127">
        <v>11</v>
      </c>
      <c r="C18" s="78" t="s">
        <v>87</v>
      </c>
      <c r="D18" s="79" t="s">
        <v>51</v>
      </c>
      <c r="E18" s="239">
        <v>7.6388888888888895E-2</v>
      </c>
      <c r="F18" s="80" t="s">
        <v>72</v>
      </c>
      <c r="G18" s="81" t="s">
        <v>88</v>
      </c>
      <c r="H18" s="326" t="s">
        <v>1</v>
      </c>
      <c r="I18" s="83">
        <f>I17</f>
        <v>3370645</v>
      </c>
      <c r="J18" s="84">
        <f>J17</f>
        <v>2533000</v>
      </c>
      <c r="K18" s="84">
        <f>K17</f>
        <v>527000</v>
      </c>
      <c r="L18" s="85">
        <f t="shared" si="0"/>
        <v>6430645</v>
      </c>
      <c r="M18" s="202">
        <f>M16</f>
        <v>59036</v>
      </c>
      <c r="N18" s="86">
        <f t="shared" si="12"/>
        <v>177109.34999999998</v>
      </c>
      <c r="O18" s="245">
        <v>0</v>
      </c>
      <c r="P18" s="87">
        <v>0</v>
      </c>
      <c r="Q18" s="276">
        <f>15%*K18</f>
        <v>79050</v>
      </c>
      <c r="R18" s="87">
        <v>0</v>
      </c>
      <c r="S18" s="87">
        <f t="shared" si="5"/>
        <v>21870.5</v>
      </c>
      <c r="T18" s="87">
        <f t="shared" si="7"/>
        <v>52700</v>
      </c>
      <c r="U18" s="87">
        <v>0</v>
      </c>
      <c r="V18" s="87">
        <v>10511</v>
      </c>
      <c r="W18" s="87">
        <f t="shared" si="8"/>
        <v>400276.85</v>
      </c>
      <c r="X18" s="151">
        <f t="shared" si="2"/>
        <v>6030368.1500000004</v>
      </c>
      <c r="Y18" s="19">
        <f>SUM(L18:V18)</f>
        <v>6830921.8499999996</v>
      </c>
      <c r="Z18" s="19">
        <f t="shared" si="6"/>
        <v>400276.85</v>
      </c>
      <c r="AA18" s="19">
        <f t="shared" si="3"/>
        <v>6030368.1500000004</v>
      </c>
      <c r="AB18" s="90">
        <f t="shared" si="9"/>
        <v>459069.7</v>
      </c>
      <c r="AC18" s="90">
        <f t="shared" si="10"/>
        <v>452429.5</v>
      </c>
    </row>
    <row r="19" spans="2:29" ht="20.149999999999999" customHeight="1" x14ac:dyDescent="0.35">
      <c r="B19" s="147">
        <v>12</v>
      </c>
      <c r="C19" s="272" t="s">
        <v>191</v>
      </c>
      <c r="D19" s="163" t="s">
        <v>192</v>
      </c>
      <c r="E19" s="322">
        <v>0</v>
      </c>
      <c r="F19" s="164" t="str">
        <f>F18</f>
        <v>Madya Grade 2</v>
      </c>
      <c r="G19" s="273" t="s">
        <v>193</v>
      </c>
      <c r="H19" s="274" t="s">
        <v>35</v>
      </c>
      <c r="I19" s="269">
        <v>3370645</v>
      </c>
      <c r="J19" s="270">
        <f>20%*J18</f>
        <v>506600</v>
      </c>
      <c r="K19" s="270">
        <v>527000</v>
      </c>
      <c r="L19" s="271">
        <f>I19+J19+K19</f>
        <v>4404245</v>
      </c>
      <c r="M19" s="332">
        <f>I19*1%</f>
        <v>33706.449999999997</v>
      </c>
      <c r="N19" s="353">
        <v>101119</v>
      </c>
      <c r="O19" s="152"/>
      <c r="P19" s="168"/>
      <c r="Q19" s="277">
        <v>0</v>
      </c>
      <c r="R19" s="168">
        <v>0</v>
      </c>
      <c r="S19" s="168">
        <v>0</v>
      </c>
      <c r="T19" s="87">
        <v>0</v>
      </c>
      <c r="U19" s="168">
        <v>0</v>
      </c>
      <c r="V19" s="168">
        <v>0</v>
      </c>
      <c r="W19" s="168">
        <f t="shared" si="8"/>
        <v>134825.45000000001</v>
      </c>
      <c r="X19" s="162">
        <f>L19-(M19+N19+Q19+R19+S19+U19+V19)</f>
        <v>4269419.55</v>
      </c>
      <c r="Y19" s="19"/>
      <c r="Z19" s="19">
        <f t="shared" si="6"/>
        <v>134825.45000000001</v>
      </c>
      <c r="AA19" s="19">
        <f t="shared" si="3"/>
        <v>4269419.55</v>
      </c>
      <c r="AB19" s="90"/>
    </row>
    <row r="20" spans="2:29" ht="10.5" customHeight="1" x14ac:dyDescent="0.35">
      <c r="B20" s="73"/>
      <c r="C20" s="73"/>
      <c r="D20" s="73"/>
      <c r="E20" s="73"/>
      <c r="F20" s="73"/>
      <c r="G20" s="72"/>
      <c r="H20" s="20"/>
      <c r="I20" s="399">
        <f t="shared" ref="I20:N20" si="14">SUM(I8:I19)</f>
        <v>40447740</v>
      </c>
      <c r="J20" s="399">
        <f t="shared" si="14"/>
        <v>32997600</v>
      </c>
      <c r="K20" s="399">
        <f t="shared" si="14"/>
        <v>8442000</v>
      </c>
      <c r="L20" s="405">
        <f t="shared" si="14"/>
        <v>81887340</v>
      </c>
      <c r="M20" s="407">
        <f t="shared" si="14"/>
        <v>729382.45</v>
      </c>
      <c r="N20" s="409">
        <f t="shared" si="14"/>
        <v>2188161.85</v>
      </c>
      <c r="O20" s="409">
        <f t="shared" ref="O20:P20" si="15">SUM(O8:O18)</f>
        <v>0</v>
      </c>
      <c r="P20" s="409">
        <f t="shared" si="15"/>
        <v>0</v>
      </c>
      <c r="Q20" s="414">
        <f t="shared" ref="Q20:X20" si="16">SUM(Q8:Q19)</f>
        <v>474300</v>
      </c>
      <c r="R20" s="414">
        <f t="shared" si="16"/>
        <v>289850</v>
      </c>
      <c r="S20" s="414">
        <f t="shared" si="16"/>
        <v>328472.5</v>
      </c>
      <c r="T20" s="418">
        <f t="shared" si="16"/>
        <v>791500</v>
      </c>
      <c r="U20" s="414">
        <f t="shared" si="16"/>
        <v>0</v>
      </c>
      <c r="V20" s="414">
        <f>SUM(V8:V19)</f>
        <v>177310</v>
      </c>
      <c r="W20" s="416">
        <f t="shared" si="16"/>
        <v>4978976.8</v>
      </c>
      <c r="X20" s="412">
        <f t="shared" si="16"/>
        <v>76908363.199999988</v>
      </c>
      <c r="Y20" s="105"/>
      <c r="Z20" s="92"/>
      <c r="AA20" s="19"/>
    </row>
    <row r="21" spans="2:29" ht="10.5" customHeight="1" thickBot="1" x14ac:dyDescent="0.4">
      <c r="B21" s="74"/>
      <c r="C21" s="74"/>
      <c r="D21" s="74"/>
      <c r="E21" s="74"/>
      <c r="F21" s="74"/>
      <c r="G21" s="75"/>
      <c r="H21" s="76"/>
      <c r="I21" s="400"/>
      <c r="J21" s="400"/>
      <c r="K21" s="400"/>
      <c r="L21" s="406"/>
      <c r="M21" s="408"/>
      <c r="N21" s="410"/>
      <c r="O21" s="410"/>
      <c r="P21" s="410"/>
      <c r="Q21" s="415"/>
      <c r="R21" s="415"/>
      <c r="S21" s="415"/>
      <c r="T21" s="415"/>
      <c r="U21" s="415"/>
      <c r="V21" s="415"/>
      <c r="W21" s="417"/>
      <c r="X21" s="413"/>
      <c r="Y21" s="105"/>
      <c r="Z21" s="19">
        <f>SUM(Z8:Z19)</f>
        <v>4978976.8</v>
      </c>
      <c r="AA21" s="92">
        <f>SUM(AA8:AA19)</f>
        <v>76908363.199999988</v>
      </c>
      <c r="AB21" s="19"/>
    </row>
    <row r="22" spans="2:29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9" ht="12.75" customHeight="1" x14ac:dyDescent="0.35">
      <c r="B23" s="340" t="s">
        <v>241</v>
      </c>
      <c r="C23" s="25"/>
      <c r="D23" s="25"/>
      <c r="E23" s="25"/>
      <c r="F23" s="25"/>
      <c r="G23" s="25"/>
      <c r="H23" s="27"/>
      <c r="I23" s="25"/>
      <c r="J23" s="25"/>
      <c r="K23" s="2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19">
        <f>L20-Z21</f>
        <v>76908363.200000003</v>
      </c>
    </row>
    <row r="24" spans="2:29" ht="12.75" customHeight="1" x14ac:dyDescent="0.35">
      <c r="B24" s="25" t="s">
        <v>239</v>
      </c>
      <c r="C24" s="25"/>
      <c r="D24" s="25"/>
      <c r="E24" s="25"/>
      <c r="F24" s="25"/>
      <c r="G24" s="25"/>
      <c r="H24" s="25"/>
      <c r="I24" s="25"/>
      <c r="J24" s="25"/>
      <c r="K24" s="25"/>
      <c r="L24" s="6"/>
      <c r="M24" s="6"/>
      <c r="N24" s="6"/>
      <c r="O24" s="6"/>
      <c r="P24" s="6"/>
      <c r="Q24" s="6"/>
      <c r="R24" s="6"/>
      <c r="S24" s="6"/>
      <c r="T24" s="6"/>
      <c r="U24" s="6"/>
      <c r="V24" s="411" t="s">
        <v>232</v>
      </c>
      <c r="W24" s="411"/>
      <c r="X24" s="411"/>
      <c r="Y24" s="6"/>
    </row>
    <row r="25" spans="2:29" ht="13.5" customHeight="1" x14ac:dyDescent="0.35">
      <c r="B25" s="25" t="s">
        <v>238</v>
      </c>
      <c r="C25" s="25"/>
      <c r="D25" s="25"/>
      <c r="E25" s="25"/>
      <c r="F25" s="25"/>
      <c r="G25" s="25"/>
      <c r="H25" s="25"/>
      <c r="I25" s="25"/>
      <c r="J25" s="25"/>
      <c r="K25" s="25"/>
      <c r="N25" s="18"/>
      <c r="O25" s="18"/>
      <c r="P25" s="18"/>
      <c r="Q25" s="18"/>
      <c r="R25" s="18"/>
      <c r="S25" s="18"/>
      <c r="T25" s="18"/>
      <c r="U25" s="18"/>
      <c r="V25" s="411" t="s">
        <v>36</v>
      </c>
      <c r="W25" s="411"/>
      <c r="X25" s="411"/>
    </row>
    <row r="26" spans="2:29" ht="6" customHeight="1" x14ac:dyDescent="0.35">
      <c r="C26" s="6"/>
      <c r="D26" s="6"/>
      <c r="E26" s="6"/>
      <c r="F26" s="6"/>
      <c r="G26" s="6" t="s">
        <v>132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9" ht="13.5" customHeight="1" x14ac:dyDescent="0.35">
      <c r="B27" s="26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9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3"/>
      <c r="T28" s="93"/>
      <c r="U28" s="93"/>
      <c r="V28" s="402"/>
      <c r="W28" s="402"/>
      <c r="X28" s="402"/>
    </row>
    <row r="29" spans="2:29" ht="14.5" x14ac:dyDescent="0.35">
      <c r="C29" s="6"/>
      <c r="D29" s="6"/>
      <c r="E29" s="6"/>
      <c r="F29" s="6"/>
      <c r="G29" s="6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2:29" ht="13" x14ac:dyDescent="0.3">
      <c r="J30" s="19"/>
      <c r="V30" s="367" t="s">
        <v>161</v>
      </c>
      <c r="W30" s="367"/>
      <c r="X30" s="367"/>
    </row>
    <row r="32" spans="2:29" x14ac:dyDescent="0.25">
      <c r="J32" s="19">
        <f>J20+K20</f>
        <v>41439600</v>
      </c>
    </row>
    <row r="33" spans="10:23" x14ac:dyDescent="0.25">
      <c r="M33">
        <f>10-5.731</f>
        <v>4.2690000000000001</v>
      </c>
    </row>
    <row r="40" spans="10:23" ht="13" x14ac:dyDescent="0.3">
      <c r="V40" s="237"/>
      <c r="W40" s="237">
        <f>10-7.12</f>
        <v>2.88</v>
      </c>
    </row>
    <row r="41" spans="10:23" ht="13" x14ac:dyDescent="0.3">
      <c r="V41" s="237"/>
      <c r="W41" s="237">
        <f>W40+30+10</f>
        <v>42.88</v>
      </c>
    </row>
    <row r="42" spans="10:23" ht="13" x14ac:dyDescent="0.3">
      <c r="J42" s="333">
        <f>10%-5.849%</f>
        <v>4.1510000000000005E-2</v>
      </c>
      <c r="V42" s="119"/>
      <c r="W42" s="119">
        <f>50-W41</f>
        <v>7.1199999999999974</v>
      </c>
    </row>
    <row r="43" spans="10:23" ht="13" x14ac:dyDescent="0.3">
      <c r="V43" s="119">
        <f>100-V44</f>
        <v>42.88</v>
      </c>
      <c r="W43" s="119"/>
    </row>
    <row r="44" spans="10:23" ht="13" x14ac:dyDescent="0.3">
      <c r="V44" s="119">
        <f>50+W42</f>
        <v>57.12</v>
      </c>
      <c r="W44" s="119"/>
    </row>
  </sheetData>
  <mergeCells count="41">
    <mergeCell ref="U20:U21"/>
    <mergeCell ref="V20:V21"/>
    <mergeCell ref="W20:W21"/>
    <mergeCell ref="T20:T21"/>
    <mergeCell ref="O20:O21"/>
    <mergeCell ref="P20:P21"/>
    <mergeCell ref="Q20:Q21"/>
    <mergeCell ref="R20:R21"/>
    <mergeCell ref="S20:S21"/>
    <mergeCell ref="V30:X30"/>
    <mergeCell ref="V28:X28"/>
    <mergeCell ref="P5:P6"/>
    <mergeCell ref="V5:V6"/>
    <mergeCell ref="K20:K21"/>
    <mergeCell ref="L5:L6"/>
    <mergeCell ref="M5:M6"/>
    <mergeCell ref="L20:L21"/>
    <mergeCell ref="N5:N6"/>
    <mergeCell ref="M20:M21"/>
    <mergeCell ref="N20:N21"/>
    <mergeCell ref="O5:O6"/>
    <mergeCell ref="Q5:U5"/>
    <mergeCell ref="V25:X25"/>
    <mergeCell ref="V24:X24"/>
    <mergeCell ref="X20:X21"/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W5:W6"/>
    <mergeCell ref="I5:I6"/>
    <mergeCell ref="H5:H6"/>
    <mergeCell ref="F5:F6"/>
    <mergeCell ref="J5:J6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9" orientation="landscape" r:id="rId1"/>
  <headerFooter>
    <oddFooter xml:space="preserve">&amp;C&amp;9
Grha Pelindo Satu Gedung B Lt. 2, Jl. Lingkar Pelabuhan No. 1, Belawan - Indonesia
e-mail : prima@primatpk.co.id., website : http://www.primatpk.co.id
</oddFooter>
  </headerFooter>
  <ignoredErrors>
    <ignoredError sqref="L12 Q20" formula="1"/>
    <ignoredError sqref="M21" formula="1" formulaRange="1"/>
    <ignoredError sqref="S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zoomScaleNormal="100" workbookViewId="0">
      <selection activeCell="X18" sqref="X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42" customHeight="1" x14ac:dyDescent="0.35">
      <c r="A2" s="156"/>
      <c r="B2" s="15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0"/>
      <c r="B3" s="10" t="s">
        <v>25</v>
      </c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8" ht="16.5" customHeight="1" x14ac:dyDescent="0.25">
      <c r="A4" s="12"/>
      <c r="B4" s="398" t="s">
        <v>134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</row>
    <row r="5" spans="1:28" ht="16.5" customHeight="1" x14ac:dyDescent="0.25">
      <c r="A5" s="12"/>
      <c r="B5" s="398" t="s">
        <v>229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</row>
    <row r="6" spans="1:28" ht="10.5" customHeight="1" x14ac:dyDescent="0.35">
      <c r="A6" s="13"/>
      <c r="B6" s="14"/>
      <c r="C6" s="14"/>
      <c r="D6" s="15"/>
      <c r="E6" s="13"/>
      <c r="F6" s="16"/>
      <c r="G6" s="14"/>
      <c r="H6" s="14"/>
      <c r="I6" s="14"/>
      <c r="J6" s="14"/>
      <c r="K6" s="17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8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1" t="s">
        <v>12</v>
      </c>
      <c r="T7" s="21"/>
      <c r="U7" s="21"/>
      <c r="V7" s="21"/>
      <c r="W7" s="21"/>
      <c r="X7" s="362" t="s">
        <v>24</v>
      </c>
    </row>
    <row r="8" spans="1:28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2">
        <v>0.05</v>
      </c>
      <c r="T8" s="22">
        <v>0.15</v>
      </c>
      <c r="U8" s="22">
        <v>0.25</v>
      </c>
      <c r="V8" s="22">
        <v>0.3</v>
      </c>
      <c r="W8" s="23" t="s">
        <v>13</v>
      </c>
      <c r="X8" s="362"/>
    </row>
    <row r="9" spans="1:28" ht="8.25" customHeight="1" x14ac:dyDescent="0.25">
      <c r="A9" s="31">
        <v>1</v>
      </c>
      <c r="B9" s="32">
        <v>2</v>
      </c>
      <c r="C9" s="32">
        <v>3</v>
      </c>
      <c r="D9" s="33"/>
      <c r="E9" s="33"/>
      <c r="F9" s="33"/>
      <c r="G9" s="33"/>
      <c r="H9" s="33"/>
      <c r="I9" s="33"/>
      <c r="J9" s="34">
        <v>4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>
        <v>5</v>
      </c>
    </row>
    <row r="10" spans="1:28" ht="20.149999999999999" hidden="1" customHeight="1" x14ac:dyDescent="0.35">
      <c r="A10" s="125">
        <v>1</v>
      </c>
      <c r="B10" s="45" t="s">
        <v>113</v>
      </c>
      <c r="C10" s="35" t="s">
        <v>14</v>
      </c>
      <c r="D10" s="36"/>
      <c r="E10" s="37"/>
      <c r="F10" s="38"/>
      <c r="G10" s="39"/>
      <c r="H10" s="39"/>
      <c r="I10" s="39"/>
      <c r="J10" s="40">
        <f>'NET DIREKSI '!V9</f>
        <v>73794437</v>
      </c>
      <c r="K10" s="41"/>
      <c r="L10" s="41"/>
      <c r="M10" s="41"/>
      <c r="N10" s="38"/>
      <c r="O10" s="42"/>
      <c r="P10" s="41"/>
      <c r="Q10" s="38"/>
      <c r="R10" s="38"/>
      <c r="S10" s="42"/>
      <c r="T10" s="42"/>
      <c r="U10" s="42"/>
      <c r="V10" s="42"/>
      <c r="W10" s="42"/>
      <c r="X10" s="42" t="s">
        <v>114</v>
      </c>
      <c r="Y10" t="e">
        <f>'NET PEGAWAI PTP'!#REF!</f>
        <v>#REF!</v>
      </c>
      <c r="Z10" s="29" t="e">
        <f>'NET PEGAWAI PTP'!#REF!+'NET PEGAWAI PTP'!#REF!</f>
        <v>#REF!</v>
      </c>
      <c r="AA10" s="47" t="e">
        <f>Y10-Z10</f>
        <v>#REF!</v>
      </c>
      <c r="AB10" s="44"/>
    </row>
    <row r="11" spans="1:28" ht="20.149999999999999" customHeight="1" x14ac:dyDescent="0.35">
      <c r="A11" s="125">
        <v>1</v>
      </c>
      <c r="B11" s="45" t="s">
        <v>152</v>
      </c>
      <c r="C11" s="35" t="s">
        <v>14</v>
      </c>
      <c r="D11" s="36"/>
      <c r="E11" s="37"/>
      <c r="F11" s="38"/>
      <c r="G11" s="39"/>
      <c r="H11" s="39"/>
      <c r="I11" s="39"/>
      <c r="J11" s="40">
        <f>'NET DIREKSI '!V10</f>
        <v>73666078</v>
      </c>
      <c r="K11" s="41"/>
      <c r="L11" s="41"/>
      <c r="M11" s="41"/>
      <c r="N11" s="38"/>
      <c r="O11" s="42"/>
      <c r="P11" s="41"/>
      <c r="Q11" s="38"/>
      <c r="R11" s="38"/>
      <c r="S11" s="42"/>
      <c r="T11" s="42"/>
      <c r="U11" s="42"/>
      <c r="V11" s="42"/>
      <c r="W11" s="42"/>
      <c r="X11" s="42" t="s">
        <v>158</v>
      </c>
      <c r="Z11" s="29"/>
      <c r="AA11" s="47"/>
      <c r="AB11" s="44"/>
    </row>
    <row r="12" spans="1:28" ht="20.149999999999999" customHeight="1" x14ac:dyDescent="0.35">
      <c r="A12" s="125">
        <v>2</v>
      </c>
      <c r="B12" s="45" t="s">
        <v>178</v>
      </c>
      <c r="C12" s="35" t="s">
        <v>179</v>
      </c>
      <c r="D12" s="36"/>
      <c r="E12" s="37"/>
      <c r="F12" s="38"/>
      <c r="G12" s="39"/>
      <c r="H12" s="39"/>
      <c r="I12" s="39"/>
      <c r="J12" s="40">
        <f>'NET DIREKSI '!V11</f>
        <v>65472084</v>
      </c>
      <c r="K12" s="41"/>
      <c r="L12" s="41"/>
      <c r="M12" s="41"/>
      <c r="N12" s="38"/>
      <c r="O12" s="42"/>
      <c r="P12" s="41"/>
      <c r="Q12" s="38"/>
      <c r="R12" s="38"/>
      <c r="S12" s="42"/>
      <c r="T12" s="42"/>
      <c r="U12" s="42"/>
      <c r="V12" s="42"/>
      <c r="W12" s="42"/>
      <c r="X12" s="42" t="s">
        <v>182</v>
      </c>
      <c r="Z12" s="29"/>
      <c r="AA12" s="47"/>
      <c r="AB12" s="44"/>
    </row>
    <row r="13" spans="1:28" ht="20.149999999999999" customHeight="1" x14ac:dyDescent="0.35">
      <c r="A13" s="125">
        <v>3</v>
      </c>
      <c r="B13" s="45" t="s">
        <v>89</v>
      </c>
      <c r="C13" s="35" t="s">
        <v>48</v>
      </c>
      <c r="D13" s="36"/>
      <c r="E13" s="37"/>
      <c r="F13" s="38"/>
      <c r="G13" s="39"/>
      <c r="H13" s="39"/>
      <c r="I13" s="39"/>
      <c r="J13" s="174">
        <f>'NET DIREKSI '!V12</f>
        <v>58625079</v>
      </c>
      <c r="K13" s="41"/>
      <c r="L13" s="41"/>
      <c r="M13" s="41"/>
      <c r="N13" s="38"/>
      <c r="O13" s="42"/>
      <c r="P13" s="41"/>
      <c r="Q13" s="38"/>
      <c r="R13" s="38"/>
      <c r="S13" s="42"/>
      <c r="T13" s="42"/>
      <c r="U13" s="42"/>
      <c r="V13" s="42"/>
      <c r="W13" s="42"/>
      <c r="X13" s="42" t="s">
        <v>91</v>
      </c>
      <c r="AB13" s="44"/>
    </row>
    <row r="14" spans="1:28" ht="15" customHeight="1" x14ac:dyDescent="0.35">
      <c r="A14" s="52"/>
      <c r="B14" s="53"/>
      <c r="C14" s="53"/>
      <c r="D14" s="54"/>
      <c r="E14" s="55"/>
      <c r="F14" s="363">
        <f>SUM(F9:F13)</f>
        <v>0</v>
      </c>
      <c r="G14" s="363">
        <f>SUM(G9:G13)</f>
        <v>0</v>
      </c>
      <c r="H14" s="363">
        <f>SUM(H9:H13)</f>
        <v>0</v>
      </c>
      <c r="I14" s="363">
        <f>SUM(I9:I13)</f>
        <v>0</v>
      </c>
      <c r="J14" s="365">
        <f>SUM(J11:J13)</f>
        <v>197763241</v>
      </c>
      <c r="K14" s="363">
        <f t="shared" ref="K14:W14" si="0">SUM(K9:K13)</f>
        <v>0</v>
      </c>
      <c r="L14" s="363">
        <f t="shared" si="0"/>
        <v>0</v>
      </c>
      <c r="M14" s="363">
        <f t="shared" si="0"/>
        <v>0</v>
      </c>
      <c r="N14" s="363">
        <f t="shared" si="0"/>
        <v>0</v>
      </c>
      <c r="O14" s="363">
        <f t="shared" si="0"/>
        <v>0</v>
      </c>
      <c r="P14" s="363">
        <f t="shared" si="0"/>
        <v>0</v>
      </c>
      <c r="Q14" s="363">
        <f t="shared" si="0"/>
        <v>0</v>
      </c>
      <c r="R14" s="363">
        <f t="shared" si="0"/>
        <v>0</v>
      </c>
      <c r="S14" s="363">
        <f t="shared" si="0"/>
        <v>0</v>
      </c>
      <c r="T14" s="363">
        <f t="shared" si="0"/>
        <v>0</v>
      </c>
      <c r="U14" s="363">
        <f t="shared" si="0"/>
        <v>0</v>
      </c>
      <c r="V14" s="363">
        <f t="shared" si="0"/>
        <v>0</v>
      </c>
      <c r="W14" s="363">
        <f t="shared" si="0"/>
        <v>0</v>
      </c>
      <c r="X14" s="363"/>
      <c r="AA14" s="19"/>
    </row>
    <row r="15" spans="1:28" ht="15" customHeight="1" thickBot="1" x14ac:dyDescent="0.4">
      <c r="A15" s="56"/>
      <c r="B15" s="57"/>
      <c r="C15" s="57"/>
      <c r="D15" s="58"/>
      <c r="E15" s="59"/>
      <c r="F15" s="364"/>
      <c r="G15" s="364"/>
      <c r="H15" s="364"/>
      <c r="I15" s="364"/>
      <c r="J15" s="366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Z15" s="19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60" t="s">
        <v>189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57" t="s">
        <v>233</v>
      </c>
    </row>
    <row r="18" spans="1:24" ht="14.5" x14ac:dyDescent="0.35">
      <c r="A18" s="6"/>
      <c r="B18" s="260" t="s">
        <v>179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57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60" t="s">
        <v>178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57" t="s">
        <v>161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32"/>
  <sheetViews>
    <sheetView zoomScale="90" zoomScaleNormal="90" zoomScaleSheetLayoutView="100" workbookViewId="0">
      <pane xSplit="4" topLeftCell="E1" activePane="topRight" state="frozen"/>
      <selection activeCell="O40" sqref="O40"/>
      <selection pane="topRight" activeCell="I21" sqref="I21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51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19" t="s">
        <v>15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331"/>
    </row>
    <row r="3" spans="2:27" ht="12.75" customHeight="1" x14ac:dyDescent="0.25">
      <c r="B3" s="387" t="s">
        <v>140</v>
      </c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30"/>
    </row>
    <row r="4" spans="2:27" ht="12.75" customHeight="1" x14ac:dyDescent="0.25">
      <c r="B4" s="388" t="s">
        <v>229</v>
      </c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160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69" t="s">
        <v>7</v>
      </c>
      <c r="C6" s="369" t="s">
        <v>66</v>
      </c>
      <c r="D6" s="369" t="s">
        <v>21</v>
      </c>
      <c r="E6" s="369" t="s">
        <v>0</v>
      </c>
      <c r="F6" s="369" t="s">
        <v>2</v>
      </c>
      <c r="G6" s="369" t="s">
        <v>67</v>
      </c>
      <c r="H6" s="369" t="s">
        <v>17</v>
      </c>
      <c r="I6" s="369" t="s">
        <v>18</v>
      </c>
      <c r="J6" s="369" t="s">
        <v>30</v>
      </c>
      <c r="K6" s="369" t="s">
        <v>29</v>
      </c>
      <c r="L6" s="369" t="s">
        <v>6</v>
      </c>
      <c r="M6" s="369" t="s">
        <v>47</v>
      </c>
      <c r="N6" s="380" t="s">
        <v>68</v>
      </c>
      <c r="O6" s="403" t="s">
        <v>80</v>
      </c>
      <c r="P6" s="369" t="s">
        <v>60</v>
      </c>
      <c r="Q6" s="369" t="s">
        <v>184</v>
      </c>
      <c r="R6" s="369" t="s">
        <v>92</v>
      </c>
      <c r="S6" s="369" t="s">
        <v>56</v>
      </c>
      <c r="T6" s="369" t="s">
        <v>49</v>
      </c>
      <c r="U6" s="369" t="s">
        <v>46</v>
      </c>
      <c r="V6" s="369" t="s">
        <v>79</v>
      </c>
      <c r="W6" s="106"/>
    </row>
    <row r="7" spans="2:27" ht="36" customHeight="1" thickBot="1" x14ac:dyDescent="0.3">
      <c r="B7" s="370"/>
      <c r="C7" s="397"/>
      <c r="D7" s="397"/>
      <c r="E7" s="397"/>
      <c r="F7" s="397"/>
      <c r="G7" s="397"/>
      <c r="H7" s="370"/>
      <c r="I7" s="370"/>
      <c r="J7" s="370"/>
      <c r="K7" s="370"/>
      <c r="L7" s="370"/>
      <c r="M7" s="370"/>
      <c r="N7" s="381"/>
      <c r="O7" s="404"/>
      <c r="P7" s="370"/>
      <c r="Q7" s="370"/>
      <c r="R7" s="370"/>
      <c r="S7" s="370"/>
      <c r="T7" s="370"/>
      <c r="U7" s="370"/>
      <c r="V7" s="370"/>
      <c r="W7" s="106"/>
      <c r="X7" t="s">
        <v>156</v>
      </c>
      <c r="Y7" t="s">
        <v>157</v>
      </c>
    </row>
    <row r="8" spans="2:27" s="24" customFormat="1" ht="9" customHeight="1" x14ac:dyDescent="0.25">
      <c r="B8" s="115">
        <v>1</v>
      </c>
      <c r="C8" s="115">
        <v>2</v>
      </c>
      <c r="D8" s="115">
        <v>3</v>
      </c>
      <c r="E8" s="116">
        <v>6</v>
      </c>
      <c r="F8" s="116">
        <v>7</v>
      </c>
      <c r="G8" s="115">
        <v>8</v>
      </c>
      <c r="H8" s="115">
        <v>9</v>
      </c>
      <c r="I8" s="115">
        <v>10</v>
      </c>
      <c r="J8" s="115">
        <v>11</v>
      </c>
      <c r="K8" s="115">
        <v>12</v>
      </c>
      <c r="L8" s="115">
        <v>13</v>
      </c>
      <c r="M8" s="115">
        <v>14</v>
      </c>
      <c r="N8" s="286" t="s">
        <v>126</v>
      </c>
      <c r="O8" s="118">
        <v>15</v>
      </c>
      <c r="P8" s="116">
        <v>16</v>
      </c>
      <c r="Q8" s="116"/>
      <c r="R8" s="116">
        <v>17</v>
      </c>
      <c r="S8" s="116">
        <v>18</v>
      </c>
      <c r="T8" s="116">
        <v>19</v>
      </c>
      <c r="U8" s="116">
        <v>18</v>
      </c>
      <c r="V8" s="116" t="s">
        <v>125</v>
      </c>
      <c r="W8" s="101"/>
    </row>
    <row r="9" spans="2:27" ht="20.149999999999999" hidden="1" customHeight="1" x14ac:dyDescent="0.25">
      <c r="B9" s="204" t="s">
        <v>32</v>
      </c>
      <c r="C9" s="205"/>
      <c r="D9" s="205" t="s">
        <v>14</v>
      </c>
      <c r="E9" s="206"/>
      <c r="F9" s="207"/>
      <c r="G9" s="208">
        <f>60000000</f>
        <v>60000000</v>
      </c>
      <c r="H9" s="209">
        <f>15000000</f>
        <v>15000000</v>
      </c>
      <c r="I9" s="209">
        <v>0</v>
      </c>
      <c r="J9" s="209">
        <v>0</v>
      </c>
      <c r="K9" s="209">
        <v>0</v>
      </c>
      <c r="L9" s="209">
        <v>0</v>
      </c>
      <c r="M9" s="209">
        <v>0</v>
      </c>
      <c r="N9" s="210">
        <f>SUM(G9:M9)</f>
        <v>75000000</v>
      </c>
      <c r="O9" s="211">
        <v>710506</v>
      </c>
      <c r="P9" s="212">
        <v>495057</v>
      </c>
      <c r="Q9" s="211"/>
      <c r="R9" s="213">
        <v>0</v>
      </c>
      <c r="S9" s="212">
        <v>0</v>
      </c>
      <c r="T9" s="212">
        <v>0</v>
      </c>
      <c r="U9" s="214">
        <v>16243042</v>
      </c>
      <c r="V9" s="215">
        <f>N9-(O9+P9+R9+S9+T9)</f>
        <v>73794437</v>
      </c>
      <c r="W9" s="103"/>
      <c r="X9" s="19">
        <f>SUM(O9:T9)</f>
        <v>1205563</v>
      </c>
      <c r="Y9" s="19">
        <f>N9-O9-P9-S9-T9</f>
        <v>73794437</v>
      </c>
      <c r="Z9" s="90">
        <f>O9+P9</f>
        <v>1205563</v>
      </c>
      <c r="AA9" s="89"/>
    </row>
    <row r="10" spans="2:27" ht="20.149999999999999" customHeight="1" x14ac:dyDescent="0.25">
      <c r="B10" s="171" t="s">
        <v>32</v>
      </c>
      <c r="C10" s="79" t="s">
        <v>152</v>
      </c>
      <c r="D10" s="79" t="s">
        <v>14</v>
      </c>
      <c r="E10" s="80" t="s">
        <v>153</v>
      </c>
      <c r="F10" s="128" t="s">
        <v>31</v>
      </c>
      <c r="G10" s="96">
        <v>60000000</v>
      </c>
      <c r="H10" s="97">
        <v>15000000</v>
      </c>
      <c r="I10" s="97">
        <v>0</v>
      </c>
      <c r="J10" s="97">
        <v>0</v>
      </c>
      <c r="K10" s="97">
        <v>0</v>
      </c>
      <c r="L10" s="97">
        <v>0</v>
      </c>
      <c r="M10" s="97">
        <v>0</v>
      </c>
      <c r="N10" s="98">
        <f>G10+H10+I10+J10+K10+L10+M10</f>
        <v>75000000</v>
      </c>
      <c r="O10" s="99">
        <v>756006</v>
      </c>
      <c r="P10" s="87">
        <v>527916</v>
      </c>
      <c r="Q10" s="87">
        <v>50000</v>
      </c>
      <c r="R10" s="245">
        <v>0</v>
      </c>
      <c r="S10" s="87"/>
      <c r="T10" s="87">
        <v>0</v>
      </c>
      <c r="U10" s="100"/>
      <c r="V10" s="151">
        <f>N10-(SUM(O10:T10))</f>
        <v>73666078</v>
      </c>
      <c r="W10" s="103"/>
      <c r="X10" s="19">
        <f>O10+P10+Q10</f>
        <v>1333922</v>
      </c>
      <c r="Y10" s="19">
        <f>N10-(O10+P10+Q10+R10+T10)</f>
        <v>73666078</v>
      </c>
      <c r="Z10" s="90"/>
      <c r="AA10" s="89"/>
    </row>
    <row r="11" spans="2:27" ht="20.149999999999999" customHeight="1" x14ac:dyDescent="0.25">
      <c r="B11" s="171" t="s">
        <v>38</v>
      </c>
      <c r="C11" s="79" t="s">
        <v>178</v>
      </c>
      <c r="D11" s="79" t="s">
        <v>179</v>
      </c>
      <c r="E11" s="80" t="s">
        <v>180</v>
      </c>
      <c r="F11" s="128" t="s">
        <v>31</v>
      </c>
      <c r="G11" s="96">
        <v>51000000</v>
      </c>
      <c r="H11" s="97">
        <v>15000000</v>
      </c>
      <c r="I11" s="97">
        <v>0</v>
      </c>
      <c r="J11" s="97"/>
      <c r="K11" s="97">
        <v>0</v>
      </c>
      <c r="L11" s="97"/>
      <c r="M11" s="97">
        <v>0</v>
      </c>
      <c r="N11" s="98">
        <f>G11+H11</f>
        <v>66000000</v>
      </c>
      <c r="O11" s="99">
        <v>0</v>
      </c>
      <c r="P11" s="87">
        <f>120000+317140+90776</f>
        <v>527916</v>
      </c>
      <c r="Q11" s="87">
        <v>0</v>
      </c>
      <c r="R11" s="245">
        <v>0</v>
      </c>
      <c r="S11" s="87"/>
      <c r="T11" s="87">
        <v>0</v>
      </c>
      <c r="U11" s="100"/>
      <c r="V11" s="151">
        <f>N11-(SUM(O11:T11))</f>
        <v>65472084</v>
      </c>
      <c r="W11" s="103"/>
      <c r="X11" s="19">
        <f>O11+P11+Q11+R11+T11</f>
        <v>527916</v>
      </c>
      <c r="Y11" s="19">
        <f>N11-(O11+P11+Q11+R11+T11)</f>
        <v>65472084</v>
      </c>
      <c r="Z11" s="90"/>
      <c r="AA11" s="89"/>
    </row>
    <row r="12" spans="2:27" ht="20.149999999999999" customHeight="1" x14ac:dyDescent="0.25">
      <c r="B12" s="172" t="s">
        <v>181</v>
      </c>
      <c r="C12" s="163" t="s">
        <v>89</v>
      </c>
      <c r="D12" s="163" t="s">
        <v>22</v>
      </c>
      <c r="E12" s="164" t="s">
        <v>90</v>
      </c>
      <c r="F12" s="165" t="s">
        <v>34</v>
      </c>
      <c r="G12" s="166">
        <f>85%*G9</f>
        <v>51000000</v>
      </c>
      <c r="H12" s="167">
        <f>15000000</f>
        <v>15000000</v>
      </c>
      <c r="I12" s="167">
        <v>0</v>
      </c>
      <c r="J12" s="167">
        <v>0</v>
      </c>
      <c r="K12" s="167">
        <v>0</v>
      </c>
      <c r="L12" s="167">
        <v>0</v>
      </c>
      <c r="M12" s="167">
        <v>0</v>
      </c>
      <c r="N12" s="287">
        <f>SUM(G12:M12)</f>
        <v>66000000</v>
      </c>
      <c r="O12" s="285">
        <v>0</v>
      </c>
      <c r="P12" s="168">
        <f xml:space="preserve"> 317140+90776</f>
        <v>407916</v>
      </c>
      <c r="Q12" s="168">
        <v>0</v>
      </c>
      <c r="R12" s="169">
        <v>6967005</v>
      </c>
      <c r="S12" s="168">
        <v>0</v>
      </c>
      <c r="T12" s="168">
        <v>0</v>
      </c>
      <c r="U12" s="170">
        <v>14316667</v>
      </c>
      <c r="V12" s="162">
        <f>N12-(SUM(O12:T12))</f>
        <v>58625079</v>
      </c>
      <c r="W12" s="103"/>
      <c r="X12" s="19">
        <f>SUM(O12:T12)</f>
        <v>7374921</v>
      </c>
      <c r="Y12" s="19">
        <f>N12-(O12+P12+Q12+R12+T12)</f>
        <v>58625079</v>
      </c>
      <c r="Z12" s="89"/>
      <c r="AA12" s="90" t="e">
        <f>#REF!-R12</f>
        <v>#REF!</v>
      </c>
    </row>
    <row r="13" spans="2:27" ht="10.5" customHeight="1" x14ac:dyDescent="0.35">
      <c r="B13" s="73"/>
      <c r="C13" s="73"/>
      <c r="D13" s="73"/>
      <c r="E13" s="72"/>
      <c r="F13" s="20"/>
      <c r="G13" s="399">
        <f>SUM(G10:G12)</f>
        <v>162000000</v>
      </c>
      <c r="H13" s="399">
        <f>SUM(H10:H12)</f>
        <v>45000000</v>
      </c>
      <c r="I13" s="399">
        <f>SUM(I9:I12)</f>
        <v>0</v>
      </c>
      <c r="J13" s="420">
        <f>SUM(J9:J12)</f>
        <v>0</v>
      </c>
      <c r="K13" s="399">
        <f>SUM(K9:K12)</f>
        <v>0</v>
      </c>
      <c r="L13" s="399">
        <f>SUM(L9:L12)</f>
        <v>0</v>
      </c>
      <c r="M13" s="399">
        <f>SUM(M9:M12)</f>
        <v>0</v>
      </c>
      <c r="N13" s="405">
        <f>SUM(N10:N12)</f>
        <v>207000000</v>
      </c>
      <c r="O13" s="407">
        <f>O10+O11+O12</f>
        <v>756006</v>
      </c>
      <c r="P13" s="409">
        <f>P10+P11+P12</f>
        <v>1463748</v>
      </c>
      <c r="Q13" s="418">
        <f>Q10+Q11+Q12</f>
        <v>50000</v>
      </c>
      <c r="R13" s="409">
        <f>SUM(R9:R12)</f>
        <v>6967005</v>
      </c>
      <c r="S13" s="409">
        <f>SUM(S9:S12)</f>
        <v>0</v>
      </c>
      <c r="T13" s="421">
        <f>SUM(T9:T12)</f>
        <v>0</v>
      </c>
      <c r="U13" s="399">
        <f>SUM(U9:U12)</f>
        <v>30559709</v>
      </c>
      <c r="V13" s="412">
        <f>SUM(V10:V12)</f>
        <v>197763241</v>
      </c>
      <c r="W13" s="105"/>
      <c r="X13" s="19"/>
      <c r="Y13" s="19"/>
    </row>
    <row r="14" spans="2:27" ht="10.5" customHeight="1" thickBot="1" x14ac:dyDescent="0.4">
      <c r="B14" s="74"/>
      <c r="C14" s="74"/>
      <c r="D14" s="74"/>
      <c r="E14" s="75"/>
      <c r="F14" s="76"/>
      <c r="G14" s="400"/>
      <c r="H14" s="400"/>
      <c r="I14" s="400"/>
      <c r="J14" s="400"/>
      <c r="K14" s="400"/>
      <c r="L14" s="400"/>
      <c r="M14" s="400"/>
      <c r="N14" s="406"/>
      <c r="O14" s="408"/>
      <c r="P14" s="410"/>
      <c r="Q14" s="415"/>
      <c r="R14" s="410"/>
      <c r="S14" s="410"/>
      <c r="T14" s="410"/>
      <c r="U14" s="400"/>
      <c r="V14" s="413"/>
      <c r="W14" s="105"/>
      <c r="X14" s="19">
        <f>X10+X11+X12</f>
        <v>9236759</v>
      </c>
      <c r="Y14" s="92">
        <f>N13-X14</f>
        <v>197763241</v>
      </c>
      <c r="Z14" s="19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0"/>
      <c r="C16" s="25"/>
      <c r="D16" s="25"/>
      <c r="E16" s="25"/>
      <c r="F16" s="25"/>
      <c r="G16" s="25"/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6"/>
      <c r="C17" s="222"/>
      <c r="D17" s="222"/>
      <c r="E17" s="25"/>
      <c r="F17" s="25"/>
      <c r="G17" s="25"/>
      <c r="H17" s="27"/>
      <c r="I17" s="27"/>
      <c r="J17" s="27"/>
      <c r="K17" s="7"/>
      <c r="L17" s="7"/>
      <c r="M17" s="7"/>
      <c r="N17" s="6"/>
      <c r="O17" s="93"/>
      <c r="P17" s="93"/>
      <c r="Q17" s="93"/>
      <c r="R17" s="93"/>
      <c r="S17" s="93"/>
      <c r="T17" s="93"/>
      <c r="U17" s="93"/>
      <c r="V17" s="93"/>
      <c r="W17" s="93"/>
      <c r="X17" s="19"/>
    </row>
    <row r="18" spans="2:27" ht="15" customHeight="1" x14ac:dyDescent="0.35">
      <c r="B18" s="25"/>
      <c r="C18" s="222"/>
      <c r="D18" s="222"/>
      <c r="E18" s="25"/>
      <c r="F18" s="25"/>
      <c r="G18" s="25"/>
      <c r="H18" s="25"/>
      <c r="I18" s="25"/>
      <c r="J18" s="25"/>
      <c r="K18" s="6"/>
      <c r="L18" s="6" t="s">
        <v>43</v>
      </c>
      <c r="M18" s="6"/>
      <c r="N18" s="6"/>
      <c r="O18" s="93"/>
      <c r="P18" s="93"/>
      <c r="Q18" s="93"/>
      <c r="R18" s="402" t="s">
        <v>234</v>
      </c>
      <c r="S18" s="402"/>
      <c r="T18" s="402"/>
      <c r="U18" s="402"/>
      <c r="V18" s="402"/>
      <c r="W18" s="93"/>
      <c r="X18" s="19" t="e">
        <f>P9+#REF!+#REF!+#REF!+#REF!+#REF!+#REF!+#REF!+#REF!</f>
        <v>#REF!</v>
      </c>
      <c r="AA18" s="19">
        <f>G13+H13+I13+J13+K13+L13+M13</f>
        <v>207000000</v>
      </c>
    </row>
    <row r="19" spans="2:27" ht="3.75" customHeight="1" x14ac:dyDescent="0.35">
      <c r="B19" s="25"/>
      <c r="C19" s="222"/>
      <c r="D19" s="222"/>
      <c r="E19" s="25"/>
      <c r="F19" s="25"/>
      <c r="G19" s="25"/>
      <c r="H19" s="25"/>
      <c r="I19" s="25"/>
      <c r="J19" s="25"/>
      <c r="K19" s="6"/>
      <c r="L19" s="6"/>
      <c r="M19" s="6"/>
      <c r="N19" s="6"/>
      <c r="O19" s="402"/>
      <c r="P19" s="402"/>
      <c r="Q19" s="402"/>
      <c r="R19" s="402"/>
      <c r="S19" s="402"/>
      <c r="T19" s="402"/>
      <c r="U19" s="402"/>
      <c r="V19" s="402"/>
      <c r="W19" s="158"/>
    </row>
    <row r="20" spans="2:27" ht="15" customHeight="1" x14ac:dyDescent="0.35">
      <c r="B20" s="26"/>
      <c r="C20" s="222"/>
      <c r="D20" s="222"/>
      <c r="E20" s="25"/>
      <c r="F20" s="25"/>
      <c r="G20" s="25"/>
      <c r="H20" s="25"/>
      <c r="I20" s="25"/>
      <c r="J20" s="25"/>
      <c r="K20" s="6"/>
      <c r="L20" s="6"/>
      <c r="M20" s="6"/>
      <c r="N20" s="6"/>
      <c r="O20" s="6"/>
      <c r="P20" s="6"/>
      <c r="Q20" s="6"/>
      <c r="R20" s="402" t="s">
        <v>36</v>
      </c>
      <c r="S20" s="402"/>
      <c r="T20" s="402"/>
      <c r="U20" s="402"/>
      <c r="V20" s="402"/>
      <c r="W20" s="6"/>
    </row>
    <row r="21" spans="2:27" ht="24.75" customHeight="1" x14ac:dyDescent="0.3">
      <c r="B21" s="28"/>
      <c r="C21" s="222"/>
      <c r="D21" s="222"/>
      <c r="E21" s="25"/>
      <c r="F21" s="25"/>
      <c r="G21" s="25"/>
      <c r="H21" s="25"/>
      <c r="I21" s="25"/>
      <c r="J21" s="25"/>
    </row>
    <row r="22" spans="2:27" ht="24.75" customHeight="1" x14ac:dyDescent="0.3">
      <c r="B22" s="28"/>
      <c r="C22" s="222"/>
      <c r="D22" s="222"/>
      <c r="E22" s="25"/>
      <c r="F22" s="25"/>
      <c r="G22" s="25"/>
      <c r="H22" s="25"/>
      <c r="I22" s="25"/>
      <c r="J22" s="25"/>
    </row>
    <row r="23" spans="2:27" ht="13.5" customHeight="1" x14ac:dyDescent="0.3">
      <c r="B23" s="28"/>
      <c r="C23" s="25"/>
      <c r="D23" s="25"/>
      <c r="E23" s="25"/>
      <c r="F23" s="25"/>
      <c r="G23" s="25"/>
      <c r="H23" s="25"/>
      <c r="I23" s="25"/>
      <c r="J23" s="25"/>
      <c r="P23" s="288"/>
      <c r="Q23" s="288"/>
      <c r="R23" s="367" t="s">
        <v>161</v>
      </c>
      <c r="S23" s="367"/>
      <c r="T23" s="367"/>
      <c r="U23" s="367"/>
      <c r="V23" s="367"/>
    </row>
    <row r="24" spans="2:27" ht="14.5" x14ac:dyDescent="0.35">
      <c r="C24" s="6"/>
      <c r="D24" s="6"/>
      <c r="E24" s="6" t="s">
        <v>132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  <c r="W27" t="s">
        <v>219</v>
      </c>
    </row>
    <row r="32" spans="2:27" x14ac:dyDescent="0.25">
      <c r="O32" s="19"/>
    </row>
  </sheetData>
  <mergeCells count="44"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  <mergeCell ref="G13:G14"/>
    <mergeCell ref="H13:H14"/>
    <mergeCell ref="I13:I14"/>
    <mergeCell ref="J13:J14"/>
    <mergeCell ref="K13:K14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2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8"/>
  <sheetViews>
    <sheetView zoomScaleNormal="100" workbookViewId="0">
      <selection activeCell="X35" sqref="X35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37.5" customHeight="1" x14ac:dyDescent="0.35">
      <c r="A2" s="156"/>
      <c r="B2" s="15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0"/>
      <c r="B3" s="10" t="s">
        <v>25</v>
      </c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7" ht="16.5" customHeight="1" x14ac:dyDescent="0.25">
      <c r="A4" s="12"/>
      <c r="B4" s="398" t="s">
        <v>133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</row>
    <row r="5" spans="1:27" ht="16.5" customHeight="1" x14ac:dyDescent="0.25">
      <c r="A5" s="12"/>
      <c r="B5" s="398" t="s">
        <v>229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  <c r="Y5" s="148" t="s">
        <v>43</v>
      </c>
    </row>
    <row r="6" spans="1:27" ht="10.5" customHeight="1" x14ac:dyDescent="0.35">
      <c r="A6" s="13"/>
      <c r="B6" s="14"/>
      <c r="C6" s="14"/>
      <c r="D6" s="15"/>
      <c r="E6" s="13"/>
      <c r="F6" s="16"/>
      <c r="G6" s="14"/>
      <c r="H6" s="14"/>
      <c r="I6" s="14"/>
      <c r="J6" s="14"/>
      <c r="K6" s="17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7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1" t="s">
        <v>12</v>
      </c>
      <c r="T7" s="21"/>
      <c r="U7" s="21"/>
      <c r="V7" s="21"/>
      <c r="W7" s="21"/>
      <c r="X7" s="362" t="s">
        <v>24</v>
      </c>
    </row>
    <row r="8" spans="1:27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2">
        <v>0.05</v>
      </c>
      <c r="T8" s="22">
        <v>0.15</v>
      </c>
      <c r="U8" s="22">
        <v>0.25</v>
      </c>
      <c r="V8" s="22">
        <v>0.3</v>
      </c>
      <c r="W8" s="23" t="s">
        <v>13</v>
      </c>
      <c r="X8" s="362"/>
    </row>
    <row r="9" spans="1:27" ht="8.25" customHeight="1" x14ac:dyDescent="0.25">
      <c r="A9" s="31">
        <v>1</v>
      </c>
      <c r="B9" s="32">
        <v>2</v>
      </c>
      <c r="C9" s="32">
        <v>3</v>
      </c>
      <c r="D9" s="33"/>
      <c r="E9" s="33"/>
      <c r="F9" s="33"/>
      <c r="G9" s="33"/>
      <c r="H9" s="33"/>
      <c r="I9" s="33"/>
      <c r="J9" s="34">
        <v>4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>
        <v>5</v>
      </c>
    </row>
    <row r="10" spans="1:27" ht="19.5" customHeight="1" x14ac:dyDescent="0.35">
      <c r="A10" s="120">
        <v>1</v>
      </c>
      <c r="B10" s="45" t="s">
        <v>224</v>
      </c>
      <c r="C10" s="35" t="s">
        <v>65</v>
      </c>
      <c r="D10" s="50"/>
      <c r="E10" s="50"/>
      <c r="F10" s="50"/>
      <c r="G10" s="50"/>
      <c r="H10" s="50"/>
      <c r="I10" s="50"/>
      <c r="J10" s="111">
        <f>'NET KOMISARIS'!$Q$8</f>
        <v>32400000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42" t="s">
        <v>227</v>
      </c>
    </row>
    <row r="11" spans="1:27" ht="19.5" customHeight="1" x14ac:dyDescent="0.35">
      <c r="A11" s="121">
        <v>2</v>
      </c>
      <c r="B11" s="45" t="s">
        <v>154</v>
      </c>
      <c r="C11" s="35" t="s">
        <v>59</v>
      </c>
      <c r="D11" s="50"/>
      <c r="E11" s="50"/>
      <c r="F11" s="50"/>
      <c r="G11" s="50"/>
      <c r="H11" s="50"/>
      <c r="I11" s="50"/>
      <c r="J11" s="51">
        <f>'NET KOMISARIS'!$Q$9</f>
        <v>29160000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42" t="s">
        <v>155</v>
      </c>
    </row>
    <row r="12" spans="1:27" ht="20.149999999999999" customHeight="1" x14ac:dyDescent="0.35">
      <c r="A12" s="125">
        <v>3</v>
      </c>
      <c r="B12" s="45" t="s">
        <v>39</v>
      </c>
      <c r="C12" s="35" t="s">
        <v>211</v>
      </c>
      <c r="D12" s="36" t="s">
        <v>20</v>
      </c>
      <c r="E12" s="37" t="s">
        <v>1</v>
      </c>
      <c r="F12" s="38">
        <v>18000000</v>
      </c>
      <c r="G12" s="39">
        <v>0</v>
      </c>
      <c r="H12" s="39">
        <v>1000000</v>
      </c>
      <c r="I12" s="39">
        <v>0</v>
      </c>
      <c r="J12" s="40">
        <f>'NET KOMISARIS'!$Q$10</f>
        <v>29160000</v>
      </c>
      <c r="K12" s="41"/>
      <c r="L12" s="41"/>
      <c r="M12" s="41">
        <f>SUM(K12:L12)</f>
        <v>0</v>
      </c>
      <c r="N12" s="38">
        <f>J12+M12</f>
        <v>29160000</v>
      </c>
      <c r="O12" s="42">
        <f>(IF(J12*0.05&lt;500000,J12*0.05,500000))</f>
        <v>500000</v>
      </c>
      <c r="P12" s="41">
        <v>0</v>
      </c>
      <c r="Q12" s="38">
        <f>O12+P12</f>
        <v>500000</v>
      </c>
      <c r="R12" s="38">
        <f>N12-Q12</f>
        <v>28660000</v>
      </c>
      <c r="S12" s="42">
        <f>R12*5%</f>
        <v>1433000</v>
      </c>
      <c r="T12" s="42">
        <v>0</v>
      </c>
      <c r="U12" s="42">
        <v>0</v>
      </c>
      <c r="V12" s="42">
        <v>0</v>
      </c>
      <c r="W12" s="42">
        <f>IF(D12="NA",0,IF(D12="",1/0,SUM(S12:V12)))</f>
        <v>1433000</v>
      </c>
      <c r="X12" s="42" t="s">
        <v>41</v>
      </c>
    </row>
    <row r="13" spans="1:27" ht="20.149999999999999" customHeight="1" x14ac:dyDescent="0.35">
      <c r="A13" s="254">
        <v>4</v>
      </c>
      <c r="B13" s="249" t="s">
        <v>185</v>
      </c>
      <c r="C13" s="255" t="s">
        <v>44</v>
      </c>
      <c r="D13" s="256"/>
      <c r="E13" s="257"/>
      <c r="F13" s="258"/>
      <c r="G13" s="248"/>
      <c r="H13" s="248"/>
      <c r="I13" s="248"/>
      <c r="J13" s="174">
        <f>'NET KOMISARIS'!Q11</f>
        <v>9450000</v>
      </c>
      <c r="K13" s="259"/>
      <c r="L13" s="259"/>
      <c r="M13" s="259"/>
      <c r="N13" s="258"/>
      <c r="O13" s="250"/>
      <c r="P13" s="259"/>
      <c r="Q13" s="258"/>
      <c r="R13" s="258"/>
      <c r="S13" s="250"/>
      <c r="T13" s="250"/>
      <c r="U13" s="250"/>
      <c r="V13" s="250"/>
      <c r="W13" s="250"/>
      <c r="X13" s="250" t="s">
        <v>188</v>
      </c>
    </row>
    <row r="14" spans="1:27" ht="15" customHeight="1" x14ac:dyDescent="0.35">
      <c r="A14" s="52"/>
      <c r="B14" s="53"/>
      <c r="C14" s="53"/>
      <c r="D14" s="54"/>
      <c r="E14" s="55"/>
      <c r="F14" s="363">
        <f>SUM(F9:F12)</f>
        <v>18000000</v>
      </c>
      <c r="G14" s="363">
        <f>SUM(G9:G12)</f>
        <v>0</v>
      </c>
      <c r="H14" s="363">
        <f>SUM(H9:H12)</f>
        <v>1000000</v>
      </c>
      <c r="I14" s="363">
        <f>SUM(I9:I12)</f>
        <v>0</v>
      </c>
      <c r="J14" s="365">
        <f>SUM(J10:J13)</f>
        <v>100170000</v>
      </c>
      <c r="K14" s="363">
        <f t="shared" ref="K14:W14" si="0">SUM(K9:K12)</f>
        <v>0</v>
      </c>
      <c r="L14" s="363">
        <f t="shared" si="0"/>
        <v>0</v>
      </c>
      <c r="M14" s="363">
        <f t="shared" si="0"/>
        <v>0</v>
      </c>
      <c r="N14" s="363">
        <f t="shared" si="0"/>
        <v>29160000</v>
      </c>
      <c r="O14" s="363">
        <f t="shared" si="0"/>
        <v>500000</v>
      </c>
      <c r="P14" s="363">
        <f t="shared" si="0"/>
        <v>0</v>
      </c>
      <c r="Q14" s="363">
        <f t="shared" si="0"/>
        <v>500000</v>
      </c>
      <c r="R14" s="363">
        <f t="shared" si="0"/>
        <v>28660000</v>
      </c>
      <c r="S14" s="363">
        <f t="shared" si="0"/>
        <v>1433000</v>
      </c>
      <c r="T14" s="363">
        <f t="shared" si="0"/>
        <v>0</v>
      </c>
      <c r="U14" s="363">
        <f t="shared" si="0"/>
        <v>0</v>
      </c>
      <c r="V14" s="363">
        <f t="shared" si="0"/>
        <v>0</v>
      </c>
      <c r="W14" s="363">
        <f t="shared" si="0"/>
        <v>1433000</v>
      </c>
      <c r="X14" s="363"/>
      <c r="AA14" s="19"/>
    </row>
    <row r="15" spans="1:27" ht="15" customHeight="1" thickBot="1" x14ac:dyDescent="0.4">
      <c r="A15" s="56"/>
      <c r="B15" s="57"/>
      <c r="C15" s="57"/>
      <c r="D15" s="58"/>
      <c r="E15" s="59"/>
      <c r="F15" s="364"/>
      <c r="G15" s="364"/>
      <c r="H15" s="364"/>
      <c r="I15" s="364"/>
      <c r="J15" s="366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Z15" s="19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5" ht="14.5" x14ac:dyDescent="0.35">
      <c r="A17" s="6"/>
      <c r="B17" s="157" t="s">
        <v>189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57" t="s">
        <v>231</v>
      </c>
      <c r="Y17" s="148" t="s">
        <v>43</v>
      </c>
    </row>
    <row r="18" spans="1:25" ht="14.5" x14ac:dyDescent="0.35">
      <c r="A18" s="6"/>
      <c r="B18" s="157" t="s">
        <v>179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57" t="s">
        <v>36</v>
      </c>
    </row>
    <row r="19" spans="1:25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4.5" x14ac:dyDescent="0.35">
      <c r="A22" s="6"/>
      <c r="B22" s="157" t="s">
        <v>178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57" t="s">
        <v>161</v>
      </c>
    </row>
    <row r="28" spans="1:25" x14ac:dyDescent="0.25">
      <c r="X28" s="148" t="s">
        <v>43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2022-06-24T02:44:26Z</cp:lastPrinted>
  <dcterms:created xsi:type="dcterms:W3CDTF">1999-12-02T03:49:52Z</dcterms:created>
  <dcterms:modified xsi:type="dcterms:W3CDTF">2022-07-04T02:26:28Z</dcterms:modified>
</cp:coreProperties>
</file>