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. My Job\6. Pengadaan\4. Kontrak Maintenance\Nego Tambahan Spareparts\"/>
    </mc:Choice>
  </mc:AlternateContent>
  <bookViews>
    <workbookView xWindow="0" yWindow="0" windowWidth="28800" windowHeight="11835" tabRatio="944" firstSheet="2" activeTab="3"/>
  </bookViews>
  <sheets>
    <sheet name="REKAP" sheetId="74" state="hidden" r:id="rId1"/>
    <sheet name="Sheet5" sheetId="71" state="hidden" r:id="rId2"/>
    <sheet name="REKAP BARU print" sheetId="77" r:id="rId3"/>
    <sheet name="RAB print" sheetId="78" r:id="rId4"/>
    <sheet name="Lumpsum+CG+Penunjang print" sheetId="82" r:id="rId5"/>
    <sheet name="Nego Spareparts" sheetId="83" r:id="rId6"/>
  </sheets>
  <definedNames>
    <definedName name="_xlnm.Print_Area" localSheetId="4">'Lumpsum+CG+Penunjang print'!$A$1:$O$64</definedName>
    <definedName name="_xlnm.Print_Area" localSheetId="5">'Nego Spareparts'!$A$1:$I$51</definedName>
    <definedName name="_xlnm.Print_Area" localSheetId="3">'RAB print'!$A$1:$O$311</definedName>
    <definedName name="_xlnm.Print_Area" localSheetId="0">REKAP!$A$1:$E$29</definedName>
    <definedName name="_xlnm.Print_Area" localSheetId="2">'REKAP BARU print'!$A$4:$G$40</definedName>
    <definedName name="_xlnm.Print_Titles" localSheetId="4">'Lumpsum+CG+Penunjang print'!$6:$7</definedName>
    <definedName name="_xlnm.Print_Titles" localSheetId="5">'Nego Spareparts'!$7:$8</definedName>
    <definedName name="_xlnm.Print_Titles" localSheetId="3">'RAB print'!$7:$7</definedName>
  </definedNames>
  <calcPr calcId="152511"/>
</workbook>
</file>

<file path=xl/calcChain.xml><?xml version="1.0" encoding="utf-8"?>
<calcChain xmlns="http://schemas.openxmlformats.org/spreadsheetml/2006/main">
  <c r="J41" i="83" l="1"/>
  <c r="L17" i="83"/>
  <c r="L16" i="83"/>
  <c r="H19" i="83"/>
  <c r="I30" i="83"/>
  <c r="I29" i="83"/>
  <c r="G30" i="83"/>
  <c r="G29" i="83"/>
  <c r="H26" i="83"/>
  <c r="H24" i="83"/>
  <c r="J17" i="83"/>
  <c r="H15" i="83"/>
  <c r="H14" i="83"/>
  <c r="I28" i="83" l="1"/>
  <c r="J27" i="83"/>
  <c r="I27" i="83"/>
  <c r="I24" i="83"/>
  <c r="I25" i="83"/>
  <c r="I26" i="83"/>
  <c r="I23" i="83"/>
  <c r="G28" i="83"/>
  <c r="G27" i="83"/>
  <c r="G26" i="83"/>
  <c r="G25" i="83"/>
  <c r="G24" i="83"/>
  <c r="G23" i="83"/>
  <c r="J20" i="83"/>
  <c r="I20" i="83"/>
  <c r="G20" i="83"/>
  <c r="G31" i="83" l="1"/>
  <c r="G10" i="83"/>
  <c r="G11" i="83" s="1"/>
  <c r="I22" i="83"/>
  <c r="J16" i="83"/>
  <c r="G22" i="83"/>
  <c r="H35" i="83"/>
  <c r="H34" i="83"/>
  <c r="I19" i="83"/>
  <c r="I31" i="83" s="1"/>
  <c r="I10" i="83"/>
  <c r="I11" i="83" s="1"/>
  <c r="H21" i="83" l="1"/>
  <c r="G19" i="83" l="1"/>
  <c r="G18" i="83" l="1"/>
  <c r="I17" i="83"/>
  <c r="I16" i="83"/>
  <c r="I14" i="83"/>
  <c r="H18" i="83"/>
  <c r="G17" i="83" l="1"/>
  <c r="I18" i="83"/>
  <c r="I34" i="83"/>
  <c r="G34" i="83"/>
  <c r="G16" i="83"/>
  <c r="I35" i="83"/>
  <c r="G35" i="83"/>
  <c r="G21" i="83"/>
  <c r="I21" i="83"/>
  <c r="G15" i="83"/>
  <c r="I15" i="83"/>
  <c r="G14" i="83"/>
  <c r="K255" i="78"/>
  <c r="H256" i="78"/>
  <c r="K256" i="78" s="1"/>
  <c r="H255" i="78"/>
  <c r="K241" i="78"/>
  <c r="K242" i="78"/>
  <c r="K243" i="78"/>
  <c r="K244" i="78"/>
  <c r="K245" i="78"/>
  <c r="K246" i="78"/>
  <c r="K247" i="78"/>
  <c r="K248" i="78"/>
  <c r="K249" i="78"/>
  <c r="K250" i="78"/>
  <c r="K251" i="78"/>
  <c r="K252" i="78"/>
  <c r="K240" i="78"/>
  <c r="K227" i="78"/>
  <c r="K228" i="78"/>
  <c r="K235" i="78"/>
  <c r="K236" i="78"/>
  <c r="H227" i="78"/>
  <c r="H228" i="78"/>
  <c r="H229" i="78"/>
  <c r="K229" i="78" s="1"/>
  <c r="H230" i="78"/>
  <c r="K230" i="78" s="1"/>
  <c r="H231" i="78"/>
  <c r="K231" i="78" s="1"/>
  <c r="H232" i="78"/>
  <c r="K232" i="78" s="1"/>
  <c r="H233" i="78"/>
  <c r="K233" i="78" s="1"/>
  <c r="H234" i="78"/>
  <c r="K234" i="78" s="1"/>
  <c r="H235" i="78"/>
  <c r="H236" i="78"/>
  <c r="H237" i="78"/>
  <c r="K237" i="78" s="1"/>
  <c r="H226" i="78"/>
  <c r="K226" i="78" s="1"/>
  <c r="K201" i="78"/>
  <c r="K202" i="78"/>
  <c r="K206" i="78"/>
  <c r="K209" i="78"/>
  <c r="K210" i="78"/>
  <c r="K214" i="78"/>
  <c r="K217" i="78"/>
  <c r="K218" i="78"/>
  <c r="K200" i="78"/>
  <c r="H201" i="78"/>
  <c r="H202" i="78"/>
  <c r="H203" i="78"/>
  <c r="K203" i="78" s="1"/>
  <c r="H204" i="78"/>
  <c r="K204" i="78" s="1"/>
  <c r="H205" i="78"/>
  <c r="K205" i="78" s="1"/>
  <c r="H206" i="78"/>
  <c r="H207" i="78"/>
  <c r="K207" i="78" s="1"/>
  <c r="H208" i="78"/>
  <c r="K208" i="78" s="1"/>
  <c r="H209" i="78"/>
  <c r="H210" i="78"/>
  <c r="H211" i="78"/>
  <c r="K211" i="78" s="1"/>
  <c r="H212" i="78"/>
  <c r="K212" i="78" s="1"/>
  <c r="H213" i="78"/>
  <c r="K213" i="78" s="1"/>
  <c r="H214" i="78"/>
  <c r="H215" i="78"/>
  <c r="K215" i="78" s="1"/>
  <c r="H216" i="78"/>
  <c r="K216" i="78" s="1"/>
  <c r="H217" i="78"/>
  <c r="H218" i="78"/>
  <c r="H219" i="78"/>
  <c r="K219" i="78" s="1"/>
  <c r="H220" i="78"/>
  <c r="K220" i="78" s="1"/>
  <c r="H221" i="78"/>
  <c r="K221" i="78" s="1"/>
  <c r="H200" i="78"/>
  <c r="K158" i="78"/>
  <c r="K161" i="78"/>
  <c r="K162" i="78"/>
  <c r="K166" i="78"/>
  <c r="K169" i="78"/>
  <c r="K170" i="78"/>
  <c r="K174" i="78"/>
  <c r="K177" i="78"/>
  <c r="K178" i="78"/>
  <c r="K182" i="78"/>
  <c r="K185" i="78"/>
  <c r="K186" i="78"/>
  <c r="K190" i="78"/>
  <c r="K193" i="78"/>
  <c r="K194" i="78"/>
  <c r="K156" i="78"/>
  <c r="H157" i="78"/>
  <c r="K157" i="78" s="1"/>
  <c r="H158" i="78"/>
  <c r="H159" i="78"/>
  <c r="K159" i="78" s="1"/>
  <c r="H160" i="78"/>
  <c r="K160" i="78" s="1"/>
  <c r="H161" i="78"/>
  <c r="H162" i="78"/>
  <c r="H163" i="78"/>
  <c r="K163" i="78" s="1"/>
  <c r="H164" i="78"/>
  <c r="K164" i="78" s="1"/>
  <c r="H165" i="78"/>
  <c r="K165" i="78" s="1"/>
  <c r="H166" i="78"/>
  <c r="H167" i="78"/>
  <c r="K167" i="78" s="1"/>
  <c r="H168" i="78"/>
  <c r="K168" i="78" s="1"/>
  <c r="H169" i="78"/>
  <c r="H170" i="78"/>
  <c r="H171" i="78"/>
  <c r="K171" i="78" s="1"/>
  <c r="H172" i="78"/>
  <c r="K172" i="78" s="1"/>
  <c r="H173" i="78"/>
  <c r="K173" i="78" s="1"/>
  <c r="H174" i="78"/>
  <c r="H175" i="78"/>
  <c r="K175" i="78" s="1"/>
  <c r="H176" i="78"/>
  <c r="K176" i="78" s="1"/>
  <c r="H177" i="78"/>
  <c r="H178" i="78"/>
  <c r="H179" i="78"/>
  <c r="K179" i="78" s="1"/>
  <c r="H180" i="78"/>
  <c r="K180" i="78" s="1"/>
  <c r="H181" i="78"/>
  <c r="K181" i="78" s="1"/>
  <c r="H182" i="78"/>
  <c r="H183" i="78"/>
  <c r="K183" i="78" s="1"/>
  <c r="H184" i="78"/>
  <c r="K184" i="78" s="1"/>
  <c r="H185" i="78"/>
  <c r="H186" i="78"/>
  <c r="H187" i="78"/>
  <c r="K187" i="78" s="1"/>
  <c r="H188" i="78"/>
  <c r="K188" i="78" s="1"/>
  <c r="H189" i="78"/>
  <c r="K189" i="78" s="1"/>
  <c r="H190" i="78"/>
  <c r="H191" i="78"/>
  <c r="K191" i="78" s="1"/>
  <c r="H192" i="78"/>
  <c r="K192" i="78" s="1"/>
  <c r="H193" i="78"/>
  <c r="H194" i="78"/>
  <c r="H195" i="78"/>
  <c r="K195" i="78" s="1"/>
  <c r="H196" i="78"/>
  <c r="K196" i="78" s="1"/>
  <c r="H197" i="78"/>
  <c r="K197" i="78" s="1"/>
  <c r="H156" i="78"/>
  <c r="K127" i="78"/>
  <c r="K128" i="78"/>
  <c r="K132" i="78"/>
  <c r="K135" i="78"/>
  <c r="K136" i="78"/>
  <c r="K140" i="78"/>
  <c r="K143" i="78"/>
  <c r="K144" i="78"/>
  <c r="K148" i="78"/>
  <c r="K151" i="78"/>
  <c r="K126" i="78"/>
  <c r="H127" i="78"/>
  <c r="H128" i="78"/>
  <c r="H129" i="78"/>
  <c r="K129" i="78" s="1"/>
  <c r="H130" i="78"/>
  <c r="K130" i="78" s="1"/>
  <c r="H131" i="78"/>
  <c r="K131" i="78" s="1"/>
  <c r="H132" i="78"/>
  <c r="H133" i="78"/>
  <c r="K133" i="78" s="1"/>
  <c r="H134" i="78"/>
  <c r="K134" i="78" s="1"/>
  <c r="H135" i="78"/>
  <c r="H136" i="78"/>
  <c r="H137" i="78"/>
  <c r="K137" i="78" s="1"/>
  <c r="H138" i="78"/>
  <c r="K138" i="78" s="1"/>
  <c r="H139" i="78"/>
  <c r="K139" i="78" s="1"/>
  <c r="H140" i="78"/>
  <c r="H141" i="78"/>
  <c r="K141" i="78" s="1"/>
  <c r="H142" i="78"/>
  <c r="K142" i="78" s="1"/>
  <c r="H143" i="78"/>
  <c r="H144" i="78"/>
  <c r="H145" i="78"/>
  <c r="K145" i="78" s="1"/>
  <c r="H146" i="78"/>
  <c r="K146" i="78" s="1"/>
  <c r="H147" i="78"/>
  <c r="K147" i="78" s="1"/>
  <c r="H148" i="78"/>
  <c r="H149" i="78"/>
  <c r="K149" i="78" s="1"/>
  <c r="H150" i="78"/>
  <c r="K150" i="78" s="1"/>
  <c r="H151" i="78"/>
  <c r="H126" i="78"/>
  <c r="K36" i="78"/>
  <c r="K39" i="78"/>
  <c r="K40" i="78"/>
  <c r="K42" i="78"/>
  <c r="K44" i="78"/>
  <c r="K47" i="78"/>
  <c r="K48" i="78"/>
  <c r="H35" i="78"/>
  <c r="K35" i="78" s="1"/>
  <c r="H36" i="78"/>
  <c r="H37" i="78"/>
  <c r="K37" i="78" s="1"/>
  <c r="H38" i="78"/>
  <c r="K38" i="78" s="1"/>
  <c r="H39" i="78"/>
  <c r="H40" i="78"/>
  <c r="H41" i="78"/>
  <c r="K41" i="78" s="1"/>
  <c r="H42" i="78"/>
  <c r="H43" i="78"/>
  <c r="K43" i="78" s="1"/>
  <c r="H44" i="78"/>
  <c r="H45" i="78"/>
  <c r="K45" i="78" s="1"/>
  <c r="H46" i="78"/>
  <c r="K46" i="78" s="1"/>
  <c r="H47" i="78"/>
  <c r="H48" i="78"/>
  <c r="H34" i="78"/>
  <c r="K34" i="78" s="1"/>
  <c r="H27" i="78"/>
  <c r="H28" i="78"/>
  <c r="H29" i="78"/>
  <c r="K29" i="78" s="1"/>
  <c r="H30" i="78"/>
  <c r="K30" i="78" s="1"/>
  <c r="H31" i="78"/>
  <c r="K31" i="78" s="1"/>
  <c r="H26" i="78"/>
  <c r="K26" i="78" s="1"/>
  <c r="K27" i="78"/>
  <c r="K28" i="78"/>
  <c r="K18" i="78"/>
  <c r="K20" i="78"/>
  <c r="K23" i="78"/>
  <c r="H17" i="78"/>
  <c r="K17" i="78" s="1"/>
  <c r="H18" i="78"/>
  <c r="H19" i="78"/>
  <c r="K19" i="78" s="1"/>
  <c r="H20" i="78"/>
  <c r="H21" i="78"/>
  <c r="K21" i="78" s="1"/>
  <c r="H22" i="78"/>
  <c r="K22" i="78" s="1"/>
  <c r="H23" i="78"/>
  <c r="H16" i="78"/>
  <c r="K16" i="78" s="1"/>
  <c r="G36" i="83" l="1"/>
  <c r="I36" i="83"/>
  <c r="K238" i="78"/>
  <c r="I38" i="83" l="1"/>
  <c r="I39" i="83" s="1"/>
  <c r="I40" i="83" s="1"/>
  <c r="I41" i="83" s="1"/>
  <c r="G38" i="83"/>
  <c r="N27" i="82"/>
  <c r="N26" i="82"/>
  <c r="N21" i="82"/>
  <c r="G39" i="83" l="1"/>
  <c r="G40" i="83" s="1"/>
  <c r="G41" i="83" s="1"/>
  <c r="N32" i="82"/>
  <c r="N37" i="82"/>
  <c r="L227" i="78"/>
  <c r="L228" i="78"/>
  <c r="L229" i="78"/>
  <c r="L230" i="78"/>
  <c r="L231" i="78"/>
  <c r="L232" i="78"/>
  <c r="L233" i="78"/>
  <c r="L234" i="78"/>
  <c r="L235" i="78"/>
  <c r="L236" i="78"/>
  <c r="L237" i="78"/>
  <c r="L226" i="78"/>
  <c r="L201" i="78"/>
  <c r="L202" i="78"/>
  <c r="L203" i="78"/>
  <c r="L204" i="78"/>
  <c r="L205" i="78"/>
  <c r="L206" i="78"/>
  <c r="L207" i="78"/>
  <c r="L208" i="78"/>
  <c r="L209" i="78"/>
  <c r="L210" i="78"/>
  <c r="L211" i="78"/>
  <c r="L212" i="78"/>
  <c r="L213" i="78"/>
  <c r="L214" i="78"/>
  <c r="L215" i="78"/>
  <c r="L216" i="78"/>
  <c r="L217" i="78"/>
  <c r="L218" i="78"/>
  <c r="L219" i="78"/>
  <c r="L220" i="78"/>
  <c r="L221" i="78"/>
  <c r="L200" i="78"/>
  <c r="L157" i="78"/>
  <c r="L158" i="78"/>
  <c r="L159" i="78"/>
  <c r="L160" i="78"/>
  <c r="L161" i="78"/>
  <c r="L162" i="78"/>
  <c r="L163" i="78"/>
  <c r="L164" i="78"/>
  <c r="L165" i="78"/>
  <c r="L166" i="78"/>
  <c r="L167" i="78"/>
  <c r="L168" i="78"/>
  <c r="L169" i="78"/>
  <c r="L170" i="78"/>
  <c r="L171" i="78"/>
  <c r="L172" i="78"/>
  <c r="L173" i="78"/>
  <c r="L174" i="78"/>
  <c r="L175" i="78"/>
  <c r="L176" i="78"/>
  <c r="L177" i="78"/>
  <c r="L178" i="78"/>
  <c r="L179" i="78"/>
  <c r="L180" i="78"/>
  <c r="L181" i="78"/>
  <c r="L182" i="78"/>
  <c r="L183" i="78"/>
  <c r="L184" i="78"/>
  <c r="L185" i="78"/>
  <c r="L186" i="78"/>
  <c r="L187" i="78"/>
  <c r="L188" i="78"/>
  <c r="L189" i="78"/>
  <c r="L190" i="78"/>
  <c r="L191" i="78"/>
  <c r="L192" i="78"/>
  <c r="L193" i="78"/>
  <c r="L194" i="78"/>
  <c r="L195" i="78"/>
  <c r="L196" i="78"/>
  <c r="L197" i="78"/>
  <c r="L156" i="78"/>
  <c r="L127" i="78"/>
  <c r="L128" i="78"/>
  <c r="L129" i="78"/>
  <c r="L130" i="78"/>
  <c r="L131" i="78"/>
  <c r="L132" i="78"/>
  <c r="L133" i="78"/>
  <c r="L134" i="78"/>
  <c r="L135" i="78"/>
  <c r="L136" i="78"/>
  <c r="L137" i="78"/>
  <c r="L138" i="78"/>
  <c r="L139" i="78"/>
  <c r="L140" i="78"/>
  <c r="L141" i="78"/>
  <c r="L142" i="78"/>
  <c r="L143" i="78"/>
  <c r="L144" i="78"/>
  <c r="L145" i="78"/>
  <c r="L146" i="78"/>
  <c r="L147" i="78"/>
  <c r="L148" i="78"/>
  <c r="L149" i="78"/>
  <c r="L150" i="78"/>
  <c r="L151" i="78"/>
  <c r="L126" i="78"/>
  <c r="L35" i="78"/>
  <c r="L36" i="78"/>
  <c r="L37" i="78"/>
  <c r="L38" i="78"/>
  <c r="L39" i="78"/>
  <c r="L40" i="78"/>
  <c r="L41" i="78"/>
  <c r="L42" i="78"/>
  <c r="L43" i="78"/>
  <c r="L44" i="78"/>
  <c r="L45" i="78"/>
  <c r="L46" i="78"/>
  <c r="L47" i="78"/>
  <c r="L48" i="78"/>
  <c r="L34" i="78"/>
  <c r="L27" i="78"/>
  <c r="L28" i="78"/>
  <c r="L29" i="78"/>
  <c r="L30" i="78"/>
  <c r="L31" i="78"/>
  <c r="L26" i="78"/>
  <c r="L17" i="78"/>
  <c r="L18" i="78"/>
  <c r="L19" i="78"/>
  <c r="L20" i="78"/>
  <c r="L21" i="78"/>
  <c r="L22" i="78"/>
  <c r="L23" i="78"/>
  <c r="L16" i="78"/>
  <c r="J40" i="82"/>
  <c r="K37" i="82"/>
  <c r="O37" i="82" l="1"/>
  <c r="P37" i="82"/>
  <c r="J36" i="82"/>
  <c r="J35" i="82"/>
  <c r="N11" i="82" l="1"/>
  <c r="N10" i="82" l="1"/>
  <c r="N9" i="82"/>
  <c r="N16" i="82"/>
  <c r="N38" i="82"/>
  <c r="O38" i="82" s="1"/>
  <c r="J9" i="82" l="1"/>
  <c r="J10" i="82" s="1"/>
  <c r="J11" i="82"/>
  <c r="J12" i="82"/>
  <c r="J13" i="82"/>
  <c r="J14" i="82"/>
  <c r="J42" i="82"/>
  <c r="N42" i="82" s="1"/>
  <c r="J41" i="82"/>
  <c r="N40" i="82"/>
  <c r="J39" i="82"/>
  <c r="J34" i="82"/>
  <c r="N34" i="82" s="1"/>
  <c r="J32" i="82"/>
  <c r="K38" i="82"/>
  <c r="K36" i="82"/>
  <c r="K35" i="82"/>
  <c r="K33" i="82"/>
  <c r="K27" i="82"/>
  <c r="K26" i="82"/>
  <c r="K25" i="82"/>
  <c r="K24" i="82"/>
  <c r="K23" i="82"/>
  <c r="K22" i="82"/>
  <c r="K21" i="82"/>
  <c r="K20" i="82"/>
  <c r="J15" i="82"/>
  <c r="J16" i="82" s="1"/>
  <c r="N13" i="82"/>
  <c r="F14" i="82"/>
  <c r="N14" i="82" s="1"/>
  <c r="Q14" i="82" s="1"/>
  <c r="F13" i="82"/>
  <c r="F12" i="82"/>
  <c r="N12" i="82" s="1"/>
  <c r="F11" i="82"/>
  <c r="F10" i="82"/>
  <c r="F9" i="82"/>
  <c r="K29" i="82" l="1"/>
  <c r="J10" i="78" s="1"/>
  <c r="K10" i="78" s="1"/>
  <c r="F11" i="77" s="1"/>
  <c r="K43" i="82"/>
  <c r="J11" i="78" s="1"/>
  <c r="K11" i="78" s="1"/>
  <c r="F12" i="77" s="1"/>
  <c r="N23" i="78"/>
  <c r="N38" i="78" s="1"/>
  <c r="L17" i="82"/>
  <c r="N31" i="78" l="1"/>
  <c r="N195" i="78"/>
  <c r="O195" i="78" s="1"/>
  <c r="N192" i="78"/>
  <c r="O192" i="78" s="1"/>
  <c r="N193" i="78"/>
  <c r="O193" i="78" s="1"/>
  <c r="N194" i="78"/>
  <c r="O194" i="78" s="1"/>
  <c r="N191" i="78"/>
  <c r="O191" i="78" s="1"/>
  <c r="G192" i="78"/>
  <c r="G193" i="78"/>
  <c r="G194" i="78"/>
  <c r="G195" i="78"/>
  <c r="G191" i="78"/>
  <c r="T9" i="82" l="1"/>
  <c r="Q16" i="82" l="1"/>
  <c r="R16" i="82" s="1"/>
  <c r="Q15" i="82"/>
  <c r="R15" i="82" s="1"/>
  <c r="R14" i="82"/>
  <c r="Q13" i="82"/>
  <c r="R13" i="82" s="1"/>
  <c r="Q12" i="82"/>
  <c r="R12" i="82" s="1"/>
  <c r="Q11" i="82"/>
  <c r="R11" i="82" s="1"/>
  <c r="Q9" i="82"/>
  <c r="R9" i="82" s="1"/>
  <c r="Q10" i="82" l="1"/>
  <c r="R10" i="82" s="1"/>
  <c r="R17" i="82" s="1"/>
  <c r="G240" i="78"/>
  <c r="G10" i="82"/>
  <c r="G11" i="82"/>
  <c r="G12" i="82"/>
  <c r="G13" i="82"/>
  <c r="G14" i="82"/>
  <c r="G15" i="82"/>
  <c r="G16" i="82"/>
  <c r="G9" i="82"/>
  <c r="G27" i="82"/>
  <c r="O27" i="82"/>
  <c r="G33" i="82" l="1"/>
  <c r="G34" i="82"/>
  <c r="G35" i="82"/>
  <c r="G36" i="82"/>
  <c r="G37" i="82"/>
  <c r="G38" i="82"/>
  <c r="G39" i="82"/>
  <c r="G40" i="82"/>
  <c r="G41" i="82"/>
  <c r="G42" i="82"/>
  <c r="G32" i="82"/>
  <c r="G21" i="82"/>
  <c r="G22" i="82"/>
  <c r="G23" i="82"/>
  <c r="G24" i="82"/>
  <c r="G25" i="82"/>
  <c r="G26" i="82"/>
  <c r="G20" i="82"/>
  <c r="N256" i="78"/>
  <c r="O256" i="78" s="1"/>
  <c r="N255" i="78"/>
  <c r="O255" i="78" s="1"/>
  <c r="N241" i="78"/>
  <c r="O241" i="78" s="1"/>
  <c r="N242" i="78"/>
  <c r="O242" i="78" s="1"/>
  <c r="N243" i="78"/>
  <c r="O243" i="78" s="1"/>
  <c r="O244" i="78"/>
  <c r="N245" i="78"/>
  <c r="O245" i="78" s="1"/>
  <c r="N246" i="78"/>
  <c r="O246" i="78" s="1"/>
  <c r="N247" i="78"/>
  <c r="O247" i="78" s="1"/>
  <c r="N248" i="78"/>
  <c r="O248" i="78" s="1"/>
  <c r="N249" i="78"/>
  <c r="O249" i="78" s="1"/>
  <c r="N250" i="78"/>
  <c r="O250" i="78" s="1"/>
  <c r="N251" i="78"/>
  <c r="O251" i="78" s="1"/>
  <c r="N252" i="78"/>
  <c r="O252" i="78" s="1"/>
  <c r="N240" i="78"/>
  <c r="O240" i="78" s="1"/>
  <c r="N227" i="78"/>
  <c r="O227" i="78" s="1"/>
  <c r="N228" i="78"/>
  <c r="O228" i="78" s="1"/>
  <c r="N229" i="78"/>
  <c r="O229" i="78" s="1"/>
  <c r="N230" i="78"/>
  <c r="O230" i="78" s="1"/>
  <c r="N231" i="78"/>
  <c r="O231" i="78" s="1"/>
  <c r="N232" i="78"/>
  <c r="O232" i="78" s="1"/>
  <c r="N233" i="78"/>
  <c r="O233" i="78" s="1"/>
  <c r="O234" i="78"/>
  <c r="N235" i="78"/>
  <c r="O235" i="78" s="1"/>
  <c r="N236" i="78"/>
  <c r="O236" i="78" s="1"/>
  <c r="N237" i="78"/>
  <c r="O237" i="78" s="1"/>
  <c r="N226" i="78"/>
  <c r="O226" i="78" s="1"/>
  <c r="O201" i="78"/>
  <c r="O202" i="78"/>
  <c r="O203" i="78"/>
  <c r="O204" i="78"/>
  <c r="O205" i="78"/>
  <c r="O206" i="78"/>
  <c r="O207" i="78"/>
  <c r="O208" i="78"/>
  <c r="O209" i="78"/>
  <c r="O210" i="78"/>
  <c r="O211" i="78"/>
  <c r="O212" i="78"/>
  <c r="O213" i="78"/>
  <c r="O214" i="78"/>
  <c r="O215" i="78"/>
  <c r="O216" i="78"/>
  <c r="O217" i="78"/>
  <c r="O218" i="78"/>
  <c r="O219" i="78"/>
  <c r="O220" i="78"/>
  <c r="O221" i="78"/>
  <c r="O200" i="78"/>
  <c r="O157" i="78"/>
  <c r="O158" i="78"/>
  <c r="O159" i="78"/>
  <c r="O160" i="78"/>
  <c r="O161" i="78"/>
  <c r="O162" i="78"/>
  <c r="O163" i="78"/>
  <c r="O164" i="78"/>
  <c r="O165" i="78"/>
  <c r="O166" i="78"/>
  <c r="O167" i="78"/>
  <c r="O168" i="78"/>
  <c r="O169" i="78"/>
  <c r="O170" i="78"/>
  <c r="O171" i="78"/>
  <c r="O172" i="78"/>
  <c r="O173" i="78"/>
  <c r="O174" i="78"/>
  <c r="O175" i="78"/>
  <c r="O176" i="78"/>
  <c r="O177" i="78"/>
  <c r="O178" i="78"/>
  <c r="O179" i="78"/>
  <c r="O180" i="78"/>
  <c r="O181" i="78"/>
  <c r="O182" i="78"/>
  <c r="O183" i="78"/>
  <c r="O184" i="78"/>
  <c r="O185" i="78"/>
  <c r="O186" i="78"/>
  <c r="O187" i="78"/>
  <c r="O188" i="78"/>
  <c r="O189" i="78"/>
  <c r="O190" i="78"/>
  <c r="O196" i="78"/>
  <c r="O197" i="78"/>
  <c r="O156" i="78"/>
  <c r="O127" i="78"/>
  <c r="O128" i="78"/>
  <c r="O129" i="78"/>
  <c r="O130" i="78"/>
  <c r="O131" i="78"/>
  <c r="O132" i="78"/>
  <c r="O133" i="78"/>
  <c r="O134" i="78"/>
  <c r="O135" i="78"/>
  <c r="O136" i="78"/>
  <c r="O137" i="78"/>
  <c r="O138" i="78"/>
  <c r="O139" i="78"/>
  <c r="O140" i="78"/>
  <c r="O141" i="78"/>
  <c r="O142" i="78"/>
  <c r="O143" i="78"/>
  <c r="O144" i="78"/>
  <c r="O145" i="78"/>
  <c r="O146" i="78"/>
  <c r="O147" i="78"/>
  <c r="O148" i="78"/>
  <c r="O149" i="78"/>
  <c r="O150" i="78"/>
  <c r="O151" i="78"/>
  <c r="O126" i="78"/>
  <c r="N35" i="78"/>
  <c r="O35" i="78" s="1"/>
  <c r="N36" i="78"/>
  <c r="O36" i="78" s="1"/>
  <c r="N37" i="78"/>
  <c r="O37" i="78" s="1"/>
  <c r="O38" i="78"/>
  <c r="N39" i="78"/>
  <c r="O39" i="78" s="1"/>
  <c r="N40" i="78"/>
  <c r="O40" i="78" s="1"/>
  <c r="N41" i="78"/>
  <c r="O41" i="78" s="1"/>
  <c r="N42" i="78"/>
  <c r="O42" i="78" s="1"/>
  <c r="N43" i="78"/>
  <c r="O43" i="78" s="1"/>
  <c r="N44" i="78"/>
  <c r="O44" i="78" s="1"/>
  <c r="N45" i="78"/>
  <c r="O45" i="78" s="1"/>
  <c r="N46" i="78"/>
  <c r="O46" i="78" s="1"/>
  <c r="N47" i="78"/>
  <c r="O47" i="78" s="1"/>
  <c r="N48" i="78"/>
  <c r="O48" i="78" s="1"/>
  <c r="N34" i="78"/>
  <c r="O34" i="78" s="1"/>
  <c r="N27" i="78"/>
  <c r="O27" i="78" s="1"/>
  <c r="N28" i="78"/>
  <c r="O28" i="78" s="1"/>
  <c r="N29" i="78"/>
  <c r="O29" i="78" s="1"/>
  <c r="N30" i="78"/>
  <c r="O30" i="78" s="1"/>
  <c r="O31" i="78"/>
  <c r="N26" i="78"/>
  <c r="O26" i="78" s="1"/>
  <c r="G29" i="82" l="1"/>
  <c r="O32" i="78"/>
  <c r="N19" i="78"/>
  <c r="O19" i="78" s="1"/>
  <c r="N20" i="78"/>
  <c r="O20" i="78" s="1"/>
  <c r="N21" i="78"/>
  <c r="O21" i="78" s="1"/>
  <c r="N22" i="78"/>
  <c r="O22" i="78" s="1"/>
  <c r="O23" i="78"/>
  <c r="N18" i="78"/>
  <c r="O18" i="78" s="1"/>
  <c r="N17" i="78"/>
  <c r="O17" i="78" s="1"/>
  <c r="N16" i="78"/>
  <c r="O16" i="78" s="1"/>
  <c r="O9" i="82"/>
  <c r="O42" i="82"/>
  <c r="O41" i="82"/>
  <c r="O40" i="82"/>
  <c r="O39" i="82"/>
  <c r="N36" i="82"/>
  <c r="N35" i="82"/>
  <c r="O34" i="82"/>
  <c r="N33" i="82"/>
  <c r="O33" i="82" s="1"/>
  <c r="O21" i="82"/>
  <c r="N22" i="82"/>
  <c r="O22" i="82" s="1"/>
  <c r="N23" i="82"/>
  <c r="O23" i="82" s="1"/>
  <c r="N24" i="82"/>
  <c r="O24" i="82" s="1"/>
  <c r="N25" i="82"/>
  <c r="O25" i="82" s="1"/>
  <c r="O26" i="82"/>
  <c r="N20" i="82"/>
  <c r="O20" i="82" s="1"/>
  <c r="K9" i="82"/>
  <c r="K10" i="82"/>
  <c r="K11" i="82"/>
  <c r="K12" i="82"/>
  <c r="K13" i="82"/>
  <c r="K14" i="82"/>
  <c r="O14" i="82"/>
  <c r="O13" i="82"/>
  <c r="O12" i="82"/>
  <c r="O11" i="82"/>
  <c r="O10" i="82"/>
  <c r="O16" i="82"/>
  <c r="O15" i="82"/>
  <c r="K16" i="82"/>
  <c r="K15" i="82"/>
  <c r="O36" i="82" l="1"/>
  <c r="P36" i="82"/>
  <c r="O35" i="82"/>
  <c r="P35" i="82"/>
  <c r="K17" i="82"/>
  <c r="J9" i="78" s="1"/>
  <c r="K9" i="78" s="1"/>
  <c r="O17" i="82"/>
  <c r="O43" i="82"/>
  <c r="N11" i="78" s="1"/>
  <c r="O11" i="78" s="1"/>
  <c r="G12" i="77" s="1"/>
  <c r="O29" i="82"/>
  <c r="N10" i="78" s="1"/>
  <c r="O10" i="78" s="1"/>
  <c r="G11" i="77" s="1"/>
  <c r="O257" i="78"/>
  <c r="K257" i="78"/>
  <c r="O253" i="78"/>
  <c r="K253" i="78"/>
  <c r="O238" i="78"/>
  <c r="O222" i="78"/>
  <c r="K222" i="78"/>
  <c r="O198" i="78"/>
  <c r="K198" i="78"/>
  <c r="O154" i="78"/>
  <c r="K154" i="78"/>
  <c r="O49" i="78"/>
  <c r="K49" i="78"/>
  <c r="K32" i="78"/>
  <c r="O24" i="78"/>
  <c r="K24" i="78"/>
  <c r="N9" i="78" l="1"/>
  <c r="O9" i="78" s="1"/>
  <c r="G10" i="77" s="1"/>
  <c r="G13" i="77" s="1"/>
  <c r="P45" i="82"/>
  <c r="K12" i="78"/>
  <c r="F10" i="77"/>
  <c r="F13" i="77" s="1"/>
  <c r="K50" i="78"/>
  <c r="F15" i="77" s="1"/>
  <c r="K258" i="78"/>
  <c r="F17" i="77" s="1"/>
  <c r="K223" i="78"/>
  <c r="F16" i="77" s="1"/>
  <c r="O50" i="78"/>
  <c r="G15" i="77" s="1"/>
  <c r="G18" i="77" s="1"/>
  <c r="H18" i="77" s="1"/>
  <c r="O258" i="78"/>
  <c r="G17" i="77" s="1"/>
  <c r="O223" i="78"/>
  <c r="G16" i="77" s="1"/>
  <c r="F18" i="77" l="1"/>
  <c r="F19" i="77" s="1"/>
  <c r="F20" i="77" s="1"/>
  <c r="F21" i="77" s="1"/>
  <c r="F22" i="77" s="1"/>
  <c r="H13" i="77"/>
  <c r="H15" i="77" s="1"/>
  <c r="G19" i="77"/>
  <c r="G20" i="77" s="1"/>
  <c r="G21" i="77" s="1"/>
  <c r="G22" i="77" s="1"/>
  <c r="I13" i="77"/>
  <c r="H10" i="77"/>
  <c r="I10" i="77" s="1"/>
  <c r="O12" i="78"/>
  <c r="K259" i="78"/>
  <c r="K260" i="78" s="1"/>
  <c r="K261" i="78" s="1"/>
  <c r="K262" i="78" s="1"/>
  <c r="K263" i="78" s="1"/>
  <c r="O259" i="78"/>
  <c r="O260" i="78" l="1"/>
  <c r="O261" i="78" s="1"/>
  <c r="O262" i="78" s="1"/>
  <c r="O263" i="78" s="1"/>
  <c r="I18" i="77"/>
  <c r="B266" i="78"/>
  <c r="G215" i="78" l="1"/>
  <c r="G216" i="78"/>
  <c r="G232" i="78" l="1"/>
  <c r="A10" i="78"/>
  <c r="A11" i="78" s="1"/>
  <c r="B28" i="82"/>
  <c r="D28" i="82"/>
  <c r="E28" i="82"/>
  <c r="B54" i="78"/>
  <c r="C54" i="78"/>
  <c r="E54" i="78"/>
  <c r="B55" i="78"/>
  <c r="C55" i="78"/>
  <c r="E55" i="78"/>
  <c r="B56" i="78"/>
  <c r="C56" i="78"/>
  <c r="E56" i="78"/>
  <c r="B57" i="78"/>
  <c r="C57" i="78"/>
  <c r="E57" i="78"/>
  <c r="B58" i="78"/>
  <c r="C58" i="78"/>
  <c r="E58" i="78"/>
  <c r="B59" i="78"/>
  <c r="C59" i="78"/>
  <c r="E59" i="78"/>
  <c r="B60" i="78"/>
  <c r="C60" i="78"/>
  <c r="E60" i="78"/>
  <c r="B61" i="78"/>
  <c r="C61" i="78"/>
  <c r="E61" i="78"/>
  <c r="B62" i="78"/>
  <c r="C62" i="78"/>
  <c r="E62" i="78"/>
  <c r="B63" i="78"/>
  <c r="C63" i="78"/>
  <c r="E63" i="78"/>
  <c r="B64" i="78"/>
  <c r="C64" i="78"/>
  <c r="E64" i="78"/>
  <c r="B65" i="78"/>
  <c r="C65" i="78"/>
  <c r="E65" i="78"/>
  <c r="B66" i="78"/>
  <c r="C66" i="78"/>
  <c r="E66" i="78"/>
  <c r="B67" i="78"/>
  <c r="C67" i="78"/>
  <c r="E67" i="78"/>
  <c r="B68" i="78"/>
  <c r="C68" i="78"/>
  <c r="E68" i="78"/>
  <c r="B69" i="78"/>
  <c r="C69" i="78"/>
  <c r="E69" i="78"/>
  <c r="B70" i="78"/>
  <c r="C70" i="78"/>
  <c r="E70" i="78"/>
  <c r="B71" i="78"/>
  <c r="C71" i="78"/>
  <c r="E71" i="78"/>
  <c r="B72" i="78"/>
  <c r="C72" i="78"/>
  <c r="E72" i="78"/>
  <c r="B73" i="78"/>
  <c r="C73" i="78"/>
  <c r="E73" i="78"/>
  <c r="B74" i="78"/>
  <c r="C74" i="78"/>
  <c r="E74" i="78"/>
  <c r="B75" i="78"/>
  <c r="C75" i="78"/>
  <c r="E75" i="78"/>
  <c r="B76" i="78"/>
  <c r="C76" i="78"/>
  <c r="E76" i="78"/>
  <c r="B77" i="78"/>
  <c r="C77" i="78"/>
  <c r="E77" i="78"/>
  <c r="B78" i="78"/>
  <c r="C78" i="78"/>
  <c r="E78" i="78"/>
  <c r="B79" i="78"/>
  <c r="C79" i="78"/>
  <c r="E79" i="78"/>
  <c r="B80" i="78"/>
  <c r="C80" i="78"/>
  <c r="E80" i="78"/>
  <c r="B81" i="78"/>
  <c r="C81" i="78"/>
  <c r="E81" i="78"/>
  <c r="B82" i="78"/>
  <c r="C82" i="78"/>
  <c r="E82" i="78"/>
  <c r="B83" i="78"/>
  <c r="C83" i="78"/>
  <c r="E83" i="78"/>
  <c r="B84" i="78"/>
  <c r="C84" i="78"/>
  <c r="E84" i="78"/>
  <c r="B85" i="78"/>
  <c r="C85" i="78"/>
  <c r="E85" i="78"/>
  <c r="B86" i="78"/>
  <c r="C86" i="78"/>
  <c r="E86" i="78"/>
  <c r="B87" i="78"/>
  <c r="C87" i="78"/>
  <c r="E87" i="78"/>
  <c r="B88" i="78"/>
  <c r="C88" i="78"/>
  <c r="E88" i="78"/>
  <c r="B89" i="78"/>
  <c r="C89" i="78"/>
  <c r="E89" i="78"/>
  <c r="B90" i="78"/>
  <c r="C90" i="78"/>
  <c r="E90" i="78"/>
  <c r="B91" i="78"/>
  <c r="C91" i="78"/>
  <c r="E91" i="78"/>
  <c r="B92" i="78"/>
  <c r="C92" i="78"/>
  <c r="E92" i="78"/>
  <c r="B93" i="78"/>
  <c r="C93" i="78"/>
  <c r="D93" i="78"/>
  <c r="E93" i="78"/>
  <c r="B94" i="78"/>
  <c r="C94" i="78"/>
  <c r="D94" i="78"/>
  <c r="E94" i="78"/>
  <c r="B95" i="78"/>
  <c r="C95" i="78"/>
  <c r="D95" i="78"/>
  <c r="E95" i="78"/>
  <c r="B96" i="78"/>
  <c r="C96" i="78"/>
  <c r="D96" i="78"/>
  <c r="E96" i="78"/>
  <c r="B97" i="78"/>
  <c r="C97" i="78"/>
  <c r="D97" i="78"/>
  <c r="E97" i="78"/>
  <c r="B98" i="78"/>
  <c r="C98" i="78"/>
  <c r="D98" i="78"/>
  <c r="E98" i="78"/>
  <c r="B99" i="78"/>
  <c r="C99" i="78"/>
  <c r="D99" i="78"/>
  <c r="E99" i="78"/>
  <c r="B100" i="78"/>
  <c r="C100" i="78"/>
  <c r="D100" i="78"/>
  <c r="E100" i="78"/>
  <c r="B101" i="78"/>
  <c r="C101" i="78"/>
  <c r="D101" i="78"/>
  <c r="E101" i="78"/>
  <c r="B102" i="78"/>
  <c r="C102" i="78"/>
  <c r="D102" i="78"/>
  <c r="E102" i="78"/>
  <c r="B103" i="78"/>
  <c r="C103" i="78"/>
  <c r="D103" i="78"/>
  <c r="E103" i="78"/>
  <c r="B104" i="78"/>
  <c r="C104" i="78"/>
  <c r="D104" i="78"/>
  <c r="E104" i="78"/>
  <c r="B105" i="78"/>
  <c r="C105" i="78"/>
  <c r="D105" i="78"/>
  <c r="E105" i="78"/>
  <c r="B106" i="78"/>
  <c r="C106" i="78"/>
  <c r="D106" i="78"/>
  <c r="E106" i="78"/>
  <c r="B107" i="78"/>
  <c r="C107" i="78"/>
  <c r="D107" i="78"/>
  <c r="E107" i="78"/>
  <c r="B108" i="78"/>
  <c r="C108" i="78"/>
  <c r="D108" i="78"/>
  <c r="E108" i="78"/>
  <c r="B109" i="78"/>
  <c r="C109" i="78"/>
  <c r="D109" i="78"/>
  <c r="E109" i="78"/>
  <c r="B110" i="78"/>
  <c r="C110" i="78"/>
  <c r="D110" i="78"/>
  <c r="E110" i="78"/>
  <c r="B111" i="78"/>
  <c r="C111" i="78"/>
  <c r="D111" i="78"/>
  <c r="E111" i="78"/>
  <c r="B112" i="78"/>
  <c r="C112" i="78"/>
  <c r="D112" i="78"/>
  <c r="E112" i="78"/>
  <c r="B113" i="78"/>
  <c r="C113" i="78"/>
  <c r="D113" i="78"/>
  <c r="E113" i="78"/>
  <c r="B114" i="78"/>
  <c r="C114" i="78"/>
  <c r="D114" i="78"/>
  <c r="E114" i="78"/>
  <c r="B115" i="78"/>
  <c r="C115" i="78"/>
  <c r="D115" i="78"/>
  <c r="E115" i="78"/>
  <c r="B116" i="78"/>
  <c r="C116" i="78"/>
  <c r="D116" i="78"/>
  <c r="E116" i="78"/>
  <c r="B117" i="78"/>
  <c r="C117" i="78"/>
  <c r="D117" i="78"/>
  <c r="E117" i="78"/>
  <c r="B118" i="78"/>
  <c r="C118" i="78"/>
  <c r="D118" i="78"/>
  <c r="E118" i="78"/>
  <c r="B119" i="78"/>
  <c r="C119" i="78"/>
  <c r="E119" i="78"/>
  <c r="B120" i="78"/>
  <c r="C120" i="78"/>
  <c r="E120" i="78"/>
  <c r="B121" i="78"/>
  <c r="C121" i="78"/>
  <c r="E121" i="78"/>
  <c r="B122" i="78"/>
  <c r="C122" i="78"/>
  <c r="E122" i="78"/>
  <c r="B123" i="78"/>
  <c r="C123" i="78"/>
  <c r="E123" i="78"/>
  <c r="B124" i="78"/>
  <c r="C124" i="78"/>
  <c r="D124" i="78"/>
  <c r="E124" i="78"/>
  <c r="B125" i="78"/>
  <c r="C125" i="78"/>
  <c r="D125" i="78"/>
  <c r="E125" i="78"/>
  <c r="B152" i="78"/>
  <c r="C152" i="78"/>
  <c r="D152" i="78"/>
  <c r="L152" i="78" s="1"/>
  <c r="E152" i="78"/>
  <c r="B153" i="78"/>
  <c r="C153" i="78"/>
  <c r="D153" i="78"/>
  <c r="L153" i="78" s="1"/>
  <c r="E153" i="78"/>
  <c r="E53" i="78"/>
  <c r="C53" i="78"/>
  <c r="B53" i="78"/>
  <c r="D64" i="78"/>
  <c r="D73" i="78"/>
  <c r="D123" i="78"/>
  <c r="D122" i="78"/>
  <c r="D121" i="78"/>
  <c r="D120" i="78"/>
  <c r="D119" i="78"/>
  <c r="D92" i="78"/>
  <c r="D91" i="78"/>
  <c r="D90" i="78"/>
  <c r="D89" i="78"/>
  <c r="D88" i="78"/>
  <c r="D87" i="78"/>
  <c r="D86" i="78"/>
  <c r="D85" i="78"/>
  <c r="D84" i="78"/>
  <c r="D83" i="78"/>
  <c r="D82" i="78"/>
  <c r="D81" i="78"/>
  <c r="D80" i="78"/>
  <c r="D79" i="78"/>
  <c r="D78" i="78"/>
  <c r="D77" i="78"/>
  <c r="D76" i="78"/>
  <c r="D75" i="78"/>
  <c r="D74" i="78"/>
  <c r="D72" i="78"/>
  <c r="D71" i="78"/>
  <c r="D70" i="78"/>
  <c r="D69" i="78"/>
  <c r="D68" i="78"/>
  <c r="D67" i="78"/>
  <c r="D66" i="78"/>
  <c r="D65" i="78"/>
  <c r="D63" i="78"/>
  <c r="D62" i="78"/>
  <c r="D61" i="78"/>
  <c r="D60" i="78"/>
  <c r="D59" i="78"/>
  <c r="D58" i="78"/>
  <c r="D57" i="78"/>
  <c r="D56" i="78"/>
  <c r="D55" i="78"/>
  <c r="D54" i="78"/>
  <c r="D53" i="78"/>
  <c r="A3" i="82"/>
  <c r="A2" i="82"/>
  <c r="A6" i="77"/>
  <c r="A5" i="77"/>
  <c r="H216" i="71"/>
  <c r="H217" i="71" s="1"/>
  <c r="H218" i="71" s="1"/>
  <c r="H219" i="71" s="1"/>
  <c r="H171" i="71"/>
  <c r="H172" i="71" s="1"/>
  <c r="H173" i="71" s="1"/>
  <c r="H174" i="71" s="1"/>
  <c r="H145" i="71"/>
  <c r="H146" i="71" s="1"/>
  <c r="H147" i="71" s="1"/>
  <c r="H148" i="71" s="1"/>
  <c r="H93" i="71"/>
  <c r="H94" i="71" s="1"/>
  <c r="H95" i="71" s="1"/>
  <c r="H96" i="71" s="1"/>
  <c r="H69" i="71"/>
  <c r="H68" i="71"/>
  <c r="H67" i="71"/>
  <c r="H66" i="71"/>
  <c r="H65" i="71"/>
  <c r="H64" i="71"/>
  <c r="H63" i="71"/>
  <c r="H62" i="71"/>
  <c r="H61" i="71"/>
  <c r="H60" i="71"/>
  <c r="H59" i="71"/>
  <c r="H58" i="71"/>
  <c r="H57" i="71"/>
  <c r="H56" i="71"/>
  <c r="H55" i="71"/>
  <c r="H54" i="71"/>
  <c r="H53" i="71"/>
  <c r="H52" i="71"/>
  <c r="H51" i="71"/>
  <c r="H50" i="71"/>
  <c r="H43" i="71"/>
  <c r="H42" i="71"/>
  <c r="H41" i="71"/>
  <c r="H40" i="71"/>
  <c r="H39" i="71"/>
  <c r="H38" i="71"/>
  <c r="H37" i="71"/>
  <c r="H36" i="71"/>
  <c r="H35" i="71"/>
  <c r="H34" i="71"/>
  <c r="H33" i="71"/>
  <c r="H32" i="71"/>
  <c r="H31" i="71"/>
  <c r="H30" i="71"/>
  <c r="H29" i="71"/>
  <c r="H28" i="71"/>
  <c r="H27" i="71"/>
  <c r="H26" i="71"/>
  <c r="H25" i="71"/>
  <c r="H24" i="71"/>
  <c r="H23" i="71"/>
  <c r="H22" i="71"/>
  <c r="H21" i="71"/>
  <c r="H20" i="71"/>
  <c r="H19" i="71"/>
  <c r="H18" i="71"/>
  <c r="H17" i="71"/>
  <c r="H16" i="71"/>
  <c r="H15" i="71"/>
  <c r="H14" i="71"/>
  <c r="H13" i="71"/>
  <c r="H12" i="71"/>
  <c r="H11" i="71"/>
  <c r="H10" i="71"/>
  <c r="H9" i="71"/>
  <c r="H8" i="71"/>
  <c r="E15" i="74"/>
  <c r="E14" i="74"/>
  <c r="E13" i="74"/>
  <c r="E12" i="74" s="1"/>
  <c r="G12" i="74" s="1"/>
  <c r="G249" i="78" l="1"/>
  <c r="G236" i="78"/>
  <c r="G37" i="78"/>
  <c r="G29" i="78"/>
  <c r="G30" i="78"/>
  <c r="G34" i="78"/>
  <c r="G46" i="78"/>
  <c r="G247" i="78"/>
  <c r="G229" i="78"/>
  <c r="G226" i="78"/>
  <c r="G231" i="78"/>
  <c r="G243" i="78"/>
  <c r="G251" i="78"/>
  <c r="G230" i="78"/>
  <c r="G250" i="78"/>
  <c r="G246" i="78"/>
  <c r="G252" i="78"/>
  <c r="G19" i="78"/>
  <c r="G17" i="78"/>
  <c r="G48" i="78"/>
  <c r="G27" i="78"/>
  <c r="G237" i="78"/>
  <c r="G21" i="78"/>
  <c r="G36" i="78"/>
  <c r="G228" i="78"/>
  <c r="G227" i="78"/>
  <c r="G248" i="78"/>
  <c r="G241" i="78"/>
  <c r="G22" i="78"/>
  <c r="G28" i="78"/>
  <c r="G233" i="78"/>
  <c r="G20" i="78"/>
  <c r="G23" i="78"/>
  <c r="G255" i="78"/>
  <c r="G16" i="78"/>
  <c r="G256" i="78"/>
  <c r="G242" i="78"/>
  <c r="G31" i="78"/>
  <c r="G35" i="78"/>
  <c r="G26" i="78"/>
  <c r="G126" i="78"/>
  <c r="G257" i="78" l="1"/>
  <c r="G32" i="78"/>
  <c r="G47" i="78"/>
  <c r="G38" i="78"/>
  <c r="G39" i="78"/>
  <c r="G128" i="78"/>
  <c r="G18" i="78"/>
  <c r="D17" i="82"/>
  <c r="G41" i="78"/>
  <c r="G40" i="78"/>
  <c r="F53" i="78"/>
  <c r="G53" i="78" s="1"/>
  <c r="G28" i="82" l="1"/>
  <c r="N28" i="82"/>
  <c r="G234" i="78"/>
  <c r="G244" i="78"/>
  <c r="G235" i="78"/>
  <c r="G24" i="78"/>
  <c r="G43" i="78"/>
  <c r="G42" i="78"/>
  <c r="G127" i="78"/>
  <c r="G129" i="78"/>
  <c r="F54" i="78"/>
  <c r="G54" i="78" s="1"/>
  <c r="G238" i="78" l="1"/>
  <c r="G245" i="78"/>
  <c r="G253" i="78" s="1"/>
  <c r="G130" i="78"/>
  <c r="F55" i="78"/>
  <c r="G55" i="78" s="1"/>
  <c r="G258" i="78" l="1"/>
  <c r="E17" i="77" s="1"/>
  <c r="G45" i="78"/>
  <c r="G44" i="78"/>
  <c r="G131" i="78"/>
  <c r="F56" i="78"/>
  <c r="G56" i="78" s="1"/>
  <c r="G17" i="82" l="1"/>
  <c r="F9" i="78" s="1"/>
  <c r="G9" i="78" s="1"/>
  <c r="E10" i="77" s="1"/>
  <c r="G49" i="78"/>
  <c r="G50" i="78" s="1"/>
  <c r="E15" i="77" s="1"/>
  <c r="G132" i="78"/>
  <c r="F57" i="78"/>
  <c r="G57" i="78" s="1"/>
  <c r="E9" i="74" l="1"/>
  <c r="F10" i="78"/>
  <c r="G10" i="78" s="1"/>
  <c r="G133" i="78"/>
  <c r="F58" i="78"/>
  <c r="G58" i="78" s="1"/>
  <c r="E11" i="77" l="1"/>
  <c r="E10" i="74"/>
  <c r="G134" i="78"/>
  <c r="F59" i="78"/>
  <c r="G59" i="78" s="1"/>
  <c r="G135" i="78" l="1"/>
  <c r="F60" i="78"/>
  <c r="G60" i="78" s="1"/>
  <c r="F61" i="78" l="1"/>
  <c r="G61" i="78" s="1"/>
  <c r="G136" i="78"/>
  <c r="G137" i="78" l="1"/>
  <c r="F62" i="78"/>
  <c r="G62" i="78" s="1"/>
  <c r="F63" i="78" l="1"/>
  <c r="G63" i="78" s="1"/>
  <c r="G138" i="78"/>
  <c r="G139" i="78" l="1"/>
  <c r="F64" i="78"/>
  <c r="G64" i="78" s="1"/>
  <c r="F65" i="78" l="1"/>
  <c r="G65" i="78" s="1"/>
  <c r="G140" i="78"/>
  <c r="F66" i="78" l="1"/>
  <c r="G66" i="78" s="1"/>
  <c r="G141" i="78"/>
  <c r="E11" i="74"/>
  <c r="E8" i="74" s="1"/>
  <c r="E16" i="74" s="1"/>
  <c r="E17" i="74" s="1"/>
  <c r="E18" i="74" s="1"/>
  <c r="B19" i="74" s="1"/>
  <c r="G43" i="82"/>
  <c r="F11" i="78" s="1"/>
  <c r="G11" i="78" s="1"/>
  <c r="G12" i="78" s="1"/>
  <c r="F67" i="78" l="1"/>
  <c r="G67" i="78" s="1"/>
  <c r="G142" i="78"/>
  <c r="E12" i="77"/>
  <c r="E13" i="77" s="1"/>
  <c r="G143" i="78" l="1"/>
  <c r="F68" i="78"/>
  <c r="G68" i="78" s="1"/>
  <c r="F69" i="78" l="1"/>
  <c r="G69" i="78" s="1"/>
  <c r="G144" i="78"/>
  <c r="F70" i="78" l="1"/>
  <c r="G70" i="78" s="1"/>
  <c r="G145" i="78"/>
  <c r="F71" i="78" l="1"/>
  <c r="G71" i="78" s="1"/>
  <c r="G146" i="78"/>
  <c r="G147" i="78" l="1"/>
  <c r="F72" i="78"/>
  <c r="G72" i="78" s="1"/>
  <c r="G148" i="78" l="1"/>
  <c r="F73" i="78"/>
  <c r="G73" i="78" s="1"/>
  <c r="F74" i="78" l="1"/>
  <c r="G74" i="78" s="1"/>
  <c r="G149" i="78"/>
  <c r="G150" i="78" l="1"/>
  <c r="F75" i="78"/>
  <c r="G75" i="78" s="1"/>
  <c r="G151" i="78" l="1"/>
  <c r="G154" i="78" s="1"/>
  <c r="F76" i="78"/>
  <c r="G76" i="78" s="1"/>
  <c r="G156" i="78" l="1"/>
  <c r="F153" i="78"/>
  <c r="G153" i="78" s="1"/>
  <c r="F77" i="78"/>
  <c r="G77" i="78" s="1"/>
  <c r="F152" i="78"/>
  <c r="G152" i="78" s="1"/>
  <c r="G157" i="78" l="1"/>
  <c r="F78" i="78"/>
  <c r="G78" i="78" s="1"/>
  <c r="G158" i="78" l="1"/>
  <c r="F79" i="78"/>
  <c r="G79" i="78" s="1"/>
  <c r="G159" i="78" l="1"/>
  <c r="F80" i="78"/>
  <c r="G80" i="78" s="1"/>
  <c r="G160" i="78" l="1"/>
  <c r="F81" i="78"/>
  <c r="G81" i="78" s="1"/>
  <c r="G161" i="78" l="1"/>
  <c r="F82" i="78"/>
  <c r="G82" i="78" s="1"/>
  <c r="G162" i="78" l="1"/>
  <c r="F83" i="78"/>
  <c r="G83" i="78" s="1"/>
  <c r="G163" i="78" l="1"/>
  <c r="F84" i="78"/>
  <c r="G84" i="78" s="1"/>
  <c r="G164" i="78" l="1"/>
  <c r="F85" i="78"/>
  <c r="G85" i="78" s="1"/>
  <c r="G165" i="78" l="1"/>
  <c r="F86" i="78"/>
  <c r="G86" i="78" s="1"/>
  <c r="G166" i="78" l="1"/>
  <c r="F87" i="78"/>
  <c r="G87" i="78" s="1"/>
  <c r="G167" i="78" l="1"/>
  <c r="F88" i="78"/>
  <c r="G88" i="78" s="1"/>
  <c r="G168" i="78" l="1"/>
  <c r="F89" i="78"/>
  <c r="G89" i="78" s="1"/>
  <c r="G169" i="78" l="1"/>
  <c r="F90" i="78"/>
  <c r="G90" i="78" s="1"/>
  <c r="G170" i="78" l="1"/>
  <c r="F91" i="78"/>
  <c r="G91" i="78" s="1"/>
  <c r="G171" i="78" l="1"/>
  <c r="F92" i="78"/>
  <c r="G92" i="78" s="1"/>
  <c r="G172" i="78" l="1"/>
  <c r="F93" i="78"/>
  <c r="G93" i="78" s="1"/>
  <c r="F94" i="78" l="1"/>
  <c r="G94" i="78" s="1"/>
  <c r="F95" i="78" l="1"/>
  <c r="G95" i="78" s="1"/>
  <c r="F96" i="78" l="1"/>
  <c r="G96" i="78" s="1"/>
  <c r="G173" i="78" l="1"/>
  <c r="F97" i="78"/>
  <c r="G97" i="78" s="1"/>
  <c r="G174" i="78" l="1"/>
  <c r="F98" i="78"/>
  <c r="G98" i="78" s="1"/>
  <c r="G175" i="78" l="1"/>
  <c r="F99" i="78"/>
  <c r="G99" i="78" s="1"/>
  <c r="G176" i="78" l="1"/>
  <c r="F100" i="78"/>
  <c r="G100" i="78" s="1"/>
  <c r="G177" i="78" l="1"/>
  <c r="F101" i="78"/>
  <c r="G101" i="78" s="1"/>
  <c r="G178" i="78" l="1"/>
  <c r="F102" i="78"/>
  <c r="G102" i="78" s="1"/>
  <c r="G179" i="78" l="1"/>
  <c r="F103" i="78"/>
  <c r="G103" i="78" s="1"/>
  <c r="G180" i="78" l="1"/>
  <c r="F104" i="78"/>
  <c r="G104" i="78" s="1"/>
  <c r="G181" i="78" l="1"/>
  <c r="F105" i="78"/>
  <c r="G105" i="78" s="1"/>
  <c r="G182" i="78" l="1"/>
  <c r="F106" i="78"/>
  <c r="G106" i="78" s="1"/>
  <c r="F107" i="78" l="1"/>
  <c r="G107" i="78" s="1"/>
  <c r="F108" i="78" l="1"/>
  <c r="G108" i="78" s="1"/>
  <c r="F109" i="78" l="1"/>
  <c r="G109" i="78" s="1"/>
  <c r="F110" i="78" l="1"/>
  <c r="G110" i="78" s="1"/>
  <c r="F111" i="78" l="1"/>
  <c r="G111" i="78" s="1"/>
  <c r="F112" i="78" l="1"/>
  <c r="G112" i="78" s="1"/>
  <c r="G183" i="78" l="1"/>
  <c r="F113" i="78"/>
  <c r="G113" i="78" s="1"/>
  <c r="G184" i="78" l="1"/>
  <c r="F114" i="78"/>
  <c r="G114" i="78" s="1"/>
  <c r="F115" i="78" l="1"/>
  <c r="G115" i="78" s="1"/>
  <c r="G185" i="78" l="1"/>
  <c r="F116" i="78"/>
  <c r="G116" i="78" s="1"/>
  <c r="F117" i="78" l="1"/>
  <c r="G117" i="78" s="1"/>
  <c r="G186" i="78" l="1"/>
  <c r="F118" i="78"/>
  <c r="G118" i="78" s="1"/>
  <c r="G187" i="78" l="1"/>
  <c r="F119" i="78"/>
  <c r="G119" i="78" s="1"/>
  <c r="G188" i="78" l="1"/>
  <c r="F120" i="78"/>
  <c r="G120" i="78" s="1"/>
  <c r="F121" i="78" l="1"/>
  <c r="G121" i="78" s="1"/>
  <c r="F122" i="78" l="1"/>
  <c r="G122" i="78" s="1"/>
  <c r="F123" i="78" l="1"/>
  <c r="G123" i="78" s="1"/>
  <c r="F124" i="78" l="1"/>
  <c r="G124" i="78" s="1"/>
  <c r="F125" i="78"/>
  <c r="G125" i="78" s="1"/>
  <c r="G189" i="78" l="1"/>
  <c r="G190" i="78" l="1"/>
  <c r="G196" i="78" l="1"/>
  <c r="G197" i="78" l="1"/>
  <c r="G198" i="78" s="1"/>
  <c r="G200" i="78" l="1"/>
  <c r="G201" i="78" l="1"/>
  <c r="G202" i="78" l="1"/>
  <c r="G203" i="78" l="1"/>
  <c r="G204" i="78" l="1"/>
  <c r="G205" i="78" l="1"/>
  <c r="G207" i="78" l="1"/>
  <c r="G206" i="78"/>
  <c r="G208" i="78" l="1"/>
  <c r="G209" i="78" l="1"/>
  <c r="G210" i="78" l="1"/>
  <c r="G211" i="78" l="1"/>
  <c r="G212" i="78" l="1"/>
  <c r="G213" i="78" l="1"/>
  <c r="G214" i="78" l="1"/>
  <c r="G217" i="78" l="1"/>
  <c r="G218" i="78" l="1"/>
  <c r="G219" i="78" l="1"/>
  <c r="G220" i="78" l="1"/>
  <c r="G221" i="78"/>
  <c r="G222" i="78" l="1"/>
  <c r="G223" i="78" s="1"/>
  <c r="G259" i="78" l="1"/>
  <c r="G260" i="78" s="1"/>
  <c r="G261" i="78" s="1"/>
  <c r="G262" i="78" s="1"/>
  <c r="G263" i="78" s="1"/>
  <c r="E16" i="77"/>
  <c r="E18" i="77" s="1"/>
  <c r="E19" i="77" l="1"/>
  <c r="E20" i="77" s="1"/>
  <c r="E21" i="77" s="1"/>
  <c r="E22" i="77" s="1"/>
  <c r="H22" i="77" s="1"/>
  <c r="A24" i="77" l="1"/>
</calcChain>
</file>

<file path=xl/sharedStrings.xml><?xml version="1.0" encoding="utf-8"?>
<sst xmlns="http://schemas.openxmlformats.org/spreadsheetml/2006/main" count="2202" uniqueCount="639">
  <si>
    <t>NO.</t>
  </si>
  <si>
    <t>URAIAN</t>
  </si>
  <si>
    <t>VOLUME</t>
  </si>
  <si>
    <t>No</t>
  </si>
  <si>
    <t>Satuan</t>
  </si>
  <si>
    <t>NO</t>
  </si>
  <si>
    <t>SATUAN</t>
  </si>
  <si>
    <t>Biaya Handy Talky</t>
  </si>
  <si>
    <t>Total</t>
  </si>
  <si>
    <t>unit</t>
  </si>
  <si>
    <t>Safety Officer (AStM)</t>
  </si>
  <si>
    <t>Electrical Engineer</t>
  </si>
  <si>
    <t>Mechanical Engineer</t>
  </si>
  <si>
    <t>Supervisi Shift</t>
  </si>
  <si>
    <t>D3 Adm, 1 thn; SMK, 3 thn</t>
  </si>
  <si>
    <t>Helper Shift</t>
  </si>
  <si>
    <t>Helper Non Shift</t>
  </si>
  <si>
    <t>Unit</t>
  </si>
  <si>
    <t>SAT</t>
  </si>
  <si>
    <t>Majun</t>
  </si>
  <si>
    <t>kg</t>
  </si>
  <si>
    <t>Silicon</t>
  </si>
  <si>
    <t>WD 40</t>
  </si>
  <si>
    <t>Contact Cleaner</t>
  </si>
  <si>
    <t>I</t>
  </si>
  <si>
    <t>II</t>
  </si>
  <si>
    <t>III</t>
  </si>
  <si>
    <t>Sewa Kendaraan</t>
  </si>
  <si>
    <t>Dokumentasi dan Pelaporan</t>
  </si>
  <si>
    <t>Pakaian Kerja Karyawan</t>
  </si>
  <si>
    <t xml:space="preserve">Asuransi Karyawan </t>
  </si>
  <si>
    <t>HARGA SATUAN</t>
  </si>
  <si>
    <t>JUMLAH HARGA                   (1 BULAN)</t>
  </si>
  <si>
    <t>(Rp.)</t>
  </si>
  <si>
    <t>BIAYA PERSONIL</t>
  </si>
  <si>
    <t>Man-Month</t>
  </si>
  <si>
    <t>JUMLAH I (BIAYA PERSONEL)</t>
  </si>
  <si>
    <t>BIAYA CONSUMABLE GOODS</t>
  </si>
  <si>
    <t>Sarung Tangan</t>
  </si>
  <si>
    <t>Detergen/ Sabun Ijo</t>
  </si>
  <si>
    <t xml:space="preserve">Brus kawat </t>
  </si>
  <si>
    <t>Batu Gerinda</t>
  </si>
  <si>
    <t>JUMLAH II (BIAYA CONSUMABLE GOODS)</t>
  </si>
  <si>
    <t>BIAYA PENUNJANG</t>
  </si>
  <si>
    <t>JUMLAH III (BIAYA PENUNJANG)</t>
  </si>
  <si>
    <t>PPN 10%</t>
  </si>
  <si>
    <t>pcs</t>
  </si>
  <si>
    <t>ltr</t>
  </si>
  <si>
    <t>Wire Rope Hoist @485M 28mm 6x36WS + IWRC1770 ZS Merk Bluestrand</t>
  </si>
  <si>
    <t>kali</t>
  </si>
  <si>
    <t>TOTAL</t>
  </si>
  <si>
    <t>Set</t>
  </si>
  <si>
    <t>Pcs</t>
  </si>
  <si>
    <t>Oli Gearbox (for Hoist, Trolley, ACM motor, and Gantry)</t>
  </si>
  <si>
    <t>Oli Hidrolik</t>
  </si>
  <si>
    <t>Silicon Grease (for Cable Basket)</t>
  </si>
  <si>
    <t xml:space="preserve">Soft Silicon based grease,oxidation resistant, Temp. -65 to +177 </t>
  </si>
  <si>
    <t>T28041785</t>
  </si>
  <si>
    <t>A 295558118</t>
  </si>
  <si>
    <t>T28040722</t>
  </si>
  <si>
    <t>T22037945</t>
  </si>
  <si>
    <t>set</t>
  </si>
  <si>
    <t>pc</t>
  </si>
  <si>
    <t>Motor Protection Switch</t>
  </si>
  <si>
    <t>GV2 P07 Telemecanique</t>
  </si>
  <si>
    <t>GV2 P14 Telemecanique</t>
  </si>
  <si>
    <t>GV2 P20 Telemecanique</t>
  </si>
  <si>
    <t>GV2 P10 Telemecanique</t>
  </si>
  <si>
    <t>Limit Switch</t>
  </si>
  <si>
    <t>ZCK-J1H29 Telemecanique</t>
  </si>
  <si>
    <t>ZCK-J404H29 Telemecanique</t>
  </si>
  <si>
    <t>ZCK-J1D Telemecanique</t>
  </si>
  <si>
    <t>Limit Switch Adjustable lever</t>
  </si>
  <si>
    <t>ZCK-Y41 Telemecanique</t>
  </si>
  <si>
    <t>ZCK-Y43 Telemecanique</t>
  </si>
  <si>
    <t>ZCK-Y59 Telemecanique</t>
  </si>
  <si>
    <t>Limit Switch Operator head</t>
  </si>
  <si>
    <t>ZCK-E05 Telemecanique</t>
  </si>
  <si>
    <t>Magnetic Limit Switch</t>
  </si>
  <si>
    <t>BN 20-RZ Schmersal</t>
  </si>
  <si>
    <t>Off-Delay Timer</t>
  </si>
  <si>
    <t>LADR0 Telemecanique</t>
  </si>
  <si>
    <t>LADR4 Telemecanique</t>
  </si>
  <si>
    <t>Mushroom Push Button</t>
  </si>
  <si>
    <t>XB4-BS542 Schneider</t>
  </si>
  <si>
    <t>On-Delay Timer</t>
  </si>
  <si>
    <t>LADT0 Telemecanique</t>
  </si>
  <si>
    <t>Pendant Controller</t>
  </si>
  <si>
    <t>XAC-A08 Telemecanique</t>
  </si>
  <si>
    <t>Relay</t>
  </si>
  <si>
    <t>Relay Socket</t>
  </si>
  <si>
    <t>P2RF-05-E Omron</t>
  </si>
  <si>
    <t>P2RF-08-E Omron</t>
  </si>
  <si>
    <t>Rubber Pushbutton</t>
  </si>
  <si>
    <t>XAC-A9412  (2-speed) Telemecanique</t>
  </si>
  <si>
    <t>Selector Switch</t>
  </si>
  <si>
    <t>XB5-AD21 Telemecanique</t>
  </si>
  <si>
    <t>XB4-BD21 Telemecanique</t>
  </si>
  <si>
    <t>XB4-BK123B5 Telemecanique</t>
  </si>
  <si>
    <t xml:space="preserve">MY2N 24 VDC Omron </t>
  </si>
  <si>
    <t xml:space="preserve">MY4N 220 VAC Omron </t>
  </si>
  <si>
    <t xml:space="preserve">MY2N 220 VAC Omron </t>
  </si>
  <si>
    <t xml:space="preserve">MY4N 24 VDC Omron </t>
  </si>
  <si>
    <t>Protection Element</t>
  </si>
  <si>
    <t>FLM Modul 008098300249 Pintch Bubenzer</t>
  </si>
  <si>
    <t>BN 20-11RZ Schmersal</t>
  </si>
  <si>
    <t>AIR BREATHER</t>
  </si>
  <si>
    <t>1622-14-06-00</t>
  </si>
  <si>
    <t>LIMIT SWITCH</t>
  </si>
  <si>
    <t>XCKJ4046H29S41</t>
  </si>
  <si>
    <t>XCSPL552</t>
  </si>
  <si>
    <t>INDICATING LIGHT+HORN</t>
  </si>
  <si>
    <t>PNC-0028</t>
  </si>
  <si>
    <t>ZCKJ1H29</t>
  </si>
  <si>
    <t>OPERATING HEAD</t>
  </si>
  <si>
    <t>ZCKE056</t>
  </si>
  <si>
    <t>Sensor IIKC022-ASKG/US</t>
  </si>
  <si>
    <t>Stinis PN-7110-0030-0120</t>
  </si>
  <si>
    <t>Sensor IIKC012BASKG/US</t>
  </si>
  <si>
    <t>Stinis PN-7110-0030-0110</t>
  </si>
  <si>
    <t>JUMLAH II</t>
  </si>
  <si>
    <t>Shockabsorber</t>
  </si>
  <si>
    <t>T21041188</t>
  </si>
  <si>
    <t>Bellow</t>
  </si>
  <si>
    <t>T24095165</t>
  </si>
  <si>
    <t>Rubber Bush</t>
  </si>
  <si>
    <t>T24096527</t>
  </si>
  <si>
    <t>Pillar Bolt</t>
  </si>
  <si>
    <t>T24095562</t>
  </si>
  <si>
    <t xml:space="preserve">Lock Nut </t>
  </si>
  <si>
    <t>T26040248</t>
  </si>
  <si>
    <t>Wiper Arm 700mm</t>
  </si>
  <si>
    <t>A100-66552</t>
  </si>
  <si>
    <t>Wiper Blade 700mm</t>
  </si>
  <si>
    <t>A100-66503</t>
  </si>
  <si>
    <t>Flasher Unit</t>
  </si>
  <si>
    <t>T25053410</t>
  </si>
  <si>
    <t xml:space="preserve">Relay </t>
  </si>
  <si>
    <t>T25052420</t>
  </si>
  <si>
    <t>Wheel Bolt</t>
  </si>
  <si>
    <t>V20515515</t>
  </si>
  <si>
    <t>T18081158</t>
  </si>
  <si>
    <t>Wheel Nut</t>
  </si>
  <si>
    <t xml:space="preserve">T18082037 </t>
  </si>
  <si>
    <t>Fuel Feeler Cap</t>
  </si>
  <si>
    <t xml:space="preserve">T13017439 </t>
  </si>
  <si>
    <t>Motor starter</t>
  </si>
  <si>
    <t>CU5282841</t>
  </si>
  <si>
    <t>Alternator</t>
  </si>
  <si>
    <t>CU5363431</t>
  </si>
  <si>
    <t>OWNER ESTIMATE (OE)</t>
  </si>
  <si>
    <t>PEKERJAAN PEMELIHARAAN CONTAINER CRANE DAN HARBOUR MOBILE CRANE DI BICT DAN TPKDB</t>
  </si>
  <si>
    <t>VOL</t>
  </si>
  <si>
    <t>NILAI</t>
  </si>
  <si>
    <t>Lumpsump Pemeliharaan Ship To Shore (STS) Crane di PTP</t>
  </si>
  <si>
    <t>Ls</t>
  </si>
  <si>
    <t>Personil</t>
  </si>
  <si>
    <t>Consumble Goods</t>
  </si>
  <si>
    <t>Penunjang</t>
  </si>
  <si>
    <t>Consumble Part, Spare Part, dan Pekerjaan Tambahan</t>
  </si>
  <si>
    <t>Consumble Part</t>
  </si>
  <si>
    <t>Spare Part</t>
  </si>
  <si>
    <t>Pekerjaan Tambahan</t>
  </si>
  <si>
    <t>TOTAL NILAI KONTRAK</t>
  </si>
  <si>
    <t>GRAND TOTAL</t>
  </si>
  <si>
    <t>Terbilang :</t>
  </si>
  <si>
    <t>Medan,                                      2019</t>
  </si>
  <si>
    <t>Jasa Cleaning Alat</t>
  </si>
  <si>
    <t>Pc</t>
  </si>
  <si>
    <t xml:space="preserve">Rekondisi  Shaft Drat Trimlist </t>
  </si>
  <si>
    <t>Rekondisi As Skewing</t>
  </si>
  <si>
    <t>Repair As Skewing</t>
  </si>
  <si>
    <t>Rewinding Motor Fan Hoist</t>
  </si>
  <si>
    <t>Rewinding Motor Spreader</t>
  </si>
  <si>
    <t>Bulan : FEBRUARI 2018</t>
  </si>
  <si>
    <t xml:space="preserve">ITEM </t>
  </si>
  <si>
    <t>ALAT</t>
  </si>
  <si>
    <t>HARGA NEGOSIASI</t>
  </si>
  <si>
    <t>HARGA SATUAN NEGOSIASI</t>
  </si>
  <si>
    <t>HARGA SETELAH NEGOSIASI</t>
  </si>
  <si>
    <t>CONSUMABLE &amp; SPAREPART</t>
  </si>
  <si>
    <t>Roller Cable Festoon Trolley 100 x 25 mm (Rekondisi Penggantian Rubber)</t>
  </si>
  <si>
    <t>CC.07</t>
  </si>
  <si>
    <t>Hose Line 2SN DN 16 DIN/EN 853 - SAE 100 R2AT 5/8" - 250 BAR FLAME RESISTANT, Panjang : 75cm, Merk SUNFLEX</t>
  </si>
  <si>
    <t>Rubber Dumper Cable Festoon 60 mm x 80 mm Lokal</t>
  </si>
  <si>
    <t>Roller Cable Festoon Trolley 60 x 20 mm (Rekondisi Penggantian Rubber)</t>
  </si>
  <si>
    <t>Kanvas Brake Trolley (Rekondisi penggantian kanvas)</t>
  </si>
  <si>
    <t>CC.08</t>
  </si>
  <si>
    <t>Hose Line 2SN DN12 DIN/EN853 - SAE 100 R2AT 1/2Inch BAR RESISTANT, Panjang : 1 meter  Merk SUNFLEX</t>
  </si>
  <si>
    <t>Bearing PN 1C-6202 ZZ, Merek Ichidai</t>
  </si>
  <si>
    <t>Seal Shaft fan cooling</t>
  </si>
  <si>
    <t>Cylinder Twistlock BR 74147 Merek Bromma</t>
  </si>
  <si>
    <t>Seal Motor Flipper PN : TTO E406, tc 40,54,8, in : 35mm, Øout: 55mm, tebal : 5mm, Merk NOK</t>
  </si>
  <si>
    <t>Ring Piston Type : 201.8&amp;3, Ø120mm, Merek Puma</t>
  </si>
  <si>
    <t>Ring Oil Type : 201.8&amp;3, Ø60mm, Merek Puma</t>
  </si>
  <si>
    <t>Roller Safety Wirerope Hoist  Size Flange : Ø 135mm x 9mm. Hole : Ø 8mm x 6 Pcs x 2, Bar : Ø 100 mm x P = 370 mm, Lokal</t>
  </si>
  <si>
    <t>CC.09</t>
  </si>
  <si>
    <t>Hose Line EN 853 SAE 100R2AT 1.D. 1/2" W.P.:27.5MPa 3990 Psi B.P.: 110MPa 15950 Psi Flame Resistant 8Y16, Panjang 170cm, Merk TYFLEX</t>
  </si>
  <si>
    <t>Rubber Ring Crane Maintenance Øout 50 mm x Øin 20mm x t : 30mm, Lokal</t>
  </si>
  <si>
    <t>Starting Motor EL PN : 207-1562, Merek CAT</t>
  </si>
  <si>
    <t>CC.10</t>
  </si>
  <si>
    <t>Engsel Pintu 3 Inchi</t>
  </si>
  <si>
    <t>Deep Sea Electronics DSE 7310 MKII, Merk Deep Sea</t>
  </si>
  <si>
    <t>AC Split 2 PK, Indoor : FTNE60JEV14, Outdoor : RNE60JEV14 Merk Daikin</t>
  </si>
  <si>
    <t xml:space="preserve"> - Braket AC </t>
  </si>
  <si>
    <t xml:space="preserve"> - Pipa AC  1/4 Inchi</t>
  </si>
  <si>
    <t>Meter</t>
  </si>
  <si>
    <t xml:space="preserve"> - Pipa AC  5/8 Inchi</t>
  </si>
  <si>
    <t>Spherical Washer 41683 Merek Bromma</t>
  </si>
  <si>
    <t>Guide Block Twistlock PN. 1000430 Merek Bromma</t>
  </si>
  <si>
    <t>Hose Line Gantry 2SN DN12 DIN/EN853 - SAE 100 R2AT 1/2Ich BAR RESISTANT, Panjang : 0.7m Merk SUNFLEX</t>
  </si>
  <si>
    <t>CC.11</t>
  </si>
  <si>
    <t>Hose Line Gantry 2SN DN12 DIN/EN853 - SAE 100 R2AT 1/2Ich BAR RESISTANT, Panjang : 1.6m Merk SUNFLEX</t>
  </si>
  <si>
    <t>Penambahan Freon AC</t>
  </si>
  <si>
    <t>AVR PN : E000-23212/1P Merek STAMFORD</t>
  </si>
  <si>
    <t>Bulan : MARET 2018</t>
  </si>
  <si>
    <t>Bearing PN 6212 ZZ/5K, Merek NTN</t>
  </si>
  <si>
    <t>Seal Shaft  Ø 58 x 62 x 10mm</t>
  </si>
  <si>
    <t>Lock Pin Cylinder BR 74147 Merek Bromma</t>
  </si>
  <si>
    <t>Fitting Lampu E40 15A 250V</t>
  </si>
  <si>
    <t>Roll</t>
  </si>
  <si>
    <t>Digital Output Module 6ES7-322-1HH01-OAAO, Merek Siemens</t>
  </si>
  <si>
    <t>Fuel Filter PN : FF 5052 / FF 42000 Merk. Fleetguard</t>
  </si>
  <si>
    <t>Fuel Separator PN : FS 1280 Fleetguard</t>
  </si>
  <si>
    <t>Lube Filter PN : LF 3349 Fleetguard</t>
  </si>
  <si>
    <t>Rubber Gantry ø in : 42 mm, ø out : 98 mm LOKAL</t>
  </si>
  <si>
    <t>Ignitor SN 56 Philips</t>
  </si>
  <si>
    <t>Battery Lithium CR123, 3 V, Merek Panasonic</t>
  </si>
  <si>
    <t>Bulan : APRIL 2018</t>
  </si>
  <si>
    <t>Seal Motor Flipper PN : TTO E406, TC 40.54.8 in : 35mm, Øout: 55mm, tebal : 5mm, Merk NOK</t>
  </si>
  <si>
    <t>Hose Line 2SN 4 DN 6 SAE100 R2AT 1/4" WP 400 BAR 5805 PSI BP 23220PSI GL Flame Resistant, panjang 160cm, Merek RIVAFLEX</t>
  </si>
  <si>
    <t>Service AC Cabin Tally</t>
  </si>
  <si>
    <t>Hose Line EN 853 SAE 100r2at I.D 3/8" W.P.: 33MPa 4790PSi B.P.: Mpa 19140 Psi FLAME RESISTANT 8Y16, Panjang 530cm, Merek TYFLEX</t>
  </si>
  <si>
    <t>Lampu SON-T 1000W/220 E40, Merek Philips</t>
  </si>
  <si>
    <t>Rubber Dumper Gantry Crane Maintenance Service Ø100 mm x t : 100mm, Lokal</t>
  </si>
  <si>
    <t>Baterai Engine 190 H52 - N200 12V 200 AH Merk YUASA</t>
  </si>
  <si>
    <t>JUMLAH I + II</t>
  </si>
  <si>
    <t>PPN 10 %</t>
  </si>
  <si>
    <t>Bulan : MEI 2018</t>
  </si>
  <si>
    <t>Hose Line 2SN 4 DN 6 SAE100 R2AT 1/4" WP 400 BAR 5805 PSI BP 23220PSI GL FLAME RESISTANT, panjang 160cm, Merek Rivaflex</t>
  </si>
  <si>
    <t>Bearing A47 A150 INA SL04 5032 PP GERMANY 72/E0820, Merek INA (Complete with snap ring &amp; seal)</t>
  </si>
  <si>
    <t>Engine Oil Filter Pn. 1R-1808, Merek CAT</t>
  </si>
  <si>
    <t>Fuel Filter Pn. 1R-0749, Merek CAT</t>
  </si>
  <si>
    <t>Fuel Filter Water Separator Pn. 326-1641, Merek CAT</t>
  </si>
  <si>
    <t>Hose Line EN 853 SAE 100R2AT I.D 3/8" W.P.: 33MPa 4790PSi Flame Resistant 8Y16, Panjang 530cm, Merek Tyflex</t>
  </si>
  <si>
    <t>Extra Mic Radio HMN3413A, Merek Motorola</t>
  </si>
  <si>
    <t>Hose Line 2SN DN12 DIN/EN853 - SAE 100 R2AT 1/2" BAR Resistant, Panjang : 1 Meter, Merek Sunflex</t>
  </si>
  <si>
    <t>Penggantian AC Ruang Electric</t>
  </si>
  <si>
    <t>Baterai Engine 190 H52 - N200 12 V 200 AH, Merek Yuasa</t>
  </si>
  <si>
    <t>Ignitor SN 56, Merek Philips</t>
  </si>
  <si>
    <t>Proximity Switch 24 VDC : M30 ; 15mm : 115910, PN : IIA3015BBPKG/US, Merek IFM</t>
  </si>
  <si>
    <t>ET 200 6ES7 153-1AA03-0XB0, Merek Siemens</t>
  </si>
  <si>
    <t>Lock Pin Cylinder BR 74147, Merek Bromma</t>
  </si>
  <si>
    <t>AVR PN : E000-23212/1P, Merek Stamford</t>
  </si>
  <si>
    <t>Varistor P8 Z500PS 25/15-1, Merek Stamford</t>
  </si>
  <si>
    <t>Bulan : JUNI 2018</t>
  </si>
  <si>
    <t>Rubber Rope JO-19-1116 19 mm x 13mm @4.3m, Merek ZPMC</t>
  </si>
  <si>
    <t>Hose Line EN 853 SAE 100R2AT 1.D. 1/2" W.P.:27.5MPa PSI FLAME RESISTANT 8Y16, Panjang 170cm Merek TYFLEX</t>
  </si>
  <si>
    <t>Gear Motor Flipper PN 54463 Merk Bromma</t>
  </si>
  <si>
    <t>Dioda Rectifier BB0009 Merk Pintsch Bubenzer</t>
  </si>
  <si>
    <t>- Varistor P8 Z500 PS 25/15-1, Merek Stamport</t>
  </si>
  <si>
    <t>Bulan : JULI 2018</t>
  </si>
  <si>
    <t xml:space="preserve">Motherboard LGA 775 G31LM Merek Amptron </t>
  </si>
  <si>
    <t>Bearing PN 6209 ZZ, Merek NTN</t>
  </si>
  <si>
    <t>Seal Shaft Output Motor PN F245, Merek NOK</t>
  </si>
  <si>
    <t>Lampu TL 40/36 Watt, Merek Philips</t>
  </si>
  <si>
    <t>Starter 110V : 30-40W, 220 : 4-80W, Merek Philips</t>
  </si>
  <si>
    <t>Cable Grounding Ø4mm, panjang 1 meter</t>
  </si>
  <si>
    <t xml:space="preserve">Air Filter Element 4P-0710 Merek CAT </t>
  </si>
  <si>
    <t>Hose Line  EN 853 SAE 100R2AT 1.D. 1/2" W.P.:27.5MPa PSI FLAME RESISTANT 8Y16, Panjang 170cm Merek TYFLEX</t>
  </si>
  <si>
    <t>Bearing A47 A150 INA SL04 5032 PP GERMANY 72/E0820 Merk INA (Complete with Snap ring &amp; Seal)</t>
  </si>
  <si>
    <t>Service Kompressor Air Stater Main Engine CW 320/30, 3,3 Mpa, Free Air Delivery 1,2 m3/min, Rated Pressure 3,0 Mpa, Motor Power 15 Kw, Speed 800 r/min</t>
  </si>
  <si>
    <t xml:space="preserve">- Packing Tumbo </t>
  </si>
  <si>
    <t>- Ring Oil Type 201,8 &amp;3, 120mm, Puma</t>
  </si>
  <si>
    <t>- Ring Press Type : 201,8 &amp;3, 60mm, Puma</t>
  </si>
  <si>
    <t>- Ring Oil t = 4mm, dia.in = 61,5mm, dia.out = 68mm, Puma</t>
  </si>
  <si>
    <t>- Ring Press t = 2,5mm, dia.in 6,5mm, dia.out = 68mm, Puma</t>
  </si>
  <si>
    <t>- Hose Line DIN EN 853 2SN.DN19 SAE 100R2AT, P = 1 Meter, dia = 1 Inch SUNFLEX</t>
  </si>
  <si>
    <t>- V-Belt Compressor Engine B82, panjang 2 Meter, Mitsuboshi</t>
  </si>
  <si>
    <t>Service Motor Fan Radiator Main Engine M2QA280S6A IEC. 280575 690V, 60Hz, 45Kw, 1185r/min, 46, 8A, Cos@:0,87, Merek ABB</t>
  </si>
  <si>
    <t>Rubber Mounting Junction Box Spreader 30 mm x 22 mm Lokal</t>
  </si>
  <si>
    <t xml:space="preserve">Penggantian AC Ruang Electric </t>
  </si>
  <si>
    <t>Cable Grounding Ø4mm, panjang 50 cm</t>
  </si>
  <si>
    <t>Service Motor Crane Maintenance</t>
  </si>
  <si>
    <t>Hose Line  EN 853 SAE 100R2AT 1.D. 1/2" W.P.:27.5MPa PSI FLAME RESISTANT 8Y16, Panjang 120cm Merek TYFLEX</t>
  </si>
  <si>
    <t>- Packing Tumbo</t>
  </si>
  <si>
    <t>- Piston besar dia 120mm, L = 220mm, 4 Grovee</t>
  </si>
  <si>
    <t xml:space="preserve">Cable Grounding Ø4mm, panjang 1 meter </t>
  </si>
  <si>
    <t>Seal Motor Flipper BR 1007332, Merek Bromma</t>
  </si>
  <si>
    <t>Hose Line 2SN DN12 DIN/EN853 - SAE 100 R2AT 1/2Inch BAR RESISTANT, Panjang : 0.7m Merek SUNFLEX</t>
  </si>
  <si>
    <t>Kanvas Brake Trolley (Rekondisi penggantian Kanvas)</t>
  </si>
  <si>
    <t>Service AC Ruang EH (Tambah Freon R22 1 Unit)</t>
  </si>
  <si>
    <t>Decoder LWLS-D1 Merek Hubner</t>
  </si>
  <si>
    <t>CC 07</t>
  </si>
  <si>
    <t>Hose Line EN853 SAE 100 R2AT i.D 1/2" W.P.: 27,5 Mpa 3990 PSI B.P.: 110 Mpa 15950 PSI FLAME RASISTANT, Panjang 1,7 meter Merk Tyflex</t>
  </si>
  <si>
    <t>CC 08</t>
  </si>
  <si>
    <t>Hose Line 2SN DN12 DIN/EN853 - SAE 100 R2AT 1/2Inch BAR RESISTANT, Panjang : 0,7 meter   Merk SUNFLEX</t>
  </si>
  <si>
    <t>Gear Motor Flipper PN : 54463, Merek Bromma</t>
  </si>
  <si>
    <t>CC 09</t>
  </si>
  <si>
    <t>Bearing 6302 ZZ Merek NTN</t>
  </si>
  <si>
    <t>CC 10</t>
  </si>
  <si>
    <t>Seal 166693 Merek NOK</t>
  </si>
  <si>
    <t xml:space="preserve">Oring Seal D 180cm, T 2mm </t>
  </si>
  <si>
    <t>Packing Tumbo 15mm, 23 x 25cm</t>
  </si>
  <si>
    <t>Cable Grounding Ø4mm, panjang 50cm</t>
  </si>
  <si>
    <t>Rubber Dumper Cable Festoon 60 mm x 80 mm, Lokal</t>
  </si>
  <si>
    <t>CC 11</t>
  </si>
  <si>
    <t>Varistor P8 Z500PS 25/15-1, Merek STAMFORD</t>
  </si>
  <si>
    <t>Hose Line  2SN DN12 DIN/EN853 - SAE 100 R2AT 1/2Ich BAR RESISTANT, Panjang : 0.7m Merk SUNFLEX</t>
  </si>
  <si>
    <t>Relay Contactor Load Bank MY2N-GS Merek Omron</t>
  </si>
  <si>
    <t>Hose Line EN 853 SAE 100R2AT 1.D. 1/2" W.P.:27.5MPa 3990 Psi B.P.: 110MPa 15950 Psi Flame Resistant 8Y16, Panjang 170cm, Merek TYFLEX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</si>
  <si>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</si>
  <si>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</si>
  <si>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Bearing  A47 A150 INA SL04 5032 PP GERMANY 72/E0820 Merk INA (Complete with Snap ring &amp; Seal)</t>
  </si>
  <si>
    <t>Contactor AX260-30-11-80 Merk ABB</t>
  </si>
  <si>
    <t>AC Split 2 PK, Indoor : FTNE50MV14, Outdoor : RNE50MV14 Merk Daikin</t>
  </si>
  <si>
    <t>Seal Oil Pump Spreader AE 1334E Merek NOK</t>
  </si>
  <si>
    <t xml:space="preserve">Hose Line 2SN DN 16 DIN/EN 853 - SAE 100 R2AT 5/8" - 250 BAR FLAME RESISTANT,  panjang75 cm, Merek SUNFLEX </t>
  </si>
  <si>
    <t>Hose Line EN 853 SAE 100r2at I.D 3/8" W.P.: 33MPa 4790PSi B.P.: Mpa 19140 Psi FLAME RESISTANT 8Y16, Panjang 5 Meter, Merek TYFLEX</t>
  </si>
  <si>
    <t>O-Ring tebal 2mm Ø in 70mm, Ø out 72mm</t>
  </si>
  <si>
    <t>Hose Line 2SN DN 16 DIN/EN 853 - SAE 100 R2AT 5/8" - 250 BAR FLAME RESISTANT, Panjang 80cm, Merek SUNFLEX</t>
  </si>
  <si>
    <t>Hose Line 2SN DN 16 DIN/EN 853 - SAE 100 R2AT 5/8" - 250 BAR FLAME RESISTANT, Panjang 40cm, Merek SUNFLEX</t>
  </si>
  <si>
    <t>Hose Line EN 856 4SH I.D. 3/4" W.P.: 42 OPMa Psi B.P : 168 Mpa 24000 Psi FLAME RESISTANT 11Y16, Panjang =  235 cm, Merek TYFLEX</t>
  </si>
  <si>
    <t>Pekerjaan Penggantian Seal Crank Shaft</t>
  </si>
  <si>
    <t>- Jasa bongkar, pasang Pek.  Reseal Rear Crankshaft.</t>
  </si>
  <si>
    <t>- Seal Crank Shaft PN 113-8435, Merek CAT</t>
  </si>
  <si>
    <t>Rekondisi/Replace Plate Sirip Load Bank</t>
  </si>
  <si>
    <t>Lot</t>
  </si>
  <si>
    <t>- Stainless Ukuran. 7cm x 60cm , tebal = 3mm</t>
  </si>
  <si>
    <t>- Sand Paper plate sirip load bank</t>
  </si>
  <si>
    <t>- Las/Grinding plate + pasang baut dan mur</t>
  </si>
  <si>
    <t>Hose Line 2SN DN12 DIN/EN853 - SAE 100 R2AT 1/2Ich BAR RESISTANT, Panjang : 0.7m, Merek SUNFLEX</t>
  </si>
  <si>
    <t>Seal Wheel Brake Gantry YLZ40-D-180CP, Merek Pintsch Bubenzer</t>
  </si>
  <si>
    <t>Service AC</t>
  </si>
  <si>
    <t>- Service AC tambah Freon R22</t>
  </si>
  <si>
    <t>Conecting Cable with socket ADOAH040MSS0010H04, EVC006, Merek Ifm Electronic</t>
  </si>
  <si>
    <t>Electro Motor Gantry (Rewinding Gulungan Stator Motor Gantry, Penggantian 2 Pcs Bearing 6209 ZZ NTN dan Bubut las housing bearing)</t>
  </si>
  <si>
    <t>Hose Line 2SN DN 16 DIN/EN 853 - SAE 100 R2AT 5/8" - 250 BAR FLAME RESISTANT, Panjang 75 cm, Merek SUNFLEX</t>
  </si>
  <si>
    <t>Kipas Radiator Spider AS-FA PN : 2176022 Merek CAT</t>
  </si>
  <si>
    <t>Bearing 6212-2Z-C3, Merek FAG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</si>
  <si>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</si>
  <si>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</si>
  <si>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Core As PN : 1330125 Merek CAT</t>
  </si>
  <si>
    <t>Elbow Hose Radiator PN : MC037474, 2 Ply, Ø 1", Panjang : 15cm</t>
  </si>
  <si>
    <t>Elbow Hose Radiator PN : KF401671-13200, 2 Ply, Ø 1", Panjang : 15cm</t>
  </si>
  <si>
    <t>Bearing 6205 ZZCM/5K, Merek NTN</t>
  </si>
  <si>
    <t>Rewinding AC Induction Motor (Motor Diesel Pump) 3~MOT Type : Y2-90L-2V1 2.2Kw ; 400 V ; 50Hz ; Rpm : 90L 4,6A (Changed 2 Pcs Bearing 6205Z Merek NTN)</t>
  </si>
  <si>
    <t xml:space="preserve">Perbaikan Roda Trolley </t>
  </si>
  <si>
    <t>- Bearing PN : 23236 CA/W33, Merek FAG</t>
  </si>
  <si>
    <t>- Seal PN :  AC 4542 E, Merek NOK</t>
  </si>
  <si>
    <t>- Seal PN : AE 5053-EO (Tc 200 x 230 x 15), Merek NOK</t>
  </si>
  <si>
    <t>Mouse B100 Merek Logitech</t>
  </si>
  <si>
    <t>Hose Radiator PN : MC037474, 2 Ply, Ø 1", Panjang : 15cm</t>
  </si>
  <si>
    <t>Ballast TL 40/36 Watt, Merek Philips</t>
  </si>
  <si>
    <t>Rectifier BB0009, Merek Pintsch Bubenzer</t>
  </si>
  <si>
    <t>Rekondisi Sirip Load Bank</t>
  </si>
  <si>
    <t>- Baut Stainles Steel + Nut + Ring Ukuran. 17mm (M10) panjang 1,5"</t>
  </si>
  <si>
    <t>Card Drive Hoist A5E00297617, Merek Siemens</t>
  </si>
  <si>
    <t>IGBT FS225R12KE3_S1, Merek Siemens</t>
  </si>
  <si>
    <t>Shakle ukuran 8mm</t>
  </si>
  <si>
    <t>Rubber Rope JO-19-1116 19 mm x 13mm @2.15m, Merek ZPMC</t>
  </si>
  <si>
    <t xml:space="preserve">Service Radio Komunikasi dan penggantian  Kepala Kabel LAN </t>
  </si>
  <si>
    <t>Hose Line EN 853 SAE 100 R2AT 2SN DN 12- 1/2" WP 275 BAR 40002 PSI B.p:1100 BAR 16000 PSI, Merek Tyflex</t>
  </si>
  <si>
    <t>Rubber Rope JO-19-1116 19 mm x 13mm @2,15m, Merek ZPMC</t>
  </si>
  <si>
    <t>Hose Line EN 853 SAE 100 R2AT I.D 1/2" W.P.:27,5 Mpa 3990 PSI B.P.:110MPa 15950Psi Flame Resistant 8Y16, Panjang 120cm, Merek TYFLEX</t>
  </si>
  <si>
    <t>Alternator Rekondisi (Service &amp; Ganti IC Rectifier)</t>
  </si>
  <si>
    <t>- Baut Stainles Steel + Nur + Ring Ukuran. 17mm (M10) panjang 1,5"</t>
  </si>
  <si>
    <t>Hose Line 2SN DN12 DIN/EN 853 - SAE 100 R2AT 1/2" - 275 BAR Flame Resistant, panjang 300cm, Merek SUNFLEX</t>
  </si>
  <si>
    <t>Sinamics CIM DAC 380-690V, Order Number : 1P 6SL3350-GT K00-0EA0 Merk. SIEMENS</t>
  </si>
  <si>
    <t>Control Board Thristor PN : A5E00842112 As-NR C98043-A7090-L1-11-FAB-NR : Q6AN604692, Merek Siemens</t>
  </si>
  <si>
    <t>Proximity Switch 24 VDC: M30;15mm: 115910, PN : IIA3015BBPKG/US, Merek IFM</t>
  </si>
  <si>
    <t>Consumable Goods</t>
  </si>
  <si>
    <t>Jumlah 1</t>
  </si>
  <si>
    <t>Komponen Biaya Harga Satuan</t>
  </si>
  <si>
    <t>Consumable Part</t>
  </si>
  <si>
    <t>Jumlah 2</t>
  </si>
  <si>
    <t>RENCANA ANGGARAN BIAYA</t>
  </si>
  <si>
    <t xml:space="preserve">Uraian </t>
  </si>
  <si>
    <t>Vol</t>
  </si>
  <si>
    <t>Harga Satuan                    (Rp)</t>
  </si>
  <si>
    <t>Jumlah Biaya                  (Rp)</t>
  </si>
  <si>
    <t>Bulan</t>
  </si>
  <si>
    <t>Jumlah I</t>
  </si>
  <si>
    <t>A</t>
  </si>
  <si>
    <t>CONSUMABLE PART</t>
  </si>
  <si>
    <t>a</t>
  </si>
  <si>
    <t>B</t>
  </si>
  <si>
    <t>SPARE PART</t>
  </si>
  <si>
    <t>PEKERJAAN TAMBAHAN</t>
  </si>
  <si>
    <t>Jumlah a</t>
  </si>
  <si>
    <t>b</t>
  </si>
  <si>
    <t>Jumlah b</t>
  </si>
  <si>
    <t>Jumlah ( I + II )</t>
  </si>
  <si>
    <t>Oil Brake</t>
  </si>
  <si>
    <t>Grease Multi EP 00, NLGI 00</t>
  </si>
  <si>
    <t>Mineral/Synthetic Oil VG 150/ SAE 90</t>
  </si>
  <si>
    <t>Mineral/Synthetic Oil VG 220/ SAE 90</t>
  </si>
  <si>
    <t>Mineral/Synthetic Oil VG 320/ SAE 120</t>
  </si>
  <si>
    <t>General Grease</t>
  </si>
  <si>
    <t>b.</t>
  </si>
  <si>
    <t>ARTG Crane</t>
  </si>
  <si>
    <t>c.</t>
  </si>
  <si>
    <t>T. Tractor</t>
  </si>
  <si>
    <t>Oil Engine</t>
  </si>
  <si>
    <t>Oil Gear Box/Gardan</t>
  </si>
  <si>
    <t>Oil Transmisi (Automatic)</t>
  </si>
  <si>
    <t xml:space="preserve">Spare Part ARTG Crane </t>
  </si>
  <si>
    <t>c</t>
  </si>
  <si>
    <t>Spare parts TT &amp; Chasis</t>
  </si>
  <si>
    <t>Tyre Service (tambal Ban)</t>
  </si>
  <si>
    <t>Jumlah c</t>
  </si>
  <si>
    <t>Jumlah C (a + b + c)</t>
  </si>
  <si>
    <t>Jumlah A (a + b + c)</t>
  </si>
  <si>
    <t>Jumlah B (a + b + c)</t>
  </si>
  <si>
    <t>Admin</t>
  </si>
  <si>
    <t>Sewa Tool Kits</t>
  </si>
  <si>
    <t>Grease Wire Rope</t>
  </si>
  <si>
    <t>Shell Gadus S2 V220 00/equivalent  - Automatic Greasing spreader system</t>
  </si>
  <si>
    <t>DOT 3 for main brake system</t>
  </si>
  <si>
    <t>Hydraulic Oil</t>
  </si>
  <si>
    <t>VG 46 For emergency Brake hydraulic package</t>
  </si>
  <si>
    <t>VG 32 For emergency Brake hydraulic package</t>
  </si>
  <si>
    <t>Valvoline 15W40</t>
  </si>
  <si>
    <t>SHELL SPIRAX S3 G 80W - 90</t>
  </si>
  <si>
    <t>SHELL SPIRAX S4 ATF HDX</t>
  </si>
  <si>
    <t>SHELL Tellus VG 46</t>
  </si>
  <si>
    <t>Pertamina EPX NL 2 - for fifth wheel, king pin &amp; bearing</t>
  </si>
  <si>
    <t>Pertamina EPX NL 2 - for bearing, shear pin</t>
  </si>
  <si>
    <t xml:space="preserve">Consumable Part STS Crane </t>
  </si>
  <si>
    <t>Filter Oli</t>
  </si>
  <si>
    <t>Filter Bahan Bakar</t>
  </si>
  <si>
    <t>Filter Separator</t>
  </si>
  <si>
    <t>Filter Transmisi</t>
  </si>
  <si>
    <t>Filter Udara</t>
  </si>
  <si>
    <t>Filter Air Dryer</t>
  </si>
  <si>
    <t>Battere 12V-135Ah</t>
  </si>
  <si>
    <t>Battery Fluid</t>
  </si>
  <si>
    <t>Pekerjaan Tambahan STS Crane MES-M</t>
  </si>
  <si>
    <t>Pekerjaan Tambahan T. Tractor Terbergs</t>
  </si>
  <si>
    <t>Rekondisi Safety Roda Gantry</t>
  </si>
  <si>
    <t>JUMLAH
(Rp)</t>
  </si>
  <si>
    <t>Komponen Biaya Lumpsump</t>
  </si>
  <si>
    <t>Stinis PN: 7199-0061-0062</t>
  </si>
  <si>
    <t>Sensor Support Twistlock-R</t>
  </si>
  <si>
    <t>Sensor Support Twistlock-L</t>
  </si>
  <si>
    <t>Stinis PN: 7199-0061-0063</t>
  </si>
  <si>
    <t>Stinis PN: 7110-0018-0130</t>
  </si>
  <si>
    <t>Sensor M18x1 IGKC012-ASKG/US-1</t>
  </si>
  <si>
    <t>Pressure Sensor 10 bar G1/4-M12 S01</t>
  </si>
  <si>
    <t>Stinis PN: 7142-0200-0010</t>
  </si>
  <si>
    <t>Pressure sensor 30 bar G1/4-M12 S05</t>
  </si>
  <si>
    <t>Stinis PN: 7142-0200-0030</t>
  </si>
  <si>
    <t>Beacon LIGHT RED</t>
  </si>
  <si>
    <t>Stinis PN: 7225-0007-0101</t>
  </si>
  <si>
    <t>Beacon LIGHT GREEN</t>
  </si>
  <si>
    <t>Beacon LIGHT WHITE</t>
  </si>
  <si>
    <t>Stinis PN: 7225-0007-0103</t>
  </si>
  <si>
    <t>Stinis PN: 7225-0007-0105</t>
  </si>
  <si>
    <t>Valve plug 24V DC-PUPR-1.5 diode</t>
  </si>
  <si>
    <t>Valve plug 24V DC-PUPR-3.0 diode</t>
  </si>
  <si>
    <t>Stinis PN: 7113-0010-0002</t>
  </si>
  <si>
    <t>Stinis PN: 7113-0020-0003</t>
  </si>
  <si>
    <t>Motor Relay 11kW/DC 24V+C102</t>
  </si>
  <si>
    <t>Stinis PN: 7132-0024-0220</t>
  </si>
  <si>
    <t>Thermal Overl. Rel. 16…24A.TM</t>
  </si>
  <si>
    <t>Stinis PN: 7133-0050-0030</t>
  </si>
  <si>
    <t>Mounting block therm. Realy</t>
  </si>
  <si>
    <t>Stinis PN: 7133-0050-0031</t>
  </si>
  <si>
    <t>PLC relay 24VDC-le connect</t>
  </si>
  <si>
    <t>Stinis PN: 7135-0024-0020</t>
  </si>
  <si>
    <t>Solid state input relay 230V</t>
  </si>
  <si>
    <t>Stinis PN: 7135-0230-0050</t>
  </si>
  <si>
    <t>Fuse insert SI FORM C 15 A</t>
  </si>
  <si>
    <t>Stinis PN: 7180-0913-6760</t>
  </si>
  <si>
    <t>Fuse insert SI FORM C 2 A</t>
  </si>
  <si>
    <t>Fuse insert SI FORM C 10 A</t>
  </si>
  <si>
    <t>Fuse insert SI FORM C 4 A</t>
  </si>
  <si>
    <t>Stinis PN: 7180-0913-6761</t>
  </si>
  <si>
    <t>Stinis PN: 7180-0913-6762</t>
  </si>
  <si>
    <t>Stinis PN: 7180-0913-6763</t>
  </si>
  <si>
    <t>Solenoid D36-24VDC-20W</t>
  </si>
  <si>
    <t>Stinis PN: 7131-0002-0530</t>
  </si>
  <si>
    <t>Solenoid S8-356-class H-20W</t>
  </si>
  <si>
    <t>Stinis PN: 7131-0001-0130</t>
  </si>
  <si>
    <t>Solenoid C3-D15-24VDC-30W</t>
  </si>
  <si>
    <t>Stinis PN: 7131-0001-0131</t>
  </si>
  <si>
    <t>Oil Level Switch</t>
  </si>
  <si>
    <t>Stinis PN: 7250-0001-0005</t>
  </si>
  <si>
    <t>Stinis PN: 7251-0000-0000</t>
  </si>
  <si>
    <t>Valve 4/3 C3 24VDC-30W ABT</t>
  </si>
  <si>
    <t>Stinis PN: 6571-0004-1070</t>
  </si>
  <si>
    <t>Pekerjaan Tambahan A-RTG Crane Konecranes</t>
  </si>
  <si>
    <t>Sewa Peralatan Kantor dan ATK</t>
  </si>
  <si>
    <t>S1/D3 T. M/E/I : 3/5 thn &amp; 1 thn Safety Officer</t>
  </si>
  <si>
    <t>S1/D3/SMK TM/TE, 2/4/6 thn</t>
  </si>
  <si>
    <t>Teknisi Shift</t>
  </si>
  <si>
    <t>PEKERJAAN KONTRAK PEMELIHARAAN ALAT BONGKAR MUAT</t>
  </si>
  <si>
    <t>DI PT PRIMA TERMINAL PETIKEMAS</t>
  </si>
  <si>
    <t>Jumlah II (A+B+C+D)</t>
  </si>
  <si>
    <t>KOMPONEN BIAYA LUMPSUMP</t>
  </si>
  <si>
    <t>KOMPONEN BIAYA HARGA SATUAN</t>
  </si>
  <si>
    <t xml:space="preserve">Spare Part STS Crane </t>
  </si>
  <si>
    <t>Sewa Peralatan Las/Cutting</t>
  </si>
  <si>
    <t>ls</t>
  </si>
  <si>
    <t>Perlengkapan Kerja Karyawan</t>
  </si>
  <si>
    <t>Sewa Alat Bantu Kerja</t>
  </si>
  <si>
    <r>
      <t>TOTAL (</t>
    </r>
    <r>
      <rPr>
        <b/>
        <i/>
        <sz val="12"/>
        <color theme="1"/>
        <rFont val="Calibri"/>
        <family val="2"/>
        <scheme val="minor"/>
      </rPr>
      <t>Jumlah 1 + Jumlah 2)</t>
    </r>
  </si>
  <si>
    <t>Aksesoris Kecil Lainnya</t>
  </si>
  <si>
    <t>Medan,                                      2021</t>
  </si>
  <si>
    <t>SAMSU RIZAL</t>
  </si>
  <si>
    <t>C</t>
  </si>
  <si>
    <t>Mobil Arma 798</t>
  </si>
  <si>
    <t>Service AC split ( Cuci AC )</t>
  </si>
  <si>
    <t xml:space="preserve">Head Tyre </t>
  </si>
  <si>
    <t>Rewinding Motor ACM</t>
  </si>
  <si>
    <t>Service AC Split (Cuci AC)</t>
  </si>
  <si>
    <t>Rewinding Motor Trolley</t>
  </si>
  <si>
    <t>Rewinding Motor Cable Reel</t>
  </si>
  <si>
    <t>Rewinding Coil Brake Motor</t>
  </si>
  <si>
    <t>Rewinding Motor Hoist</t>
  </si>
  <si>
    <t>Rewinding Coil Switch Battery</t>
  </si>
  <si>
    <t>Rewinding Trolley Motor</t>
  </si>
  <si>
    <t>Rewinding Hoist Motor</t>
  </si>
  <si>
    <t>Rewinding Motor Jack for Spreader Tilting</t>
  </si>
  <si>
    <t>Rewinding Motor Gantry Travel</t>
  </si>
  <si>
    <t>Rewinding Motor Spreader Pump</t>
  </si>
  <si>
    <t>T13017183</t>
  </si>
  <si>
    <t>T28041787</t>
  </si>
  <si>
    <t>Main Switch</t>
  </si>
  <si>
    <t>Tail Light</t>
  </si>
  <si>
    <t>T25023828</t>
  </si>
  <si>
    <t>Contact Switch</t>
  </si>
  <si>
    <t>T25044027</t>
  </si>
  <si>
    <t>S1/D3/SMK TM/TE/TI, 0/3/5 thn</t>
  </si>
  <si>
    <t>S1/D3/SMK TM/TE, 5/7/12 thn</t>
  </si>
  <si>
    <t>T25044077</t>
  </si>
  <si>
    <t>Coupling Cock</t>
  </si>
  <si>
    <t>T22037994</t>
  </si>
  <si>
    <t>Coupling head</t>
  </si>
  <si>
    <t>A100-57903</t>
  </si>
  <si>
    <t>Sensor Termostat (Air Conditioner)</t>
  </si>
  <si>
    <t>T25104982</t>
  </si>
  <si>
    <t>Relay (Main Switch Relay)</t>
  </si>
  <si>
    <t>T25044113</t>
  </si>
  <si>
    <t>Water Coolant</t>
  </si>
  <si>
    <t>PG Plus CC 2826</t>
  </si>
  <si>
    <t>DIBULATKAN</t>
  </si>
  <si>
    <t>Dibulatkan</t>
  </si>
  <si>
    <t>NEGOSIASI</t>
  </si>
  <si>
    <t>OWNER ESTIMATE</t>
  </si>
  <si>
    <t>PENAWARAN</t>
  </si>
  <si>
    <t xml:space="preserve">PENAWARAN </t>
  </si>
  <si>
    <t>Shell Omala S2 GX 150 - for gear reducer</t>
  </si>
  <si>
    <t>Shell Omala S2 GX 220 - for gear reducer</t>
  </si>
  <si>
    <t>Shell Omala S2 GX 320 - for cable reel gear reducer</t>
  </si>
  <si>
    <t>Type ISO VG 220 / SAE 90 with temperature range -5 to + 50, Mineral oil / Synthetic oil (Example: Shell Omala S2 GX 220)</t>
  </si>
  <si>
    <t>Temperature Switch 68˚ - 82˚</t>
  </si>
  <si>
    <t>Selisih</t>
  </si>
  <si>
    <t>Ban Dalam Uk. 11.00 x 20</t>
  </si>
  <si>
    <t>LASER DISTANCE SENSOR</t>
  </si>
  <si>
    <t>LMS111-10100</t>
  </si>
  <si>
    <t>MRS1104C-111011</t>
  </si>
  <si>
    <t>LMS511-10100-PRO</t>
  </si>
  <si>
    <t>GPS RECEIVER</t>
  </si>
  <si>
    <t>GPS Autosteering</t>
  </si>
  <si>
    <t>GPS ANTENNA</t>
  </si>
  <si>
    <t>Antena GPS GNSS-802</t>
  </si>
  <si>
    <t>SMK Sederajat, 0 thn</t>
  </si>
  <si>
    <t>Owner Estimate</t>
  </si>
  <si>
    <t>Penawaran</t>
  </si>
  <si>
    <t>Negosiasi</t>
  </si>
  <si>
    <t>Profit/Margin</t>
  </si>
  <si>
    <t>Harga satuan sebelumnya</t>
  </si>
  <si>
    <t>Perbaikan AC (Tambah Freon R410a, Las, Ganti Kapasitor)</t>
  </si>
  <si>
    <t>Perbaikan AC (Tambah Freon R32, Las, Ganti Kapasitor)</t>
  </si>
  <si>
    <t>PESERTA LELANG</t>
  </si>
  <si>
    <t>PANITIA PENGADAAN</t>
  </si>
  <si>
    <t>PENANGGUNG JAWAB PROGRAM:</t>
  </si>
  <si>
    <t>PT Prima Multi Peralatan</t>
  </si>
  <si>
    <t>1. FRIDOLIN SIAHAAN</t>
  </si>
  <si>
    <t>….......................</t>
  </si>
  <si>
    <t>DIREKTUR</t>
  </si>
  <si>
    <t>2. IFSAN ROSADY</t>
  </si>
  <si>
    <t>3. SURYA DARMA</t>
  </si>
  <si>
    <t>4. M. RIDHO FAKHROZI</t>
  </si>
  <si>
    <t>5. YOLANDA EVANS SIMORANGKIR</t>
  </si>
  <si>
    <t>6. ANDAREAS SIAGIAN</t>
  </si>
  <si>
    <t>7. AUGUSTO DWIFA DANIEL</t>
  </si>
  <si>
    <t>HENDRI INDRA</t>
  </si>
  <si>
    <t>:............................</t>
  </si>
  <si>
    <t>Terbilang   :</t>
  </si>
  <si>
    <t>Medan,                                           2021</t>
  </si>
  <si>
    <t>SHIP TO SHORE CRANE</t>
  </si>
  <si>
    <t>PENGADAAN SPAREPARTS STS, ARTG DAN TT &amp; CHASSIS</t>
  </si>
  <si>
    <t xml:space="preserve">JUMLAH HARGA                   </t>
  </si>
  <si>
    <t>SPESIFIKASI</t>
  </si>
  <si>
    <t>ITEM</t>
  </si>
  <si>
    <t>AUTOMATIC RUBBER TYRED GANTRY CRANE</t>
  </si>
  <si>
    <t xml:space="preserve">JUMLAH I </t>
  </si>
  <si>
    <t>Resistor</t>
  </si>
  <si>
    <t>D2REU10 / KCID 52415828</t>
  </si>
  <si>
    <t>Fuse Inverter</t>
  </si>
  <si>
    <t>170M6812/800A/690V</t>
  </si>
  <si>
    <t>Camera Positioning System</t>
  </si>
  <si>
    <t xml:space="preserve">Hoist Inverter </t>
  </si>
  <si>
    <t>D2V132-HOIST</t>
  </si>
  <si>
    <t xml:space="preserve">Power Supply </t>
  </si>
  <si>
    <t xml:space="preserve">TERMINAL TRACTOR &amp; CHASSIS </t>
  </si>
  <si>
    <t>JUMLAH III</t>
  </si>
  <si>
    <t>YANG BERNEGOSIASI,</t>
  </si>
  <si>
    <t>Leaf Spring</t>
  </si>
  <si>
    <t>Kanvas Ban Dalam/ Selendang</t>
  </si>
  <si>
    <t>Quint-PS/1AC/ 12VDC-15A</t>
  </si>
  <si>
    <t>JUMLAH I+II+III</t>
  </si>
  <si>
    <t>PEMBULATAN</t>
  </si>
  <si>
    <t xml:space="preserve">PEKERJAAN KONTRAK PEMELIHARAAN ALAT BONGKAR MUAT </t>
  </si>
  <si>
    <t>Rewinding Motor Gantry</t>
  </si>
  <si>
    <t>Encoder Motor Speader</t>
  </si>
  <si>
    <t xml:space="preserve">BAUMEED EG7C </t>
  </si>
  <si>
    <t xml:space="preserve">Terminal Block </t>
  </si>
  <si>
    <t xml:space="preserve">WAGO </t>
  </si>
  <si>
    <t>Bracket Laser Sensor Spreader</t>
  </si>
  <si>
    <t>Quint-PS/1AC/ 24VDC-15A</t>
  </si>
  <si>
    <t>2 Camera, 1 Pc , 1 beacon</t>
  </si>
  <si>
    <t>Hoist Wirerope</t>
  </si>
  <si>
    <t>m</t>
  </si>
  <si>
    <t>ACM Wirerope</t>
  </si>
  <si>
    <t>Profibus card</t>
  </si>
  <si>
    <t>Profibus card 279k 19070049ES</t>
  </si>
  <si>
    <t>full set Module pendant to inverter</t>
  </si>
  <si>
    <t>Profibus Cable</t>
  </si>
  <si>
    <t>Bus Connector for Card CSU</t>
  </si>
  <si>
    <t>Subcon-Plus PROFIB/AX/SC/2744380</t>
  </si>
  <si>
    <t>Bus Connector for Radio Module</t>
  </si>
  <si>
    <t>VS-09/PROFIBUS-SP</t>
  </si>
  <si>
    <t>IWRC, Zlay, 1960, Galv., 16mm, Seizing both end, 62m/husble</t>
  </si>
  <si>
    <t>IWRC, Slay, 1960, Galv.,16mm, Seizing both end, 62m/husble</t>
  </si>
  <si>
    <t>IWRC, Slay, 1960, Galv., 26mm, Seizing both end, 56m/Husble</t>
  </si>
  <si>
    <t>IWRC, Zlay, 1960, Galv., 26mm, Seizing both end, 56m/Husble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</si>
</sst>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[$Rp-421]* #,##0.00_-;\-[$Rp-421]* #,##0.00_-;_-[$Rp-421]* &quot;-&quot;??_-;_-@_-"/>
    <numFmt numFmtId="167" formatCode="_([$Rp-421]* #,##0.00_);_([$Rp-421]* \(#,##0.00\);_([$Rp-421]* &quot;-&quot;??_);_(@_)"/>
    <numFmt numFmtId="168" formatCode="_(&quot;Rp&quot;* #,##0_);_(&quot;Rp&quot;* \(#,##0\);_(&quot;Rp&quot;* &quot;-&quot;_);_(@_)"/>
    <numFmt numFmtId="169" formatCode="_([$USD]\ * #,##0.00_);_([$USD]\ * \(#,##0.00\);_([$USD]\ * &quot;-&quot;??_);_(@_)"/>
    <numFmt numFmtId="170" formatCode="_(* #,##0.00_);_(* \(#,##0.00\);_(* &quot;-&quot;_);_(@_)"/>
    <numFmt numFmtId="171" formatCode="_(* #,##0_);_(* \(#,##0\);_(* &quot;-&quot;??_);_(@_)"/>
    <numFmt numFmtId="172" formatCode="_-[$Rp-421]* #,##0.00_ ;_-[$Rp-421]* \-#,##0.00\ ;_-[$Rp-421]* &quot;-&quot;??_ ;_-@_ "/>
    <numFmt numFmtId="173" formatCode="_-* #,##0_-;\-* #,##0_-;_-* &quot;-&quot;??_-;_-@_-"/>
    <numFmt numFmtId="174" formatCode="#,##0.000"/>
  </numFmts>
  <fonts count="45" x14ac:knownFonts="1">
    <font>
      <sz val="12"/>
      <color theme="1"/>
      <name val="Calibri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3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9" fillId="22" borderId="0" applyNumberFormat="0" applyBorder="0" applyAlignment="0" applyProtection="0"/>
    <xf numFmtId="0" fontId="25" fillId="14" borderId="0" applyNumberFormat="0" applyBorder="0" applyAlignment="0" applyProtection="0"/>
    <xf numFmtId="0" fontId="23" fillId="0" borderId="0" applyNumberFormat="0" applyFill="0" applyBorder="0" applyAlignment="0" applyProtection="0"/>
    <xf numFmtId="0" fontId="19" fillId="1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25" fillId="19" borderId="0" applyNumberFormat="0" applyBorder="0" applyAlignment="0" applyProtection="0"/>
    <xf numFmtId="0" fontId="19" fillId="9" borderId="0" applyNumberFormat="0" applyBorder="0" applyAlignment="0" applyProtection="0"/>
    <xf numFmtId="0" fontId="25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6" borderId="0" applyNumberFormat="0" applyBorder="0" applyAlignment="0" applyProtection="0"/>
    <xf numFmtId="0" fontId="25" fillId="24" borderId="0" applyNumberFormat="0" applyBorder="0" applyAlignment="0" applyProtection="0"/>
    <xf numFmtId="0" fontId="25" fillId="23" borderId="0" applyNumberFormat="0" applyBorder="0" applyAlignment="0" applyProtection="0"/>
    <xf numFmtId="0" fontId="25" fillId="20" borderId="0" applyNumberFormat="0" applyBorder="0" applyAlignment="0" applyProtection="0"/>
    <xf numFmtId="0" fontId="25" fillId="28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25" fillId="18" borderId="0" applyNumberFormat="0" applyBorder="0" applyAlignment="0" applyProtection="0"/>
    <xf numFmtId="0" fontId="33" fillId="27" borderId="0" applyNumberFormat="0" applyBorder="0" applyAlignment="0" applyProtection="0"/>
    <xf numFmtId="0" fontId="32" fillId="21" borderId="30" applyNumberFormat="0" applyAlignment="0" applyProtection="0"/>
    <xf numFmtId="0" fontId="30" fillId="25" borderId="34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13" borderId="31" applyNumberFormat="0" applyFont="0" applyAlignment="0" applyProtection="0"/>
    <xf numFmtId="0" fontId="26" fillId="0" borderId="0" applyNumberFormat="0" applyFill="0" applyBorder="0" applyAlignment="0" applyProtection="0"/>
    <xf numFmtId="0" fontId="29" fillId="22" borderId="0" applyNumberFormat="0" applyBorder="0" applyAlignment="0" applyProtection="0"/>
    <xf numFmtId="0" fontId="21" fillId="0" borderId="28" applyNumberFormat="0" applyFill="0" applyAlignment="0" applyProtection="0"/>
    <xf numFmtId="0" fontId="27" fillId="0" borderId="32" applyNumberFormat="0" applyFill="0" applyAlignment="0" applyProtection="0"/>
    <xf numFmtId="0" fontId="22" fillId="0" borderId="29" applyNumberFormat="0" applyFill="0" applyAlignment="0" applyProtection="0"/>
    <xf numFmtId="0" fontId="22" fillId="0" borderId="0" applyNumberFormat="0" applyFill="0" applyBorder="0" applyAlignment="0" applyProtection="0"/>
    <xf numFmtId="0" fontId="24" fillId="9" borderId="30" applyNumberFormat="0" applyAlignment="0" applyProtection="0"/>
    <xf numFmtId="0" fontId="20" fillId="0" borderId="27" applyNumberFormat="0" applyFill="0" applyAlignment="0" applyProtection="0"/>
    <xf numFmtId="0" fontId="31" fillId="26" borderId="0" applyNumberFormat="0" applyBorder="0" applyAlignment="0" applyProtection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21" borderId="33" applyNumberFormat="0" applyAlignment="0" applyProtection="0"/>
    <xf numFmtId="0" fontId="34" fillId="0" borderId="35" applyNumberFormat="0" applyFill="0" applyAlignment="0" applyProtection="0"/>
    <xf numFmtId="0" fontId="35" fillId="0" borderId="0" applyNumberFormat="0" applyFill="0" applyBorder="0" applyAlignment="0" applyProtection="0"/>
  </cellStyleXfs>
  <cellXfs count="450">
    <xf numFmtId="0" fontId="0" fillId="0" borderId="0" xfId="0"/>
    <xf numFmtId="0" fontId="0" fillId="0" borderId="1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9" fontId="5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6" fillId="0" borderId="0" xfId="47" applyFont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3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0" borderId="0" xfId="0" applyFont="1" applyBorder="1" applyAlignment="1">
      <alignment horizontal="right"/>
    </xf>
    <xf numFmtId="4" fontId="2" fillId="0" borderId="0" xfId="0" applyNumberFormat="1" applyFont="1" applyBorder="1" applyAlignment="1"/>
    <xf numFmtId="170" fontId="3" fillId="0" borderId="0" xfId="0" applyNumberFormat="1" applyFont="1"/>
    <xf numFmtId="170" fontId="2" fillId="2" borderId="1" xfId="0" applyNumberFormat="1" applyFont="1" applyFill="1" applyBorder="1" applyAlignment="1">
      <alignment horizontal="center" vertical="center" wrapText="1"/>
    </xf>
    <xf numFmtId="170" fontId="3" fillId="0" borderId="0" xfId="0" applyNumberFormat="1" applyFont="1" applyAlignment="1">
      <alignment vertical="center"/>
    </xf>
    <xf numFmtId="0" fontId="9" fillId="0" borderId="0" xfId="46" applyFont="1"/>
    <xf numFmtId="0" fontId="9" fillId="0" borderId="0" xfId="46" applyFont="1" applyAlignment="1">
      <alignment horizontal="center"/>
    </xf>
    <xf numFmtId="0" fontId="9" fillId="0" borderId="0" xfId="46" applyFont="1" applyAlignment="1">
      <alignment horizontal="right"/>
    </xf>
    <xf numFmtId="0" fontId="9" fillId="0" borderId="0" xfId="46" applyFont="1" applyAlignment="1">
      <alignment horizontal="left"/>
    </xf>
    <xf numFmtId="0" fontId="10" fillId="0" borderId="0" xfId="46" applyFont="1"/>
    <xf numFmtId="0" fontId="10" fillId="0" borderId="0" xfId="46" applyFont="1" applyAlignment="1">
      <alignment horizontal="center"/>
    </xf>
    <xf numFmtId="0" fontId="10" fillId="0" borderId="0" xfId="46" applyFont="1" applyAlignment="1">
      <alignment horizontal="right"/>
    </xf>
    <xf numFmtId="0" fontId="10" fillId="0" borderId="0" xfId="46" applyFont="1" applyAlignment="1">
      <alignment horizontal="left"/>
    </xf>
    <xf numFmtId="171" fontId="2" fillId="4" borderId="1" xfId="34" applyNumberFormat="1" applyFont="1" applyFill="1" applyBorder="1" applyAlignment="1">
      <alignment horizontal="center" vertical="top" wrapText="1"/>
    </xf>
    <xf numFmtId="171" fontId="1" fillId="4" borderId="23" xfId="34" applyNumberFormat="1" applyFont="1" applyFill="1" applyBorder="1" applyAlignment="1">
      <alignment horizontal="center" vertical="top" wrapText="1"/>
    </xf>
    <xf numFmtId="0" fontId="1" fillId="0" borderId="1" xfId="46" applyFont="1" applyBorder="1" applyAlignment="1">
      <alignment horizontal="center"/>
    </xf>
    <xf numFmtId="0" fontId="11" fillId="0" borderId="1" xfId="46" applyFont="1" applyBorder="1" applyAlignment="1">
      <alignment horizontal="center" vertical="top"/>
    </xf>
    <xf numFmtId="0" fontId="12" fillId="0" borderId="4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172" fontId="12" fillId="5" borderId="1" xfId="54" applyNumberFormat="1" applyFont="1" applyFill="1" applyBorder="1" applyAlignment="1">
      <alignment horizontal="center" vertical="top"/>
    </xf>
    <xf numFmtId="172" fontId="12" fillId="0" borderId="1" xfId="54" applyNumberFormat="1" applyFont="1" applyFill="1" applyBorder="1" applyAlignment="1">
      <alignment vertical="top"/>
    </xf>
    <xf numFmtId="172" fontId="11" fillId="5" borderId="1" xfId="0" applyNumberFormat="1" applyFont="1" applyFill="1" applyBorder="1" applyAlignment="1">
      <alignment vertical="top"/>
    </xf>
    <xf numFmtId="0" fontId="12" fillId="0" borderId="2" xfId="0" applyFont="1" applyFill="1" applyBorder="1" applyAlignment="1">
      <alignment horizontal="right" vertical="top" wrapText="1"/>
    </xf>
    <xf numFmtId="172" fontId="12" fillId="0" borderId="1" xfId="0" applyNumberFormat="1" applyFont="1" applyFill="1" applyBorder="1" applyAlignment="1">
      <alignment horizontal="center" vertical="top"/>
    </xf>
    <xf numFmtId="172" fontId="12" fillId="5" borderId="1" xfId="0" applyNumberFormat="1" applyFont="1" applyFill="1" applyBorder="1" applyAlignment="1">
      <alignment horizontal="center" vertical="top"/>
    </xf>
    <xf numFmtId="172" fontId="12" fillId="0" borderId="1" xfId="0" applyNumberFormat="1" applyFont="1" applyFill="1" applyBorder="1" applyAlignment="1">
      <alignment vertical="top" wrapText="1"/>
    </xf>
    <xf numFmtId="172" fontId="12" fillId="5" borderId="1" xfId="0" applyNumberFormat="1" applyFont="1" applyFill="1" applyBorder="1" applyAlignment="1">
      <alignment vertical="top" wrapText="1"/>
    </xf>
    <xf numFmtId="0" fontId="12" fillId="0" borderId="2" xfId="56" applyFont="1" applyFill="1" applyBorder="1" applyAlignment="1">
      <alignment horizontal="right" vertical="top"/>
    </xf>
    <xf numFmtId="0" fontId="12" fillId="0" borderId="4" xfId="56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2" fillId="5" borderId="4" xfId="0" applyFont="1" applyFill="1" applyBorder="1" applyAlignment="1">
      <alignment horizontal="left" vertical="top"/>
    </xf>
    <xf numFmtId="172" fontId="12" fillId="0" borderId="1" xfId="0" applyNumberFormat="1" applyFont="1" applyFill="1" applyBorder="1" applyAlignment="1">
      <alignment vertical="top"/>
    </xf>
    <xf numFmtId="0" fontId="13" fillId="6" borderId="0" xfId="0" applyFont="1" applyFill="1" applyBorder="1" applyAlignment="1">
      <alignment horizontal="left"/>
    </xf>
    <xf numFmtId="172" fontId="13" fillId="6" borderId="0" xfId="0" applyNumberFormat="1" applyFont="1" applyFill="1" applyBorder="1" applyAlignment="1">
      <alignment horizontal="left"/>
    </xf>
    <xf numFmtId="172" fontId="14" fillId="6" borderId="0" xfId="0" applyNumberFormat="1" applyFont="1" applyFill="1" applyBorder="1"/>
    <xf numFmtId="0" fontId="15" fillId="6" borderId="0" xfId="0" applyFont="1" applyFill="1" applyBorder="1"/>
    <xf numFmtId="172" fontId="16" fillId="6" borderId="0" xfId="54" applyNumberFormat="1" applyFont="1" applyFill="1" applyBorder="1" applyAlignment="1"/>
    <xf numFmtId="171" fontId="2" fillId="4" borderId="5" xfId="34" applyNumberFormat="1" applyFont="1" applyFill="1" applyBorder="1" applyAlignment="1">
      <alignment horizontal="center" vertical="top" wrapText="1"/>
    </xf>
    <xf numFmtId="171" fontId="1" fillId="4" borderId="25" xfId="34" applyNumberFormat="1" applyFont="1" applyFill="1" applyBorder="1" applyAlignment="1">
      <alignment horizontal="center" vertical="top" wrapText="1"/>
    </xf>
    <xf numFmtId="0" fontId="17" fillId="6" borderId="1" xfId="56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right" vertical="center"/>
    </xf>
    <xf numFmtId="0" fontId="17" fillId="6" borderId="1" xfId="0" applyNumberFormat="1" applyFont="1" applyFill="1" applyBorder="1" applyAlignment="1">
      <alignment horizontal="right" vertical="center"/>
    </xf>
    <xf numFmtId="172" fontId="17" fillId="6" borderId="1" xfId="0" applyNumberFormat="1" applyFont="1" applyFill="1" applyBorder="1" applyAlignment="1">
      <alignment horizontal="left" vertical="center"/>
    </xf>
    <xf numFmtId="172" fontId="17" fillId="5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 wrapText="1"/>
    </xf>
    <xf numFmtId="168" fontId="10" fillId="0" borderId="4" xfId="34" applyNumberFormat="1" applyFont="1" applyBorder="1" applyAlignment="1">
      <alignment horizontal="right" vertical="top"/>
    </xf>
    <xf numFmtId="168" fontId="10" fillId="0" borderId="1" xfId="34" applyNumberFormat="1" applyFont="1" applyBorder="1" applyAlignment="1">
      <alignment horizontal="right" vertical="top"/>
    </xf>
    <xf numFmtId="0" fontId="17" fillId="6" borderId="0" xfId="56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left" vertical="center"/>
    </xf>
    <xf numFmtId="0" fontId="17" fillId="6" borderId="0" xfId="0" applyFont="1" applyFill="1" applyBorder="1" applyAlignment="1">
      <alignment horizontal="right" vertical="center"/>
    </xf>
    <xf numFmtId="0" fontId="17" fillId="6" borderId="0" xfId="0" applyNumberFormat="1" applyFont="1" applyFill="1" applyBorder="1" applyAlignment="1">
      <alignment horizontal="right" vertical="center"/>
    </xf>
    <xf numFmtId="172" fontId="17" fillId="6" borderId="0" xfId="0" applyNumberFormat="1" applyFont="1" applyFill="1" applyBorder="1" applyAlignment="1">
      <alignment horizontal="left" vertical="center"/>
    </xf>
    <xf numFmtId="172" fontId="17" fillId="5" borderId="0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right" vertical="top"/>
    </xf>
    <xf numFmtId="0" fontId="17" fillId="0" borderId="1" xfId="0" applyFont="1" applyFill="1" applyBorder="1" applyAlignment="1">
      <alignment horizontal="left" vertical="top"/>
    </xf>
    <xf numFmtId="0" fontId="4" fillId="0" borderId="1" xfId="48" applyFont="1" applyFill="1" applyBorder="1" applyAlignment="1">
      <alignment vertical="top" wrapText="1"/>
    </xf>
    <xf numFmtId="0" fontId="17" fillId="0" borderId="1" xfId="48" applyFont="1" applyFill="1" applyBorder="1" applyAlignment="1">
      <alignment vertical="top" wrapText="1"/>
    </xf>
    <xf numFmtId="0" fontId="16" fillId="0" borderId="1" xfId="55" applyFont="1" applyFill="1" applyBorder="1" applyAlignment="1">
      <alignment horizontal="left" vertical="top"/>
    </xf>
    <xf numFmtId="0" fontId="17" fillId="0" borderId="1" xfId="49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right" vertical="top"/>
    </xf>
    <xf numFmtId="0" fontId="17" fillId="0" borderId="4" xfId="0" applyFont="1" applyFill="1" applyBorder="1" applyAlignment="1">
      <alignment horizontal="left" vertical="top"/>
    </xf>
    <xf numFmtId="166" fontId="0" fillId="0" borderId="1" xfId="0" applyNumberFormat="1" applyBorder="1"/>
    <xf numFmtId="0" fontId="4" fillId="0" borderId="4" xfId="48" applyFont="1" applyFill="1" applyBorder="1" applyAlignment="1">
      <alignment vertical="top" wrapText="1"/>
    </xf>
    <xf numFmtId="166" fontId="0" fillId="0" borderId="5" xfId="0" applyNumberFormat="1" applyBorder="1"/>
    <xf numFmtId="166" fontId="0" fillId="0" borderId="9" xfId="0" applyNumberFormat="1" applyBorder="1"/>
    <xf numFmtId="166" fontId="0" fillId="0" borderId="12" xfId="0" applyNumberFormat="1" applyBorder="1"/>
    <xf numFmtId="0" fontId="17" fillId="0" borderId="8" xfId="0" applyFont="1" applyFill="1" applyBorder="1" applyAlignment="1">
      <alignment horizontal="left" vertical="top"/>
    </xf>
    <xf numFmtId="0" fontId="17" fillId="0" borderId="5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5" xfId="48" applyFont="1" applyFill="1" applyBorder="1" applyAlignment="1">
      <alignment vertical="top" wrapText="1"/>
    </xf>
    <xf numFmtId="166" fontId="0" fillId="0" borderId="1" xfId="0" applyNumberFormat="1" applyBorder="1" applyAlignment="1">
      <alignment horizontal="left" vertical="top"/>
    </xf>
    <xf numFmtId="0" fontId="4" fillId="0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left" vertical="top"/>
    </xf>
    <xf numFmtId="166" fontId="0" fillId="0" borderId="5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12" fillId="0" borderId="1" xfId="0" applyFont="1" applyFill="1" applyBorder="1" applyAlignment="1">
      <alignment horizontal="left" vertical="top" wrapText="1"/>
    </xf>
    <xf numFmtId="0" fontId="4" fillId="5" borderId="1" xfId="48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top"/>
    </xf>
    <xf numFmtId="0" fontId="17" fillId="5" borderId="1" xfId="0" applyFont="1" applyFill="1" applyBorder="1" applyAlignment="1">
      <alignment horizontal="right" vertical="top"/>
    </xf>
    <xf numFmtId="0" fontId="17" fillId="5" borderId="1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64" fontId="3" fillId="0" borderId="0" xfId="2" applyFont="1"/>
    <xf numFmtId="164" fontId="3" fillId="0" borderId="0" xfId="0" applyNumberFormat="1" applyFont="1"/>
    <xf numFmtId="0" fontId="3" fillId="0" borderId="0" xfId="0" applyFont="1" applyBorder="1"/>
    <xf numFmtId="0" fontId="0" fillId="0" borderId="0" xfId="0" applyAlignment="1"/>
    <xf numFmtId="0" fontId="12" fillId="0" borderId="4" xfId="0" quotePrefix="1" applyFont="1" applyFill="1" applyBorder="1" applyAlignment="1">
      <alignment horizontal="left" vertical="top" wrapText="1"/>
    </xf>
    <xf numFmtId="0" fontId="17" fillId="0" borderId="1" xfId="49" quotePrefix="1" applyFont="1" applyFill="1" applyBorder="1" applyAlignment="1">
      <alignment horizontal="left" vertical="top" wrapText="1"/>
    </xf>
    <xf numFmtId="0" fontId="4" fillId="0" borderId="4" xfId="48" quotePrefix="1" applyFont="1" applyFill="1" applyBorder="1" applyAlignment="1">
      <alignment vertical="top" wrapText="1"/>
    </xf>
    <xf numFmtId="0" fontId="4" fillId="0" borderId="1" xfId="0" quotePrefix="1" applyFont="1" applyFill="1" applyBorder="1" applyAlignment="1">
      <alignment horizontal="left" vertical="top" wrapText="1"/>
    </xf>
    <xf numFmtId="0" fontId="17" fillId="0" borderId="1" xfId="0" quotePrefix="1" applyFont="1" applyFill="1" applyBorder="1" applyAlignment="1">
      <alignment horizontal="left" vertical="top" wrapText="1"/>
    </xf>
    <xf numFmtId="0" fontId="4" fillId="5" borderId="1" xfId="48" quotePrefix="1" applyFont="1" applyFill="1" applyBorder="1" applyAlignment="1">
      <alignment vertical="top" wrapText="1"/>
    </xf>
    <xf numFmtId="0" fontId="0" fillId="0" borderId="0" xfId="0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3" fontId="3" fillId="0" borderId="40" xfId="0" applyNumberFormat="1" applyFont="1" applyFill="1" applyBorder="1" applyAlignment="1"/>
    <xf numFmtId="0" fontId="0" fillId="0" borderId="40" xfId="0" applyBorder="1"/>
    <xf numFmtId="0" fontId="3" fillId="0" borderId="40" xfId="0" applyFont="1" applyBorder="1"/>
    <xf numFmtId="0" fontId="2" fillId="2" borderId="37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2" fillId="0" borderId="2" xfId="0" applyFont="1" applyFill="1" applyBorder="1"/>
    <xf numFmtId="0" fontId="1" fillId="0" borderId="0" xfId="0" applyFont="1" applyBorder="1" applyAlignment="1">
      <alignment horizontal="center"/>
    </xf>
    <xf numFmtId="0" fontId="2" fillId="29" borderId="40" xfId="0" applyFont="1" applyFill="1" applyBorder="1" applyAlignment="1">
      <alignment horizontal="center"/>
    </xf>
    <xf numFmtId="0" fontId="37" fillId="2" borderId="40" xfId="0" applyFont="1" applyFill="1" applyBorder="1" applyAlignment="1">
      <alignment horizontal="center" wrapText="1"/>
    </xf>
    <xf numFmtId="0" fontId="2" fillId="0" borderId="40" xfId="0" applyFont="1" applyBorder="1" applyAlignment="1">
      <alignment vertical="top"/>
    </xf>
    <xf numFmtId="170" fontId="0" fillId="0" borderId="40" xfId="2" applyNumberFormat="1" applyFont="1" applyBorder="1"/>
    <xf numFmtId="170" fontId="8" fillId="0" borderId="40" xfId="2" applyNumberFormat="1" applyFont="1" applyBorder="1"/>
    <xf numFmtId="170" fontId="2" fillId="0" borderId="40" xfId="2" applyNumberFormat="1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37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7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/>
    <xf numFmtId="0" fontId="3" fillId="0" borderId="40" xfId="0" applyNumberFormat="1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170" fontId="3" fillId="0" borderId="40" xfId="2" applyNumberFormat="1" applyFont="1" applyFill="1" applyBorder="1"/>
    <xf numFmtId="165" fontId="3" fillId="0" borderId="40" xfId="0" applyNumberFormat="1" applyFont="1" applyFill="1" applyBorder="1"/>
    <xf numFmtId="165" fontId="2" fillId="0" borderId="40" xfId="0" applyNumberFormat="1" applyFont="1" applyFill="1" applyBorder="1"/>
    <xf numFmtId="0" fontId="3" fillId="0" borderId="40" xfId="0" applyFont="1" applyBorder="1" applyAlignment="1">
      <alignment vertical="center" wrapText="1"/>
    </xf>
    <xf numFmtId="3" fontId="3" fillId="0" borderId="40" xfId="0" applyNumberFormat="1" applyFont="1" applyBorder="1" applyAlignment="1">
      <alignment horizontal="center" vertical="center"/>
    </xf>
    <xf numFmtId="164" fontId="3" fillId="0" borderId="40" xfId="2" applyFont="1" applyFill="1" applyBorder="1" applyAlignment="1">
      <alignment horizontal="center" vertical="center"/>
    </xf>
    <xf numFmtId="3" fontId="3" fillId="0" borderId="40" xfId="0" applyNumberFormat="1" applyFont="1" applyBorder="1" applyAlignment="1">
      <alignment horizontal="right" vertical="center"/>
    </xf>
    <xf numFmtId="9" fontId="3" fillId="0" borderId="40" xfId="0" applyNumberFormat="1" applyFont="1" applyBorder="1"/>
    <xf numFmtId="165" fontId="37" fillId="0" borderId="40" xfId="0" applyNumberFormat="1" applyFont="1" applyFill="1" applyBorder="1"/>
    <xf numFmtId="170" fontId="3" fillId="0" borderId="40" xfId="2" applyNumberFormat="1" applyFont="1" applyFill="1" applyBorder="1" applyAlignment="1">
      <alignment vertical="center"/>
    </xf>
    <xf numFmtId="0" fontId="3" fillId="0" borderId="40" xfId="0" applyFont="1" applyBorder="1" applyAlignment="1">
      <alignment wrapText="1"/>
    </xf>
    <xf numFmtId="3" fontId="3" fillId="0" borderId="40" xfId="0" applyNumberFormat="1" applyFont="1" applyBorder="1" applyAlignment="1">
      <alignment horizontal="center"/>
    </xf>
    <xf numFmtId="164" fontId="3" fillId="0" borderId="40" xfId="2" applyFont="1" applyFill="1" applyBorder="1" applyAlignment="1">
      <alignment horizontal="center"/>
    </xf>
    <xf numFmtId="164" fontId="36" fillId="0" borderId="40" xfId="2" applyFont="1" applyFill="1" applyBorder="1" applyAlignment="1">
      <alignment horizontal="center"/>
    </xf>
    <xf numFmtId="0" fontId="3" fillId="0" borderId="40" xfId="0" applyFont="1" applyBorder="1" applyAlignment="1">
      <alignment horizontal="center" wrapText="1"/>
    </xf>
    <xf numFmtId="173" fontId="0" fillId="0" borderId="40" xfId="1" applyNumberFormat="1" applyFont="1" applyBorder="1"/>
    <xf numFmtId="173" fontId="3" fillId="0" borderId="40" xfId="0" applyNumberFormat="1" applyFont="1" applyBorder="1"/>
    <xf numFmtId="0" fontId="3" fillId="0" borderId="40" xfId="0" applyFont="1" applyFill="1" applyBorder="1" applyAlignment="1">
      <alignment vertical="center"/>
    </xf>
    <xf numFmtId="0" fontId="36" fillId="0" borderId="40" xfId="0" applyFont="1" applyFill="1" applyBorder="1" applyAlignment="1">
      <alignment vertical="center"/>
    </xf>
    <xf numFmtId="0" fontId="3" fillId="0" borderId="40" xfId="2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 wrapText="1"/>
    </xf>
    <xf numFmtId="164" fontId="3" fillId="0" borderId="40" xfId="2" applyFont="1" applyBorder="1"/>
    <xf numFmtId="164" fontId="3" fillId="0" borderId="40" xfId="0" applyNumberFormat="1" applyFont="1" applyBorder="1"/>
    <xf numFmtId="165" fontId="3" fillId="0" borderId="40" xfId="0" applyNumberFormat="1" applyFont="1" applyBorder="1"/>
    <xf numFmtId="0" fontId="6" fillId="0" borderId="40" xfId="0" applyFont="1" applyBorder="1" applyAlignment="1">
      <alignment horizontal="left" vertical="center"/>
    </xf>
    <xf numFmtId="0" fontId="3" fillId="0" borderId="40" xfId="2" applyNumberFormat="1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9" fillId="0" borderId="40" xfId="0" applyFont="1" applyBorder="1" applyAlignment="1">
      <alignment horizontal="left" vertical="center"/>
    </xf>
    <xf numFmtId="0" fontId="3" fillId="0" borderId="40" xfId="0" applyFont="1" applyFill="1" applyBorder="1" applyAlignment="1"/>
    <xf numFmtId="170" fontId="3" fillId="0" borderId="40" xfId="0" applyNumberFormat="1" applyFont="1" applyFill="1" applyBorder="1" applyAlignment="1"/>
    <xf numFmtId="0" fontId="2" fillId="0" borderId="40" xfId="0" applyFont="1" applyFill="1" applyBorder="1" applyAlignment="1"/>
    <xf numFmtId="0" fontId="3" fillId="0" borderId="40" xfId="0" applyFont="1" applyFill="1" applyBorder="1"/>
    <xf numFmtId="170" fontId="3" fillId="0" borderId="40" xfId="0" applyNumberFormat="1" applyFont="1" applyFill="1" applyBorder="1"/>
    <xf numFmtId="0" fontId="2" fillId="0" borderId="40" xfId="0" applyFont="1" applyFill="1" applyBorder="1"/>
    <xf numFmtId="0" fontId="3" fillId="0" borderId="40" xfId="0" applyFont="1" applyBorder="1" applyAlignment="1">
      <alignment horizontal="center" vertical="center"/>
    </xf>
    <xf numFmtId="173" fontId="3" fillId="0" borderId="40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3" fontId="2" fillId="0" borderId="40" xfId="0" applyNumberFormat="1" applyFont="1" applyFill="1" applyBorder="1" applyAlignment="1">
      <alignment horizontal="center"/>
    </xf>
    <xf numFmtId="3" fontId="3" fillId="0" borderId="40" xfId="0" applyNumberFormat="1" applyFont="1" applyFill="1" applyBorder="1" applyAlignment="1">
      <alignment horizontal="center"/>
    </xf>
    <xf numFmtId="3" fontId="3" fillId="0" borderId="40" xfId="0" applyNumberFormat="1" applyFont="1" applyFill="1" applyBorder="1" applyAlignment="1">
      <alignment horizontal="right"/>
    </xf>
    <xf numFmtId="3" fontId="2" fillId="0" borderId="40" xfId="0" applyNumberFormat="1" applyFont="1" applyFill="1" applyBorder="1" applyAlignment="1">
      <alignment horizontal="right"/>
    </xf>
    <xf numFmtId="0" fontId="2" fillId="0" borderId="40" xfId="0" applyFont="1" applyFill="1" applyBorder="1" applyAlignment="1">
      <alignment horizontal="right" wrapText="1"/>
    </xf>
    <xf numFmtId="0" fontId="2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wrapText="1"/>
    </xf>
    <xf numFmtId="3" fontId="3" fillId="0" borderId="40" xfId="0" applyNumberFormat="1" applyFont="1" applyFill="1" applyBorder="1"/>
    <xf numFmtId="3" fontId="2" fillId="0" borderId="40" xfId="0" applyNumberFormat="1" applyFont="1" applyFill="1" applyBorder="1" applyAlignment="1"/>
    <xf numFmtId="0" fontId="3" fillId="0" borderId="40" xfId="0" applyFont="1" applyFill="1" applyBorder="1" applyAlignment="1">
      <alignment vertical="top" wrapText="1"/>
    </xf>
    <xf numFmtId="3" fontId="3" fillId="0" borderId="40" xfId="0" applyNumberFormat="1" applyFont="1" applyFill="1" applyBorder="1" applyAlignment="1">
      <alignment horizontal="center" vertical="top"/>
    </xf>
    <xf numFmtId="3" fontId="3" fillId="0" borderId="40" xfId="0" applyNumberFormat="1" applyFont="1" applyFill="1" applyBorder="1" applyAlignment="1">
      <alignment horizontal="right" vertical="top"/>
    </xf>
    <xf numFmtId="3" fontId="3" fillId="0" borderId="40" xfId="0" applyNumberFormat="1" applyFont="1" applyFill="1" applyBorder="1" applyAlignment="1">
      <alignment vertical="top"/>
    </xf>
    <xf numFmtId="0" fontId="2" fillId="0" borderId="41" xfId="0" applyFont="1" applyFill="1" applyBorder="1" applyAlignment="1">
      <alignment horizontal="right" wrapText="1"/>
    </xf>
    <xf numFmtId="0" fontId="2" fillId="0" borderId="42" xfId="0" applyFont="1" applyFill="1" applyBorder="1" applyAlignment="1">
      <alignment horizontal="right" wrapText="1"/>
    </xf>
    <xf numFmtId="3" fontId="2" fillId="0" borderId="42" xfId="0" applyNumberFormat="1" applyFont="1" applyFill="1" applyBorder="1" applyAlignment="1">
      <alignment horizontal="center"/>
    </xf>
    <xf numFmtId="3" fontId="3" fillId="0" borderId="42" xfId="0" applyNumberFormat="1" applyFont="1" applyFill="1" applyBorder="1" applyAlignment="1">
      <alignment horizontal="center"/>
    </xf>
    <xf numFmtId="3" fontId="3" fillId="0" borderId="42" xfId="0" applyNumberFormat="1" applyFont="1" applyFill="1" applyBorder="1" applyAlignment="1">
      <alignment horizontal="right"/>
    </xf>
    <xf numFmtId="3" fontId="2" fillId="0" borderId="42" xfId="0" applyNumberFormat="1" applyFont="1" applyFill="1" applyBorder="1" applyAlignment="1">
      <alignment horizontal="right"/>
    </xf>
    <xf numFmtId="0" fontId="3" fillId="0" borderId="42" xfId="0" applyFont="1" applyBorder="1"/>
    <xf numFmtId="0" fontId="3" fillId="0" borderId="43" xfId="0" applyFont="1" applyBorder="1"/>
    <xf numFmtId="0" fontId="3" fillId="0" borderId="42" xfId="0" applyFont="1" applyFill="1" applyBorder="1"/>
    <xf numFmtId="0" fontId="3" fillId="0" borderId="43" xfId="0" applyFont="1" applyFill="1" applyBorder="1"/>
    <xf numFmtId="0" fontId="3" fillId="0" borderId="40" xfId="0" applyFont="1" applyBorder="1" applyAlignment="1">
      <alignment horizontal="center" vertical="top"/>
    </xf>
    <xf numFmtId="0" fontId="3" fillId="0" borderId="40" xfId="0" applyFont="1" applyFill="1" applyBorder="1" applyAlignment="1">
      <alignment horizontal="center" vertical="top"/>
    </xf>
    <xf numFmtId="0" fontId="2" fillId="3" borderId="40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164" fontId="3" fillId="0" borderId="40" xfId="2" applyFont="1" applyBorder="1" applyAlignment="1">
      <alignment vertical="center"/>
    </xf>
    <xf numFmtId="164" fontId="3" fillId="0" borderId="40" xfId="0" applyNumberFormat="1" applyFont="1" applyBorder="1" applyAlignment="1">
      <alignment vertical="center"/>
    </xf>
    <xf numFmtId="164" fontId="2" fillId="0" borderId="40" xfId="2" applyFont="1" applyBorder="1"/>
    <xf numFmtId="164" fontId="2" fillId="0" borderId="40" xfId="0" applyNumberFormat="1" applyFont="1" applyBorder="1"/>
    <xf numFmtId="3" fontId="3" fillId="0" borderId="40" xfId="0" applyNumberFormat="1" applyFont="1" applyBorder="1"/>
    <xf numFmtId="164" fontId="3" fillId="0" borderId="40" xfId="2" applyFont="1" applyFill="1" applyBorder="1"/>
    <xf numFmtId="164" fontId="3" fillId="0" borderId="40" xfId="2" applyFont="1" applyBorder="1" applyAlignment="1">
      <alignment vertical="top"/>
    </xf>
    <xf numFmtId="164" fontId="3" fillId="0" borderId="40" xfId="2" applyFont="1" applyFill="1" applyBorder="1" applyAlignment="1">
      <alignment vertical="top"/>
    </xf>
    <xf numFmtId="3" fontId="3" fillId="0" borderId="40" xfId="0" applyNumberFormat="1" applyFont="1" applyBorder="1" applyAlignment="1">
      <alignment vertical="center"/>
    </xf>
    <xf numFmtId="170" fontId="3" fillId="0" borderId="40" xfId="0" applyNumberFormat="1" applyFont="1" applyBorder="1" applyAlignment="1">
      <alignment vertical="center"/>
    </xf>
    <xf numFmtId="170" fontId="3" fillId="0" borderId="40" xfId="0" applyNumberFormat="1" applyFont="1" applyBorder="1"/>
    <xf numFmtId="0" fontId="3" fillId="0" borderId="44" xfId="49" applyFont="1" applyBorder="1" applyAlignment="1">
      <alignment horizontal="center" vertical="center" wrapText="1"/>
    </xf>
    <xf numFmtId="0" fontId="3" fillId="0" borderId="45" xfId="49" applyFont="1" applyBorder="1" applyAlignment="1">
      <alignment horizontal="left" vertical="center" wrapText="1"/>
    </xf>
    <xf numFmtId="0" fontId="3" fillId="0" borderId="46" xfId="49" applyFont="1" applyBorder="1" applyAlignment="1">
      <alignment horizontal="left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wrapText="1"/>
    </xf>
    <xf numFmtId="3" fontId="3" fillId="0" borderId="4" xfId="0" applyNumberFormat="1" applyFont="1" applyFill="1" applyBorder="1"/>
    <xf numFmtId="3" fontId="3" fillId="0" borderId="44" xfId="0" applyNumberFormat="1" applyFont="1" applyFill="1" applyBorder="1" applyAlignment="1">
      <alignment horizontal="center"/>
    </xf>
    <xf numFmtId="3" fontId="3" fillId="0" borderId="44" xfId="0" applyNumberFormat="1" applyFont="1" applyFill="1" applyBorder="1" applyAlignment="1">
      <alignment horizontal="right"/>
    </xf>
    <xf numFmtId="0" fontId="2" fillId="0" borderId="43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 wrapText="1"/>
    </xf>
    <xf numFmtId="164" fontId="3" fillId="0" borderId="0" xfId="2" applyFont="1" applyAlignment="1">
      <alignment vertical="center"/>
    </xf>
    <xf numFmtId="16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70" fontId="3" fillId="30" borderId="0" xfId="0" applyNumberFormat="1" applyFont="1" applyFill="1"/>
    <xf numFmtId="43" fontId="3" fillId="0" borderId="0" xfId="0" applyNumberFormat="1" applyFont="1"/>
    <xf numFmtId="174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3" fillId="0" borderId="41" xfId="0" applyFont="1" applyFill="1" applyBorder="1"/>
    <xf numFmtId="0" fontId="3" fillId="0" borderId="44" xfId="0" applyFont="1" applyFill="1" applyBorder="1" applyAlignment="1">
      <alignment vertical="center"/>
    </xf>
    <xf numFmtId="0" fontId="0" fillId="0" borderId="44" xfId="0" applyBorder="1" applyAlignment="1">
      <alignment horizontal="center" vertical="center"/>
    </xf>
    <xf numFmtId="170" fontId="3" fillId="0" borderId="44" xfId="2" applyNumberFormat="1" applyFont="1" applyFill="1" applyBorder="1"/>
    <xf numFmtId="164" fontId="3" fillId="0" borderId="44" xfId="2" applyFont="1" applyBorder="1"/>
    <xf numFmtId="164" fontId="3" fillId="0" borderId="44" xfId="0" applyNumberFormat="1" applyFont="1" applyBorder="1"/>
    <xf numFmtId="170" fontId="0" fillId="0" borderId="0" xfId="0" applyNumberFormat="1"/>
    <xf numFmtId="164" fontId="0" fillId="0" borderId="0" xfId="2" applyFont="1"/>
    <xf numFmtId="0" fontId="3" fillId="0" borderId="4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165" fontId="3" fillId="0" borderId="0" xfId="1" applyFont="1" applyFill="1"/>
    <xf numFmtId="165" fontId="3" fillId="0" borderId="0" xfId="0" applyNumberFormat="1" applyFont="1" applyFill="1"/>
    <xf numFmtId="0" fontId="1" fillId="0" borderId="0" xfId="0" applyFont="1" applyAlignment="1">
      <alignment horizontal="center"/>
    </xf>
    <xf numFmtId="171" fontId="3" fillId="0" borderId="40" xfId="0" applyNumberFormat="1" applyFont="1" applyFill="1" applyBorder="1"/>
    <xf numFmtId="171" fontId="2" fillId="0" borderId="40" xfId="0" applyNumberFormat="1" applyFont="1" applyFill="1" applyBorder="1"/>
    <xf numFmtId="171" fontId="3" fillId="0" borderId="40" xfId="0" applyNumberFormat="1" applyFont="1" applyFill="1" applyBorder="1" applyAlignment="1">
      <alignment vertical="center"/>
    </xf>
    <xf numFmtId="171" fontId="37" fillId="0" borderId="40" xfId="0" applyNumberFormat="1" applyFont="1" applyFill="1" applyBorder="1"/>
    <xf numFmtId="173" fontId="3" fillId="0" borderId="40" xfId="0" applyNumberFormat="1" applyFont="1" applyBorder="1" applyAlignment="1">
      <alignment vertical="center"/>
    </xf>
    <xf numFmtId="173" fontId="37" fillId="0" borderId="40" xfId="0" applyNumberFormat="1" applyFont="1" applyFill="1" applyBorder="1"/>
    <xf numFmtId="173" fontId="2" fillId="0" borderId="40" xfId="0" applyNumberFormat="1" applyFont="1" applyFill="1" applyBorder="1"/>
    <xf numFmtId="171" fontId="3" fillId="0" borderId="44" xfId="0" applyNumberFormat="1" applyFont="1" applyFill="1" applyBorder="1"/>
    <xf numFmtId="171" fontId="3" fillId="0" borderId="40" xfId="0" applyNumberFormat="1" applyFont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0" fontId="2" fillId="0" borderId="0" xfId="0" applyFont="1" applyFill="1" applyBorder="1" applyAlignment="1">
      <alignment horizontal="left" wrapText="1"/>
    </xf>
    <xf numFmtId="164" fontId="3" fillId="0" borderId="0" xfId="2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43" fontId="0" fillId="0" borderId="0" xfId="0" applyNumberFormat="1"/>
    <xf numFmtId="0" fontId="3" fillId="5" borderId="40" xfId="0" applyFont="1" applyFill="1" applyBorder="1" applyAlignment="1">
      <alignment wrapText="1"/>
    </xf>
    <xf numFmtId="164" fontId="2" fillId="0" borderId="0" xfId="0" applyNumberFormat="1" applyFont="1"/>
    <xf numFmtId="43" fontId="3" fillId="0" borderId="40" xfId="0" applyNumberFormat="1" applyFont="1" applyBorder="1" applyAlignment="1">
      <alignment vertical="center"/>
    </xf>
    <xf numFmtId="43" fontId="3" fillId="0" borderId="4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71" fontId="40" fillId="0" borderId="0" xfId="1" applyNumberFormat="1" applyFont="1" applyBorder="1" applyAlignment="1">
      <alignment vertical="center"/>
    </xf>
    <xf numFmtId="171" fontId="38" fillId="0" borderId="0" xfId="1" applyNumberFormat="1" applyFont="1" applyBorder="1" applyAlignment="1">
      <alignment vertical="center"/>
    </xf>
    <xf numFmtId="171" fontId="6" fillId="0" borderId="0" xfId="1" applyNumberFormat="1" applyFont="1" applyBorder="1" applyAlignment="1">
      <alignment horizontal="left"/>
    </xf>
    <xf numFmtId="171" fontId="3" fillId="0" borderId="0" xfId="1" applyNumberFormat="1" applyFont="1"/>
    <xf numFmtId="0" fontId="41" fillId="0" borderId="0" xfId="0" applyFont="1"/>
    <xf numFmtId="164" fontId="2" fillId="0" borderId="0" xfId="2" applyFont="1"/>
    <xf numFmtId="0" fontId="3" fillId="0" borderId="0" xfId="1" applyNumberFormat="1" applyFont="1" applyFill="1" applyBorder="1" applyAlignment="1">
      <alignment horizontal="left" vertical="center"/>
    </xf>
    <xf numFmtId="171" fontId="3" fillId="0" borderId="0" xfId="1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/>
    <xf numFmtId="171" fontId="38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/>
    <xf numFmtId="171" fontId="6" fillId="0" borderId="0" xfId="1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5" borderId="0" xfId="0" applyFont="1" applyFill="1" applyBorder="1"/>
    <xf numFmtId="170" fontId="3" fillId="5" borderId="0" xfId="0" applyNumberFormat="1" applyFont="1" applyFill="1" applyBorder="1"/>
    <xf numFmtId="0" fontId="2" fillId="5" borderId="0" xfId="0" applyFont="1" applyFill="1" applyBorder="1"/>
    <xf numFmtId="165" fontId="2" fillId="5" borderId="0" xfId="0" applyNumberFormat="1" applyFont="1" applyFill="1" applyBorder="1"/>
    <xf numFmtId="0" fontId="7" fillId="0" borderId="0" xfId="0" applyFont="1" applyAlignment="1">
      <alignment wrapText="1"/>
    </xf>
    <xf numFmtId="0" fontId="5" fillId="0" borderId="0" xfId="0" applyFont="1" applyAlignment="1"/>
    <xf numFmtId="0" fontId="3" fillId="0" borderId="44" xfId="0" applyFont="1" applyFill="1" applyBorder="1"/>
    <xf numFmtId="170" fontId="3" fillId="0" borderId="44" xfId="0" applyNumberFormat="1" applyFont="1" applyFill="1" applyBorder="1"/>
    <xf numFmtId="0" fontId="2" fillId="0" borderId="44" xfId="0" applyFont="1" applyFill="1" applyBorder="1"/>
    <xf numFmtId="165" fontId="2" fillId="31" borderId="44" xfId="0" applyNumberFormat="1" applyFont="1" applyFill="1" applyBorder="1"/>
    <xf numFmtId="0" fontId="3" fillId="0" borderId="44" xfId="0" applyFont="1" applyBorder="1"/>
    <xf numFmtId="170" fontId="2" fillId="0" borderId="0" xfId="2" applyNumberFormat="1" applyFont="1" applyBorder="1"/>
    <xf numFmtId="3" fontId="3" fillId="0" borderId="44" xfId="0" applyNumberFormat="1" applyFont="1" applyBorder="1"/>
    <xf numFmtId="0" fontId="3" fillId="0" borderId="41" xfId="49" applyFont="1" applyBorder="1" applyAlignment="1">
      <alignment horizontal="left" vertical="center" wrapText="1"/>
    </xf>
    <xf numFmtId="0" fontId="3" fillId="0" borderId="48" xfId="49" applyFont="1" applyBorder="1" applyAlignment="1">
      <alignment horizontal="left" vertical="center" wrapText="1"/>
    </xf>
    <xf numFmtId="3" fontId="3" fillId="0" borderId="48" xfId="0" applyNumberFormat="1" applyFont="1" applyFill="1" applyBorder="1"/>
    <xf numFmtId="0" fontId="3" fillId="0" borderId="41" xfId="0" applyFont="1" applyFill="1" applyBorder="1" applyAlignment="1">
      <alignment vertical="top" wrapText="1"/>
    </xf>
    <xf numFmtId="3" fontId="3" fillId="0" borderId="48" xfId="0" applyNumberFormat="1" applyFont="1" applyFill="1" applyBorder="1" applyAlignment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43" fillId="0" borderId="44" xfId="0" applyNumberFormat="1" applyFont="1" applyBorder="1" applyAlignment="1"/>
    <xf numFmtId="4" fontId="2" fillId="0" borderId="44" xfId="0" applyNumberFormat="1" applyFont="1" applyBorder="1" applyAlignment="1"/>
    <xf numFmtId="3" fontId="2" fillId="0" borderId="44" xfId="0" applyNumberFormat="1" applyFont="1" applyBorder="1"/>
    <xf numFmtId="3" fontId="3" fillId="0" borderId="44" xfId="0" applyNumberFormat="1" applyFont="1" applyBorder="1" applyAlignment="1">
      <alignment horizontal="center"/>
    </xf>
    <xf numFmtId="164" fontId="3" fillId="5" borderId="40" xfId="2" applyFont="1" applyFill="1" applyBorder="1" applyAlignment="1">
      <alignment vertical="center"/>
    </xf>
    <xf numFmtId="164" fontId="3" fillId="5" borderId="40" xfId="0" applyNumberFormat="1" applyFont="1" applyFill="1" applyBorder="1" applyAlignment="1">
      <alignment vertical="center"/>
    </xf>
    <xf numFmtId="3" fontId="3" fillId="0" borderId="43" xfId="0" applyNumberFormat="1" applyFont="1" applyFill="1" applyBorder="1" applyAlignment="1">
      <alignment wrapText="1"/>
    </xf>
    <xf numFmtId="0" fontId="3" fillId="0" borderId="41" xfId="0" applyFont="1" applyFill="1" applyBorder="1" applyAlignment="1">
      <alignment vertical="center" wrapText="1"/>
    </xf>
    <xf numFmtId="3" fontId="3" fillId="0" borderId="44" xfId="0" applyNumberFormat="1" applyFont="1" applyFill="1" applyBorder="1" applyAlignment="1">
      <alignment horizontal="right" vertical="center"/>
    </xf>
    <xf numFmtId="164" fontId="3" fillId="0" borderId="44" xfId="2" applyFont="1" applyBorder="1" applyAlignment="1">
      <alignment vertical="center"/>
    </xf>
    <xf numFmtId="3" fontId="3" fillId="0" borderId="4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171" fontId="1" fillId="4" borderId="20" xfId="34" applyNumberFormat="1" applyFont="1" applyFill="1" applyBorder="1" applyAlignment="1">
      <alignment horizontal="center" vertical="top"/>
    </xf>
    <xf numFmtId="171" fontId="1" fillId="4" borderId="21" xfId="34" applyNumberFormat="1" applyFont="1" applyFill="1" applyBorder="1" applyAlignment="1">
      <alignment horizontal="center" vertical="top"/>
    </xf>
    <xf numFmtId="0" fontId="1" fillId="0" borderId="2" xfId="46" applyFont="1" applyBorder="1" applyAlignment="1">
      <alignment horizontal="left"/>
    </xf>
    <xf numFmtId="0" fontId="1" fillId="0" borderId="3" xfId="46" applyFont="1" applyBorder="1" applyAlignment="1">
      <alignment horizontal="left"/>
    </xf>
    <xf numFmtId="0" fontId="1" fillId="0" borderId="4" xfId="46" applyFont="1" applyBorder="1" applyAlignment="1">
      <alignment horizontal="left"/>
    </xf>
    <xf numFmtId="0" fontId="16" fillId="6" borderId="14" xfId="54" applyFont="1" applyFill="1" applyBorder="1" applyAlignment="1">
      <alignment horizontal="center"/>
    </xf>
    <xf numFmtId="0" fontId="1" fillId="4" borderId="17" xfId="46" applyFont="1" applyFill="1" applyBorder="1" applyAlignment="1">
      <alignment horizontal="center" vertical="top"/>
    </xf>
    <xf numFmtId="0" fontId="0" fillId="0" borderId="12" xfId="0" applyBorder="1"/>
    <xf numFmtId="0" fontId="0" fillId="0" borderId="12" xfId="0" applyBorder="1" applyAlignment="1">
      <alignment horizontal="center"/>
    </xf>
    <xf numFmtId="171" fontId="1" fillId="4" borderId="18" xfId="34" applyNumberFormat="1" applyFont="1" applyFill="1" applyBorder="1" applyAlignment="1">
      <alignment horizontal="center" vertical="top"/>
    </xf>
    <xf numFmtId="0" fontId="0" fillId="0" borderId="19" xfId="0" applyBorder="1"/>
    <xf numFmtId="0" fontId="0" fillId="0" borderId="13" xfId="0" applyBorder="1"/>
    <xf numFmtId="0" fontId="0" fillId="0" borderId="15" xfId="0" applyBorder="1"/>
    <xf numFmtId="0" fontId="10" fillId="0" borderId="2" xfId="46" applyFont="1" applyBorder="1" applyAlignment="1">
      <alignment horizontal="right" vertical="top"/>
    </xf>
    <xf numFmtId="0" fontId="10" fillId="0" borderId="3" xfId="46" applyFont="1" applyBorder="1" applyAlignment="1">
      <alignment horizontal="right" vertical="top"/>
    </xf>
    <xf numFmtId="0" fontId="10" fillId="0" borderId="4" xfId="46" applyFont="1" applyBorder="1" applyAlignment="1">
      <alignment horizontal="right" vertical="top"/>
    </xf>
    <xf numFmtId="168" fontId="10" fillId="0" borderId="2" xfId="34" applyNumberFormat="1" applyFont="1" applyBorder="1" applyAlignment="1">
      <alignment horizontal="right" vertical="top"/>
    </xf>
    <xf numFmtId="168" fontId="10" fillId="0" borderId="3" xfId="34" applyNumberFormat="1" applyFont="1" applyBorder="1" applyAlignment="1">
      <alignment horizontal="right" vertical="top"/>
    </xf>
    <xf numFmtId="168" fontId="10" fillId="0" borderId="4" xfId="34" applyNumberFormat="1" applyFont="1" applyBorder="1" applyAlignment="1">
      <alignment horizontal="right"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4" borderId="16" xfId="46" applyFont="1" applyFill="1" applyBorder="1" applyAlignment="1">
      <alignment horizontal="center" vertical="top"/>
    </xf>
    <xf numFmtId="0" fontId="0" fillId="0" borderId="22" xfId="0" applyBorder="1"/>
    <xf numFmtId="0" fontId="11" fillId="0" borderId="1" xfId="46" applyFont="1" applyBorder="1" applyAlignment="1">
      <alignment horizontal="center" vertical="top"/>
    </xf>
    <xf numFmtId="0" fontId="0" fillId="0" borderId="24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40" xfId="0" applyBorder="1" applyAlignment="1">
      <alignment horizontal="left" wrapText="1"/>
    </xf>
    <xf numFmtId="0" fontId="37" fillId="0" borderId="40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40" xfId="0" applyFont="1" applyBorder="1" applyAlignment="1">
      <alignment horizontal="left" wrapText="1"/>
    </xf>
    <xf numFmtId="0" fontId="2" fillId="0" borderId="40" xfId="0" applyFont="1" applyBorder="1" applyAlignment="1">
      <alignment horizontal="right"/>
    </xf>
    <xf numFmtId="0" fontId="8" fillId="0" borderId="40" xfId="0" applyFont="1" applyBorder="1" applyAlignment="1">
      <alignment horizontal="right" wrapText="1"/>
    </xf>
    <xf numFmtId="0" fontId="2" fillId="0" borderId="40" xfId="0" applyFont="1" applyBorder="1" applyAlignment="1">
      <alignment horizontal="left" wrapText="1"/>
    </xf>
    <xf numFmtId="0" fontId="37" fillId="0" borderId="40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vertical="center" wrapText="1"/>
    </xf>
    <xf numFmtId="0" fontId="3" fillId="0" borderId="40" xfId="0" applyFont="1" applyFill="1" applyBorder="1"/>
    <xf numFmtId="0" fontId="2" fillId="0" borderId="40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8" fillId="0" borderId="40" xfId="0" applyFont="1" applyBorder="1" applyAlignment="1">
      <alignment horizontal="left" vertical="center" wrapText="1"/>
    </xf>
    <xf numFmtId="170" fontId="2" fillId="0" borderId="44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7" fillId="0" borderId="4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40" xfId="0" applyFont="1" applyFill="1" applyBorder="1" applyAlignment="1">
      <alignment horizontal="left"/>
    </xf>
    <xf numFmtId="0" fontId="2" fillId="0" borderId="4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40" xfId="0" applyFont="1" applyFill="1" applyBorder="1" applyAlignment="1">
      <alignment horizontal="right" wrapText="1"/>
    </xf>
    <xf numFmtId="0" fontId="2" fillId="0" borderId="40" xfId="0" applyFont="1" applyFill="1" applyBorder="1" applyAlignment="1">
      <alignment horizontal="left" wrapText="1"/>
    </xf>
    <xf numFmtId="0" fontId="2" fillId="3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left" vertical="center" wrapText="1"/>
    </xf>
    <xf numFmtId="0" fontId="2" fillId="3" borderId="40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171" fontId="40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2" fillId="3" borderId="4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1" xfId="0" applyFont="1" applyBorder="1" applyAlignment="1">
      <alignment horizontal="right" vertical="center"/>
    </xf>
    <xf numFmtId="0" fontId="2" fillId="0" borderId="42" xfId="0" applyFont="1" applyBorder="1" applyAlignment="1">
      <alignment horizontal="right" vertical="center"/>
    </xf>
    <xf numFmtId="0" fontId="2" fillId="0" borderId="43" xfId="0" applyFont="1" applyBorder="1" applyAlignment="1">
      <alignment horizontal="right" vertical="center"/>
    </xf>
    <xf numFmtId="0" fontId="2" fillId="0" borderId="41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 wrapText="1"/>
    </xf>
  </cellXfs>
  <cellStyles count="60">
    <cellStyle name="20% - Accent1 2" xfId="11"/>
    <cellStyle name="20% - Accent2 2" xfId="12"/>
    <cellStyle name="20% - Accent3 2" xfId="3"/>
    <cellStyle name="20% - Accent4 2" xfId="8"/>
    <cellStyle name="20% - Accent5 2" xfId="13"/>
    <cellStyle name="20% - Accent6 2" xfId="15"/>
    <cellStyle name="40% - Accent1 2" xfId="17"/>
    <cellStyle name="40% - Accent2 2" xfId="6"/>
    <cellStyle name="40% - Accent3 2" xfId="18"/>
    <cellStyle name="40% - Accent4 2" xfId="7"/>
    <cellStyle name="40% - Accent5 2" xfId="19"/>
    <cellStyle name="40% - Accent6 2" xfId="20"/>
    <cellStyle name="60% - Accent1 2" xfId="14"/>
    <cellStyle name="60% - Accent2 2" xfId="16"/>
    <cellStyle name="60% - Accent3 2" xfId="4"/>
    <cellStyle name="60% - Accent4 2" xfId="10"/>
    <cellStyle name="60% - Accent5 2" xfId="21"/>
    <cellStyle name="60% - Accent6 2" xfId="22"/>
    <cellStyle name="Accent1 2" xfId="23"/>
    <cellStyle name="Accent2 2" xfId="24"/>
    <cellStyle name="Accent3 2" xfId="25"/>
    <cellStyle name="Accent4 2" xfId="9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[0]" xfId="2" builtinId="6"/>
    <cellStyle name="Comma [0] 2" xfId="31"/>
    <cellStyle name="Comma [0] 3" xfId="32"/>
    <cellStyle name="Comma [0] 4" xfId="33"/>
    <cellStyle name="Comma 2" xfId="34"/>
    <cellStyle name="Comma 3" xfId="35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2" xfId="46"/>
    <cellStyle name="Normal 2 2" xfId="47"/>
    <cellStyle name="Normal 2 3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rmal 8 2" xfId="55"/>
    <cellStyle name="Normal 9" xfId="56"/>
    <cellStyle name="Note 2" xfId="36"/>
    <cellStyle name="Output 2" xfId="57"/>
    <cellStyle name="Title 2" xfId="5"/>
    <cellStyle name="Total 2" xfId="58"/>
    <cellStyle name="Warning Text 2" xfId="59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1</xdr:col>
      <xdr:colOff>1130774</xdr:colOff>
      <xdr:row>2</xdr:row>
      <xdr:rowOff>96706</xdr:rowOff>
    </xdr:to>
    <xdr:pic>
      <xdr:nvPicPr>
        <xdr:cNvPr id="2" name="Picture 1" descr="cats.jpg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750" y="79375"/>
          <a:ext cx="1634490" cy="417195"/>
        </a:xfrm>
        <a:prstGeom prst="rect">
          <a:avLst/>
        </a:prstGeom>
      </xdr:spPr>
    </xdr:pic>
    <xdr:clientData/>
  </xdr:twoCellAnchor>
  <xdr:twoCellAnchor>
    <xdr:from>
      <xdr:col>0</xdr:col>
      <xdr:colOff>500063</xdr:colOff>
      <xdr:row>21</xdr:row>
      <xdr:rowOff>61679</xdr:rowOff>
    </xdr:from>
    <xdr:to>
      <xdr:col>1</xdr:col>
      <xdr:colOff>2053602</xdr:colOff>
      <xdr:row>28</xdr:row>
      <xdr:rowOff>61912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>
          <a:spLocks noChangeArrowheads="1"/>
        </xdr:cNvSpPr>
      </xdr:nvSpPr>
      <xdr:spPr>
        <a:xfrm>
          <a:off x="499745" y="4662170"/>
          <a:ext cx="2216785" cy="14001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Disetujui</a:t>
          </a:r>
          <a:r>
            <a:rPr lang="en-US" sz="1100" b="0" i="0" strike="noStrike" baseline="0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</a:t>
          </a: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Oleh 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DIREKTUR TEKNIK</a:t>
          </a: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HOSADI A. PUTRA</a:t>
          </a:r>
        </a:p>
        <a:p>
          <a:pPr algn="ctr" rtl="1">
            <a:lnSpc>
              <a:spcPts val="10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3156082</xdr:colOff>
      <xdr:row>21</xdr:row>
      <xdr:rowOff>44450</xdr:rowOff>
    </xdr:from>
    <xdr:to>
      <xdr:col>4</xdr:col>
      <xdr:colOff>1486428</xdr:colOff>
      <xdr:row>28</xdr:row>
      <xdr:rowOff>139700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>
          <a:spLocks noChangeArrowheads="1"/>
        </xdr:cNvSpPr>
      </xdr:nvSpPr>
      <xdr:spPr>
        <a:xfrm>
          <a:off x="3818890" y="4645025"/>
          <a:ext cx="2627630" cy="1495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Dibuat Oleh: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KEPALA DIVISI PERALATAN</a:t>
          </a:r>
        </a:p>
        <a:p>
          <a:pPr marL="0" indent="0" algn="l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PRAMUJAYA</a:t>
          </a:r>
          <a:r>
            <a:rPr lang="en-US" sz="11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SIMBOLON</a:t>
          </a: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1</xdr:col>
      <xdr:colOff>1009650</xdr:colOff>
      <xdr:row>2</xdr:row>
      <xdr:rowOff>186459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8DC63DF-3BE6-4D04-8A3C-3B81FC25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31750"/>
          <a:ext cx="1327150" cy="548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</xdr:colOff>
      <xdr:row>27</xdr:row>
      <xdr:rowOff>27805</xdr:rowOff>
    </xdr:from>
    <xdr:ext cx="1986644" cy="1814599"/>
    <xdr:sp macro="" textlink="">
      <xdr:nvSpPr>
        <xdr:cNvPr id="2" name="TextBox 1"/>
        <xdr:cNvSpPr txBox="1"/>
      </xdr:nvSpPr>
      <xdr:spPr>
        <a:xfrm>
          <a:off x="2" y="5497876"/>
          <a:ext cx="1986644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1"/>
            <a:t>PESERTA</a:t>
          </a:r>
          <a:r>
            <a:rPr lang="en-US" sz="1100" b="1" baseline="0"/>
            <a:t> LELANG,</a:t>
          </a:r>
        </a:p>
        <a:p>
          <a:pPr algn="ctr"/>
          <a:r>
            <a:rPr lang="en-US" sz="1100" b="1" baseline="0"/>
            <a:t>PT PRIMA MULTI PERALATAN</a:t>
          </a:r>
        </a:p>
        <a:p>
          <a:pPr algn="ctr"/>
          <a:r>
            <a:rPr lang="en-US" sz="1100" b="1" baseline="0"/>
            <a:t>DIREKTUR</a:t>
          </a:r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r>
            <a:rPr lang="en-US" sz="1100" b="1"/>
            <a:t>HENDRI INDRA</a:t>
          </a:r>
        </a:p>
      </xdr:txBody>
    </xdr:sp>
    <xdr:clientData/>
  </xdr:oneCellAnchor>
  <xdr:oneCellAnchor>
    <xdr:from>
      <xdr:col>1</xdr:col>
      <xdr:colOff>1660075</xdr:colOff>
      <xdr:row>27</xdr:row>
      <xdr:rowOff>13608</xdr:rowOff>
    </xdr:from>
    <xdr:ext cx="4762500" cy="3007178"/>
    <xdr:sp macro="" textlink="">
      <xdr:nvSpPr>
        <xdr:cNvPr id="5" name="TextBox 4"/>
        <xdr:cNvSpPr txBox="1"/>
      </xdr:nvSpPr>
      <xdr:spPr>
        <a:xfrm>
          <a:off x="2013861" y="5483679"/>
          <a:ext cx="4762500" cy="3007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 u="sng"/>
            <a:t>PANITIA</a:t>
          </a:r>
          <a:r>
            <a:rPr lang="en-US" sz="1100" b="1" u="sng" baseline="0"/>
            <a:t> PENGADAAN :</a:t>
          </a:r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FRIDOLIN SIAHAAN</a:t>
          </a:r>
          <a:r>
            <a:rPr lang="en-US" sz="1100"/>
            <a:t>      </a:t>
          </a:r>
          <a:r>
            <a:rPr lang="en-US" sz="1100" baseline="0"/>
            <a:t>                                     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IFSAN ROSADY                                    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SURYA DARMA                                                         </a:t>
          </a:r>
          <a:r>
            <a:rPr lang="en-US" sz="1100"/>
            <a:t>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M. RIDHO FAKHROZI</a:t>
          </a:r>
          <a:r>
            <a:rPr lang="en-US" sz="1100"/>
            <a:t>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</a:p>
        <a:p>
          <a:r>
            <a:rPr lang="en-US" sz="1100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YOLANDA EVANS SIMORANGKIR                          </a:t>
          </a:r>
          <a:r>
            <a:rPr lang="en-US" sz="1100"/>
            <a:t>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ANDAREAS SIAGIAN</a:t>
          </a:r>
          <a:r>
            <a:rPr lang="en-US" sz="1100"/>
            <a:t>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AUGUSTO DWIFA DANIEL                                                            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  <a:endParaRPr lang="en-US" sz="1100" b="1" u="sng"/>
        </a:p>
      </xdr:txBody>
    </xdr:sp>
    <xdr:clientData/>
  </xdr:oneCellAnchor>
  <xdr:oneCellAnchor>
    <xdr:from>
      <xdr:col>5</xdr:col>
      <xdr:colOff>353790</xdr:colOff>
      <xdr:row>27</xdr:row>
      <xdr:rowOff>13608</xdr:rowOff>
    </xdr:from>
    <xdr:ext cx="2209772" cy="781240"/>
    <xdr:sp macro="" textlink="">
      <xdr:nvSpPr>
        <xdr:cNvPr id="7" name="TextBox 6"/>
        <xdr:cNvSpPr txBox="1"/>
      </xdr:nvSpPr>
      <xdr:spPr>
        <a:xfrm>
          <a:off x="6653897" y="5483679"/>
          <a:ext cx="220977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sng"/>
            <a:t>PENANGGUN</a:t>
          </a:r>
          <a:r>
            <a:rPr lang="en-US" sz="1100" b="1" u="sng" baseline="0"/>
            <a:t>G JAWAB PROGRAM:</a:t>
          </a:r>
        </a:p>
        <a:p>
          <a:endParaRPr lang="en-US" sz="1100" b="1" u="sng" baseline="0"/>
        </a:p>
        <a:p>
          <a:endParaRPr lang="en-US" sz="1100" b="1" u="sng" baseline="0"/>
        </a:p>
        <a:p>
          <a:r>
            <a:rPr lang="en-US" sz="1100" b="0" u="none" baseline="0"/>
            <a:t>SAMSU RIZAL          :.........................</a:t>
          </a:r>
          <a:endParaRPr lang="en-US" sz="1100" b="0" u="non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714376</xdr:colOff>
      <xdr:row>44</xdr:row>
      <xdr:rowOff>136070</xdr:rowOff>
    </xdr:from>
    <xdr:to>
      <xdr:col>8</xdr:col>
      <xdr:colOff>328840</xdr:colOff>
      <xdr:row>50</xdr:row>
      <xdr:rowOff>34017</xdr:rowOff>
    </xdr:to>
    <xdr:sp macro="" textlink="">
      <xdr:nvSpPr>
        <xdr:cNvPr id="2" name="TextBox 1"/>
        <xdr:cNvSpPr txBox="1"/>
      </xdr:nvSpPr>
      <xdr:spPr>
        <a:xfrm>
          <a:off x="7200447" y="8413749"/>
          <a:ext cx="2778125" cy="1145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PT Prima Terminal Petikemas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Samsu Rizal		.....................</a:t>
          </a:r>
        </a:p>
        <a:p>
          <a:endParaRPr lang="en-US" sz="1100" baseline="0"/>
        </a:p>
        <a:p>
          <a:r>
            <a:rPr lang="en-US" sz="1100" baseline="0"/>
            <a:t>2. Ifsan Rosady		.....................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821419</xdr:colOff>
      <xdr:row>44</xdr:row>
      <xdr:rowOff>141059</xdr:rowOff>
    </xdr:from>
    <xdr:to>
      <xdr:col>2</xdr:col>
      <xdr:colOff>1343026</xdr:colOff>
      <xdr:row>50</xdr:row>
      <xdr:rowOff>39006</xdr:rowOff>
    </xdr:to>
    <xdr:sp macro="" textlink="">
      <xdr:nvSpPr>
        <xdr:cNvPr id="3" name="TextBox 2"/>
        <xdr:cNvSpPr txBox="1"/>
      </xdr:nvSpPr>
      <xdr:spPr>
        <a:xfrm>
          <a:off x="1274990" y="8418738"/>
          <a:ext cx="2778125" cy="1145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PT Prima Multi</a:t>
          </a:r>
          <a:r>
            <a:rPr lang="en-US" sz="1100" b="1" baseline="0"/>
            <a:t> Peralatan</a:t>
          </a:r>
          <a:endParaRPr lang="en-US" sz="1100" b="1"/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Syamsul Bachri	.....................</a:t>
          </a:r>
        </a:p>
        <a:p>
          <a:endParaRPr lang="en-US" sz="1100" baseline="0"/>
        </a:p>
        <a:p>
          <a:r>
            <a:rPr lang="en-US" sz="1100" baseline="0"/>
            <a:t>2. Asrul Umri Tanjung	.....................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view="pageBreakPreview" topLeftCell="A4" zoomScaleNormal="100" zoomScaleSheetLayoutView="100" workbookViewId="0">
      <selection activeCell="E14" sqref="E14"/>
    </sheetView>
  </sheetViews>
  <sheetFormatPr defaultColWidth="9" defaultRowHeight="15.75" x14ac:dyDescent="0.25"/>
  <cols>
    <col min="1" max="1" width="8.625" customWidth="1"/>
    <col min="2" max="2" width="46.625" customWidth="1"/>
    <col min="3" max="3" width="5.125" customWidth="1"/>
    <col min="4" max="4" width="4.625" customWidth="1"/>
    <col min="5" max="5" width="21.625" customWidth="1"/>
    <col min="7" max="7" width="18" customWidth="1"/>
  </cols>
  <sheetData>
    <row r="4" spans="1:7" x14ac:dyDescent="0.25">
      <c r="A4" s="360" t="s">
        <v>150</v>
      </c>
      <c r="B4" s="360"/>
      <c r="C4" s="360"/>
      <c r="D4" s="360"/>
      <c r="E4" s="360"/>
    </row>
    <row r="5" spans="1:7" x14ac:dyDescent="0.25">
      <c r="A5" s="361" t="s">
        <v>151</v>
      </c>
      <c r="B5" s="361"/>
      <c r="C5" s="361"/>
      <c r="D5" s="361"/>
      <c r="E5" s="361"/>
    </row>
    <row r="7" spans="1:7" x14ac:dyDescent="0.25">
      <c r="A7" s="8" t="s">
        <v>5</v>
      </c>
      <c r="B7" s="8" t="s">
        <v>1</v>
      </c>
      <c r="C7" s="8" t="s">
        <v>152</v>
      </c>
      <c r="D7" s="8" t="s">
        <v>18</v>
      </c>
      <c r="E7" s="8" t="s">
        <v>153</v>
      </c>
    </row>
    <row r="8" spans="1:7" ht="31.5" x14ac:dyDescent="0.25">
      <c r="A8" s="21">
        <v>1</v>
      </c>
      <c r="B8" s="130" t="s">
        <v>154</v>
      </c>
      <c r="C8" s="131">
        <v>1</v>
      </c>
      <c r="D8" s="131" t="s">
        <v>155</v>
      </c>
      <c r="E8" s="9" t="e">
        <f>SUM(E9:E11)</f>
        <v>#REF!</v>
      </c>
    </row>
    <row r="9" spans="1:7" x14ac:dyDescent="0.25">
      <c r="A9" s="132"/>
      <c r="B9" s="133" t="s">
        <v>156</v>
      </c>
      <c r="C9" s="134"/>
      <c r="D9" s="134"/>
      <c r="E9" s="10" t="e">
        <f>#REF!</f>
        <v>#REF!</v>
      </c>
    </row>
    <row r="10" spans="1:7" x14ac:dyDescent="0.25">
      <c r="A10" s="132"/>
      <c r="B10" s="133" t="s">
        <v>157</v>
      </c>
      <c r="C10" s="134"/>
      <c r="D10" s="134"/>
      <c r="E10" s="10" t="e">
        <f>#REF!</f>
        <v>#REF!</v>
      </c>
    </row>
    <row r="11" spans="1:7" x14ac:dyDescent="0.25">
      <c r="A11" s="132"/>
      <c r="B11" s="133" t="s">
        <v>158</v>
      </c>
      <c r="C11" s="134"/>
      <c r="D11" s="134"/>
      <c r="E11" s="10" t="e">
        <f>#REF!</f>
        <v>#REF!</v>
      </c>
    </row>
    <row r="12" spans="1:7" ht="31.5" x14ac:dyDescent="0.25">
      <c r="A12" s="21">
        <v>2</v>
      </c>
      <c r="B12" s="22" t="s">
        <v>159</v>
      </c>
      <c r="C12" s="8">
        <v>1</v>
      </c>
      <c r="D12" s="8" t="s">
        <v>155</v>
      </c>
      <c r="E12" s="9" t="e">
        <f>SUM(E13:E15)</f>
        <v>#REF!</v>
      </c>
      <c r="G12" s="11" t="e">
        <f>(E12/12)*1.1</f>
        <v>#REF!</v>
      </c>
    </row>
    <row r="13" spans="1:7" x14ac:dyDescent="0.25">
      <c r="A13" s="1"/>
      <c r="B13" s="133" t="s">
        <v>160</v>
      </c>
      <c r="C13" s="134"/>
      <c r="D13" s="134"/>
      <c r="E13" s="10" t="e">
        <f>#REF!</f>
        <v>#REF!</v>
      </c>
    </row>
    <row r="14" spans="1:7" x14ac:dyDescent="0.25">
      <c r="A14" s="1"/>
      <c r="B14" s="133" t="s">
        <v>161</v>
      </c>
      <c r="C14" s="134"/>
      <c r="D14" s="134"/>
      <c r="E14" s="10" t="e">
        <f>#REF!</f>
        <v>#REF!</v>
      </c>
    </row>
    <row r="15" spans="1:7" x14ac:dyDescent="0.25">
      <c r="A15" s="1"/>
      <c r="B15" s="133" t="s">
        <v>162</v>
      </c>
      <c r="C15" s="134"/>
      <c r="D15" s="134"/>
      <c r="E15" s="10" t="e">
        <f>#REF!</f>
        <v>#REF!</v>
      </c>
    </row>
    <row r="16" spans="1:7" x14ac:dyDescent="0.25">
      <c r="A16" s="362" t="s">
        <v>163</v>
      </c>
      <c r="B16" s="363"/>
      <c r="C16" s="135"/>
      <c r="D16" s="135"/>
      <c r="E16" s="9" t="e">
        <f>E8+E12</f>
        <v>#REF!</v>
      </c>
    </row>
    <row r="17" spans="1:5" x14ac:dyDescent="0.25">
      <c r="A17" s="364" t="s">
        <v>45</v>
      </c>
      <c r="B17" s="365"/>
      <c r="C17" s="136"/>
      <c r="D17" s="136"/>
      <c r="E17" s="9" t="e">
        <f>E16*0.1</f>
        <v>#REF!</v>
      </c>
    </row>
    <row r="18" spans="1:5" x14ac:dyDescent="0.25">
      <c r="A18" s="364" t="s">
        <v>164</v>
      </c>
      <c r="B18" s="365"/>
      <c r="C18" s="136"/>
      <c r="D18" s="136"/>
      <c r="E18" s="9" t="e">
        <f>ROUNDDOWN(E16+E17,-3)</f>
        <v>#REF!</v>
      </c>
    </row>
    <row r="19" spans="1:5" ht="15.75" customHeight="1" x14ac:dyDescent="0.25">
      <c r="A19" s="12" t="s">
        <v>165</v>
      </c>
      <c r="B19" s="358" t="e">
        <f>PROPER(IF(E18=0,"nol",IF(E18&lt;0,"minus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18),"000000000000000"),1,3)=0,"",MID(TEXT(ABS(E18),"000000000000000"),1,1)&amp;" ratus "&amp;MID(TEXT(ABS(E18),"000000000000000"),2,1)&amp;" puluh "&amp;MID(TEXT(ABS(E18),"000000000000000"),3,1)&amp;" trilyun ")&amp;IF(--MID(TEXT(ABS(E18),"000000000000000"),4,3)=0,"",MID(TEXT(ABS(E18),"000000000000000"),4,1)&amp;" ratus "&amp;MID(TEXT(ABS(E18),"000000000000000"),5,1)&amp;" puluh "&amp;MID(TEXT(ABS(E18),"000000000000000"),6,1)&amp;" milyar ")&amp;IF(--MID(TEXT(ABS(E18),"000000000000000"),7,3)=0,"",MID(TEXT(ABS(E18),"000000000000000"),7,1)&amp;" ratus "&amp;MID(TEXT(ABS(E18),"000000000000000"),8,1)&amp;" puluh "&amp;MID(TEXT(ABS(E18),"000000000000000"),9,1)&amp;" juta ")&amp;IF(--MID(TEXT(ABS(E18),"000000000000000"),10,3)=0,"",IF(--MID(TEXT(ABS(E18),"000000000000000"),10,3)=1,"*",MID(TEXT(ABS(E18),"000000000000000"),10,1)&amp;" ratus "&amp;MID(TEXT(ABS(E18),"000000000000000"),11,1)&amp;" puluh ")&amp;MID(TEXT(ABS(E18),"000000000000000"),12,1)&amp;" ribu ")&amp;IF(--MID(TEXT(ABS(E18),"000000000000000"),13,3)=0,"",MID(TEXT(ABS(E18),"000000000000000"),13,1)&amp;" ratus "&amp;MID(TEXT(ABS(E18),"000000000000000"),14,1)&amp;" puluh "&amp;MID(TEXT(ABS(E18),"000000000000000"),15,1)),1,"satu"),2,"dua"),3,"tiga"),4,"empat"),5,"lima"),6,"enam"),7,"tujuh"),8,"delapan"),9,"sembilan"),"0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#REF!</v>
      </c>
      <c r="C19" s="358"/>
      <c r="D19" s="358"/>
      <c r="E19" s="358"/>
    </row>
    <row r="20" spans="1:5" x14ac:dyDescent="0.25">
      <c r="A20" s="13"/>
      <c r="B20" s="359"/>
      <c r="C20" s="359"/>
      <c r="D20" s="359"/>
      <c r="E20" s="359"/>
    </row>
    <row r="21" spans="1:5" x14ac:dyDescent="0.25">
      <c r="C21" s="357" t="s">
        <v>166</v>
      </c>
      <c r="D21" s="357"/>
      <c r="E21" s="357"/>
    </row>
  </sheetData>
  <mergeCells count="7">
    <mergeCell ref="C21:E21"/>
    <mergeCell ref="B19:E20"/>
    <mergeCell ref="A4:E4"/>
    <mergeCell ref="A5:E5"/>
    <mergeCell ref="A16:B16"/>
    <mergeCell ref="A17:B17"/>
    <mergeCell ref="A18:B18"/>
  </mergeCells>
  <printOptions horizontalCentered="1"/>
  <pageMargins left="0.7" right="0.7" top="0.75" bottom="0.75" header="0.3" footer="0.3"/>
  <pageSetup paperSize="9" scale="9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5"/>
  <sheetViews>
    <sheetView topLeftCell="A177" zoomScale="86" workbookViewId="0">
      <selection activeCell="H8" sqref="H8"/>
    </sheetView>
  </sheetViews>
  <sheetFormatPr defaultColWidth="9" defaultRowHeight="15.75" x14ac:dyDescent="0.25"/>
  <cols>
    <col min="2" max="2" width="6.125" customWidth="1"/>
    <col min="3" max="3" width="55.125" customWidth="1"/>
    <col min="4" max="4" width="6.125" customWidth="1"/>
    <col min="5" max="5" width="3.125" customWidth="1"/>
    <col min="6" max="6" width="6" customWidth="1"/>
    <col min="7" max="8" width="16.625" customWidth="1"/>
  </cols>
  <sheetData>
    <row r="3" spans="2:8" ht="21" x14ac:dyDescent="0.35">
      <c r="B3" s="36"/>
      <c r="C3" s="36" t="s">
        <v>174</v>
      </c>
      <c r="D3" s="37"/>
      <c r="E3" s="38"/>
      <c r="F3" s="39"/>
      <c r="G3" s="36"/>
      <c r="H3" s="36"/>
    </row>
    <row r="4" spans="2:8" x14ac:dyDescent="0.25">
      <c r="B4" s="40"/>
      <c r="C4" s="40"/>
      <c r="D4" s="41"/>
      <c r="E4" s="42"/>
      <c r="F4" s="43"/>
      <c r="G4" s="40"/>
      <c r="H4" s="40"/>
    </row>
    <row r="5" spans="2:8" ht="18.75" x14ac:dyDescent="0.25">
      <c r="B5" s="389" t="s">
        <v>5</v>
      </c>
      <c r="C5" s="372" t="s">
        <v>175</v>
      </c>
      <c r="D5" s="372" t="s">
        <v>176</v>
      </c>
      <c r="E5" s="375" t="s">
        <v>2</v>
      </c>
      <c r="F5" s="376"/>
      <c r="G5" s="366" t="s">
        <v>177</v>
      </c>
      <c r="H5" s="367"/>
    </row>
    <row r="6" spans="2:8" ht="56.25" x14ac:dyDescent="0.25">
      <c r="B6" s="390"/>
      <c r="C6" s="373"/>
      <c r="D6" s="374"/>
      <c r="E6" s="377"/>
      <c r="F6" s="378"/>
      <c r="G6" s="44" t="s">
        <v>178</v>
      </c>
      <c r="H6" s="45" t="s">
        <v>179</v>
      </c>
    </row>
    <row r="7" spans="2:8" ht="18.75" x14ac:dyDescent="0.3">
      <c r="B7" s="46" t="s">
        <v>25</v>
      </c>
      <c r="C7" s="368" t="s">
        <v>180</v>
      </c>
      <c r="D7" s="369"/>
      <c r="E7" s="369"/>
      <c r="F7" s="369"/>
      <c r="G7" s="369"/>
      <c r="H7" s="370"/>
    </row>
    <row r="8" spans="2:8" ht="30" x14ac:dyDescent="0.25">
      <c r="B8" s="47">
        <v>1</v>
      </c>
      <c r="C8" s="48" t="s">
        <v>181</v>
      </c>
      <c r="D8" s="49" t="s">
        <v>182</v>
      </c>
      <c r="E8" s="50">
        <v>17</v>
      </c>
      <c r="F8" s="51" t="s">
        <v>52</v>
      </c>
      <c r="G8" s="52">
        <v>722000</v>
      </c>
      <c r="H8" s="53">
        <f t="shared" ref="H8:H43" si="0">G8*E8</f>
        <v>12274000</v>
      </c>
    </row>
    <row r="9" spans="2:8" ht="30" x14ac:dyDescent="0.25">
      <c r="B9" s="47">
        <v>2</v>
      </c>
      <c r="C9" s="48" t="s">
        <v>181</v>
      </c>
      <c r="D9" s="49" t="s">
        <v>182</v>
      </c>
      <c r="E9" s="50">
        <v>30</v>
      </c>
      <c r="F9" s="51" t="s">
        <v>52</v>
      </c>
      <c r="G9" s="54">
        <v>722000</v>
      </c>
      <c r="H9" s="53">
        <f t="shared" si="0"/>
        <v>21660000</v>
      </c>
    </row>
    <row r="10" spans="2:8" ht="30" x14ac:dyDescent="0.25">
      <c r="B10" s="47">
        <v>3</v>
      </c>
      <c r="C10" s="48" t="s">
        <v>181</v>
      </c>
      <c r="D10" s="49" t="s">
        <v>182</v>
      </c>
      <c r="E10" s="50">
        <v>16</v>
      </c>
      <c r="F10" s="51" t="s">
        <v>52</v>
      </c>
      <c r="G10" s="54">
        <v>722000</v>
      </c>
      <c r="H10" s="53">
        <f t="shared" si="0"/>
        <v>11552000</v>
      </c>
    </row>
    <row r="11" spans="2:8" ht="30" x14ac:dyDescent="0.25">
      <c r="B11" s="47">
        <v>4</v>
      </c>
      <c r="C11" s="48" t="s">
        <v>183</v>
      </c>
      <c r="D11" s="49" t="s">
        <v>182</v>
      </c>
      <c r="E11" s="55">
        <v>1</v>
      </c>
      <c r="F11" s="48" t="s">
        <v>168</v>
      </c>
      <c r="G11" s="54">
        <v>535000</v>
      </c>
      <c r="H11" s="53">
        <f t="shared" si="0"/>
        <v>535000</v>
      </c>
    </row>
    <row r="12" spans="2:8" x14ac:dyDescent="0.25">
      <c r="B12" s="47">
        <v>5</v>
      </c>
      <c r="C12" s="51" t="s">
        <v>184</v>
      </c>
      <c r="D12" s="49" t="s">
        <v>182</v>
      </c>
      <c r="E12" s="50">
        <v>1</v>
      </c>
      <c r="F12" s="51" t="s">
        <v>168</v>
      </c>
      <c r="G12" s="54">
        <v>250000</v>
      </c>
      <c r="H12" s="53">
        <f t="shared" si="0"/>
        <v>250000</v>
      </c>
    </row>
    <row r="13" spans="2:8" ht="30" x14ac:dyDescent="0.25">
      <c r="B13" s="47">
        <v>6</v>
      </c>
      <c r="C13" s="48" t="s">
        <v>181</v>
      </c>
      <c r="D13" s="49" t="s">
        <v>182</v>
      </c>
      <c r="E13" s="50">
        <v>4</v>
      </c>
      <c r="F13" s="51" t="s">
        <v>52</v>
      </c>
      <c r="G13" s="52">
        <v>722000</v>
      </c>
      <c r="H13" s="53">
        <f t="shared" si="0"/>
        <v>2888000</v>
      </c>
    </row>
    <row r="14" spans="2:8" ht="30" x14ac:dyDescent="0.25">
      <c r="B14" s="47">
        <v>7</v>
      </c>
      <c r="C14" s="48" t="s">
        <v>185</v>
      </c>
      <c r="D14" s="49" t="s">
        <v>182</v>
      </c>
      <c r="E14" s="50">
        <v>17</v>
      </c>
      <c r="F14" s="51" t="s">
        <v>52</v>
      </c>
      <c r="G14" s="56">
        <v>715000</v>
      </c>
      <c r="H14" s="53">
        <f t="shared" si="0"/>
        <v>12155000</v>
      </c>
    </row>
    <row r="15" spans="2:8" x14ac:dyDescent="0.25">
      <c r="B15" s="47">
        <v>11</v>
      </c>
      <c r="C15" s="48" t="s">
        <v>186</v>
      </c>
      <c r="D15" s="49" t="s">
        <v>182</v>
      </c>
      <c r="E15" s="50">
        <v>2</v>
      </c>
      <c r="F15" s="51" t="s">
        <v>168</v>
      </c>
      <c r="G15" s="57">
        <v>375000</v>
      </c>
      <c r="H15" s="53">
        <f t="shared" si="0"/>
        <v>750000</v>
      </c>
    </row>
    <row r="16" spans="2:8" ht="30" x14ac:dyDescent="0.25">
      <c r="B16" s="47">
        <v>12</v>
      </c>
      <c r="C16" s="48" t="s">
        <v>185</v>
      </c>
      <c r="D16" s="49" t="s">
        <v>187</v>
      </c>
      <c r="E16" s="50">
        <v>23</v>
      </c>
      <c r="F16" s="51" t="s">
        <v>52</v>
      </c>
      <c r="G16" s="54">
        <v>715000</v>
      </c>
      <c r="H16" s="53">
        <f t="shared" si="0"/>
        <v>16445000</v>
      </c>
    </row>
    <row r="17" spans="2:8" ht="30" x14ac:dyDescent="0.25">
      <c r="B17" s="47">
        <v>13</v>
      </c>
      <c r="C17" s="48" t="s">
        <v>188</v>
      </c>
      <c r="D17" s="49" t="s">
        <v>187</v>
      </c>
      <c r="E17" s="50">
        <v>1</v>
      </c>
      <c r="F17" s="51" t="s">
        <v>168</v>
      </c>
      <c r="G17" s="58">
        <v>540000</v>
      </c>
      <c r="H17" s="53">
        <f t="shared" si="0"/>
        <v>540000</v>
      </c>
    </row>
    <row r="18" spans="2:8" x14ac:dyDescent="0.25">
      <c r="B18" s="47">
        <v>14</v>
      </c>
      <c r="C18" s="51" t="s">
        <v>189</v>
      </c>
      <c r="D18" s="49" t="s">
        <v>187</v>
      </c>
      <c r="E18" s="50">
        <v>2</v>
      </c>
      <c r="F18" s="51" t="s">
        <v>52</v>
      </c>
      <c r="G18" s="59">
        <v>105000</v>
      </c>
      <c r="H18" s="53">
        <f t="shared" si="0"/>
        <v>210000</v>
      </c>
    </row>
    <row r="19" spans="2:8" x14ac:dyDescent="0.25">
      <c r="B19" s="47">
        <v>15</v>
      </c>
      <c r="C19" s="48" t="s">
        <v>190</v>
      </c>
      <c r="D19" s="49" t="s">
        <v>187</v>
      </c>
      <c r="E19" s="50">
        <v>1</v>
      </c>
      <c r="F19" s="51" t="s">
        <v>168</v>
      </c>
      <c r="G19" s="58">
        <v>75000</v>
      </c>
      <c r="H19" s="53">
        <f t="shared" si="0"/>
        <v>75000</v>
      </c>
    </row>
    <row r="20" spans="2:8" ht="30" x14ac:dyDescent="0.25">
      <c r="B20" s="47">
        <v>16</v>
      </c>
      <c r="C20" s="48" t="s">
        <v>188</v>
      </c>
      <c r="D20" s="49" t="s">
        <v>187</v>
      </c>
      <c r="E20" s="50">
        <v>1</v>
      </c>
      <c r="F20" s="51" t="s">
        <v>168</v>
      </c>
      <c r="G20" s="58">
        <v>540000</v>
      </c>
      <c r="H20" s="53">
        <f t="shared" si="0"/>
        <v>540000</v>
      </c>
    </row>
    <row r="21" spans="2:8" x14ac:dyDescent="0.25">
      <c r="B21" s="47">
        <v>17</v>
      </c>
      <c r="C21" s="51" t="s">
        <v>191</v>
      </c>
      <c r="D21" s="49" t="s">
        <v>187</v>
      </c>
      <c r="E21" s="50">
        <v>1</v>
      </c>
      <c r="F21" s="51" t="s">
        <v>168</v>
      </c>
      <c r="G21" s="58">
        <v>18720000</v>
      </c>
      <c r="H21" s="53">
        <f t="shared" si="0"/>
        <v>18720000</v>
      </c>
    </row>
    <row r="22" spans="2:8" ht="30" x14ac:dyDescent="0.25">
      <c r="B22" s="47">
        <v>18</v>
      </c>
      <c r="C22" s="48" t="s">
        <v>192</v>
      </c>
      <c r="D22" s="49" t="s">
        <v>187</v>
      </c>
      <c r="E22" s="50">
        <v>1</v>
      </c>
      <c r="F22" s="51" t="s">
        <v>168</v>
      </c>
      <c r="G22" s="59">
        <v>500000</v>
      </c>
      <c r="H22" s="53">
        <f t="shared" si="0"/>
        <v>500000</v>
      </c>
    </row>
    <row r="23" spans="2:8" x14ac:dyDescent="0.25">
      <c r="B23" s="47">
        <v>19</v>
      </c>
      <c r="C23" s="48" t="s">
        <v>193</v>
      </c>
      <c r="D23" s="49" t="s">
        <v>187</v>
      </c>
      <c r="E23" s="50">
        <v>4</v>
      </c>
      <c r="F23" s="51" t="s">
        <v>52</v>
      </c>
      <c r="G23" s="59">
        <v>775000</v>
      </c>
      <c r="H23" s="53">
        <f t="shared" si="0"/>
        <v>3100000</v>
      </c>
    </row>
    <row r="24" spans="2:8" x14ac:dyDescent="0.25">
      <c r="B24" s="47">
        <v>20</v>
      </c>
      <c r="C24" s="51" t="s">
        <v>194</v>
      </c>
      <c r="D24" s="49" t="s">
        <v>187</v>
      </c>
      <c r="E24" s="50">
        <v>1</v>
      </c>
      <c r="F24" s="51" t="s">
        <v>168</v>
      </c>
      <c r="G24" s="59">
        <v>450000</v>
      </c>
      <c r="H24" s="53">
        <f t="shared" si="0"/>
        <v>450000</v>
      </c>
    </row>
    <row r="25" spans="2:8" ht="30" x14ac:dyDescent="0.25">
      <c r="B25" s="47">
        <v>21</v>
      </c>
      <c r="C25" s="48" t="s">
        <v>195</v>
      </c>
      <c r="D25" s="49" t="s">
        <v>196</v>
      </c>
      <c r="E25" s="50">
        <v>1</v>
      </c>
      <c r="F25" s="51" t="s">
        <v>168</v>
      </c>
      <c r="G25" s="57">
        <v>4329000</v>
      </c>
      <c r="H25" s="53">
        <f t="shared" si="0"/>
        <v>4329000</v>
      </c>
    </row>
    <row r="26" spans="2:8" ht="30" x14ac:dyDescent="0.25">
      <c r="B26" s="47">
        <v>22</v>
      </c>
      <c r="C26" s="48" t="s">
        <v>197</v>
      </c>
      <c r="D26" s="49" t="s">
        <v>196</v>
      </c>
      <c r="E26" s="50">
        <v>1</v>
      </c>
      <c r="F26" s="51" t="s">
        <v>168</v>
      </c>
      <c r="G26" s="56">
        <v>1375000</v>
      </c>
      <c r="H26" s="53">
        <f t="shared" si="0"/>
        <v>1375000</v>
      </c>
    </row>
    <row r="27" spans="2:8" ht="30" x14ac:dyDescent="0.25">
      <c r="B27" s="47">
        <v>23</v>
      </c>
      <c r="C27" s="48" t="s">
        <v>181</v>
      </c>
      <c r="D27" s="49" t="s">
        <v>196</v>
      </c>
      <c r="E27" s="50">
        <v>6</v>
      </c>
      <c r="F27" s="51" t="s">
        <v>52</v>
      </c>
      <c r="G27" s="56">
        <v>722000</v>
      </c>
      <c r="H27" s="53">
        <f t="shared" si="0"/>
        <v>4332000</v>
      </c>
    </row>
    <row r="28" spans="2:8" ht="30" x14ac:dyDescent="0.25">
      <c r="B28" s="47">
        <v>24</v>
      </c>
      <c r="C28" s="48" t="s">
        <v>185</v>
      </c>
      <c r="D28" s="49" t="s">
        <v>196</v>
      </c>
      <c r="E28" s="50">
        <v>2</v>
      </c>
      <c r="F28" s="51" t="s">
        <v>52</v>
      </c>
      <c r="G28" s="58">
        <v>715000</v>
      </c>
      <c r="H28" s="53">
        <f t="shared" si="0"/>
        <v>1430000</v>
      </c>
    </row>
    <row r="29" spans="2:8" ht="30" x14ac:dyDescent="0.25">
      <c r="B29" s="47">
        <v>28</v>
      </c>
      <c r="C29" s="48" t="s">
        <v>198</v>
      </c>
      <c r="D29" s="49" t="s">
        <v>196</v>
      </c>
      <c r="E29" s="50">
        <v>8</v>
      </c>
      <c r="F29" s="51" t="s">
        <v>52</v>
      </c>
      <c r="G29" s="57">
        <v>125000</v>
      </c>
      <c r="H29" s="53">
        <f t="shared" si="0"/>
        <v>1000000</v>
      </c>
    </row>
    <row r="30" spans="2:8" x14ac:dyDescent="0.25">
      <c r="B30" s="47">
        <v>29</v>
      </c>
      <c r="C30" s="48" t="s">
        <v>199</v>
      </c>
      <c r="D30" s="49" t="s">
        <v>200</v>
      </c>
      <c r="E30" s="50">
        <v>1</v>
      </c>
      <c r="F30" s="51" t="s">
        <v>17</v>
      </c>
      <c r="G30" s="52">
        <v>26637300</v>
      </c>
      <c r="H30" s="53">
        <f t="shared" si="0"/>
        <v>26637300</v>
      </c>
    </row>
    <row r="31" spans="2:8" x14ac:dyDescent="0.25">
      <c r="B31" s="47">
        <v>30</v>
      </c>
      <c r="C31" s="48" t="s">
        <v>201</v>
      </c>
      <c r="D31" s="49" t="s">
        <v>200</v>
      </c>
      <c r="E31" s="50">
        <v>6</v>
      </c>
      <c r="F31" s="51" t="s">
        <v>52</v>
      </c>
      <c r="G31" s="56">
        <v>20000</v>
      </c>
      <c r="H31" s="53">
        <f t="shared" si="0"/>
        <v>120000</v>
      </c>
    </row>
    <row r="32" spans="2:8" x14ac:dyDescent="0.25">
      <c r="B32" s="47">
        <v>31</v>
      </c>
      <c r="C32" s="48" t="s">
        <v>202</v>
      </c>
      <c r="D32" s="49" t="s">
        <v>200</v>
      </c>
      <c r="E32" s="50">
        <v>1</v>
      </c>
      <c r="F32" s="51" t="s">
        <v>168</v>
      </c>
      <c r="G32" s="57">
        <v>33795000</v>
      </c>
      <c r="H32" s="53">
        <f t="shared" si="0"/>
        <v>33795000</v>
      </c>
    </row>
    <row r="33" spans="2:8" ht="30" x14ac:dyDescent="0.25">
      <c r="B33" s="391">
        <v>32</v>
      </c>
      <c r="C33" s="48" t="s">
        <v>203</v>
      </c>
      <c r="D33" s="49" t="s">
        <v>200</v>
      </c>
      <c r="E33" s="50">
        <v>2</v>
      </c>
      <c r="F33" s="51" t="s">
        <v>51</v>
      </c>
      <c r="G33" s="57">
        <v>11111300</v>
      </c>
      <c r="H33" s="53">
        <f t="shared" si="0"/>
        <v>22222600</v>
      </c>
    </row>
    <row r="34" spans="2:8" x14ac:dyDescent="0.25">
      <c r="B34" s="391"/>
      <c r="C34" s="48" t="s">
        <v>204</v>
      </c>
      <c r="D34" s="49" t="s">
        <v>200</v>
      </c>
      <c r="E34" s="50">
        <v>2</v>
      </c>
      <c r="F34" s="51" t="s">
        <v>51</v>
      </c>
      <c r="G34" s="56"/>
      <c r="H34" s="53">
        <f t="shared" si="0"/>
        <v>0</v>
      </c>
    </row>
    <row r="35" spans="2:8" x14ac:dyDescent="0.25">
      <c r="B35" s="391"/>
      <c r="C35" s="48" t="s">
        <v>205</v>
      </c>
      <c r="D35" s="49" t="s">
        <v>200</v>
      </c>
      <c r="E35" s="50">
        <v>12</v>
      </c>
      <c r="F35" s="51" t="s">
        <v>206</v>
      </c>
      <c r="G35" s="56"/>
      <c r="H35" s="53">
        <f t="shared" si="0"/>
        <v>0</v>
      </c>
    </row>
    <row r="36" spans="2:8" x14ac:dyDescent="0.25">
      <c r="B36" s="391"/>
      <c r="C36" s="48" t="s">
        <v>207</v>
      </c>
      <c r="D36" s="49" t="s">
        <v>200</v>
      </c>
      <c r="E36" s="50">
        <v>12</v>
      </c>
      <c r="F36" s="51" t="s">
        <v>206</v>
      </c>
      <c r="G36" s="56"/>
      <c r="H36" s="53">
        <f t="shared" si="0"/>
        <v>0</v>
      </c>
    </row>
    <row r="37" spans="2:8" x14ac:dyDescent="0.25">
      <c r="B37" s="47">
        <v>33</v>
      </c>
      <c r="C37" s="48" t="s">
        <v>208</v>
      </c>
      <c r="D37" s="49" t="s">
        <v>200</v>
      </c>
      <c r="E37" s="50">
        <v>2</v>
      </c>
      <c r="F37" s="51" t="s">
        <v>52</v>
      </c>
      <c r="G37" s="56">
        <v>3056000</v>
      </c>
      <c r="H37" s="53">
        <f t="shared" si="0"/>
        <v>6112000</v>
      </c>
    </row>
    <row r="38" spans="2:8" x14ac:dyDescent="0.25">
      <c r="B38" s="47">
        <v>34</v>
      </c>
      <c r="C38" s="51" t="s">
        <v>209</v>
      </c>
      <c r="D38" s="49" t="s">
        <v>200</v>
      </c>
      <c r="E38" s="50">
        <v>1</v>
      </c>
      <c r="F38" s="51" t="s">
        <v>168</v>
      </c>
      <c r="G38" s="56">
        <v>16110000</v>
      </c>
      <c r="H38" s="53">
        <f t="shared" si="0"/>
        <v>16110000</v>
      </c>
    </row>
    <row r="39" spans="2:8" ht="30" x14ac:dyDescent="0.25">
      <c r="B39" s="47">
        <v>35</v>
      </c>
      <c r="C39" s="48" t="s">
        <v>210</v>
      </c>
      <c r="D39" s="49" t="s">
        <v>211</v>
      </c>
      <c r="E39" s="60">
        <v>1</v>
      </c>
      <c r="F39" s="61" t="s">
        <v>51</v>
      </c>
      <c r="G39" s="57">
        <v>540000</v>
      </c>
      <c r="H39" s="53">
        <f t="shared" si="0"/>
        <v>540000</v>
      </c>
    </row>
    <row r="40" spans="2:8" ht="30" x14ac:dyDescent="0.25">
      <c r="B40" s="47">
        <v>36</v>
      </c>
      <c r="C40" s="48" t="s">
        <v>212</v>
      </c>
      <c r="D40" s="49" t="s">
        <v>211</v>
      </c>
      <c r="E40" s="60">
        <v>1</v>
      </c>
      <c r="F40" s="61" t="s">
        <v>168</v>
      </c>
      <c r="G40" s="57">
        <v>600000</v>
      </c>
      <c r="H40" s="53">
        <f t="shared" si="0"/>
        <v>600000</v>
      </c>
    </row>
    <row r="41" spans="2:8" ht="30" x14ac:dyDescent="0.25">
      <c r="B41" s="47">
        <v>37</v>
      </c>
      <c r="C41" s="48" t="s">
        <v>195</v>
      </c>
      <c r="D41" s="49" t="s">
        <v>211</v>
      </c>
      <c r="E41" s="60">
        <v>1</v>
      </c>
      <c r="F41" s="61" t="s">
        <v>168</v>
      </c>
      <c r="G41" s="57">
        <v>4329000</v>
      </c>
      <c r="H41" s="53">
        <f t="shared" si="0"/>
        <v>4329000</v>
      </c>
    </row>
    <row r="42" spans="2:8" x14ac:dyDescent="0.25">
      <c r="B42" s="47">
        <v>38</v>
      </c>
      <c r="C42" s="51" t="s">
        <v>213</v>
      </c>
      <c r="D42" s="49" t="s">
        <v>211</v>
      </c>
      <c r="E42" s="60">
        <v>2</v>
      </c>
      <c r="F42" s="61" t="s">
        <v>168</v>
      </c>
      <c r="G42" s="57">
        <v>1000000</v>
      </c>
      <c r="H42" s="53">
        <f t="shared" si="0"/>
        <v>2000000</v>
      </c>
    </row>
    <row r="43" spans="2:8" x14ac:dyDescent="0.25">
      <c r="B43" s="47">
        <v>41</v>
      </c>
      <c r="C43" s="48" t="s">
        <v>214</v>
      </c>
      <c r="D43" s="49" t="s">
        <v>211</v>
      </c>
      <c r="E43" s="60">
        <v>1</v>
      </c>
      <c r="F43" s="61" t="s">
        <v>52</v>
      </c>
      <c r="G43" s="56">
        <v>23108000</v>
      </c>
      <c r="H43" s="53">
        <f t="shared" si="0"/>
        <v>23108000</v>
      </c>
    </row>
    <row r="44" spans="2:8" x14ac:dyDescent="0.25">
      <c r="D44" s="14"/>
      <c r="E44" s="62"/>
      <c r="F44" s="63"/>
    </row>
    <row r="45" spans="2:8" ht="21" x14ac:dyDescent="0.35">
      <c r="B45" s="36"/>
      <c r="C45" s="36" t="s">
        <v>215</v>
      </c>
      <c r="D45" s="37"/>
      <c r="E45" s="38"/>
      <c r="F45" s="39"/>
      <c r="G45" s="36"/>
      <c r="H45" s="36"/>
    </row>
    <row r="46" spans="2:8" x14ac:dyDescent="0.25">
      <c r="B46" s="40"/>
      <c r="C46" s="40"/>
      <c r="D46" s="41"/>
      <c r="E46" s="42"/>
      <c r="F46" s="43"/>
      <c r="G46" s="40"/>
      <c r="H46" s="40"/>
    </row>
    <row r="47" spans="2:8" ht="18.75" x14ac:dyDescent="0.25">
      <c r="B47" s="389" t="s">
        <v>5</v>
      </c>
      <c r="C47" s="372" t="s">
        <v>175</v>
      </c>
      <c r="D47" s="372" t="s">
        <v>176</v>
      </c>
      <c r="E47" s="375" t="s">
        <v>2</v>
      </c>
      <c r="F47" s="376"/>
      <c r="G47" s="366" t="s">
        <v>177</v>
      </c>
      <c r="H47" s="367"/>
    </row>
    <row r="48" spans="2:8" ht="56.25" x14ac:dyDescent="0.25">
      <c r="B48" s="390"/>
      <c r="C48" s="373"/>
      <c r="D48" s="374"/>
      <c r="E48" s="377"/>
      <c r="F48" s="378"/>
      <c r="G48" s="44" t="s">
        <v>178</v>
      </c>
      <c r="H48" s="45" t="s">
        <v>179</v>
      </c>
    </row>
    <row r="49" spans="2:8" ht="18.75" x14ac:dyDescent="0.3">
      <c r="B49" s="46" t="s">
        <v>25</v>
      </c>
      <c r="C49" s="368" t="s">
        <v>180</v>
      </c>
      <c r="D49" s="369"/>
      <c r="E49" s="369"/>
      <c r="F49" s="369"/>
      <c r="G49" s="369"/>
      <c r="H49" s="370"/>
    </row>
    <row r="50" spans="2:8" x14ac:dyDescent="0.25">
      <c r="B50" s="47">
        <v>1</v>
      </c>
      <c r="C50" s="48" t="s">
        <v>216</v>
      </c>
      <c r="D50" s="49" t="s">
        <v>182</v>
      </c>
      <c r="E50" s="50">
        <v>2</v>
      </c>
      <c r="F50" s="51" t="s">
        <v>52</v>
      </c>
      <c r="G50" s="52">
        <v>375000</v>
      </c>
      <c r="H50" s="53">
        <f t="shared" ref="H50:H69" si="1">G50*E50</f>
        <v>750000</v>
      </c>
    </row>
    <row r="51" spans="2:8" x14ac:dyDescent="0.25">
      <c r="B51" s="47">
        <v>2</v>
      </c>
      <c r="C51" s="48" t="s">
        <v>217</v>
      </c>
      <c r="D51" s="49" t="s">
        <v>182</v>
      </c>
      <c r="E51" s="50">
        <v>2</v>
      </c>
      <c r="F51" s="51" t="s">
        <v>52</v>
      </c>
      <c r="G51" s="54">
        <v>110000</v>
      </c>
      <c r="H51" s="53">
        <f t="shared" si="1"/>
        <v>220000</v>
      </c>
    </row>
    <row r="52" spans="2:8" ht="30" x14ac:dyDescent="0.25">
      <c r="B52" s="47">
        <v>3</v>
      </c>
      <c r="C52" s="48" t="s">
        <v>198</v>
      </c>
      <c r="D52" s="49" t="s">
        <v>182</v>
      </c>
      <c r="E52" s="50">
        <v>8</v>
      </c>
      <c r="F52" s="51" t="s">
        <v>52</v>
      </c>
      <c r="G52" s="54">
        <v>125000</v>
      </c>
      <c r="H52" s="53">
        <f t="shared" si="1"/>
        <v>1000000</v>
      </c>
    </row>
    <row r="53" spans="2:8" x14ac:dyDescent="0.25">
      <c r="B53" s="47">
        <v>7</v>
      </c>
      <c r="C53" s="48" t="s">
        <v>218</v>
      </c>
      <c r="D53" s="49" t="s">
        <v>182</v>
      </c>
      <c r="E53" s="50">
        <v>2</v>
      </c>
      <c r="F53" s="51" t="s">
        <v>52</v>
      </c>
      <c r="G53" s="56">
        <v>75000</v>
      </c>
      <c r="H53" s="53">
        <f t="shared" si="1"/>
        <v>150000</v>
      </c>
    </row>
    <row r="54" spans="2:8" ht="30" x14ac:dyDescent="0.25">
      <c r="B54" s="47">
        <v>12</v>
      </c>
      <c r="C54" s="48" t="s">
        <v>198</v>
      </c>
      <c r="D54" s="49" t="s">
        <v>187</v>
      </c>
      <c r="E54" s="50">
        <v>8</v>
      </c>
      <c r="F54" s="51" t="s">
        <v>52</v>
      </c>
      <c r="G54" s="56">
        <v>125000</v>
      </c>
      <c r="H54" s="53">
        <f t="shared" si="1"/>
        <v>1000000</v>
      </c>
    </row>
    <row r="55" spans="2:8" x14ac:dyDescent="0.25">
      <c r="B55" s="47">
        <v>19</v>
      </c>
      <c r="C55" s="48" t="s">
        <v>219</v>
      </c>
      <c r="D55" s="49" t="s">
        <v>187</v>
      </c>
      <c r="E55" s="50">
        <v>1</v>
      </c>
      <c r="F55" s="51" t="s">
        <v>168</v>
      </c>
      <c r="G55" s="58">
        <v>12000</v>
      </c>
      <c r="H55" s="53">
        <f t="shared" si="1"/>
        <v>12000</v>
      </c>
    </row>
    <row r="56" spans="2:8" ht="30" x14ac:dyDescent="0.25">
      <c r="B56" s="47">
        <v>20</v>
      </c>
      <c r="C56" s="48" t="s">
        <v>48</v>
      </c>
      <c r="D56" s="49" t="s">
        <v>196</v>
      </c>
      <c r="E56" s="50">
        <v>1</v>
      </c>
      <c r="F56" s="51" t="s">
        <v>220</v>
      </c>
      <c r="G56" s="56">
        <v>160538000</v>
      </c>
      <c r="H56" s="53">
        <f t="shared" si="1"/>
        <v>160538000</v>
      </c>
    </row>
    <row r="57" spans="2:8" x14ac:dyDescent="0.25">
      <c r="B57" s="47">
        <v>21</v>
      </c>
      <c r="C57" s="48" t="s">
        <v>221</v>
      </c>
      <c r="D57" s="49" t="s">
        <v>196</v>
      </c>
      <c r="E57" s="50">
        <v>1</v>
      </c>
      <c r="F57" s="51" t="s">
        <v>168</v>
      </c>
      <c r="G57" s="56">
        <v>6417000</v>
      </c>
      <c r="H57" s="53">
        <f t="shared" si="1"/>
        <v>6417000</v>
      </c>
    </row>
    <row r="58" spans="2:8" x14ac:dyDescent="0.25">
      <c r="B58" s="47">
        <v>22</v>
      </c>
      <c r="C58" s="48" t="s">
        <v>222</v>
      </c>
      <c r="D58" s="49" t="s">
        <v>196</v>
      </c>
      <c r="E58" s="50">
        <v>1</v>
      </c>
      <c r="F58" s="51" t="s">
        <v>168</v>
      </c>
      <c r="G58" s="56">
        <v>135000</v>
      </c>
      <c r="H58" s="53">
        <f t="shared" si="1"/>
        <v>135000</v>
      </c>
    </row>
    <row r="59" spans="2:8" x14ac:dyDescent="0.25">
      <c r="B59" s="47">
        <v>23</v>
      </c>
      <c r="C59" s="48" t="s">
        <v>223</v>
      </c>
      <c r="D59" s="49" t="s">
        <v>196</v>
      </c>
      <c r="E59" s="50">
        <v>1</v>
      </c>
      <c r="F59" s="51" t="s">
        <v>168</v>
      </c>
      <c r="G59" s="58">
        <v>149000</v>
      </c>
      <c r="H59" s="53">
        <f t="shared" si="1"/>
        <v>149000</v>
      </c>
    </row>
    <row r="60" spans="2:8" x14ac:dyDescent="0.25">
      <c r="B60" s="47">
        <v>24</v>
      </c>
      <c r="C60" s="48" t="s">
        <v>224</v>
      </c>
      <c r="D60" s="49" t="s">
        <v>196</v>
      </c>
      <c r="E60" s="50">
        <v>1</v>
      </c>
      <c r="F60" s="51" t="s">
        <v>168</v>
      </c>
      <c r="G60" s="56">
        <v>104000</v>
      </c>
      <c r="H60" s="53">
        <f t="shared" si="1"/>
        <v>104000</v>
      </c>
    </row>
    <row r="61" spans="2:8" x14ac:dyDescent="0.25">
      <c r="B61" s="47">
        <v>25</v>
      </c>
      <c r="C61" s="64" t="s">
        <v>225</v>
      </c>
      <c r="D61" s="49" t="s">
        <v>196</v>
      </c>
      <c r="E61" s="50">
        <v>4</v>
      </c>
      <c r="F61" s="51" t="s">
        <v>52</v>
      </c>
      <c r="G61" s="65">
        <v>525000</v>
      </c>
      <c r="H61" s="53">
        <f t="shared" si="1"/>
        <v>2100000</v>
      </c>
    </row>
    <row r="62" spans="2:8" ht="30" x14ac:dyDescent="0.25">
      <c r="B62" s="47">
        <v>29</v>
      </c>
      <c r="C62" s="48" t="s">
        <v>198</v>
      </c>
      <c r="D62" s="49" t="s">
        <v>200</v>
      </c>
      <c r="E62" s="50">
        <v>8</v>
      </c>
      <c r="F62" s="51" t="s">
        <v>52</v>
      </c>
      <c r="G62" s="56">
        <v>125000</v>
      </c>
      <c r="H62" s="53">
        <f t="shared" si="1"/>
        <v>1000000</v>
      </c>
    </row>
    <row r="63" spans="2:8" x14ac:dyDescent="0.25">
      <c r="B63" s="47">
        <v>30</v>
      </c>
      <c r="C63" s="48" t="s">
        <v>226</v>
      </c>
      <c r="D63" s="49" t="s">
        <v>200</v>
      </c>
      <c r="E63" s="50">
        <v>1</v>
      </c>
      <c r="F63" s="51" t="s">
        <v>168</v>
      </c>
      <c r="G63" s="56">
        <v>189000</v>
      </c>
      <c r="H63" s="53">
        <f t="shared" si="1"/>
        <v>189000</v>
      </c>
    </row>
    <row r="64" spans="2:8" ht="30" x14ac:dyDescent="0.25">
      <c r="B64" s="47">
        <v>31</v>
      </c>
      <c r="C64" s="48" t="s">
        <v>198</v>
      </c>
      <c r="D64" s="49" t="s">
        <v>211</v>
      </c>
      <c r="E64" s="60">
        <v>8</v>
      </c>
      <c r="F64" s="61" t="s">
        <v>52</v>
      </c>
      <c r="G64" s="56">
        <v>125000</v>
      </c>
      <c r="H64" s="53">
        <f t="shared" si="1"/>
        <v>1000000</v>
      </c>
    </row>
    <row r="65" spans="2:8" x14ac:dyDescent="0.25">
      <c r="B65" s="47">
        <v>36</v>
      </c>
      <c r="C65" s="48" t="s">
        <v>227</v>
      </c>
      <c r="D65" s="49" t="s">
        <v>211</v>
      </c>
      <c r="E65" s="60">
        <v>1</v>
      </c>
      <c r="F65" s="61" t="s">
        <v>168</v>
      </c>
      <c r="G65" s="56">
        <v>85000</v>
      </c>
      <c r="H65" s="53">
        <f t="shared" si="1"/>
        <v>85000</v>
      </c>
    </row>
    <row r="66" spans="2:8" ht="30" x14ac:dyDescent="0.25">
      <c r="B66" s="47">
        <v>37</v>
      </c>
      <c r="C66" s="141" t="s">
        <v>48</v>
      </c>
      <c r="D66" s="49" t="s">
        <v>211</v>
      </c>
      <c r="E66" s="60">
        <v>1</v>
      </c>
      <c r="F66" s="61" t="s">
        <v>220</v>
      </c>
      <c r="G66" s="56">
        <v>160538000</v>
      </c>
      <c r="H66" s="53">
        <f t="shared" si="1"/>
        <v>160538000</v>
      </c>
    </row>
    <row r="67" spans="2:8" x14ac:dyDescent="0.25">
      <c r="B67" s="47">
        <v>38</v>
      </c>
      <c r="C67" s="141" t="s">
        <v>226</v>
      </c>
      <c r="D67" s="49" t="s">
        <v>211</v>
      </c>
      <c r="E67" s="60">
        <v>1</v>
      </c>
      <c r="F67" s="61" t="s">
        <v>168</v>
      </c>
      <c r="G67" s="56">
        <v>189000</v>
      </c>
      <c r="H67" s="53">
        <f t="shared" si="1"/>
        <v>189000</v>
      </c>
    </row>
    <row r="68" spans="2:8" ht="30" x14ac:dyDescent="0.25">
      <c r="B68" s="47">
        <v>39</v>
      </c>
      <c r="C68" s="141" t="s">
        <v>181</v>
      </c>
      <c r="D68" s="49" t="s">
        <v>211</v>
      </c>
      <c r="E68" s="60">
        <v>15</v>
      </c>
      <c r="F68" s="61" t="s">
        <v>52</v>
      </c>
      <c r="G68" s="56">
        <v>722000</v>
      </c>
      <c r="H68" s="53">
        <f t="shared" si="1"/>
        <v>10830000</v>
      </c>
    </row>
    <row r="69" spans="2:8" ht="30" x14ac:dyDescent="0.25">
      <c r="B69" s="47">
        <v>40</v>
      </c>
      <c r="C69" s="48" t="s">
        <v>185</v>
      </c>
      <c r="D69" s="49" t="s">
        <v>211</v>
      </c>
      <c r="E69" s="60">
        <v>29</v>
      </c>
      <c r="F69" s="61" t="s">
        <v>52</v>
      </c>
      <c r="G69" s="56">
        <v>715000</v>
      </c>
      <c r="H69" s="53">
        <f t="shared" si="1"/>
        <v>20735000</v>
      </c>
    </row>
    <row r="70" spans="2:8" x14ac:dyDescent="0.25">
      <c r="D70" s="14"/>
      <c r="E70" s="62"/>
      <c r="F70" s="63"/>
    </row>
    <row r="71" spans="2:8" x14ac:dyDescent="0.25">
      <c r="B71" s="66"/>
      <c r="C71" s="66"/>
      <c r="D71" s="66"/>
      <c r="E71" s="67"/>
      <c r="F71" s="68"/>
      <c r="G71" s="69"/>
    </row>
    <row r="72" spans="2:8" ht="21" x14ac:dyDescent="0.35">
      <c r="B72" s="66"/>
      <c r="C72" s="36" t="s">
        <v>228</v>
      </c>
      <c r="D72" s="66"/>
      <c r="E72" s="67"/>
      <c r="F72" s="68"/>
      <c r="G72" s="69"/>
    </row>
    <row r="73" spans="2:8" x14ac:dyDescent="0.25">
      <c r="B73" s="371"/>
      <c r="C73" s="371"/>
      <c r="D73" s="371"/>
      <c r="E73" s="371"/>
      <c r="F73" s="70"/>
      <c r="G73" s="69"/>
    </row>
    <row r="74" spans="2:8" ht="18.75" x14ac:dyDescent="0.25">
      <c r="B74" s="389" t="s">
        <v>5</v>
      </c>
      <c r="C74" s="372" t="s">
        <v>175</v>
      </c>
      <c r="D74" s="372" t="s">
        <v>176</v>
      </c>
      <c r="E74" s="375" t="s">
        <v>2</v>
      </c>
      <c r="F74" s="376"/>
      <c r="G74" s="366" t="s">
        <v>177</v>
      </c>
      <c r="H74" s="367"/>
    </row>
    <row r="75" spans="2:8" ht="56.25" x14ac:dyDescent="0.25">
      <c r="B75" s="392"/>
      <c r="C75" s="385"/>
      <c r="D75" s="386"/>
      <c r="E75" s="387"/>
      <c r="F75" s="388"/>
      <c r="G75" s="71" t="s">
        <v>178</v>
      </c>
      <c r="H75" s="72" t="s">
        <v>179</v>
      </c>
    </row>
    <row r="76" spans="2:8" ht="18.75" x14ac:dyDescent="0.3">
      <c r="B76" s="46" t="s">
        <v>25</v>
      </c>
      <c r="C76" s="368" t="s">
        <v>180</v>
      </c>
      <c r="D76" s="369"/>
      <c r="E76" s="369"/>
      <c r="F76" s="369"/>
      <c r="G76" s="369"/>
      <c r="H76" s="370"/>
    </row>
    <row r="77" spans="2:8" ht="25.5" x14ac:dyDescent="0.25">
      <c r="B77" s="73">
        <v>1</v>
      </c>
      <c r="C77" s="74" t="s">
        <v>229</v>
      </c>
      <c r="D77" s="75" t="s">
        <v>182</v>
      </c>
      <c r="E77" s="76">
        <v>1</v>
      </c>
      <c r="F77" s="77" t="s">
        <v>168</v>
      </c>
      <c r="G77" s="78">
        <v>500000</v>
      </c>
      <c r="H77" s="78">
        <v>500000</v>
      </c>
    </row>
    <row r="78" spans="2:8" ht="25.5" x14ac:dyDescent="0.25">
      <c r="B78" s="73">
        <v>2</v>
      </c>
      <c r="C78" s="74" t="s">
        <v>230</v>
      </c>
      <c r="D78" s="75" t="s">
        <v>182</v>
      </c>
      <c r="E78" s="76">
        <v>1</v>
      </c>
      <c r="F78" s="77" t="s">
        <v>168</v>
      </c>
      <c r="G78" s="78">
        <v>525000</v>
      </c>
      <c r="H78" s="78">
        <v>525000</v>
      </c>
    </row>
    <row r="79" spans="2:8" x14ac:dyDescent="0.25">
      <c r="B79" s="73">
        <v>3</v>
      </c>
      <c r="C79" s="74" t="s">
        <v>231</v>
      </c>
      <c r="D79" s="75" t="s">
        <v>182</v>
      </c>
      <c r="E79" s="76">
        <v>1</v>
      </c>
      <c r="F79" s="77" t="s">
        <v>17</v>
      </c>
      <c r="G79" s="78">
        <v>300000</v>
      </c>
      <c r="H79" s="78">
        <v>300000</v>
      </c>
    </row>
    <row r="80" spans="2:8" x14ac:dyDescent="0.25">
      <c r="B80" s="73"/>
      <c r="C80" s="79" t="s">
        <v>227</v>
      </c>
      <c r="D80" s="75" t="s">
        <v>187</v>
      </c>
      <c r="E80" s="76">
        <v>1</v>
      </c>
      <c r="F80" s="77" t="s">
        <v>168</v>
      </c>
      <c r="G80" s="78">
        <v>85000</v>
      </c>
      <c r="H80" s="78">
        <v>85000</v>
      </c>
    </row>
    <row r="81" spans="2:8" ht="38.25" x14ac:dyDescent="0.25">
      <c r="B81" s="73"/>
      <c r="C81" s="80" t="s">
        <v>232</v>
      </c>
      <c r="D81" s="75" t="s">
        <v>187</v>
      </c>
      <c r="E81" s="76">
        <v>1</v>
      </c>
      <c r="F81" s="77" t="s">
        <v>168</v>
      </c>
      <c r="G81" s="78">
        <v>650000</v>
      </c>
      <c r="H81" s="78">
        <v>650000</v>
      </c>
    </row>
    <row r="82" spans="2:8" x14ac:dyDescent="0.25">
      <c r="B82" s="73"/>
      <c r="C82" s="79" t="s">
        <v>233</v>
      </c>
      <c r="D82" s="75" t="s">
        <v>187</v>
      </c>
      <c r="E82" s="76">
        <v>1</v>
      </c>
      <c r="F82" s="77" t="s">
        <v>168</v>
      </c>
      <c r="G82" s="78">
        <v>779000</v>
      </c>
      <c r="H82" s="78">
        <v>779000</v>
      </c>
    </row>
    <row r="83" spans="2:8" ht="25.5" x14ac:dyDescent="0.25">
      <c r="B83" s="73"/>
      <c r="C83" s="80" t="s">
        <v>229</v>
      </c>
      <c r="D83" s="75" t="s">
        <v>196</v>
      </c>
      <c r="E83" s="76">
        <v>1</v>
      </c>
      <c r="F83" s="77" t="s">
        <v>168</v>
      </c>
      <c r="G83" s="78">
        <v>500000</v>
      </c>
      <c r="H83" s="78">
        <v>500000</v>
      </c>
    </row>
    <row r="84" spans="2:8" ht="25.5" x14ac:dyDescent="0.25">
      <c r="B84" s="73"/>
      <c r="C84" s="80" t="s">
        <v>234</v>
      </c>
      <c r="D84" s="75" t="s">
        <v>200</v>
      </c>
      <c r="E84" s="76">
        <v>8</v>
      </c>
      <c r="F84" s="77" t="s">
        <v>52</v>
      </c>
      <c r="G84" s="78">
        <v>550000</v>
      </c>
      <c r="H84" s="78">
        <v>4400000</v>
      </c>
    </row>
    <row r="85" spans="2:8" ht="25.5" x14ac:dyDescent="0.25">
      <c r="B85" s="73"/>
      <c r="C85" s="80" t="s">
        <v>181</v>
      </c>
      <c r="D85" s="75" t="s">
        <v>200</v>
      </c>
      <c r="E85" s="76">
        <v>29</v>
      </c>
      <c r="F85" s="77" t="s">
        <v>52</v>
      </c>
      <c r="G85" s="78">
        <v>722000</v>
      </c>
      <c r="H85" s="78">
        <v>20938000</v>
      </c>
    </row>
    <row r="86" spans="2:8" ht="25.5" x14ac:dyDescent="0.25">
      <c r="B86" s="73"/>
      <c r="C86" s="80" t="s">
        <v>185</v>
      </c>
      <c r="D86" s="75" t="s">
        <v>200</v>
      </c>
      <c r="E86" s="76">
        <v>9</v>
      </c>
      <c r="F86" s="77" t="s">
        <v>52</v>
      </c>
      <c r="G86" s="78">
        <v>715000</v>
      </c>
      <c r="H86" s="78">
        <v>6435000</v>
      </c>
    </row>
    <row r="87" spans="2:8" ht="25.5" x14ac:dyDescent="0.25">
      <c r="B87" s="73"/>
      <c r="C87" s="80" t="s">
        <v>229</v>
      </c>
      <c r="D87" s="75" t="s">
        <v>200</v>
      </c>
      <c r="E87" s="76">
        <v>1</v>
      </c>
      <c r="F87" s="77" t="s">
        <v>168</v>
      </c>
      <c r="G87" s="78">
        <v>500000</v>
      </c>
      <c r="H87" s="78">
        <v>500000</v>
      </c>
    </row>
    <row r="88" spans="2:8" x14ac:dyDescent="0.25">
      <c r="B88" s="73"/>
      <c r="C88" s="79" t="s">
        <v>225</v>
      </c>
      <c r="D88" s="75" t="s">
        <v>200</v>
      </c>
      <c r="E88" s="76">
        <v>2</v>
      </c>
      <c r="F88" s="77" t="s">
        <v>52</v>
      </c>
      <c r="G88" s="78">
        <v>525000</v>
      </c>
      <c r="H88" s="78">
        <v>1050000</v>
      </c>
    </row>
    <row r="89" spans="2:8" ht="25.5" x14ac:dyDescent="0.25">
      <c r="B89" s="73"/>
      <c r="C89" s="80" t="s">
        <v>181</v>
      </c>
      <c r="D89" s="75" t="s">
        <v>211</v>
      </c>
      <c r="E89" s="76">
        <v>4</v>
      </c>
      <c r="F89" s="77" t="s">
        <v>52</v>
      </c>
      <c r="G89" s="78">
        <v>722000</v>
      </c>
      <c r="H89" s="78">
        <v>2888000</v>
      </c>
    </row>
    <row r="90" spans="2:8" x14ac:dyDescent="0.25">
      <c r="B90" s="73"/>
      <c r="C90" s="79" t="s">
        <v>235</v>
      </c>
      <c r="D90" s="75" t="s">
        <v>211</v>
      </c>
      <c r="E90" s="76">
        <v>2</v>
      </c>
      <c r="F90" s="77" t="s">
        <v>52</v>
      </c>
      <c r="G90" s="78">
        <v>3420000</v>
      </c>
      <c r="H90" s="78">
        <v>6840000</v>
      </c>
    </row>
    <row r="91" spans="2:8" ht="25.5" x14ac:dyDescent="0.25">
      <c r="B91" s="73"/>
      <c r="C91" s="80" t="s">
        <v>229</v>
      </c>
      <c r="D91" s="75" t="s">
        <v>211</v>
      </c>
      <c r="E91" s="76">
        <v>1</v>
      </c>
      <c r="F91" s="77" t="s">
        <v>168</v>
      </c>
      <c r="G91" s="78">
        <v>500000</v>
      </c>
      <c r="H91" s="78">
        <v>500000</v>
      </c>
    </row>
    <row r="92" spans="2:8" ht="25.5" x14ac:dyDescent="0.25">
      <c r="B92" s="73"/>
      <c r="C92" s="80" t="s">
        <v>230</v>
      </c>
      <c r="D92" s="75" t="s">
        <v>211</v>
      </c>
      <c r="E92" s="76">
        <v>1</v>
      </c>
      <c r="F92" s="77" t="s">
        <v>168</v>
      </c>
      <c r="G92" s="78">
        <v>525000</v>
      </c>
      <c r="H92" s="78">
        <v>525000</v>
      </c>
    </row>
    <row r="93" spans="2:8" x14ac:dyDescent="0.25">
      <c r="B93" s="379" t="s">
        <v>120</v>
      </c>
      <c r="C93" s="380"/>
      <c r="D93" s="380"/>
      <c r="E93" s="380"/>
      <c r="F93" s="380"/>
      <c r="G93" s="381"/>
      <c r="H93" s="81">
        <f>SUM(H77:H92)</f>
        <v>47415000</v>
      </c>
    </row>
    <row r="94" spans="2:8" x14ac:dyDescent="0.25">
      <c r="B94" s="379" t="s">
        <v>236</v>
      </c>
      <c r="C94" s="380"/>
      <c r="D94" s="380"/>
      <c r="E94" s="380"/>
      <c r="F94" s="380"/>
      <c r="G94" s="381"/>
      <c r="H94" s="82" t="e">
        <f>H93+#REF!</f>
        <v>#REF!</v>
      </c>
    </row>
    <row r="95" spans="2:8" x14ac:dyDescent="0.25">
      <c r="B95" s="382" t="s">
        <v>237</v>
      </c>
      <c r="C95" s="383"/>
      <c r="D95" s="383"/>
      <c r="E95" s="383"/>
      <c r="F95" s="383"/>
      <c r="G95" s="384"/>
      <c r="H95" s="82" t="e">
        <f>H94*10%</f>
        <v>#REF!</v>
      </c>
    </row>
    <row r="96" spans="2:8" x14ac:dyDescent="0.25">
      <c r="B96" s="382" t="s">
        <v>50</v>
      </c>
      <c r="C96" s="383"/>
      <c r="D96" s="383"/>
      <c r="E96" s="383"/>
      <c r="F96" s="383"/>
      <c r="G96" s="384"/>
      <c r="H96" s="82" t="e">
        <f>H95+H94</f>
        <v>#REF!</v>
      </c>
    </row>
    <row r="97" spans="2:8" x14ac:dyDescent="0.25">
      <c r="B97" s="83"/>
      <c r="C97" s="84"/>
      <c r="D97" s="85"/>
      <c r="E97" s="86"/>
      <c r="F97" s="87"/>
      <c r="G97" s="88"/>
      <c r="H97" s="88"/>
    </row>
    <row r="98" spans="2:8" x14ac:dyDescent="0.25">
      <c r="B98" s="83"/>
      <c r="C98" s="84"/>
      <c r="D98" s="85"/>
      <c r="E98" s="86"/>
      <c r="F98" s="87"/>
      <c r="G98" s="88"/>
      <c r="H98" s="88"/>
    </row>
    <row r="99" spans="2:8" ht="21" x14ac:dyDescent="0.35">
      <c r="B99" s="66"/>
      <c r="C99" s="36" t="s">
        <v>238</v>
      </c>
      <c r="D99" s="66"/>
      <c r="E99" s="67"/>
      <c r="F99" s="68"/>
      <c r="G99" s="69"/>
    </row>
    <row r="100" spans="2:8" x14ac:dyDescent="0.25">
      <c r="B100" s="371"/>
      <c r="C100" s="371"/>
      <c r="D100" s="371"/>
      <c r="E100" s="371"/>
      <c r="F100" s="70"/>
      <c r="G100" s="69"/>
    </row>
    <row r="101" spans="2:8" ht="18.75" x14ac:dyDescent="0.25">
      <c r="B101" s="389" t="s">
        <v>5</v>
      </c>
      <c r="C101" s="372" t="s">
        <v>175</v>
      </c>
      <c r="D101" s="372" t="s">
        <v>176</v>
      </c>
      <c r="E101" s="375" t="s">
        <v>2</v>
      </c>
      <c r="F101" s="376"/>
      <c r="G101" s="366" t="s">
        <v>177</v>
      </c>
      <c r="H101" s="367"/>
    </row>
    <row r="102" spans="2:8" ht="56.25" x14ac:dyDescent="0.25">
      <c r="B102" s="392"/>
      <c r="C102" s="385"/>
      <c r="D102" s="386"/>
      <c r="E102" s="387"/>
      <c r="F102" s="388"/>
      <c r="G102" s="71" t="s">
        <v>178</v>
      </c>
      <c r="H102" s="72" t="s">
        <v>179</v>
      </c>
    </row>
    <row r="103" spans="2:8" ht="18.75" x14ac:dyDescent="0.3">
      <c r="B103" s="46" t="s">
        <v>25</v>
      </c>
      <c r="C103" s="368" t="s">
        <v>180</v>
      </c>
      <c r="D103" s="369"/>
      <c r="E103" s="369"/>
      <c r="F103" s="369"/>
      <c r="G103" s="369"/>
      <c r="H103" s="370"/>
    </row>
    <row r="104" spans="2:8" ht="25.5" x14ac:dyDescent="0.25">
      <c r="B104" s="73"/>
      <c r="C104" s="80" t="s">
        <v>239</v>
      </c>
      <c r="D104" s="89" t="s">
        <v>182</v>
      </c>
      <c r="E104" s="76">
        <v>2</v>
      </c>
      <c r="F104" s="77" t="s">
        <v>52</v>
      </c>
      <c r="G104" s="78">
        <v>525000</v>
      </c>
      <c r="H104" s="78">
        <v>1050000</v>
      </c>
    </row>
    <row r="105" spans="2:8" ht="25.5" x14ac:dyDescent="0.25">
      <c r="B105" s="73"/>
      <c r="C105" s="80" t="s">
        <v>240</v>
      </c>
      <c r="D105" s="89" t="s">
        <v>182</v>
      </c>
      <c r="E105" s="76">
        <v>2</v>
      </c>
      <c r="F105" s="77" t="s">
        <v>52</v>
      </c>
      <c r="G105" s="78">
        <v>14190000</v>
      </c>
      <c r="H105" s="78">
        <v>28380000</v>
      </c>
    </row>
    <row r="106" spans="2:8" x14ac:dyDescent="0.25">
      <c r="B106" s="73"/>
      <c r="C106" s="79" t="s">
        <v>241</v>
      </c>
      <c r="D106" s="89" t="s">
        <v>182</v>
      </c>
      <c r="E106" s="76">
        <v>1</v>
      </c>
      <c r="F106" s="77" t="s">
        <v>168</v>
      </c>
      <c r="G106" s="78">
        <v>635000</v>
      </c>
      <c r="H106" s="78">
        <v>635000</v>
      </c>
    </row>
    <row r="107" spans="2:8" x14ac:dyDescent="0.25">
      <c r="B107" s="73"/>
      <c r="C107" s="79" t="s">
        <v>242</v>
      </c>
      <c r="D107" s="89" t="s">
        <v>182</v>
      </c>
      <c r="E107" s="76">
        <v>1</v>
      </c>
      <c r="F107" s="77" t="s">
        <v>168</v>
      </c>
      <c r="G107" s="78">
        <v>383000</v>
      </c>
      <c r="H107" s="78">
        <v>383000</v>
      </c>
    </row>
    <row r="108" spans="2:8" x14ac:dyDescent="0.25">
      <c r="B108" s="73"/>
      <c r="C108" s="79" t="s">
        <v>243</v>
      </c>
      <c r="D108" s="89" t="s">
        <v>182</v>
      </c>
      <c r="E108" s="76">
        <v>1</v>
      </c>
      <c r="F108" s="77" t="s">
        <v>168</v>
      </c>
      <c r="G108" s="78">
        <v>738000</v>
      </c>
      <c r="H108" s="78">
        <v>738000</v>
      </c>
    </row>
    <row r="109" spans="2:8" x14ac:dyDescent="0.25">
      <c r="B109" s="73"/>
      <c r="C109" s="79" t="s">
        <v>226</v>
      </c>
      <c r="D109" s="89" t="s">
        <v>182</v>
      </c>
      <c r="E109" s="76">
        <v>1</v>
      </c>
      <c r="F109" s="77" t="s">
        <v>168</v>
      </c>
      <c r="G109" s="78">
        <v>189000</v>
      </c>
      <c r="H109" s="78">
        <v>189000</v>
      </c>
    </row>
    <row r="110" spans="2:8" ht="25.5" x14ac:dyDescent="0.25">
      <c r="B110" s="73"/>
      <c r="C110" s="80" t="s">
        <v>244</v>
      </c>
      <c r="D110" s="89" t="s">
        <v>182</v>
      </c>
      <c r="E110" s="76">
        <v>1</v>
      </c>
      <c r="F110" s="77" t="s">
        <v>168</v>
      </c>
      <c r="G110" s="78">
        <v>650000</v>
      </c>
      <c r="H110" s="78">
        <v>650000</v>
      </c>
    </row>
    <row r="111" spans="2:8" x14ac:dyDescent="0.25">
      <c r="B111" s="73"/>
      <c r="C111" s="79" t="s">
        <v>245</v>
      </c>
      <c r="D111" s="89" t="s">
        <v>182</v>
      </c>
      <c r="E111" s="76">
        <v>1</v>
      </c>
      <c r="F111" s="77" t="s">
        <v>168</v>
      </c>
      <c r="G111" s="78">
        <v>230000</v>
      </c>
      <c r="H111" s="78">
        <v>230000</v>
      </c>
    </row>
    <row r="112" spans="2:8" ht="25.5" x14ac:dyDescent="0.25">
      <c r="B112" s="73"/>
      <c r="C112" s="80" t="s">
        <v>246</v>
      </c>
      <c r="D112" s="89" t="s">
        <v>187</v>
      </c>
      <c r="E112" s="76">
        <v>1</v>
      </c>
      <c r="F112" s="77" t="s">
        <v>168</v>
      </c>
      <c r="G112" s="78">
        <v>540000</v>
      </c>
      <c r="H112" s="78">
        <v>540000</v>
      </c>
    </row>
    <row r="113" spans="2:8" x14ac:dyDescent="0.25">
      <c r="B113" s="73"/>
      <c r="C113" s="79" t="s">
        <v>247</v>
      </c>
      <c r="D113" s="89" t="s">
        <v>187</v>
      </c>
      <c r="E113" s="76">
        <v>2</v>
      </c>
      <c r="F113" s="77" t="s">
        <v>51</v>
      </c>
      <c r="G113" s="78">
        <v>11111300</v>
      </c>
      <c r="H113" s="78">
        <v>22222600</v>
      </c>
    </row>
    <row r="114" spans="2:8" x14ac:dyDescent="0.25">
      <c r="B114" s="73"/>
      <c r="C114" s="79" t="s">
        <v>248</v>
      </c>
      <c r="D114" s="89" t="s">
        <v>187</v>
      </c>
      <c r="E114" s="76">
        <v>2</v>
      </c>
      <c r="F114" s="77" t="s">
        <v>52</v>
      </c>
      <c r="G114" s="78">
        <v>3420000</v>
      </c>
      <c r="H114" s="78">
        <v>6840000</v>
      </c>
    </row>
    <row r="115" spans="2:8" x14ac:dyDescent="0.25">
      <c r="B115" s="73"/>
      <c r="C115" s="79" t="s">
        <v>249</v>
      </c>
      <c r="D115" s="89" t="s">
        <v>196</v>
      </c>
      <c r="E115" s="76">
        <v>1</v>
      </c>
      <c r="F115" s="77" t="s">
        <v>168</v>
      </c>
      <c r="G115" s="78">
        <v>189000</v>
      </c>
      <c r="H115" s="78">
        <v>189000</v>
      </c>
    </row>
    <row r="116" spans="2:8" ht="25.5" x14ac:dyDescent="0.25">
      <c r="B116" s="73"/>
      <c r="C116" s="80" t="s">
        <v>250</v>
      </c>
      <c r="D116" s="89" t="s">
        <v>196</v>
      </c>
      <c r="E116" s="76">
        <v>1</v>
      </c>
      <c r="F116" s="77" t="s">
        <v>168</v>
      </c>
      <c r="G116" s="78">
        <v>1643000</v>
      </c>
      <c r="H116" s="78">
        <v>1643000</v>
      </c>
    </row>
    <row r="117" spans="2:8" x14ac:dyDescent="0.25">
      <c r="B117" s="73"/>
      <c r="C117" s="79" t="s">
        <v>251</v>
      </c>
      <c r="D117" s="89" t="s">
        <v>200</v>
      </c>
      <c r="E117" s="76">
        <v>1</v>
      </c>
      <c r="F117" s="77" t="s">
        <v>168</v>
      </c>
      <c r="G117" s="78">
        <v>5117000</v>
      </c>
      <c r="H117" s="78">
        <v>5117000</v>
      </c>
    </row>
    <row r="118" spans="2:8" x14ac:dyDescent="0.25">
      <c r="B118" s="73"/>
      <c r="C118" s="79" t="s">
        <v>252</v>
      </c>
      <c r="D118" s="89" t="s">
        <v>200</v>
      </c>
      <c r="E118" s="76">
        <v>1</v>
      </c>
      <c r="F118" s="77" t="s">
        <v>168</v>
      </c>
      <c r="G118" s="78">
        <v>75000</v>
      </c>
      <c r="H118" s="78">
        <v>75000</v>
      </c>
    </row>
    <row r="119" spans="2:8" ht="25.5" x14ac:dyDescent="0.25">
      <c r="B119" s="73"/>
      <c r="C119" s="80" t="s">
        <v>240</v>
      </c>
      <c r="D119" s="89" t="s">
        <v>200</v>
      </c>
      <c r="E119" s="76">
        <v>1</v>
      </c>
      <c r="F119" s="77" t="s">
        <v>168</v>
      </c>
      <c r="G119" s="78">
        <v>14190000</v>
      </c>
      <c r="H119" s="78">
        <v>14190000</v>
      </c>
    </row>
    <row r="120" spans="2:8" ht="25.5" x14ac:dyDescent="0.25">
      <c r="B120" s="73"/>
      <c r="C120" s="80" t="s">
        <v>240</v>
      </c>
      <c r="D120" s="89" t="s">
        <v>200</v>
      </c>
      <c r="E120" s="76">
        <v>1</v>
      </c>
      <c r="F120" s="77" t="s">
        <v>168</v>
      </c>
      <c r="G120" s="78">
        <v>14190000</v>
      </c>
      <c r="H120" s="78">
        <v>14190000</v>
      </c>
    </row>
    <row r="121" spans="2:8" x14ac:dyDescent="0.25">
      <c r="B121" s="73"/>
      <c r="C121" s="79" t="s">
        <v>253</v>
      </c>
      <c r="D121" s="89" t="s">
        <v>200</v>
      </c>
      <c r="E121" s="76">
        <v>1</v>
      </c>
      <c r="F121" s="77" t="s">
        <v>168</v>
      </c>
      <c r="G121" s="78">
        <v>23108000</v>
      </c>
      <c r="H121" s="78">
        <v>23108000</v>
      </c>
    </row>
    <row r="122" spans="2:8" x14ac:dyDescent="0.25">
      <c r="B122" s="73"/>
      <c r="C122" s="79" t="s">
        <v>254</v>
      </c>
      <c r="D122" s="89" t="s">
        <v>200</v>
      </c>
      <c r="E122" s="76">
        <v>1</v>
      </c>
      <c r="F122" s="77" t="s">
        <v>168</v>
      </c>
      <c r="G122" s="78">
        <v>1575000</v>
      </c>
      <c r="H122" s="78">
        <v>1575000</v>
      </c>
    </row>
    <row r="123" spans="2:8" ht="25.5" x14ac:dyDescent="0.25">
      <c r="B123" s="73"/>
      <c r="C123" s="80" t="s">
        <v>250</v>
      </c>
      <c r="D123" s="89" t="s">
        <v>211</v>
      </c>
      <c r="E123" s="76">
        <v>1</v>
      </c>
      <c r="F123" s="77" t="s">
        <v>168</v>
      </c>
      <c r="G123" s="78">
        <v>1643000</v>
      </c>
      <c r="H123" s="78">
        <v>1643000</v>
      </c>
    </row>
    <row r="124" spans="2:8" x14ac:dyDescent="0.25">
      <c r="B124" s="83"/>
      <c r="C124" s="84"/>
      <c r="D124" s="90"/>
      <c r="E124" s="86"/>
      <c r="F124" s="87"/>
      <c r="G124" s="88"/>
      <c r="H124" s="88"/>
    </row>
    <row r="125" spans="2:8" ht="21" x14ac:dyDescent="0.35">
      <c r="B125" s="66"/>
      <c r="C125" s="36" t="s">
        <v>255</v>
      </c>
      <c r="D125" s="66"/>
      <c r="E125" s="67"/>
      <c r="F125" s="68"/>
      <c r="G125" s="69"/>
    </row>
    <row r="126" spans="2:8" x14ac:dyDescent="0.25">
      <c r="B126" s="371"/>
      <c r="C126" s="371"/>
      <c r="D126" s="371"/>
      <c r="E126" s="371"/>
      <c r="F126" s="70"/>
      <c r="G126" s="69"/>
    </row>
    <row r="127" spans="2:8" ht="18.75" x14ac:dyDescent="0.25">
      <c r="B127" s="389" t="s">
        <v>5</v>
      </c>
      <c r="C127" s="372" t="s">
        <v>175</v>
      </c>
      <c r="D127" s="372" t="s">
        <v>176</v>
      </c>
      <c r="E127" s="375" t="s">
        <v>2</v>
      </c>
      <c r="F127" s="376"/>
      <c r="G127" s="366" t="s">
        <v>177</v>
      </c>
      <c r="H127" s="367"/>
    </row>
    <row r="128" spans="2:8" ht="56.25" x14ac:dyDescent="0.25">
      <c r="B128" s="392"/>
      <c r="C128" s="385"/>
      <c r="D128" s="386"/>
      <c r="E128" s="387"/>
      <c r="F128" s="388"/>
      <c r="G128" s="71" t="s">
        <v>178</v>
      </c>
      <c r="H128" s="72" t="s">
        <v>179</v>
      </c>
    </row>
    <row r="129" spans="2:8" ht="18.75" x14ac:dyDescent="0.3">
      <c r="B129" s="46" t="s">
        <v>25</v>
      </c>
      <c r="C129" s="368" t="s">
        <v>180</v>
      </c>
      <c r="D129" s="369"/>
      <c r="E129" s="369"/>
      <c r="F129" s="369"/>
      <c r="G129" s="369"/>
      <c r="H129" s="370"/>
    </row>
    <row r="130" spans="2:8" ht="25.5" x14ac:dyDescent="0.25">
      <c r="B130" s="73"/>
      <c r="C130" s="80" t="s">
        <v>181</v>
      </c>
      <c r="D130" s="89" t="s">
        <v>182</v>
      </c>
      <c r="E130" s="76">
        <v>12</v>
      </c>
      <c r="F130" s="77" t="s">
        <v>52</v>
      </c>
      <c r="G130" s="78">
        <v>722000</v>
      </c>
      <c r="H130" s="78">
        <v>8664000</v>
      </c>
    </row>
    <row r="131" spans="2:8" ht="25.5" x14ac:dyDescent="0.25">
      <c r="B131" s="73"/>
      <c r="C131" s="80" t="s">
        <v>185</v>
      </c>
      <c r="D131" s="89" t="s">
        <v>182</v>
      </c>
      <c r="E131" s="76">
        <v>5</v>
      </c>
      <c r="F131" s="77" t="s">
        <v>52</v>
      </c>
      <c r="G131" s="78">
        <v>715000</v>
      </c>
      <c r="H131" s="78">
        <v>3575000</v>
      </c>
    </row>
    <row r="132" spans="2:8" x14ac:dyDescent="0.25">
      <c r="B132" s="73"/>
      <c r="C132" s="80" t="s">
        <v>256</v>
      </c>
      <c r="D132" s="89" t="s">
        <v>182</v>
      </c>
      <c r="E132" s="76">
        <v>4</v>
      </c>
      <c r="F132" s="77" t="s">
        <v>52</v>
      </c>
      <c r="G132" s="78">
        <v>2660000</v>
      </c>
      <c r="H132" s="78">
        <v>10640000</v>
      </c>
    </row>
    <row r="133" spans="2:8" x14ac:dyDescent="0.25">
      <c r="B133" s="73"/>
      <c r="C133" s="79" t="s">
        <v>235</v>
      </c>
      <c r="D133" s="89" t="s">
        <v>182</v>
      </c>
      <c r="E133" s="76">
        <v>2</v>
      </c>
      <c r="F133" s="77" t="s">
        <v>52</v>
      </c>
      <c r="G133" s="78">
        <v>3420000</v>
      </c>
      <c r="H133" s="78">
        <v>6840000</v>
      </c>
    </row>
    <row r="134" spans="2:8" ht="25.5" x14ac:dyDescent="0.25">
      <c r="B134" s="73"/>
      <c r="C134" s="80" t="s">
        <v>48</v>
      </c>
      <c r="D134" s="89" t="s">
        <v>182</v>
      </c>
      <c r="E134" s="76">
        <v>1</v>
      </c>
      <c r="F134" s="77" t="s">
        <v>220</v>
      </c>
      <c r="G134" s="78">
        <v>160538000</v>
      </c>
      <c r="H134" s="78">
        <v>160538000</v>
      </c>
    </row>
    <row r="135" spans="2:8" ht="25.5" x14ac:dyDescent="0.25">
      <c r="B135" s="73"/>
      <c r="C135" s="80" t="s">
        <v>257</v>
      </c>
      <c r="D135" s="89" t="s">
        <v>182</v>
      </c>
      <c r="E135" s="76">
        <v>1</v>
      </c>
      <c r="F135" s="77" t="s">
        <v>168</v>
      </c>
      <c r="G135" s="78">
        <v>1375000</v>
      </c>
      <c r="H135" s="78">
        <v>1375000</v>
      </c>
    </row>
    <row r="136" spans="2:8" x14ac:dyDescent="0.25">
      <c r="B136" s="73"/>
      <c r="C136" s="79" t="s">
        <v>258</v>
      </c>
      <c r="D136" s="89" t="s">
        <v>182</v>
      </c>
      <c r="E136" s="76">
        <v>1</v>
      </c>
      <c r="F136" s="77" t="s">
        <v>168</v>
      </c>
      <c r="G136" s="78">
        <v>17780000</v>
      </c>
      <c r="H136" s="78">
        <v>17780000</v>
      </c>
    </row>
    <row r="137" spans="2:8" x14ac:dyDescent="0.25">
      <c r="B137" s="73"/>
      <c r="C137" s="79" t="s">
        <v>259</v>
      </c>
      <c r="D137" s="89" t="s">
        <v>187</v>
      </c>
      <c r="E137" s="76">
        <v>1</v>
      </c>
      <c r="F137" s="77" t="s">
        <v>168</v>
      </c>
      <c r="G137" s="78">
        <v>7500000</v>
      </c>
      <c r="H137" s="78">
        <v>7500000</v>
      </c>
    </row>
    <row r="138" spans="2:8" ht="25.5" x14ac:dyDescent="0.25">
      <c r="B138" s="73"/>
      <c r="C138" s="80" t="s">
        <v>234</v>
      </c>
      <c r="D138" s="89" t="s">
        <v>187</v>
      </c>
      <c r="E138" s="76">
        <v>4</v>
      </c>
      <c r="F138" s="77" t="s">
        <v>52</v>
      </c>
      <c r="G138" s="78">
        <v>550000</v>
      </c>
      <c r="H138" s="78">
        <v>2200000</v>
      </c>
    </row>
    <row r="139" spans="2:8" x14ac:dyDescent="0.25">
      <c r="B139" s="73"/>
      <c r="C139" s="79" t="s">
        <v>235</v>
      </c>
      <c r="D139" s="89" t="s">
        <v>196</v>
      </c>
      <c r="E139" s="76">
        <v>2</v>
      </c>
      <c r="F139" s="77" t="s">
        <v>52</v>
      </c>
      <c r="G139" s="78">
        <v>3420000</v>
      </c>
      <c r="H139" s="78">
        <v>6840000</v>
      </c>
    </row>
    <row r="140" spans="2:8" x14ac:dyDescent="0.25">
      <c r="B140" s="73"/>
      <c r="C140" s="79" t="s">
        <v>260</v>
      </c>
      <c r="D140" s="89" t="s">
        <v>196</v>
      </c>
      <c r="E140" s="76">
        <v>2</v>
      </c>
      <c r="F140" s="77" t="s">
        <v>52</v>
      </c>
      <c r="G140" s="78"/>
      <c r="H140" s="78"/>
    </row>
    <row r="141" spans="2:8" ht="25.5" x14ac:dyDescent="0.25">
      <c r="B141" s="73"/>
      <c r="C141" s="80" t="s">
        <v>230</v>
      </c>
      <c r="D141" s="89" t="s">
        <v>200</v>
      </c>
      <c r="E141" s="76">
        <v>1</v>
      </c>
      <c r="F141" s="77" t="s">
        <v>168</v>
      </c>
      <c r="G141" s="78">
        <v>525000</v>
      </c>
      <c r="H141" s="78">
        <v>525000</v>
      </c>
    </row>
    <row r="142" spans="2:8" x14ac:dyDescent="0.25">
      <c r="B142" s="73"/>
      <c r="C142" s="79" t="s">
        <v>235</v>
      </c>
      <c r="D142" s="89" t="s">
        <v>200</v>
      </c>
      <c r="E142" s="76">
        <v>1</v>
      </c>
      <c r="F142" s="77" t="s">
        <v>168</v>
      </c>
      <c r="G142" s="78">
        <v>3420000</v>
      </c>
      <c r="H142" s="78">
        <v>3420000</v>
      </c>
    </row>
    <row r="143" spans="2:8" ht="25.5" x14ac:dyDescent="0.25">
      <c r="B143" s="73"/>
      <c r="C143" s="80" t="s">
        <v>257</v>
      </c>
      <c r="D143" s="89" t="s">
        <v>200</v>
      </c>
      <c r="E143" s="76">
        <v>1</v>
      </c>
      <c r="F143" s="77" t="s">
        <v>168</v>
      </c>
      <c r="G143" s="78">
        <v>1375000</v>
      </c>
      <c r="H143" s="78">
        <v>1375000</v>
      </c>
    </row>
    <row r="144" spans="2:8" x14ac:dyDescent="0.25">
      <c r="B144" s="73"/>
      <c r="C144" s="79" t="s">
        <v>258</v>
      </c>
      <c r="D144" s="89" t="s">
        <v>200</v>
      </c>
      <c r="E144" s="76">
        <v>1</v>
      </c>
      <c r="F144" s="77" t="s">
        <v>168</v>
      </c>
      <c r="G144" s="78">
        <v>17780000</v>
      </c>
      <c r="H144" s="78">
        <v>17780000</v>
      </c>
    </row>
    <row r="145" spans="2:8" x14ac:dyDescent="0.25">
      <c r="B145" s="379" t="s">
        <v>120</v>
      </c>
      <c r="C145" s="380"/>
      <c r="D145" s="380"/>
      <c r="E145" s="380"/>
      <c r="F145" s="380"/>
      <c r="G145" s="381"/>
      <c r="H145" s="81">
        <f>SUM(H130:H144)</f>
        <v>249052000</v>
      </c>
    </row>
    <row r="146" spans="2:8" x14ac:dyDescent="0.25">
      <c r="B146" s="379" t="s">
        <v>236</v>
      </c>
      <c r="C146" s="380"/>
      <c r="D146" s="380"/>
      <c r="E146" s="380"/>
      <c r="F146" s="380"/>
      <c r="G146" s="381"/>
      <c r="H146" s="82" t="e">
        <f>H145+#REF!</f>
        <v>#REF!</v>
      </c>
    </row>
    <row r="147" spans="2:8" x14ac:dyDescent="0.25">
      <c r="B147" s="382" t="s">
        <v>237</v>
      </c>
      <c r="C147" s="383"/>
      <c r="D147" s="383"/>
      <c r="E147" s="383"/>
      <c r="F147" s="383"/>
      <c r="G147" s="384"/>
      <c r="H147" s="82" t="e">
        <f>H146*10%</f>
        <v>#REF!</v>
      </c>
    </row>
    <row r="148" spans="2:8" x14ac:dyDescent="0.25">
      <c r="B148" s="382" t="s">
        <v>50</v>
      </c>
      <c r="C148" s="383"/>
      <c r="D148" s="383"/>
      <c r="E148" s="383"/>
      <c r="F148" s="383"/>
      <c r="G148" s="384"/>
      <c r="H148" s="82" t="e">
        <f>H147+H146</f>
        <v>#REF!</v>
      </c>
    </row>
    <row r="149" spans="2:8" x14ac:dyDescent="0.25">
      <c r="B149" s="83"/>
      <c r="C149" s="84"/>
      <c r="D149" s="85"/>
      <c r="E149" s="86"/>
      <c r="F149" s="87"/>
      <c r="G149" s="88"/>
      <c r="H149" s="88"/>
    </row>
    <row r="150" spans="2:8" x14ac:dyDescent="0.25">
      <c r="B150" s="83"/>
      <c r="C150" s="84"/>
      <c r="D150" s="85"/>
      <c r="E150" s="86"/>
      <c r="F150" s="87"/>
      <c r="G150" s="88"/>
      <c r="H150" s="88"/>
    </row>
    <row r="151" spans="2:8" ht="21" x14ac:dyDescent="0.35">
      <c r="B151" s="66"/>
      <c r="C151" s="36" t="s">
        <v>261</v>
      </c>
      <c r="D151" s="66"/>
      <c r="E151" s="67"/>
      <c r="F151" s="68"/>
      <c r="G151" s="69"/>
    </row>
    <row r="152" spans="2:8" x14ac:dyDescent="0.25">
      <c r="B152" s="371"/>
      <c r="C152" s="371"/>
      <c r="D152" s="371"/>
      <c r="E152" s="371"/>
      <c r="F152" s="70"/>
      <c r="G152" s="69"/>
    </row>
    <row r="153" spans="2:8" ht="18.75" x14ac:dyDescent="0.25">
      <c r="B153" s="389" t="s">
        <v>5</v>
      </c>
      <c r="C153" s="372" t="s">
        <v>175</v>
      </c>
      <c r="D153" s="372" t="s">
        <v>176</v>
      </c>
      <c r="E153" s="375" t="s">
        <v>2</v>
      </c>
      <c r="F153" s="376"/>
      <c r="G153" s="366" t="s">
        <v>177</v>
      </c>
      <c r="H153" s="367"/>
    </row>
    <row r="154" spans="2:8" ht="56.25" x14ac:dyDescent="0.25">
      <c r="B154" s="392"/>
      <c r="C154" s="385"/>
      <c r="D154" s="386"/>
      <c r="E154" s="387"/>
      <c r="F154" s="388"/>
      <c r="G154" s="71" t="s">
        <v>178</v>
      </c>
      <c r="H154" s="72" t="s">
        <v>179</v>
      </c>
    </row>
    <row r="155" spans="2:8" ht="18.75" x14ac:dyDescent="0.3">
      <c r="B155" s="46" t="s">
        <v>25</v>
      </c>
      <c r="C155" s="368" t="s">
        <v>180</v>
      </c>
      <c r="D155" s="369"/>
      <c r="E155" s="369"/>
      <c r="F155" s="369"/>
      <c r="G155" s="369"/>
      <c r="H155" s="370"/>
    </row>
    <row r="156" spans="2:8" ht="25.5" x14ac:dyDescent="0.25">
      <c r="B156" s="73"/>
      <c r="C156" s="80" t="s">
        <v>234</v>
      </c>
      <c r="D156" s="89" t="s">
        <v>182</v>
      </c>
      <c r="E156" s="76">
        <v>4</v>
      </c>
      <c r="F156" s="77" t="s">
        <v>52</v>
      </c>
      <c r="G156" s="78">
        <v>550000</v>
      </c>
      <c r="H156" s="78">
        <v>2200000</v>
      </c>
    </row>
    <row r="157" spans="2:8" x14ac:dyDescent="0.25">
      <c r="B157" s="73"/>
      <c r="C157" s="79" t="s">
        <v>262</v>
      </c>
      <c r="D157" s="89" t="s">
        <v>182</v>
      </c>
      <c r="E157" s="76">
        <v>1</v>
      </c>
      <c r="F157" s="77" t="s">
        <v>168</v>
      </c>
      <c r="G157" s="78">
        <v>1750000</v>
      </c>
      <c r="H157" s="78">
        <v>1750000</v>
      </c>
    </row>
    <row r="158" spans="2:8" ht="25.5" x14ac:dyDescent="0.25">
      <c r="B158" s="73"/>
      <c r="C158" s="80" t="s">
        <v>195</v>
      </c>
      <c r="D158" s="89" t="s">
        <v>182</v>
      </c>
      <c r="E158" s="76">
        <v>1</v>
      </c>
      <c r="F158" s="77" t="s">
        <v>168</v>
      </c>
      <c r="G158" s="78">
        <v>4329000</v>
      </c>
      <c r="H158" s="78">
        <v>4329000</v>
      </c>
    </row>
    <row r="159" spans="2:8" x14ac:dyDescent="0.25">
      <c r="B159" s="73"/>
      <c r="C159" s="79" t="s">
        <v>263</v>
      </c>
      <c r="D159" s="89" t="s">
        <v>187</v>
      </c>
      <c r="E159" s="76">
        <v>2</v>
      </c>
      <c r="F159" s="77" t="s">
        <v>52</v>
      </c>
      <c r="G159" s="78">
        <v>300000</v>
      </c>
      <c r="H159" s="78">
        <v>600000</v>
      </c>
    </row>
    <row r="160" spans="2:8" x14ac:dyDescent="0.25">
      <c r="B160" s="73"/>
      <c r="C160" s="79" t="s">
        <v>264</v>
      </c>
      <c r="D160" s="89" t="s">
        <v>187</v>
      </c>
      <c r="E160" s="76">
        <v>2</v>
      </c>
      <c r="F160" s="77" t="s">
        <v>52</v>
      </c>
      <c r="G160" s="78">
        <v>90000</v>
      </c>
      <c r="H160" s="78">
        <v>180000</v>
      </c>
    </row>
    <row r="161" spans="2:8" x14ac:dyDescent="0.25">
      <c r="B161" s="73"/>
      <c r="C161" s="79" t="s">
        <v>265</v>
      </c>
      <c r="D161" s="89" t="s">
        <v>196</v>
      </c>
      <c r="E161" s="76">
        <v>8</v>
      </c>
      <c r="F161" s="77" t="s">
        <v>52</v>
      </c>
      <c r="G161" s="78">
        <v>22000</v>
      </c>
      <c r="H161" s="78">
        <v>176000</v>
      </c>
    </row>
    <row r="162" spans="2:8" x14ac:dyDescent="0.25">
      <c r="B162" s="73"/>
      <c r="C162" s="79" t="s">
        <v>266</v>
      </c>
      <c r="D162" s="89" t="s">
        <v>196</v>
      </c>
      <c r="E162" s="76">
        <v>8</v>
      </c>
      <c r="F162" s="77" t="s">
        <v>52</v>
      </c>
      <c r="G162" s="78">
        <v>10000</v>
      </c>
      <c r="H162" s="78">
        <v>80000</v>
      </c>
    </row>
    <row r="163" spans="2:8" x14ac:dyDescent="0.25">
      <c r="B163" s="73"/>
      <c r="C163" s="79" t="s">
        <v>208</v>
      </c>
      <c r="D163" s="89" t="s">
        <v>196</v>
      </c>
      <c r="E163" s="76">
        <v>4</v>
      </c>
      <c r="F163" s="77" t="s">
        <v>52</v>
      </c>
      <c r="G163" s="78">
        <v>3056000</v>
      </c>
      <c r="H163" s="78">
        <v>12224000</v>
      </c>
    </row>
    <row r="164" spans="2:8" x14ac:dyDescent="0.25">
      <c r="B164" s="73"/>
      <c r="C164" s="79" t="s">
        <v>267</v>
      </c>
      <c r="D164" s="89" t="s">
        <v>196</v>
      </c>
      <c r="E164" s="76">
        <v>6</v>
      </c>
      <c r="F164" s="77" t="s">
        <v>206</v>
      </c>
      <c r="G164" s="78">
        <v>25000</v>
      </c>
      <c r="H164" s="78">
        <v>150000</v>
      </c>
    </row>
    <row r="165" spans="2:8" x14ac:dyDescent="0.25">
      <c r="B165" s="73"/>
      <c r="C165" s="80" t="s">
        <v>256</v>
      </c>
      <c r="D165" s="89" t="s">
        <v>196</v>
      </c>
      <c r="E165" s="76">
        <v>8</v>
      </c>
      <c r="F165" s="77" t="s">
        <v>52</v>
      </c>
      <c r="G165" s="78">
        <v>2660000</v>
      </c>
      <c r="H165" s="78">
        <v>21280000</v>
      </c>
    </row>
    <row r="166" spans="2:8" ht="25.5" x14ac:dyDescent="0.25">
      <c r="B166" s="73"/>
      <c r="C166" s="80" t="s">
        <v>195</v>
      </c>
      <c r="D166" s="89" t="s">
        <v>196</v>
      </c>
      <c r="E166" s="76">
        <v>1</v>
      </c>
      <c r="F166" s="77" t="s">
        <v>168</v>
      </c>
      <c r="G166" s="78">
        <v>4329000</v>
      </c>
      <c r="H166" s="78">
        <v>4329000</v>
      </c>
    </row>
    <row r="167" spans="2:8" x14ac:dyDescent="0.25">
      <c r="B167" s="73"/>
      <c r="C167" s="79" t="s">
        <v>186</v>
      </c>
      <c r="D167" s="89" t="s">
        <v>196</v>
      </c>
      <c r="E167" s="76">
        <v>1</v>
      </c>
      <c r="F167" s="77" t="s">
        <v>168</v>
      </c>
      <c r="G167" s="78">
        <v>375000</v>
      </c>
      <c r="H167" s="78">
        <v>375000</v>
      </c>
    </row>
    <row r="168" spans="2:8" x14ac:dyDescent="0.25">
      <c r="B168" s="73"/>
      <c r="C168" s="79" t="s">
        <v>268</v>
      </c>
      <c r="D168" s="89" t="s">
        <v>200</v>
      </c>
      <c r="E168" s="76">
        <v>2</v>
      </c>
      <c r="F168" s="77" t="s">
        <v>52</v>
      </c>
      <c r="G168" s="78">
        <v>3596000</v>
      </c>
      <c r="H168" s="78">
        <v>7192000</v>
      </c>
    </row>
    <row r="169" spans="2:8" x14ac:dyDescent="0.25">
      <c r="B169" s="73"/>
      <c r="C169" s="80" t="s">
        <v>256</v>
      </c>
      <c r="D169" s="89" t="s">
        <v>200</v>
      </c>
      <c r="E169" s="76">
        <v>5</v>
      </c>
      <c r="F169" s="77" t="s">
        <v>52</v>
      </c>
      <c r="G169" s="78">
        <v>2660000</v>
      </c>
      <c r="H169" s="78">
        <v>13300000</v>
      </c>
    </row>
    <row r="170" spans="2:8" x14ac:dyDescent="0.25">
      <c r="B170" s="73"/>
      <c r="C170" s="79" t="s">
        <v>262</v>
      </c>
      <c r="D170" s="89" t="s">
        <v>211</v>
      </c>
      <c r="E170" s="76">
        <v>1</v>
      </c>
      <c r="F170" s="77" t="s">
        <v>168</v>
      </c>
      <c r="G170" s="78">
        <v>1750000</v>
      </c>
      <c r="H170" s="78">
        <v>1750000</v>
      </c>
    </row>
    <row r="171" spans="2:8" x14ac:dyDescent="0.25">
      <c r="B171" s="379" t="s">
        <v>120</v>
      </c>
      <c r="C171" s="380"/>
      <c r="D171" s="380"/>
      <c r="E171" s="380"/>
      <c r="F171" s="380"/>
      <c r="G171" s="381"/>
      <c r="H171" s="81">
        <f>SUM(H156:H170)</f>
        <v>69915000</v>
      </c>
    </row>
    <row r="172" spans="2:8" x14ac:dyDescent="0.25">
      <c r="B172" s="379" t="s">
        <v>236</v>
      </c>
      <c r="C172" s="380"/>
      <c r="D172" s="380"/>
      <c r="E172" s="380"/>
      <c r="F172" s="380"/>
      <c r="G172" s="381"/>
      <c r="H172" s="82" t="e">
        <f>H171+#REF!</f>
        <v>#REF!</v>
      </c>
    </row>
    <row r="173" spans="2:8" x14ac:dyDescent="0.25">
      <c r="B173" s="382" t="s">
        <v>237</v>
      </c>
      <c r="C173" s="383"/>
      <c r="D173" s="383"/>
      <c r="E173" s="383"/>
      <c r="F173" s="383"/>
      <c r="G173" s="384"/>
      <c r="H173" s="82" t="e">
        <f>H172*10%</f>
        <v>#REF!</v>
      </c>
    </row>
    <row r="174" spans="2:8" x14ac:dyDescent="0.25">
      <c r="B174" s="382" t="s">
        <v>50</v>
      </c>
      <c r="C174" s="383"/>
      <c r="D174" s="383"/>
      <c r="E174" s="383"/>
      <c r="F174" s="383"/>
      <c r="G174" s="384"/>
      <c r="H174" s="82" t="e">
        <f>H173+H172</f>
        <v>#REF!</v>
      </c>
    </row>
    <row r="175" spans="2:8" ht="18.75" x14ac:dyDescent="0.25">
      <c r="B175" s="389" t="s">
        <v>5</v>
      </c>
      <c r="C175" s="372" t="s">
        <v>175</v>
      </c>
      <c r="D175" s="372" t="s">
        <v>176</v>
      </c>
      <c r="E175" s="375" t="s">
        <v>2</v>
      </c>
      <c r="F175" s="376"/>
      <c r="G175" s="366" t="s">
        <v>177</v>
      </c>
      <c r="H175" s="367"/>
    </row>
    <row r="176" spans="2:8" ht="56.25" x14ac:dyDescent="0.25">
      <c r="B176" s="392"/>
      <c r="C176" s="385"/>
      <c r="D176" s="386"/>
      <c r="E176" s="387"/>
      <c r="F176" s="388"/>
      <c r="G176" s="71" t="s">
        <v>178</v>
      </c>
      <c r="H176" s="72" t="s">
        <v>179</v>
      </c>
    </row>
    <row r="177" spans="2:8" ht="18.75" x14ac:dyDescent="0.3">
      <c r="B177" s="46" t="s">
        <v>25</v>
      </c>
      <c r="C177" s="368" t="s">
        <v>180</v>
      </c>
      <c r="D177" s="369"/>
      <c r="E177" s="369"/>
      <c r="F177" s="369"/>
      <c r="G177" s="369"/>
      <c r="H177" s="370"/>
    </row>
    <row r="178" spans="2:8" x14ac:dyDescent="0.25">
      <c r="B178" s="73"/>
      <c r="C178" s="80" t="s">
        <v>265</v>
      </c>
      <c r="D178" s="89" t="s">
        <v>182</v>
      </c>
      <c r="E178" s="76">
        <v>15</v>
      </c>
      <c r="F178" s="77" t="s">
        <v>52</v>
      </c>
      <c r="G178" s="78">
        <v>22000</v>
      </c>
      <c r="H178" s="78">
        <v>330000</v>
      </c>
    </row>
    <row r="179" spans="2:8" x14ac:dyDescent="0.25">
      <c r="B179" s="73"/>
      <c r="C179" s="79" t="s">
        <v>266</v>
      </c>
      <c r="D179" s="89" t="s">
        <v>182</v>
      </c>
      <c r="E179" s="76">
        <v>10</v>
      </c>
      <c r="F179" s="77" t="s">
        <v>52</v>
      </c>
      <c r="G179" s="78">
        <v>10000</v>
      </c>
      <c r="H179" s="78">
        <v>100000</v>
      </c>
    </row>
    <row r="180" spans="2:8" ht="25.5" x14ac:dyDescent="0.25">
      <c r="B180" s="73"/>
      <c r="C180" s="80" t="s">
        <v>269</v>
      </c>
      <c r="D180" s="89" t="s">
        <v>182</v>
      </c>
      <c r="E180" s="76">
        <v>1</v>
      </c>
      <c r="F180" s="77" t="s">
        <v>168</v>
      </c>
      <c r="G180" s="78">
        <v>1375000</v>
      </c>
      <c r="H180" s="78">
        <v>1375000</v>
      </c>
    </row>
    <row r="181" spans="2:8" ht="25.5" x14ac:dyDescent="0.25">
      <c r="B181" s="73"/>
      <c r="C181" s="80" t="s">
        <v>270</v>
      </c>
      <c r="D181" s="89" t="s">
        <v>182</v>
      </c>
      <c r="E181" s="76">
        <v>1</v>
      </c>
      <c r="F181" s="77" t="s">
        <v>168</v>
      </c>
      <c r="G181" s="78">
        <v>14190000</v>
      </c>
      <c r="H181" s="78">
        <v>14190000</v>
      </c>
    </row>
    <row r="182" spans="2:8" ht="38.25" x14ac:dyDescent="0.25">
      <c r="B182" s="73"/>
      <c r="C182" s="80" t="s">
        <v>271</v>
      </c>
      <c r="D182" s="89" t="s">
        <v>182</v>
      </c>
      <c r="E182" s="76">
        <v>1</v>
      </c>
      <c r="F182" s="77" t="s">
        <v>17</v>
      </c>
      <c r="G182" s="78">
        <v>1375000</v>
      </c>
      <c r="H182" s="78">
        <v>1375000</v>
      </c>
    </row>
    <row r="183" spans="2:8" x14ac:dyDescent="0.25">
      <c r="B183" s="73"/>
      <c r="C183" s="79" t="s">
        <v>272</v>
      </c>
      <c r="D183" s="89" t="s">
        <v>182</v>
      </c>
      <c r="E183" s="76">
        <v>1</v>
      </c>
      <c r="F183" s="77" t="s">
        <v>51</v>
      </c>
      <c r="G183" s="78">
        <v>334008</v>
      </c>
      <c r="H183" s="78">
        <v>334008</v>
      </c>
    </row>
    <row r="184" spans="2:8" x14ac:dyDescent="0.25">
      <c r="B184" s="73"/>
      <c r="C184" s="79" t="s">
        <v>273</v>
      </c>
      <c r="D184" s="89" t="s">
        <v>182</v>
      </c>
      <c r="E184" s="76">
        <v>4</v>
      </c>
      <c r="F184" s="77" t="s">
        <v>52</v>
      </c>
      <c r="G184" s="78">
        <v>775000</v>
      </c>
      <c r="H184" s="78">
        <v>3100000</v>
      </c>
    </row>
    <row r="185" spans="2:8" x14ac:dyDescent="0.25">
      <c r="B185" s="73"/>
      <c r="C185" s="79" t="s">
        <v>274</v>
      </c>
      <c r="D185" s="89" t="s">
        <v>182</v>
      </c>
      <c r="E185" s="76">
        <v>4</v>
      </c>
      <c r="F185" s="77" t="s">
        <v>52</v>
      </c>
      <c r="G185" s="78">
        <v>450000</v>
      </c>
      <c r="H185" s="78">
        <v>1800000</v>
      </c>
    </row>
    <row r="186" spans="2:8" x14ac:dyDescent="0.25">
      <c r="B186" s="73"/>
      <c r="C186" s="79" t="s">
        <v>275</v>
      </c>
      <c r="D186" s="89" t="s">
        <v>182</v>
      </c>
      <c r="E186" s="76">
        <v>2</v>
      </c>
      <c r="F186" s="77" t="s">
        <v>52</v>
      </c>
      <c r="G186" s="78">
        <v>200000</v>
      </c>
      <c r="H186" s="78">
        <v>400000</v>
      </c>
    </row>
    <row r="187" spans="2:8" x14ac:dyDescent="0.25">
      <c r="B187" s="73"/>
      <c r="C187" s="80" t="s">
        <v>276</v>
      </c>
      <c r="D187" s="89" t="s">
        <v>182</v>
      </c>
      <c r="E187" s="76">
        <v>6</v>
      </c>
      <c r="F187" s="77" t="s">
        <v>52</v>
      </c>
      <c r="G187" s="78">
        <v>175000</v>
      </c>
      <c r="H187" s="78">
        <v>1050000</v>
      </c>
    </row>
    <row r="188" spans="2:8" ht="25.5" x14ac:dyDescent="0.25">
      <c r="B188" s="73"/>
      <c r="C188" s="80" t="s">
        <v>277</v>
      </c>
      <c r="D188" s="89" t="s">
        <v>182</v>
      </c>
      <c r="E188" s="76">
        <v>1</v>
      </c>
      <c r="F188" s="77" t="s">
        <v>168</v>
      </c>
      <c r="G188" s="78">
        <v>500000</v>
      </c>
      <c r="H188" s="78">
        <v>500000</v>
      </c>
    </row>
    <row r="189" spans="2:8" x14ac:dyDescent="0.25">
      <c r="B189" s="73"/>
      <c r="C189" s="80" t="s">
        <v>278</v>
      </c>
      <c r="D189" s="89" t="s">
        <v>182</v>
      </c>
      <c r="E189" s="76">
        <v>3</v>
      </c>
      <c r="F189" s="77" t="s">
        <v>52</v>
      </c>
      <c r="G189" s="78">
        <v>200000</v>
      </c>
      <c r="H189" s="78">
        <v>600000</v>
      </c>
    </row>
    <row r="190" spans="2:8" ht="25.5" x14ac:dyDescent="0.25">
      <c r="B190" s="73"/>
      <c r="C190" s="80" t="s">
        <v>279</v>
      </c>
      <c r="D190" s="89" t="s">
        <v>182</v>
      </c>
      <c r="E190" s="76">
        <v>1</v>
      </c>
      <c r="F190" s="77" t="s">
        <v>17</v>
      </c>
      <c r="G190" s="78">
        <v>4743750</v>
      </c>
      <c r="H190" s="78">
        <v>4743750</v>
      </c>
    </row>
    <row r="191" spans="2:8" x14ac:dyDescent="0.25">
      <c r="B191" s="73"/>
      <c r="C191" s="80" t="s">
        <v>280</v>
      </c>
      <c r="D191" s="89" t="s">
        <v>182</v>
      </c>
      <c r="E191" s="76">
        <v>4</v>
      </c>
      <c r="F191" s="77" t="s">
        <v>52</v>
      </c>
      <c r="G191" s="78">
        <v>85000</v>
      </c>
      <c r="H191" s="78">
        <v>340000</v>
      </c>
    </row>
    <row r="192" spans="2:8" x14ac:dyDescent="0.25">
      <c r="B192" s="73"/>
      <c r="C192" s="79" t="s">
        <v>281</v>
      </c>
      <c r="D192" s="89" t="s">
        <v>182</v>
      </c>
      <c r="E192" s="76"/>
      <c r="F192" s="77"/>
      <c r="G192" s="78"/>
      <c r="H192" s="78"/>
    </row>
    <row r="193" spans="2:8" x14ac:dyDescent="0.25">
      <c r="B193" s="73"/>
      <c r="C193" s="79" t="s">
        <v>282</v>
      </c>
      <c r="D193" s="89" t="s">
        <v>182</v>
      </c>
      <c r="E193" s="76">
        <v>8</v>
      </c>
      <c r="F193" s="77" t="s">
        <v>52</v>
      </c>
      <c r="G193" s="78">
        <v>15000</v>
      </c>
      <c r="H193" s="78">
        <v>120000</v>
      </c>
    </row>
    <row r="194" spans="2:8" x14ac:dyDescent="0.25">
      <c r="B194" s="73"/>
      <c r="C194" s="79" t="s">
        <v>283</v>
      </c>
      <c r="D194" s="89" t="s">
        <v>182</v>
      </c>
      <c r="E194" s="76">
        <v>1</v>
      </c>
      <c r="F194" s="77" t="s">
        <v>17</v>
      </c>
      <c r="G194" s="78">
        <v>1500000</v>
      </c>
      <c r="H194" s="78">
        <v>1500000</v>
      </c>
    </row>
    <row r="195" spans="2:8" ht="25.5" x14ac:dyDescent="0.25">
      <c r="B195" s="73"/>
      <c r="C195" s="80" t="s">
        <v>269</v>
      </c>
      <c r="D195" s="89" t="s">
        <v>187</v>
      </c>
      <c r="E195" s="76">
        <v>1</v>
      </c>
      <c r="F195" s="77" t="s">
        <v>168</v>
      </c>
      <c r="G195" s="78">
        <v>1375000</v>
      </c>
      <c r="H195" s="78">
        <v>1375000</v>
      </c>
    </row>
    <row r="196" spans="2:8" ht="25.5" x14ac:dyDescent="0.25">
      <c r="B196" s="73"/>
      <c r="C196" s="80" t="s">
        <v>284</v>
      </c>
      <c r="D196" s="89" t="s">
        <v>187</v>
      </c>
      <c r="E196" s="76">
        <v>1</v>
      </c>
      <c r="F196" s="77" t="s">
        <v>168</v>
      </c>
      <c r="G196" s="78">
        <v>750000</v>
      </c>
      <c r="H196" s="78">
        <v>750000</v>
      </c>
    </row>
    <row r="197" spans="2:8" x14ac:dyDescent="0.25">
      <c r="B197" s="73"/>
      <c r="C197" s="79" t="s">
        <v>285</v>
      </c>
      <c r="D197" s="89" t="s">
        <v>187</v>
      </c>
      <c r="E197" s="76">
        <v>1</v>
      </c>
      <c r="F197" s="77" t="s">
        <v>51</v>
      </c>
      <c r="G197" s="78">
        <v>334008</v>
      </c>
      <c r="H197" s="78">
        <v>334008</v>
      </c>
    </row>
    <row r="198" spans="2:8" x14ac:dyDescent="0.25">
      <c r="B198" s="73"/>
      <c r="C198" s="79" t="s">
        <v>286</v>
      </c>
      <c r="D198" s="89" t="s">
        <v>187</v>
      </c>
      <c r="E198" s="76">
        <v>1</v>
      </c>
      <c r="F198" s="77" t="s">
        <v>168</v>
      </c>
      <c r="G198" s="78">
        <v>4750000</v>
      </c>
      <c r="H198" s="78">
        <v>4750000</v>
      </c>
    </row>
    <row r="199" spans="2:8" x14ac:dyDescent="0.25">
      <c r="B199" s="73"/>
      <c r="C199" s="79" t="s">
        <v>273</v>
      </c>
      <c r="D199" s="89" t="s">
        <v>187</v>
      </c>
      <c r="E199" s="76">
        <v>4</v>
      </c>
      <c r="F199" s="77" t="s">
        <v>52</v>
      </c>
      <c r="G199" s="78">
        <v>775000</v>
      </c>
      <c r="H199" s="78">
        <v>3100000</v>
      </c>
    </row>
    <row r="200" spans="2:8" x14ac:dyDescent="0.25">
      <c r="B200" s="73"/>
      <c r="C200" s="79" t="s">
        <v>274</v>
      </c>
      <c r="D200" s="89" t="s">
        <v>187</v>
      </c>
      <c r="E200" s="76">
        <v>4</v>
      </c>
      <c r="F200" s="77" t="s">
        <v>52</v>
      </c>
      <c r="G200" s="78">
        <v>450000</v>
      </c>
      <c r="H200" s="78">
        <v>1800000</v>
      </c>
    </row>
    <row r="201" spans="2:8" x14ac:dyDescent="0.25">
      <c r="B201" s="73"/>
      <c r="C201" s="79" t="s">
        <v>275</v>
      </c>
      <c r="D201" s="89" t="s">
        <v>187</v>
      </c>
      <c r="E201" s="76">
        <v>2</v>
      </c>
      <c r="F201" s="77" t="s">
        <v>52</v>
      </c>
      <c r="G201" s="78">
        <v>200000</v>
      </c>
      <c r="H201" s="78">
        <v>400000</v>
      </c>
    </row>
    <row r="202" spans="2:8" x14ac:dyDescent="0.25">
      <c r="B202" s="73"/>
      <c r="C202" s="80" t="s">
        <v>276</v>
      </c>
      <c r="D202" s="89" t="s">
        <v>187</v>
      </c>
      <c r="E202" s="76">
        <v>6</v>
      </c>
      <c r="F202" s="77" t="s">
        <v>52</v>
      </c>
      <c r="G202" s="78">
        <v>170000</v>
      </c>
      <c r="H202" s="78">
        <v>1020000</v>
      </c>
    </row>
    <row r="203" spans="2:8" ht="25.5" x14ac:dyDescent="0.25">
      <c r="B203" s="73"/>
      <c r="C203" s="80" t="s">
        <v>277</v>
      </c>
      <c r="D203" s="89" t="s">
        <v>187</v>
      </c>
      <c r="E203" s="76">
        <v>1</v>
      </c>
      <c r="F203" s="77" t="s">
        <v>168</v>
      </c>
      <c r="G203" s="78">
        <v>500000</v>
      </c>
      <c r="H203" s="78">
        <v>500000</v>
      </c>
    </row>
    <row r="204" spans="2:8" x14ac:dyDescent="0.25">
      <c r="B204" s="73"/>
      <c r="C204" s="80" t="s">
        <v>278</v>
      </c>
      <c r="D204" s="89" t="s">
        <v>187</v>
      </c>
      <c r="E204" s="76">
        <v>3</v>
      </c>
      <c r="F204" s="77" t="s">
        <v>52</v>
      </c>
      <c r="G204" s="78">
        <v>200000</v>
      </c>
      <c r="H204" s="78">
        <v>600000</v>
      </c>
    </row>
    <row r="205" spans="2:8" x14ac:dyDescent="0.25">
      <c r="B205" s="73"/>
      <c r="C205" s="79" t="s">
        <v>268</v>
      </c>
      <c r="D205" s="89" t="s">
        <v>196</v>
      </c>
      <c r="E205" s="76">
        <v>2</v>
      </c>
      <c r="F205" s="77" t="s">
        <v>52</v>
      </c>
      <c r="G205" s="78">
        <v>3596000</v>
      </c>
      <c r="H205" s="78">
        <v>7192000</v>
      </c>
    </row>
    <row r="206" spans="2:8" x14ac:dyDescent="0.25">
      <c r="B206" s="73"/>
      <c r="C206" s="79" t="s">
        <v>226</v>
      </c>
      <c r="D206" s="89" t="s">
        <v>196</v>
      </c>
      <c r="E206" s="76">
        <v>2</v>
      </c>
      <c r="F206" s="77" t="s">
        <v>52</v>
      </c>
      <c r="G206" s="78">
        <v>189000</v>
      </c>
      <c r="H206" s="78">
        <v>378000</v>
      </c>
    </row>
    <row r="207" spans="2:8" x14ac:dyDescent="0.25">
      <c r="B207" s="73"/>
      <c r="C207" s="79" t="s">
        <v>287</v>
      </c>
      <c r="D207" s="89" t="s">
        <v>196</v>
      </c>
      <c r="E207" s="76">
        <v>6</v>
      </c>
      <c r="F207" s="77" t="s">
        <v>52</v>
      </c>
      <c r="G207" s="78">
        <v>25000</v>
      </c>
      <c r="H207" s="78">
        <v>150000</v>
      </c>
    </row>
    <row r="208" spans="2:8" ht="25.5" x14ac:dyDescent="0.25">
      <c r="B208" s="73"/>
      <c r="C208" s="80" t="s">
        <v>229</v>
      </c>
      <c r="D208" s="89" t="s">
        <v>196</v>
      </c>
      <c r="E208" s="76">
        <v>1</v>
      </c>
      <c r="F208" s="77" t="s">
        <v>51</v>
      </c>
      <c r="G208" s="78">
        <v>500000</v>
      </c>
      <c r="H208" s="78">
        <v>500000</v>
      </c>
    </row>
    <row r="209" spans="2:8" x14ac:dyDescent="0.25">
      <c r="B209" s="73"/>
      <c r="C209" s="79" t="s">
        <v>288</v>
      </c>
      <c r="D209" s="89" t="s">
        <v>196</v>
      </c>
      <c r="E209" s="76">
        <v>1</v>
      </c>
      <c r="F209" s="77" t="s">
        <v>51</v>
      </c>
      <c r="G209" s="78">
        <v>2850000</v>
      </c>
      <c r="H209" s="78">
        <v>2850000</v>
      </c>
    </row>
    <row r="210" spans="2:8" ht="25.5" x14ac:dyDescent="0.25">
      <c r="B210" s="73"/>
      <c r="C210" s="80" t="s">
        <v>289</v>
      </c>
      <c r="D210" s="89" t="s">
        <v>200</v>
      </c>
      <c r="E210" s="76">
        <v>3</v>
      </c>
      <c r="F210" s="77" t="s">
        <v>52</v>
      </c>
      <c r="G210" s="78">
        <v>540000</v>
      </c>
      <c r="H210" s="78">
        <v>1620000</v>
      </c>
    </row>
    <row r="211" spans="2:8" x14ac:dyDescent="0.25">
      <c r="B211" s="73"/>
      <c r="C211" s="79" t="s">
        <v>290</v>
      </c>
      <c r="D211" s="89" t="s">
        <v>200</v>
      </c>
      <c r="E211" s="76">
        <v>1</v>
      </c>
      <c r="F211" s="77" t="s">
        <v>52</v>
      </c>
      <c r="G211" s="78">
        <v>375000</v>
      </c>
      <c r="H211" s="78">
        <v>375000</v>
      </c>
    </row>
    <row r="212" spans="2:8" ht="25.5" x14ac:dyDescent="0.25">
      <c r="B212" s="73"/>
      <c r="C212" s="80" t="s">
        <v>181</v>
      </c>
      <c r="D212" s="89" t="s">
        <v>211</v>
      </c>
      <c r="E212" s="76">
        <v>2</v>
      </c>
      <c r="F212" s="77" t="s">
        <v>52</v>
      </c>
      <c r="G212" s="78">
        <v>722000</v>
      </c>
      <c r="H212" s="78">
        <v>1444000</v>
      </c>
    </row>
    <row r="213" spans="2:8" ht="25.5" x14ac:dyDescent="0.25">
      <c r="B213" s="73"/>
      <c r="C213" s="80" t="s">
        <v>185</v>
      </c>
      <c r="D213" s="89" t="s">
        <v>211</v>
      </c>
      <c r="E213" s="76">
        <v>1</v>
      </c>
      <c r="F213" s="77" t="s">
        <v>168</v>
      </c>
      <c r="G213" s="78">
        <v>715000</v>
      </c>
      <c r="H213" s="78">
        <v>715000</v>
      </c>
    </row>
    <row r="214" spans="2:8" x14ac:dyDescent="0.25">
      <c r="B214" s="73"/>
      <c r="C214" s="79" t="s">
        <v>291</v>
      </c>
      <c r="D214" s="89" t="s">
        <v>211</v>
      </c>
      <c r="E214" s="76">
        <v>1</v>
      </c>
      <c r="F214" s="77" t="s">
        <v>17</v>
      </c>
      <c r="G214" s="78">
        <v>1000000</v>
      </c>
      <c r="H214" s="78">
        <v>1000000</v>
      </c>
    </row>
    <row r="215" spans="2:8" ht="25.5" x14ac:dyDescent="0.25">
      <c r="B215" s="73"/>
      <c r="C215" s="80" t="s">
        <v>195</v>
      </c>
      <c r="D215" s="89" t="s">
        <v>211</v>
      </c>
      <c r="E215" s="76">
        <v>1</v>
      </c>
      <c r="F215" s="77" t="s">
        <v>168</v>
      </c>
      <c r="G215" s="78">
        <v>4329000</v>
      </c>
      <c r="H215" s="78">
        <v>4329000</v>
      </c>
    </row>
    <row r="216" spans="2:8" x14ac:dyDescent="0.25">
      <c r="B216" s="379" t="s">
        <v>120</v>
      </c>
      <c r="C216" s="380"/>
      <c r="D216" s="380"/>
      <c r="E216" s="380"/>
      <c r="F216" s="380"/>
      <c r="G216" s="381"/>
      <c r="H216" s="81">
        <f>SUM(H178:H215)</f>
        <v>67039766</v>
      </c>
    </row>
    <row r="217" spans="2:8" x14ac:dyDescent="0.25">
      <c r="B217" s="379" t="s">
        <v>236</v>
      </c>
      <c r="C217" s="380"/>
      <c r="D217" s="380"/>
      <c r="E217" s="380"/>
      <c r="F217" s="380"/>
      <c r="G217" s="381"/>
      <c r="H217" s="82" t="e">
        <f>H216+#REF!</f>
        <v>#REF!</v>
      </c>
    </row>
    <row r="218" spans="2:8" x14ac:dyDescent="0.25">
      <c r="B218" s="382" t="s">
        <v>237</v>
      </c>
      <c r="C218" s="383"/>
      <c r="D218" s="383"/>
      <c r="E218" s="383"/>
      <c r="F218" s="383"/>
      <c r="G218" s="384"/>
      <c r="H218" s="82" t="e">
        <f>H217*10%</f>
        <v>#REF!</v>
      </c>
    </row>
    <row r="219" spans="2:8" x14ac:dyDescent="0.25">
      <c r="B219" s="382" t="s">
        <v>50</v>
      </c>
      <c r="C219" s="383"/>
      <c r="D219" s="383"/>
      <c r="E219" s="383"/>
      <c r="F219" s="383"/>
      <c r="G219" s="384"/>
      <c r="H219" s="82" t="e">
        <f>H218+H217</f>
        <v>#REF!</v>
      </c>
    </row>
    <row r="220" spans="2:8" ht="18.75" x14ac:dyDescent="0.25">
      <c r="B220" s="389" t="s">
        <v>5</v>
      </c>
      <c r="C220" s="372" t="s">
        <v>175</v>
      </c>
      <c r="D220" s="372" t="s">
        <v>176</v>
      </c>
      <c r="E220" s="375" t="s">
        <v>2</v>
      </c>
      <c r="F220" s="376"/>
      <c r="G220" s="366" t="s">
        <v>177</v>
      </c>
      <c r="H220" s="367"/>
    </row>
    <row r="221" spans="2:8" ht="56.25" x14ac:dyDescent="0.25">
      <c r="B221" s="392"/>
      <c r="C221" s="385"/>
      <c r="D221" s="386"/>
      <c r="E221" s="387"/>
      <c r="F221" s="388"/>
      <c r="G221" s="71" t="s">
        <v>178</v>
      </c>
      <c r="H221" s="72" t="s">
        <v>179</v>
      </c>
    </row>
    <row r="222" spans="2:8" ht="18.75" x14ac:dyDescent="0.3">
      <c r="B222" s="46" t="s">
        <v>25</v>
      </c>
      <c r="C222" s="368" t="s">
        <v>180</v>
      </c>
      <c r="D222" s="369"/>
      <c r="E222" s="369"/>
      <c r="F222" s="369"/>
      <c r="G222" s="369"/>
      <c r="H222" s="370"/>
    </row>
    <row r="223" spans="2:8" x14ac:dyDescent="0.25">
      <c r="B223" s="73"/>
      <c r="C223" s="91" t="s">
        <v>292</v>
      </c>
      <c r="D223" s="92" t="s">
        <v>293</v>
      </c>
      <c r="E223" s="93">
        <v>1</v>
      </c>
      <c r="F223" s="94" t="s">
        <v>168</v>
      </c>
      <c r="G223" s="78">
        <v>21850000</v>
      </c>
      <c r="H223" s="78">
        <v>21850000</v>
      </c>
    </row>
    <row r="224" spans="2:8" ht="25.5" x14ac:dyDescent="0.25">
      <c r="B224" s="73"/>
      <c r="C224" s="91" t="s">
        <v>229</v>
      </c>
      <c r="D224" s="92" t="s">
        <v>293</v>
      </c>
      <c r="E224" s="93">
        <v>1</v>
      </c>
      <c r="F224" s="94" t="s">
        <v>168</v>
      </c>
      <c r="G224" s="78">
        <v>500000</v>
      </c>
      <c r="H224" s="78">
        <v>500000</v>
      </c>
    </row>
    <row r="225" spans="2:8" x14ac:dyDescent="0.25">
      <c r="B225" s="73"/>
      <c r="C225" s="91" t="s">
        <v>288</v>
      </c>
      <c r="D225" s="92" t="s">
        <v>293</v>
      </c>
      <c r="E225" s="93">
        <v>1</v>
      </c>
      <c r="F225" s="94" t="s">
        <v>168</v>
      </c>
      <c r="G225" s="78">
        <v>2850000</v>
      </c>
      <c r="H225" s="78">
        <v>2850000</v>
      </c>
    </row>
    <row r="226" spans="2:8" ht="38.25" x14ac:dyDescent="0.25">
      <c r="B226" s="73"/>
      <c r="C226" s="91" t="s">
        <v>294</v>
      </c>
      <c r="D226" s="92" t="s">
        <v>293</v>
      </c>
      <c r="E226" s="93">
        <v>1</v>
      </c>
      <c r="F226" s="94" t="s">
        <v>168</v>
      </c>
      <c r="G226" s="78">
        <v>565000</v>
      </c>
      <c r="H226" s="78">
        <v>565000</v>
      </c>
    </row>
    <row r="227" spans="2:8" ht="30" x14ac:dyDescent="0.25">
      <c r="B227" s="73"/>
      <c r="C227" s="95" t="s">
        <v>195</v>
      </c>
      <c r="D227" s="92" t="s">
        <v>293</v>
      </c>
      <c r="E227" s="93">
        <v>1</v>
      </c>
      <c r="F227" s="94" t="s">
        <v>168</v>
      </c>
      <c r="G227" s="78">
        <v>4329000</v>
      </c>
      <c r="H227" s="78">
        <v>4329000</v>
      </c>
    </row>
    <row r="228" spans="2:8" x14ac:dyDescent="0.25">
      <c r="B228" s="73"/>
      <c r="C228" s="95" t="s">
        <v>186</v>
      </c>
      <c r="D228" s="92" t="s">
        <v>295</v>
      </c>
      <c r="E228" s="93">
        <v>1</v>
      </c>
      <c r="F228" s="94" t="s">
        <v>168</v>
      </c>
      <c r="G228" s="78">
        <v>300000</v>
      </c>
      <c r="H228" s="78">
        <v>300000</v>
      </c>
    </row>
    <row r="229" spans="2:8" ht="30" x14ac:dyDescent="0.25">
      <c r="B229" s="73"/>
      <c r="C229" s="95" t="s">
        <v>296</v>
      </c>
      <c r="D229" s="92" t="s">
        <v>295</v>
      </c>
      <c r="E229" s="93">
        <v>1</v>
      </c>
      <c r="F229" s="94" t="s">
        <v>168</v>
      </c>
      <c r="G229" s="78">
        <v>540000</v>
      </c>
      <c r="H229" s="78">
        <v>540000</v>
      </c>
    </row>
    <row r="230" spans="2:8" x14ac:dyDescent="0.25">
      <c r="B230" s="73"/>
      <c r="C230" s="91" t="s">
        <v>297</v>
      </c>
      <c r="D230" s="92" t="s">
        <v>298</v>
      </c>
      <c r="E230" s="93">
        <v>1</v>
      </c>
      <c r="F230" s="94" t="s">
        <v>168</v>
      </c>
      <c r="G230" s="78">
        <v>17780000</v>
      </c>
      <c r="H230" s="78">
        <v>17780000</v>
      </c>
    </row>
    <row r="231" spans="2:8" x14ac:dyDescent="0.25">
      <c r="B231" s="73"/>
      <c r="C231" s="95" t="s">
        <v>282</v>
      </c>
      <c r="D231" s="92" t="s">
        <v>298</v>
      </c>
      <c r="E231" s="93">
        <v>4</v>
      </c>
      <c r="F231" s="94" t="s">
        <v>52</v>
      </c>
      <c r="G231" s="78">
        <v>15000</v>
      </c>
      <c r="H231" s="78">
        <v>60000</v>
      </c>
    </row>
    <row r="232" spans="2:8" x14ac:dyDescent="0.25">
      <c r="B232" s="73"/>
      <c r="C232" s="91" t="s">
        <v>218</v>
      </c>
      <c r="D232" s="92" t="s">
        <v>298</v>
      </c>
      <c r="E232" s="93">
        <v>1</v>
      </c>
      <c r="F232" s="94" t="s">
        <v>168</v>
      </c>
      <c r="G232" s="78">
        <v>75000</v>
      </c>
      <c r="H232" s="78">
        <v>75000</v>
      </c>
    </row>
    <row r="233" spans="2:8" ht="30" x14ac:dyDescent="0.25">
      <c r="B233" s="73"/>
      <c r="C233" s="95" t="s">
        <v>188</v>
      </c>
      <c r="D233" s="92" t="s">
        <v>298</v>
      </c>
      <c r="E233" s="93">
        <v>1</v>
      </c>
      <c r="F233" s="94" t="s">
        <v>168</v>
      </c>
      <c r="G233" s="78">
        <v>500000</v>
      </c>
      <c r="H233" s="78">
        <v>500000</v>
      </c>
    </row>
    <row r="234" spans="2:8" x14ac:dyDescent="0.25">
      <c r="B234" s="73"/>
      <c r="C234" s="91" t="s">
        <v>292</v>
      </c>
      <c r="D234" s="92" t="s">
        <v>298</v>
      </c>
      <c r="E234" s="93">
        <v>1</v>
      </c>
      <c r="F234" s="94" t="s">
        <v>168</v>
      </c>
      <c r="G234" s="78">
        <v>21850000</v>
      </c>
      <c r="H234" s="78">
        <v>21850000</v>
      </c>
    </row>
    <row r="235" spans="2:8" x14ac:dyDescent="0.25">
      <c r="B235" s="73"/>
      <c r="C235" s="95" t="s">
        <v>299</v>
      </c>
      <c r="D235" s="92" t="s">
        <v>300</v>
      </c>
      <c r="E235" s="93">
        <v>1</v>
      </c>
      <c r="F235" s="94" t="s">
        <v>168</v>
      </c>
      <c r="G235" s="78">
        <v>95000</v>
      </c>
      <c r="H235" s="78">
        <v>95000</v>
      </c>
    </row>
    <row r="236" spans="2:8" x14ac:dyDescent="0.25">
      <c r="B236" s="73"/>
      <c r="C236" s="91" t="s">
        <v>301</v>
      </c>
      <c r="D236" s="92" t="s">
        <v>300</v>
      </c>
      <c r="E236" s="93">
        <v>2</v>
      </c>
      <c r="F236" s="94" t="s">
        <v>52</v>
      </c>
      <c r="G236" s="78">
        <v>45200</v>
      </c>
      <c r="H236" s="78">
        <v>90400</v>
      </c>
    </row>
    <row r="237" spans="2:8" x14ac:dyDescent="0.25">
      <c r="B237" s="73"/>
      <c r="C237" s="91" t="s">
        <v>302</v>
      </c>
      <c r="D237" s="92" t="s">
        <v>300</v>
      </c>
      <c r="E237" s="93">
        <v>1</v>
      </c>
      <c r="F237" s="94" t="s">
        <v>168</v>
      </c>
      <c r="G237" s="78">
        <v>29600</v>
      </c>
      <c r="H237" s="78">
        <v>29600</v>
      </c>
    </row>
    <row r="238" spans="2:8" x14ac:dyDescent="0.25">
      <c r="B238" s="73"/>
      <c r="C238" s="91" t="s">
        <v>303</v>
      </c>
      <c r="D238" s="92" t="s">
        <v>300</v>
      </c>
      <c r="E238" s="93">
        <v>1</v>
      </c>
      <c r="F238" s="94" t="s">
        <v>168</v>
      </c>
      <c r="G238" s="78">
        <v>334008</v>
      </c>
      <c r="H238" s="78">
        <v>334008</v>
      </c>
    </row>
    <row r="239" spans="2:8" x14ac:dyDescent="0.25">
      <c r="B239" s="73"/>
      <c r="C239" s="95" t="s">
        <v>256</v>
      </c>
      <c r="D239" s="92" t="s">
        <v>300</v>
      </c>
      <c r="E239" s="93">
        <v>1</v>
      </c>
      <c r="F239" s="94" t="s">
        <v>52</v>
      </c>
      <c r="G239" s="78">
        <v>2660000</v>
      </c>
      <c r="H239" s="78">
        <v>2660000</v>
      </c>
    </row>
    <row r="240" spans="2:8" x14ac:dyDescent="0.25">
      <c r="B240" s="73"/>
      <c r="C240" s="95" t="s">
        <v>304</v>
      </c>
      <c r="D240" s="92" t="s">
        <v>300</v>
      </c>
      <c r="E240" s="93">
        <v>3</v>
      </c>
      <c r="F240" s="94" t="s">
        <v>52</v>
      </c>
      <c r="G240" s="78">
        <v>15000</v>
      </c>
      <c r="H240" s="78">
        <v>45000</v>
      </c>
    </row>
    <row r="241" spans="2:8" x14ac:dyDescent="0.25">
      <c r="B241" s="73"/>
      <c r="C241" s="95" t="s">
        <v>305</v>
      </c>
      <c r="D241" s="92" t="s">
        <v>300</v>
      </c>
      <c r="E241" s="93">
        <v>1</v>
      </c>
      <c r="F241" s="94" t="s">
        <v>168</v>
      </c>
      <c r="G241" s="78">
        <v>250000</v>
      </c>
      <c r="H241" s="78">
        <v>250000</v>
      </c>
    </row>
    <row r="242" spans="2:8" x14ac:dyDescent="0.25">
      <c r="B242" s="73"/>
      <c r="C242" s="91" t="s">
        <v>191</v>
      </c>
      <c r="D242" s="92" t="s">
        <v>300</v>
      </c>
      <c r="E242" s="93">
        <v>1</v>
      </c>
      <c r="F242" s="94" t="s">
        <v>168</v>
      </c>
      <c r="G242" s="78">
        <v>18720000</v>
      </c>
      <c r="H242" s="78">
        <v>18720000</v>
      </c>
    </row>
    <row r="243" spans="2:8" x14ac:dyDescent="0.25">
      <c r="B243" s="73"/>
      <c r="C243" s="91" t="s">
        <v>292</v>
      </c>
      <c r="D243" s="92" t="s">
        <v>306</v>
      </c>
      <c r="E243" s="93">
        <v>1</v>
      </c>
      <c r="F243" s="94" t="s">
        <v>168</v>
      </c>
      <c r="G243" s="78">
        <v>21850000</v>
      </c>
      <c r="H243" s="78">
        <v>21850000</v>
      </c>
    </row>
    <row r="244" spans="2:8" x14ac:dyDescent="0.25">
      <c r="B244" s="73"/>
      <c r="C244" s="91" t="s">
        <v>307</v>
      </c>
      <c r="D244" s="92" t="s">
        <v>306</v>
      </c>
      <c r="E244" s="93">
        <v>2</v>
      </c>
      <c r="F244" s="94" t="s">
        <v>52</v>
      </c>
      <c r="G244" s="78">
        <v>1575000</v>
      </c>
      <c r="H244" s="78">
        <v>3150000</v>
      </c>
    </row>
    <row r="245" spans="2:8" ht="25.5" x14ac:dyDescent="0.25">
      <c r="B245" s="73"/>
      <c r="C245" s="91" t="s">
        <v>308</v>
      </c>
      <c r="D245" s="92" t="s">
        <v>306</v>
      </c>
      <c r="E245" s="93">
        <v>1</v>
      </c>
      <c r="F245" s="94" t="s">
        <v>168</v>
      </c>
      <c r="G245" s="78">
        <v>540000</v>
      </c>
      <c r="H245" s="78">
        <v>540000</v>
      </c>
    </row>
    <row r="246" spans="2:8" ht="18.75" x14ac:dyDescent="0.25">
      <c r="B246" s="389" t="s">
        <v>5</v>
      </c>
      <c r="C246" s="372" t="s">
        <v>175</v>
      </c>
      <c r="D246" s="372" t="s">
        <v>176</v>
      </c>
      <c r="E246" s="375" t="s">
        <v>2</v>
      </c>
      <c r="F246" s="376"/>
      <c r="G246" s="366" t="s">
        <v>177</v>
      </c>
      <c r="H246" s="367"/>
    </row>
    <row r="247" spans="2:8" ht="56.25" x14ac:dyDescent="0.25">
      <c r="B247" s="392"/>
      <c r="C247" s="385"/>
      <c r="D247" s="386"/>
      <c r="E247" s="387"/>
      <c r="F247" s="388"/>
      <c r="G247" s="71" t="s">
        <v>178</v>
      </c>
      <c r="H247" s="72" t="s">
        <v>179</v>
      </c>
    </row>
    <row r="248" spans="2:8" ht="18.75" x14ac:dyDescent="0.3">
      <c r="B248" s="46" t="s">
        <v>25</v>
      </c>
      <c r="C248" s="368" t="s">
        <v>180</v>
      </c>
      <c r="D248" s="369"/>
      <c r="E248" s="369"/>
      <c r="F248" s="369"/>
      <c r="G248" s="369"/>
      <c r="H248" s="370"/>
    </row>
    <row r="249" spans="2:8" x14ac:dyDescent="0.25">
      <c r="B249" s="73"/>
      <c r="C249" s="95" t="s">
        <v>309</v>
      </c>
      <c r="D249" s="92" t="s">
        <v>293</v>
      </c>
      <c r="E249" s="93">
        <v>4</v>
      </c>
      <c r="F249" s="94" t="s">
        <v>52</v>
      </c>
      <c r="G249" s="78">
        <v>52932</v>
      </c>
      <c r="H249" s="78">
        <v>211728</v>
      </c>
    </row>
    <row r="250" spans="2:8" ht="38.25" x14ac:dyDescent="0.25">
      <c r="B250" s="73"/>
      <c r="C250" s="91" t="s">
        <v>310</v>
      </c>
      <c r="D250" s="92" t="s">
        <v>293</v>
      </c>
      <c r="E250" s="93">
        <v>2</v>
      </c>
      <c r="F250" s="94" t="s">
        <v>52</v>
      </c>
      <c r="G250" s="78">
        <v>1375000</v>
      </c>
      <c r="H250" s="78">
        <v>2750000</v>
      </c>
    </row>
    <row r="251" spans="2:8" ht="38.25" x14ac:dyDescent="0.25">
      <c r="B251" s="73"/>
      <c r="C251" s="91" t="s">
        <v>311</v>
      </c>
      <c r="D251" s="92" t="s">
        <v>293</v>
      </c>
      <c r="E251" s="93">
        <v>1</v>
      </c>
      <c r="F251" s="94" t="s">
        <v>168</v>
      </c>
      <c r="G251" s="78">
        <v>540000</v>
      </c>
      <c r="H251" s="78">
        <v>540000</v>
      </c>
    </row>
    <row r="252" spans="2:8" ht="38.25" x14ac:dyDescent="0.25">
      <c r="B252" s="73"/>
      <c r="C252" s="96" t="s">
        <v>312</v>
      </c>
      <c r="D252" s="92" t="s">
        <v>293</v>
      </c>
      <c r="E252" s="93">
        <v>3</v>
      </c>
      <c r="F252" s="94" t="s">
        <v>52</v>
      </c>
      <c r="G252" s="78">
        <v>625000</v>
      </c>
      <c r="H252" s="78">
        <v>1875000</v>
      </c>
    </row>
    <row r="253" spans="2:8" ht="25.5" x14ac:dyDescent="0.25">
      <c r="B253" s="73"/>
      <c r="C253" s="91" t="s">
        <v>270</v>
      </c>
      <c r="D253" s="92" t="s">
        <v>293</v>
      </c>
      <c r="E253" s="93">
        <v>1</v>
      </c>
      <c r="F253" s="94" t="s">
        <v>168</v>
      </c>
      <c r="G253" s="78">
        <v>14190000</v>
      </c>
      <c r="H253" s="78">
        <v>14190000</v>
      </c>
    </row>
    <row r="254" spans="2:8" x14ac:dyDescent="0.25">
      <c r="B254" s="73"/>
      <c r="C254" s="91" t="s">
        <v>265</v>
      </c>
      <c r="D254" s="92" t="s">
        <v>293</v>
      </c>
      <c r="E254" s="93">
        <v>4</v>
      </c>
      <c r="F254" s="94" t="s">
        <v>52</v>
      </c>
      <c r="G254" s="78">
        <v>22000</v>
      </c>
      <c r="H254" s="78">
        <v>88000</v>
      </c>
    </row>
    <row r="255" spans="2:8" x14ac:dyDescent="0.25">
      <c r="B255" s="73"/>
      <c r="C255" s="95" t="s">
        <v>266</v>
      </c>
      <c r="D255" s="92" t="s">
        <v>293</v>
      </c>
      <c r="E255" s="93">
        <v>2</v>
      </c>
      <c r="F255" s="94" t="s">
        <v>52</v>
      </c>
      <c r="G255" s="78">
        <v>10000</v>
      </c>
      <c r="H255" s="78">
        <v>20000</v>
      </c>
    </row>
    <row r="256" spans="2:8" x14ac:dyDescent="0.25">
      <c r="B256" s="73"/>
      <c r="C256" s="95" t="s">
        <v>191</v>
      </c>
      <c r="D256" s="92" t="s">
        <v>293</v>
      </c>
      <c r="E256" s="93">
        <v>1</v>
      </c>
      <c r="F256" s="94" t="s">
        <v>168</v>
      </c>
      <c r="G256" s="78">
        <v>18720000</v>
      </c>
      <c r="H256" s="78">
        <v>18720000</v>
      </c>
    </row>
    <row r="257" spans="2:8" x14ac:dyDescent="0.25">
      <c r="B257" s="73"/>
      <c r="C257" s="95" t="s">
        <v>186</v>
      </c>
      <c r="D257" s="92" t="s">
        <v>293</v>
      </c>
      <c r="E257" s="93">
        <v>1</v>
      </c>
      <c r="F257" s="94" t="s">
        <v>168</v>
      </c>
      <c r="G257" s="78">
        <v>300000</v>
      </c>
      <c r="H257" s="78">
        <v>300000</v>
      </c>
    </row>
    <row r="258" spans="2:8" ht="30" x14ac:dyDescent="0.25">
      <c r="B258" s="73"/>
      <c r="C258" s="95" t="s">
        <v>313</v>
      </c>
      <c r="D258" s="92" t="s">
        <v>295</v>
      </c>
      <c r="E258" s="93">
        <v>1</v>
      </c>
      <c r="F258" s="94" t="s">
        <v>168</v>
      </c>
      <c r="G258" s="78">
        <v>14190000</v>
      </c>
      <c r="H258" s="78">
        <v>14190000</v>
      </c>
    </row>
    <row r="259" spans="2:8" x14ac:dyDescent="0.25">
      <c r="B259" s="73"/>
      <c r="C259" s="95" t="s">
        <v>314</v>
      </c>
      <c r="D259" s="92" t="s">
        <v>295</v>
      </c>
      <c r="E259" s="93">
        <v>1</v>
      </c>
      <c r="F259" s="94" t="s">
        <v>168</v>
      </c>
      <c r="G259" s="78">
        <v>15777448.800000001</v>
      </c>
      <c r="H259" s="78">
        <v>15777448.800000001</v>
      </c>
    </row>
    <row r="260" spans="2:8" x14ac:dyDescent="0.25">
      <c r="B260" s="73"/>
      <c r="C260" s="95" t="s">
        <v>265</v>
      </c>
      <c r="D260" s="92" t="s">
        <v>295</v>
      </c>
      <c r="E260" s="93">
        <v>6</v>
      </c>
      <c r="F260" s="94" t="s">
        <v>52</v>
      </c>
      <c r="G260" s="78">
        <v>22000</v>
      </c>
      <c r="H260" s="78">
        <v>132000</v>
      </c>
    </row>
    <row r="261" spans="2:8" x14ac:dyDescent="0.25">
      <c r="B261" s="73"/>
      <c r="C261" s="95" t="s">
        <v>266</v>
      </c>
      <c r="D261" s="92" t="s">
        <v>295</v>
      </c>
      <c r="E261" s="93">
        <v>5</v>
      </c>
      <c r="F261" s="94" t="s">
        <v>52</v>
      </c>
      <c r="G261" s="78">
        <v>10000</v>
      </c>
      <c r="H261" s="78">
        <v>50000</v>
      </c>
    </row>
    <row r="262" spans="2:8" x14ac:dyDescent="0.25">
      <c r="B262" s="73"/>
      <c r="C262" s="95" t="s">
        <v>227</v>
      </c>
      <c r="D262" s="92" t="s">
        <v>295</v>
      </c>
      <c r="E262" s="93">
        <v>1</v>
      </c>
      <c r="F262" s="94" t="s">
        <v>168</v>
      </c>
      <c r="G262" s="78">
        <v>85000</v>
      </c>
      <c r="H262" s="78">
        <v>85000</v>
      </c>
    </row>
    <row r="263" spans="2:8" x14ac:dyDescent="0.25">
      <c r="B263" s="73"/>
      <c r="C263" s="95" t="s">
        <v>186</v>
      </c>
      <c r="D263" s="92" t="s">
        <v>295</v>
      </c>
      <c r="E263" s="93">
        <v>1</v>
      </c>
      <c r="F263" s="94" t="s">
        <v>168</v>
      </c>
      <c r="G263" s="78">
        <v>300000</v>
      </c>
      <c r="H263" s="78">
        <v>300000</v>
      </c>
    </row>
    <row r="264" spans="2:8" ht="30" x14ac:dyDescent="0.25">
      <c r="B264" s="73"/>
      <c r="C264" s="95" t="s">
        <v>270</v>
      </c>
      <c r="D264" s="92" t="s">
        <v>295</v>
      </c>
      <c r="E264" s="93">
        <v>1</v>
      </c>
      <c r="F264" s="94" t="s">
        <v>168</v>
      </c>
      <c r="G264" s="78">
        <v>14190000</v>
      </c>
      <c r="H264" s="78">
        <v>14190000</v>
      </c>
    </row>
    <row r="265" spans="2:8" x14ac:dyDescent="0.25">
      <c r="B265" s="73"/>
      <c r="C265" s="97"/>
      <c r="D265" s="97"/>
      <c r="E265" s="97"/>
      <c r="F265" s="97"/>
      <c r="G265" s="78"/>
      <c r="H265" s="78"/>
    </row>
    <row r="266" spans="2:8" ht="30" x14ac:dyDescent="0.25">
      <c r="B266" s="73"/>
      <c r="C266" s="95" t="s">
        <v>315</v>
      </c>
      <c r="D266" s="92" t="s">
        <v>298</v>
      </c>
      <c r="E266" s="93">
        <v>1</v>
      </c>
      <c r="F266" s="94" t="s">
        <v>51</v>
      </c>
      <c r="G266" s="78">
        <v>11111300</v>
      </c>
      <c r="H266" s="78">
        <v>11111300</v>
      </c>
    </row>
    <row r="267" spans="2:8" x14ac:dyDescent="0.25">
      <c r="B267" s="73"/>
      <c r="C267" s="95" t="s">
        <v>316</v>
      </c>
      <c r="D267" s="92" t="s">
        <v>300</v>
      </c>
      <c r="E267" s="93">
        <v>2</v>
      </c>
      <c r="F267" s="94" t="s">
        <v>52</v>
      </c>
      <c r="G267" s="78">
        <v>191250</v>
      </c>
      <c r="H267" s="78">
        <v>382500</v>
      </c>
    </row>
    <row r="268" spans="2:8" ht="25.5" x14ac:dyDescent="0.25">
      <c r="B268" s="73"/>
      <c r="C268" s="91" t="s">
        <v>317</v>
      </c>
      <c r="D268" s="92" t="s">
        <v>300</v>
      </c>
      <c r="E268" s="93">
        <v>2</v>
      </c>
      <c r="F268" s="94" t="s">
        <v>52</v>
      </c>
      <c r="G268" s="78">
        <v>535000</v>
      </c>
      <c r="H268" s="78">
        <v>1070000</v>
      </c>
    </row>
    <row r="269" spans="2:8" x14ac:dyDescent="0.25">
      <c r="B269" s="73"/>
      <c r="C269" s="91" t="s">
        <v>214</v>
      </c>
      <c r="D269" s="92" t="s">
        <v>300</v>
      </c>
      <c r="E269" s="93">
        <v>1</v>
      </c>
      <c r="F269" s="94" t="s">
        <v>168</v>
      </c>
      <c r="G269" s="78">
        <v>23108000</v>
      </c>
      <c r="H269" s="78">
        <v>23108000</v>
      </c>
    </row>
    <row r="270" spans="2:8" ht="38.25" x14ac:dyDescent="0.25">
      <c r="B270" s="73"/>
      <c r="C270" s="91" t="s">
        <v>318</v>
      </c>
      <c r="D270" s="92" t="s">
        <v>300</v>
      </c>
      <c r="E270" s="93">
        <v>1</v>
      </c>
      <c r="F270" s="94" t="s">
        <v>168</v>
      </c>
      <c r="G270" s="78">
        <v>540000</v>
      </c>
      <c r="H270" s="78">
        <v>540000</v>
      </c>
    </row>
    <row r="271" spans="2:8" ht="38.25" x14ac:dyDescent="0.25">
      <c r="B271" s="73"/>
      <c r="C271" s="96" t="s">
        <v>318</v>
      </c>
      <c r="D271" s="92" t="s">
        <v>300</v>
      </c>
      <c r="E271" s="93">
        <v>2</v>
      </c>
      <c r="F271" s="94" t="s">
        <v>52</v>
      </c>
      <c r="G271" s="78">
        <v>540000</v>
      </c>
      <c r="H271" s="78">
        <v>1080000</v>
      </c>
    </row>
    <row r="272" spans="2:8" ht="30" x14ac:dyDescent="0.25">
      <c r="B272" s="73"/>
      <c r="C272" s="95" t="s">
        <v>229</v>
      </c>
      <c r="D272" s="92" t="s">
        <v>300</v>
      </c>
      <c r="E272" s="93">
        <v>1</v>
      </c>
      <c r="F272" s="94" t="s">
        <v>51</v>
      </c>
      <c r="G272" s="78">
        <v>500000</v>
      </c>
      <c r="H272" s="78">
        <v>500000</v>
      </c>
    </row>
    <row r="273" spans="2:8" x14ac:dyDescent="0.25">
      <c r="B273" s="73"/>
      <c r="C273" s="95" t="s">
        <v>319</v>
      </c>
      <c r="D273" s="92" t="s">
        <v>300</v>
      </c>
      <c r="E273" s="93">
        <v>1</v>
      </c>
      <c r="F273" s="94" t="s">
        <v>168</v>
      </c>
      <c r="G273" s="78">
        <v>175000</v>
      </c>
      <c r="H273" s="78">
        <v>175000</v>
      </c>
    </row>
    <row r="274" spans="2:8" ht="25.5" x14ac:dyDescent="0.25">
      <c r="B274" s="73"/>
      <c r="C274" s="91" t="s">
        <v>320</v>
      </c>
      <c r="D274" s="92" t="s">
        <v>300</v>
      </c>
      <c r="E274" s="93">
        <v>1</v>
      </c>
      <c r="F274" s="94" t="s">
        <v>168</v>
      </c>
      <c r="G274" s="78">
        <v>500000</v>
      </c>
      <c r="H274" s="78">
        <v>500000</v>
      </c>
    </row>
    <row r="275" spans="2:8" ht="30" x14ac:dyDescent="0.25">
      <c r="B275" s="73"/>
      <c r="C275" s="95" t="s">
        <v>321</v>
      </c>
      <c r="D275" s="92" t="s">
        <v>300</v>
      </c>
      <c r="E275" s="93">
        <v>1</v>
      </c>
      <c r="F275" s="94" t="s">
        <v>168</v>
      </c>
      <c r="G275" s="78">
        <v>250000</v>
      </c>
      <c r="H275" s="78">
        <v>250000</v>
      </c>
    </row>
    <row r="276" spans="2:8" ht="45" x14ac:dyDescent="0.25">
      <c r="B276" s="73"/>
      <c r="C276" s="95" t="s">
        <v>322</v>
      </c>
      <c r="D276" s="92" t="s">
        <v>300</v>
      </c>
      <c r="E276" s="93">
        <v>1</v>
      </c>
      <c r="F276" s="94" t="s">
        <v>168</v>
      </c>
      <c r="G276" s="78">
        <v>1214166.66666667</v>
      </c>
      <c r="H276" s="78">
        <v>1214166.66666667</v>
      </c>
    </row>
    <row r="277" spans="2:8" ht="30" x14ac:dyDescent="0.25">
      <c r="B277" s="73"/>
      <c r="C277" s="95" t="s">
        <v>48</v>
      </c>
      <c r="D277" s="92" t="s">
        <v>300</v>
      </c>
      <c r="E277" s="93">
        <v>1</v>
      </c>
      <c r="F277" s="94" t="s">
        <v>220</v>
      </c>
      <c r="G277" s="78">
        <v>160538000</v>
      </c>
      <c r="H277" s="78">
        <v>160538000</v>
      </c>
    </row>
    <row r="278" spans="2:8" ht="30" x14ac:dyDescent="0.25">
      <c r="B278" s="73"/>
      <c r="C278" s="95" t="s">
        <v>313</v>
      </c>
      <c r="D278" s="92" t="s">
        <v>306</v>
      </c>
      <c r="E278" s="93">
        <v>1</v>
      </c>
      <c r="F278" s="94" t="s">
        <v>168</v>
      </c>
      <c r="G278" s="78">
        <v>14190000</v>
      </c>
      <c r="H278" s="78">
        <v>14190000</v>
      </c>
    </row>
    <row r="279" spans="2:8" ht="25.5" x14ac:dyDescent="0.25">
      <c r="B279" s="73"/>
      <c r="C279" s="91" t="s">
        <v>195</v>
      </c>
      <c r="D279" s="92" t="s">
        <v>306</v>
      </c>
      <c r="E279" s="93">
        <v>1</v>
      </c>
      <c r="F279" s="94" t="s">
        <v>168</v>
      </c>
      <c r="G279" s="78">
        <v>4329000</v>
      </c>
      <c r="H279" s="78">
        <v>4329000</v>
      </c>
    </row>
    <row r="280" spans="2:8" x14ac:dyDescent="0.25">
      <c r="B280" s="73"/>
      <c r="C280" s="98" t="s">
        <v>323</v>
      </c>
      <c r="D280" s="92" t="s">
        <v>306</v>
      </c>
      <c r="E280" s="93"/>
      <c r="F280" s="94"/>
      <c r="G280" s="78"/>
      <c r="H280" s="78">
        <v>0</v>
      </c>
    </row>
    <row r="281" spans="2:8" x14ac:dyDescent="0.25">
      <c r="B281" s="73"/>
      <c r="C281" s="142" t="s">
        <v>324</v>
      </c>
      <c r="D281" s="92" t="s">
        <v>306</v>
      </c>
      <c r="E281" s="93">
        <v>1</v>
      </c>
      <c r="F281" s="94" t="s">
        <v>168</v>
      </c>
      <c r="G281" s="78">
        <v>19350000</v>
      </c>
      <c r="H281" s="78">
        <v>19350000</v>
      </c>
    </row>
    <row r="282" spans="2:8" x14ac:dyDescent="0.25">
      <c r="B282" s="73"/>
      <c r="C282" s="142" t="s">
        <v>325</v>
      </c>
      <c r="D282" s="92" t="s">
        <v>306</v>
      </c>
      <c r="E282" s="93">
        <v>1</v>
      </c>
      <c r="F282" s="94" t="s">
        <v>168</v>
      </c>
      <c r="G282" s="78">
        <v>3738880</v>
      </c>
      <c r="H282" s="78">
        <v>3738880</v>
      </c>
    </row>
    <row r="283" spans="2:8" ht="18.75" x14ac:dyDescent="0.25">
      <c r="B283" s="389" t="s">
        <v>5</v>
      </c>
      <c r="C283" s="372" t="s">
        <v>175</v>
      </c>
      <c r="D283" s="372" t="s">
        <v>176</v>
      </c>
      <c r="E283" s="375" t="s">
        <v>2</v>
      </c>
      <c r="F283" s="376"/>
      <c r="G283" s="366" t="s">
        <v>177</v>
      </c>
      <c r="H283" s="367"/>
    </row>
    <row r="284" spans="2:8" ht="56.25" x14ac:dyDescent="0.25">
      <c r="B284" s="392"/>
      <c r="C284" s="385"/>
      <c r="D284" s="386"/>
      <c r="E284" s="387"/>
      <c r="F284" s="388"/>
      <c r="G284" s="71" t="s">
        <v>178</v>
      </c>
      <c r="H284" s="72" t="s">
        <v>179</v>
      </c>
    </row>
    <row r="285" spans="2:8" ht="18.75" x14ac:dyDescent="0.3">
      <c r="B285" s="46" t="s">
        <v>25</v>
      </c>
      <c r="C285" s="368" t="s">
        <v>180</v>
      </c>
      <c r="D285" s="369"/>
      <c r="E285" s="369"/>
      <c r="F285" s="369"/>
      <c r="G285" s="369"/>
      <c r="H285" s="370"/>
    </row>
    <row r="286" spans="2:8" x14ac:dyDescent="0.25">
      <c r="B286" s="1"/>
      <c r="C286" s="99" t="s">
        <v>186</v>
      </c>
      <c r="D286" s="92" t="s">
        <v>293</v>
      </c>
      <c r="E286" s="100">
        <v>1</v>
      </c>
      <c r="F286" s="101" t="s">
        <v>168</v>
      </c>
      <c r="G286" s="102">
        <v>300000</v>
      </c>
      <c r="H286" s="102">
        <v>300000</v>
      </c>
    </row>
    <row r="287" spans="2:8" x14ac:dyDescent="0.25">
      <c r="B287" s="1"/>
      <c r="C287" s="103" t="s">
        <v>326</v>
      </c>
      <c r="D287" s="92" t="s">
        <v>293</v>
      </c>
      <c r="E287" s="100">
        <v>1</v>
      </c>
      <c r="F287" s="101" t="s">
        <v>327</v>
      </c>
      <c r="G287" s="104">
        <v>2500000</v>
      </c>
      <c r="H287" s="104">
        <v>2500000</v>
      </c>
    </row>
    <row r="288" spans="2:8" x14ac:dyDescent="0.25">
      <c r="B288" s="1"/>
      <c r="C288" s="143" t="s">
        <v>328</v>
      </c>
      <c r="D288" s="92" t="s">
        <v>293</v>
      </c>
      <c r="E288" s="100">
        <v>2</v>
      </c>
      <c r="F288" s="101" t="s">
        <v>52</v>
      </c>
      <c r="G288" s="105"/>
      <c r="H288" s="105"/>
    </row>
    <row r="289" spans="2:8" x14ac:dyDescent="0.25">
      <c r="B289" s="1"/>
      <c r="C289" s="143" t="s">
        <v>329</v>
      </c>
      <c r="D289" s="92" t="s">
        <v>293</v>
      </c>
      <c r="E289" s="100">
        <v>1</v>
      </c>
      <c r="F289" s="101" t="s">
        <v>327</v>
      </c>
      <c r="G289" s="105"/>
      <c r="H289" s="105"/>
    </row>
    <row r="290" spans="2:8" x14ac:dyDescent="0.25">
      <c r="B290" s="1"/>
      <c r="C290" s="143" t="s">
        <v>330</v>
      </c>
      <c r="D290" s="92" t="s">
        <v>293</v>
      </c>
      <c r="E290" s="100">
        <v>1</v>
      </c>
      <c r="F290" s="101" t="s">
        <v>327</v>
      </c>
      <c r="G290" s="106"/>
      <c r="H290" s="106"/>
    </row>
    <row r="291" spans="2:8" ht="30" x14ac:dyDescent="0.25">
      <c r="B291" s="1"/>
      <c r="C291" s="103" t="s">
        <v>331</v>
      </c>
      <c r="D291" s="92" t="s">
        <v>295</v>
      </c>
      <c r="E291" s="100">
        <v>1</v>
      </c>
      <c r="F291" s="101" t="s">
        <v>168</v>
      </c>
      <c r="G291" s="102">
        <v>540000</v>
      </c>
      <c r="H291" s="102">
        <v>540000</v>
      </c>
    </row>
    <row r="292" spans="2:8" x14ac:dyDescent="0.25">
      <c r="B292" s="1"/>
      <c r="C292" s="103" t="s">
        <v>186</v>
      </c>
      <c r="D292" s="92" t="s">
        <v>295</v>
      </c>
      <c r="E292" s="100">
        <v>1</v>
      </c>
      <c r="F292" s="101" t="s">
        <v>168</v>
      </c>
      <c r="G292" s="102">
        <v>300000</v>
      </c>
      <c r="H292" s="102">
        <v>300000</v>
      </c>
    </row>
    <row r="293" spans="2:8" x14ac:dyDescent="0.25">
      <c r="B293" s="1"/>
      <c r="C293" s="103" t="s">
        <v>332</v>
      </c>
      <c r="D293" s="92" t="s">
        <v>295</v>
      </c>
      <c r="E293" s="100">
        <v>1</v>
      </c>
      <c r="F293" s="101" t="s">
        <v>51</v>
      </c>
      <c r="G293" s="102">
        <v>2443125</v>
      </c>
      <c r="H293" s="102">
        <v>2443125</v>
      </c>
    </row>
    <row r="294" spans="2:8" ht="30" x14ac:dyDescent="0.25">
      <c r="B294" s="1"/>
      <c r="C294" s="103" t="s">
        <v>188</v>
      </c>
      <c r="D294" s="92" t="s">
        <v>295</v>
      </c>
      <c r="E294" s="100">
        <v>2</v>
      </c>
      <c r="F294" s="101" t="s">
        <v>52</v>
      </c>
      <c r="G294" s="102">
        <v>540000</v>
      </c>
      <c r="H294" s="102">
        <v>1080000</v>
      </c>
    </row>
    <row r="295" spans="2:8" x14ac:dyDescent="0.25">
      <c r="B295" s="1"/>
      <c r="C295" s="103" t="s">
        <v>333</v>
      </c>
      <c r="D295" s="92" t="s">
        <v>295</v>
      </c>
      <c r="E295" s="100">
        <v>7</v>
      </c>
      <c r="F295" s="101" t="s">
        <v>17</v>
      </c>
      <c r="G295" s="102">
        <v>300000</v>
      </c>
      <c r="H295" s="102">
        <v>2100000</v>
      </c>
    </row>
    <row r="296" spans="2:8" x14ac:dyDescent="0.25">
      <c r="B296" s="1"/>
      <c r="C296" s="143" t="s">
        <v>334</v>
      </c>
      <c r="D296" s="92" t="s">
        <v>295</v>
      </c>
      <c r="E296" s="100">
        <v>2</v>
      </c>
      <c r="F296" s="101" t="s">
        <v>17</v>
      </c>
      <c r="G296" s="102">
        <v>1000000</v>
      </c>
      <c r="H296" s="102">
        <v>2000000</v>
      </c>
    </row>
    <row r="297" spans="2:8" ht="30" x14ac:dyDescent="0.25">
      <c r="B297" s="1"/>
      <c r="C297" s="103" t="s">
        <v>188</v>
      </c>
      <c r="D297" s="92" t="s">
        <v>295</v>
      </c>
      <c r="E297" s="100">
        <v>2</v>
      </c>
      <c r="F297" s="101" t="s">
        <v>52</v>
      </c>
      <c r="G297" s="102">
        <v>540000</v>
      </c>
      <c r="H297" s="102">
        <v>1080000</v>
      </c>
    </row>
    <row r="298" spans="2:8" x14ac:dyDescent="0.25">
      <c r="B298" s="1"/>
      <c r="C298" s="103" t="s">
        <v>233</v>
      </c>
      <c r="D298" s="92" t="s">
        <v>295</v>
      </c>
      <c r="E298" s="100">
        <v>1</v>
      </c>
      <c r="F298" s="101" t="s">
        <v>168</v>
      </c>
      <c r="G298" s="102">
        <v>779000</v>
      </c>
      <c r="H298" s="102">
        <v>779000</v>
      </c>
    </row>
    <row r="299" spans="2:8" ht="30" x14ac:dyDescent="0.25">
      <c r="B299" s="1"/>
      <c r="C299" s="103" t="s">
        <v>181</v>
      </c>
      <c r="D299" s="92" t="s">
        <v>298</v>
      </c>
      <c r="E299" s="100">
        <v>10</v>
      </c>
      <c r="F299" s="101" t="s">
        <v>52</v>
      </c>
      <c r="G299" s="102">
        <v>722000</v>
      </c>
      <c r="H299" s="102">
        <v>7220000</v>
      </c>
    </row>
    <row r="300" spans="2:8" ht="25.5" x14ac:dyDescent="0.25">
      <c r="B300" s="1"/>
      <c r="C300" s="99" t="s">
        <v>185</v>
      </c>
      <c r="D300" s="92" t="s">
        <v>298</v>
      </c>
      <c r="E300" s="100">
        <v>4</v>
      </c>
      <c r="F300" s="101" t="s">
        <v>52</v>
      </c>
      <c r="G300" s="102">
        <v>715000</v>
      </c>
      <c r="H300" s="102">
        <v>2860000</v>
      </c>
    </row>
    <row r="301" spans="2:8" ht="30" x14ac:dyDescent="0.25">
      <c r="B301" s="1"/>
      <c r="C301" s="103" t="s">
        <v>335</v>
      </c>
      <c r="D301" s="92" t="s">
        <v>298</v>
      </c>
      <c r="E301" s="100">
        <v>1</v>
      </c>
      <c r="F301" s="101" t="s">
        <v>168</v>
      </c>
      <c r="G301" s="102">
        <v>1485000</v>
      </c>
      <c r="H301" s="102">
        <v>1485000</v>
      </c>
    </row>
    <row r="302" spans="2:8" x14ac:dyDescent="0.25">
      <c r="B302" s="1"/>
      <c r="C302" s="103" t="s">
        <v>333</v>
      </c>
      <c r="D302" s="92" t="s">
        <v>298</v>
      </c>
      <c r="E302" s="100">
        <v>8</v>
      </c>
      <c r="F302" s="101" t="s">
        <v>17</v>
      </c>
      <c r="G302" s="102">
        <v>300000</v>
      </c>
      <c r="H302" s="102">
        <v>2400000</v>
      </c>
    </row>
    <row r="303" spans="2:8" x14ac:dyDescent="0.25">
      <c r="B303" s="1"/>
      <c r="C303" s="143" t="s">
        <v>334</v>
      </c>
      <c r="D303" s="92" t="s">
        <v>298</v>
      </c>
      <c r="E303" s="100">
        <v>1</v>
      </c>
      <c r="F303" s="101" t="s">
        <v>17</v>
      </c>
      <c r="G303" s="102">
        <v>1000000</v>
      </c>
      <c r="H303" s="102">
        <v>1000000</v>
      </c>
    </row>
    <row r="304" spans="2:8" x14ac:dyDescent="0.25">
      <c r="B304" s="1"/>
      <c r="C304" s="143" t="s">
        <v>260</v>
      </c>
      <c r="D304" s="92" t="s">
        <v>300</v>
      </c>
      <c r="E304" s="100">
        <v>2</v>
      </c>
      <c r="F304" s="101" t="s">
        <v>52</v>
      </c>
      <c r="G304" s="102"/>
      <c r="H304" s="102"/>
    </row>
    <row r="305" spans="2:8" x14ac:dyDescent="0.25">
      <c r="B305" s="1"/>
      <c r="C305" s="103" t="s">
        <v>186</v>
      </c>
      <c r="D305" s="92" t="s">
        <v>300</v>
      </c>
      <c r="E305" s="100">
        <v>2</v>
      </c>
      <c r="F305" s="101" t="s">
        <v>52</v>
      </c>
      <c r="G305" s="102">
        <v>300000</v>
      </c>
      <c r="H305" s="102">
        <v>600000</v>
      </c>
    </row>
    <row r="306" spans="2:8" x14ac:dyDescent="0.25">
      <c r="B306" s="1"/>
      <c r="C306" s="99" t="s">
        <v>233</v>
      </c>
      <c r="D306" s="92" t="s">
        <v>300</v>
      </c>
      <c r="E306" s="100">
        <v>1</v>
      </c>
      <c r="F306" s="101" t="s">
        <v>168</v>
      </c>
      <c r="G306" s="102">
        <v>779000</v>
      </c>
      <c r="H306" s="102">
        <v>779000</v>
      </c>
    </row>
    <row r="307" spans="2:8" x14ac:dyDescent="0.25">
      <c r="B307" s="1"/>
      <c r="C307" s="103" t="s">
        <v>333</v>
      </c>
      <c r="D307" s="92" t="s">
        <v>300</v>
      </c>
      <c r="E307" s="100">
        <v>7</v>
      </c>
      <c r="F307" s="101" t="s">
        <v>17</v>
      </c>
      <c r="G307" s="102">
        <v>300000</v>
      </c>
      <c r="H307" s="102">
        <v>2100000</v>
      </c>
    </row>
    <row r="308" spans="2:8" x14ac:dyDescent="0.25">
      <c r="B308" s="1"/>
      <c r="C308" s="143" t="s">
        <v>334</v>
      </c>
      <c r="D308" s="92" t="s">
        <v>300</v>
      </c>
      <c r="E308" s="100">
        <v>2</v>
      </c>
      <c r="F308" s="101" t="s">
        <v>17</v>
      </c>
      <c r="G308" s="102">
        <v>1000000</v>
      </c>
      <c r="H308" s="102">
        <v>2000000</v>
      </c>
    </row>
    <row r="309" spans="2:8" ht="45" x14ac:dyDescent="0.25">
      <c r="B309" s="1"/>
      <c r="C309" s="103" t="s">
        <v>318</v>
      </c>
      <c r="D309" s="92" t="s">
        <v>300</v>
      </c>
      <c r="E309" s="100">
        <v>1</v>
      </c>
      <c r="F309" s="101" t="s">
        <v>168</v>
      </c>
      <c r="G309" s="102">
        <v>650000</v>
      </c>
      <c r="H309" s="102">
        <v>650000</v>
      </c>
    </row>
    <row r="310" spans="2:8" ht="45" x14ac:dyDescent="0.25">
      <c r="B310" s="1"/>
      <c r="C310" s="103" t="s">
        <v>336</v>
      </c>
      <c r="D310" s="92" t="s">
        <v>300</v>
      </c>
      <c r="E310" s="100">
        <v>1</v>
      </c>
      <c r="F310" s="101" t="s">
        <v>17</v>
      </c>
      <c r="G310" s="102">
        <v>7000000</v>
      </c>
      <c r="H310" s="102">
        <v>7000000</v>
      </c>
    </row>
    <row r="311" spans="2:8" x14ac:dyDescent="0.25">
      <c r="B311" s="1"/>
      <c r="C311" s="103" t="s">
        <v>235</v>
      </c>
      <c r="D311" s="92" t="s">
        <v>300</v>
      </c>
      <c r="E311" s="100">
        <v>2</v>
      </c>
      <c r="F311" s="101" t="s">
        <v>52</v>
      </c>
      <c r="G311" s="102">
        <v>3420000</v>
      </c>
      <c r="H311" s="102">
        <v>6840000</v>
      </c>
    </row>
    <row r="312" spans="2:8" ht="30" x14ac:dyDescent="0.25">
      <c r="B312" s="1"/>
      <c r="C312" s="103" t="s">
        <v>337</v>
      </c>
      <c r="D312" s="92" t="s">
        <v>300</v>
      </c>
      <c r="E312" s="100">
        <v>1</v>
      </c>
      <c r="F312" s="101" t="s">
        <v>168</v>
      </c>
      <c r="G312" s="102">
        <v>535000</v>
      </c>
      <c r="H312" s="102">
        <v>535000</v>
      </c>
    </row>
    <row r="313" spans="2:8" x14ac:dyDescent="0.25">
      <c r="B313" s="1"/>
      <c r="C313" s="99" t="s">
        <v>233</v>
      </c>
      <c r="D313" s="92" t="s">
        <v>300</v>
      </c>
      <c r="E313" s="100">
        <v>1</v>
      </c>
      <c r="F313" s="101" t="s">
        <v>168</v>
      </c>
      <c r="G313" s="102">
        <v>779000</v>
      </c>
      <c r="H313" s="102">
        <v>779000</v>
      </c>
    </row>
    <row r="314" spans="2:8" x14ac:dyDescent="0.25">
      <c r="B314" s="1"/>
      <c r="C314" s="99" t="s">
        <v>265</v>
      </c>
      <c r="D314" s="92" t="s">
        <v>306</v>
      </c>
      <c r="E314" s="100">
        <v>7</v>
      </c>
      <c r="F314" s="101" t="s">
        <v>52</v>
      </c>
      <c r="G314" s="102">
        <v>22000</v>
      </c>
      <c r="H314" s="102">
        <v>154000</v>
      </c>
    </row>
    <row r="315" spans="2:8" x14ac:dyDescent="0.25">
      <c r="B315" s="1"/>
      <c r="C315" s="101" t="s">
        <v>266</v>
      </c>
      <c r="D315" s="92" t="s">
        <v>306</v>
      </c>
      <c r="E315" s="100">
        <v>7</v>
      </c>
      <c r="F315" s="101" t="s">
        <v>52</v>
      </c>
      <c r="G315" s="102">
        <v>10000</v>
      </c>
      <c r="H315" s="102">
        <v>70000</v>
      </c>
    </row>
    <row r="316" spans="2:8" x14ac:dyDescent="0.25">
      <c r="B316" s="1"/>
      <c r="C316" s="107" t="s">
        <v>233</v>
      </c>
      <c r="D316" s="108" t="s">
        <v>306</v>
      </c>
      <c r="E316" s="109">
        <v>1</v>
      </c>
      <c r="F316" s="107" t="s">
        <v>168</v>
      </c>
      <c r="G316" s="102">
        <v>779000</v>
      </c>
      <c r="H316" s="102">
        <v>779000</v>
      </c>
    </row>
    <row r="317" spans="2:8" ht="18.75" x14ac:dyDescent="0.25">
      <c r="B317" s="389" t="s">
        <v>5</v>
      </c>
      <c r="C317" s="372" t="s">
        <v>175</v>
      </c>
      <c r="D317" s="372" t="s">
        <v>176</v>
      </c>
      <c r="E317" s="375" t="s">
        <v>2</v>
      </c>
      <c r="F317" s="376"/>
      <c r="G317" s="366" t="s">
        <v>177</v>
      </c>
      <c r="H317" s="367"/>
    </row>
    <row r="318" spans="2:8" ht="56.25" x14ac:dyDescent="0.25">
      <c r="B318" s="392"/>
      <c r="C318" s="385"/>
      <c r="D318" s="386"/>
      <c r="E318" s="387"/>
      <c r="F318" s="388"/>
      <c r="G318" s="71" t="s">
        <v>178</v>
      </c>
      <c r="H318" s="72" t="s">
        <v>179</v>
      </c>
    </row>
    <row r="319" spans="2:8" ht="18.75" x14ac:dyDescent="0.3">
      <c r="B319" s="46" t="s">
        <v>25</v>
      </c>
      <c r="C319" s="368" t="s">
        <v>180</v>
      </c>
      <c r="D319" s="369"/>
      <c r="E319" s="369"/>
      <c r="F319" s="369"/>
      <c r="G319" s="369"/>
      <c r="H319" s="370"/>
    </row>
    <row r="320" spans="2:8" x14ac:dyDescent="0.25">
      <c r="B320" s="1"/>
      <c r="C320" s="95" t="s">
        <v>338</v>
      </c>
      <c r="D320" s="110" t="s">
        <v>293</v>
      </c>
      <c r="E320" s="111">
        <v>1</v>
      </c>
      <c r="F320" s="112" t="s">
        <v>168</v>
      </c>
      <c r="G320" s="102">
        <v>5828254</v>
      </c>
      <c r="H320" s="102">
        <v>5828254</v>
      </c>
    </row>
    <row r="321" spans="2:8" x14ac:dyDescent="0.25">
      <c r="B321" s="1"/>
      <c r="C321" s="113" t="s">
        <v>339</v>
      </c>
      <c r="D321" s="110" t="s">
        <v>293</v>
      </c>
      <c r="E321" s="111">
        <v>2</v>
      </c>
      <c r="F321" s="112" t="s">
        <v>52</v>
      </c>
      <c r="G321" s="102">
        <v>375000</v>
      </c>
      <c r="H321" s="102">
        <v>750000</v>
      </c>
    </row>
    <row r="322" spans="2:8" ht="45" x14ac:dyDescent="0.25">
      <c r="B322" s="1"/>
      <c r="C322" s="95" t="s">
        <v>340</v>
      </c>
      <c r="D322" s="110" t="s">
        <v>293</v>
      </c>
      <c r="E322" s="111">
        <v>1</v>
      </c>
      <c r="F322" s="112" t="s">
        <v>168</v>
      </c>
      <c r="G322" s="102">
        <v>535000</v>
      </c>
      <c r="H322" s="102">
        <v>535000</v>
      </c>
    </row>
    <row r="323" spans="2:8" ht="45" x14ac:dyDescent="0.25">
      <c r="B323" s="1"/>
      <c r="C323" s="114" t="s">
        <v>341</v>
      </c>
      <c r="D323" s="110" t="s">
        <v>293</v>
      </c>
      <c r="E323" s="111">
        <v>2</v>
      </c>
      <c r="F323" s="112" t="s">
        <v>52</v>
      </c>
      <c r="G323" s="102">
        <v>540000</v>
      </c>
      <c r="H323" s="102">
        <v>1080000</v>
      </c>
    </row>
    <row r="324" spans="2:8" x14ac:dyDescent="0.25">
      <c r="B324" s="1"/>
      <c r="C324" s="95" t="s">
        <v>338</v>
      </c>
      <c r="D324" s="110" t="s">
        <v>295</v>
      </c>
      <c r="E324" s="111">
        <v>1</v>
      </c>
      <c r="F324" s="112" t="s">
        <v>168</v>
      </c>
      <c r="G324" s="102">
        <v>5828254</v>
      </c>
      <c r="H324" s="102">
        <v>5828254</v>
      </c>
    </row>
    <row r="325" spans="2:8" x14ac:dyDescent="0.25">
      <c r="B325" s="1"/>
      <c r="C325" s="95" t="s">
        <v>342</v>
      </c>
      <c r="D325" s="110" t="s">
        <v>295</v>
      </c>
      <c r="E325" s="111">
        <v>1</v>
      </c>
      <c r="F325" s="112" t="s">
        <v>168</v>
      </c>
      <c r="G325" s="102">
        <v>33263674</v>
      </c>
      <c r="H325" s="102">
        <v>33263674</v>
      </c>
    </row>
    <row r="326" spans="2:8" x14ac:dyDescent="0.25">
      <c r="B326" s="1"/>
      <c r="C326" s="95" t="s">
        <v>233</v>
      </c>
      <c r="D326" s="110" t="s">
        <v>295</v>
      </c>
      <c r="E326" s="111">
        <v>1</v>
      </c>
      <c r="F326" s="112" t="s">
        <v>168</v>
      </c>
      <c r="G326" s="102">
        <v>779000</v>
      </c>
      <c r="H326" s="102">
        <v>779000</v>
      </c>
    </row>
    <row r="327" spans="2:8" x14ac:dyDescent="0.25">
      <c r="B327" s="1"/>
      <c r="C327" s="95" t="s">
        <v>343</v>
      </c>
      <c r="D327" s="110" t="s">
        <v>295</v>
      </c>
      <c r="E327" s="111">
        <v>1</v>
      </c>
      <c r="F327" s="112" t="s">
        <v>168</v>
      </c>
      <c r="G327" s="102">
        <v>300000</v>
      </c>
      <c r="H327" s="102">
        <v>300000</v>
      </c>
    </row>
    <row r="328" spans="2:8" ht="30" x14ac:dyDescent="0.25">
      <c r="B328" s="1"/>
      <c r="C328" s="95" t="s">
        <v>344</v>
      </c>
      <c r="D328" s="110" t="s">
        <v>295</v>
      </c>
      <c r="E328" s="111">
        <v>1</v>
      </c>
      <c r="F328" s="112" t="s">
        <v>168</v>
      </c>
      <c r="G328" s="102">
        <v>300000</v>
      </c>
      <c r="H328" s="102">
        <v>300000</v>
      </c>
    </row>
    <row r="329" spans="2:8" ht="30" x14ac:dyDescent="0.25">
      <c r="B329" s="1"/>
      <c r="C329" s="114" t="s">
        <v>48</v>
      </c>
      <c r="D329" s="110" t="s">
        <v>295</v>
      </c>
      <c r="E329" s="111">
        <v>2</v>
      </c>
      <c r="F329" s="112" t="s">
        <v>220</v>
      </c>
      <c r="G329" s="102">
        <v>160538000</v>
      </c>
      <c r="H329" s="102">
        <v>321076000</v>
      </c>
    </row>
    <row r="330" spans="2:8" x14ac:dyDescent="0.25">
      <c r="B330" s="1"/>
      <c r="C330" s="115" t="s">
        <v>233</v>
      </c>
      <c r="D330" s="110" t="s">
        <v>298</v>
      </c>
      <c r="E330" s="111">
        <v>1</v>
      </c>
      <c r="F330" s="112" t="s">
        <v>168</v>
      </c>
      <c r="G330" s="102">
        <v>779000</v>
      </c>
      <c r="H330" s="102">
        <v>779000</v>
      </c>
    </row>
    <row r="331" spans="2:8" x14ac:dyDescent="0.25">
      <c r="B331" s="1"/>
      <c r="C331" s="95" t="s">
        <v>249</v>
      </c>
      <c r="D331" s="110" t="s">
        <v>298</v>
      </c>
      <c r="E331" s="111">
        <v>1</v>
      </c>
      <c r="F331" s="112" t="s">
        <v>168</v>
      </c>
      <c r="G331" s="102">
        <v>189000</v>
      </c>
      <c r="H331" s="102">
        <v>189000</v>
      </c>
    </row>
    <row r="332" spans="2:8" x14ac:dyDescent="0.25">
      <c r="B332" s="1"/>
      <c r="C332" s="116" t="s">
        <v>345</v>
      </c>
      <c r="D332" s="110" t="s">
        <v>298</v>
      </c>
      <c r="E332" s="111">
        <v>2</v>
      </c>
      <c r="F332" s="112" t="s">
        <v>52</v>
      </c>
      <c r="G332" s="102">
        <v>250000</v>
      </c>
      <c r="H332" s="102">
        <v>500000</v>
      </c>
    </row>
    <row r="333" spans="2:8" ht="30" x14ac:dyDescent="0.25">
      <c r="B333" s="1"/>
      <c r="C333" s="115" t="s">
        <v>48</v>
      </c>
      <c r="D333" s="110" t="s">
        <v>300</v>
      </c>
      <c r="E333" s="111">
        <v>1</v>
      </c>
      <c r="F333" s="112" t="s">
        <v>220</v>
      </c>
      <c r="G333" s="102">
        <v>160538000</v>
      </c>
      <c r="H333" s="102">
        <v>160538000</v>
      </c>
    </row>
    <row r="334" spans="2:8" x14ac:dyDescent="0.25">
      <c r="B334" s="1"/>
      <c r="C334" s="95" t="s">
        <v>345</v>
      </c>
      <c r="D334" s="110" t="s">
        <v>300</v>
      </c>
      <c r="E334" s="111">
        <v>2</v>
      </c>
      <c r="F334" s="112" t="s">
        <v>52</v>
      </c>
      <c r="G334" s="102">
        <v>250000</v>
      </c>
      <c r="H334" s="102">
        <v>500000</v>
      </c>
    </row>
    <row r="335" spans="2:8" ht="45" x14ac:dyDescent="0.25">
      <c r="B335" s="1"/>
      <c r="C335" s="116" t="s">
        <v>346</v>
      </c>
      <c r="D335" s="110" t="s">
        <v>300</v>
      </c>
      <c r="E335" s="111">
        <v>1</v>
      </c>
      <c r="F335" s="112" t="s">
        <v>17</v>
      </c>
      <c r="G335" s="102">
        <v>2000000</v>
      </c>
      <c r="H335" s="102">
        <v>2000000</v>
      </c>
    </row>
    <row r="336" spans="2:8" x14ac:dyDescent="0.25">
      <c r="B336" s="1"/>
      <c r="C336" s="115" t="s">
        <v>347</v>
      </c>
      <c r="D336" s="110" t="s">
        <v>306</v>
      </c>
      <c r="E336" s="111">
        <v>1</v>
      </c>
      <c r="F336" s="112" t="s">
        <v>51</v>
      </c>
      <c r="G336" s="104">
        <v>22655000</v>
      </c>
      <c r="H336" s="104">
        <v>22655000</v>
      </c>
    </row>
    <row r="337" spans="2:8" x14ac:dyDescent="0.25">
      <c r="B337" s="1"/>
      <c r="C337" s="144" t="s">
        <v>348</v>
      </c>
      <c r="D337" s="110" t="s">
        <v>306</v>
      </c>
      <c r="E337" s="111">
        <v>1</v>
      </c>
      <c r="F337" s="112" t="s">
        <v>168</v>
      </c>
      <c r="G337" s="105"/>
      <c r="H337" s="105"/>
    </row>
    <row r="338" spans="2:8" x14ac:dyDescent="0.25">
      <c r="B338" s="1"/>
      <c r="C338" s="144" t="s">
        <v>349</v>
      </c>
      <c r="D338" s="110" t="s">
        <v>306</v>
      </c>
      <c r="E338" s="111">
        <v>2</v>
      </c>
      <c r="F338" s="112" t="s">
        <v>52</v>
      </c>
      <c r="G338" s="105"/>
      <c r="H338" s="105"/>
    </row>
    <row r="339" spans="2:8" x14ac:dyDescent="0.25">
      <c r="B339" s="1"/>
      <c r="C339" s="144" t="s">
        <v>350</v>
      </c>
      <c r="D339" s="110" t="s">
        <v>306</v>
      </c>
      <c r="E339" s="111">
        <v>2</v>
      </c>
      <c r="F339" s="112" t="s">
        <v>52</v>
      </c>
      <c r="G339" s="106"/>
      <c r="H339" s="106"/>
    </row>
    <row r="340" spans="2:8" ht="30" x14ac:dyDescent="0.25">
      <c r="B340" s="1"/>
      <c r="C340" s="113" t="s">
        <v>181</v>
      </c>
      <c r="D340" s="110" t="s">
        <v>306</v>
      </c>
      <c r="E340" s="111">
        <v>6</v>
      </c>
      <c r="F340" s="112" t="s">
        <v>52</v>
      </c>
      <c r="G340" s="117">
        <v>722000</v>
      </c>
      <c r="H340" s="117">
        <v>4332000</v>
      </c>
    </row>
    <row r="341" spans="2:8" ht="30" x14ac:dyDescent="0.25">
      <c r="B341" s="1"/>
      <c r="C341" s="113" t="s">
        <v>185</v>
      </c>
      <c r="D341" s="110" t="s">
        <v>306</v>
      </c>
      <c r="E341" s="111">
        <v>11</v>
      </c>
      <c r="F341" s="112" t="s">
        <v>52</v>
      </c>
      <c r="G341" s="117">
        <v>715000</v>
      </c>
      <c r="H341" s="117">
        <v>7865000</v>
      </c>
    </row>
    <row r="342" spans="2:8" ht="45" x14ac:dyDescent="0.25">
      <c r="B342" s="1"/>
      <c r="C342" s="113" t="s">
        <v>318</v>
      </c>
      <c r="D342" s="110" t="s">
        <v>306</v>
      </c>
      <c r="E342" s="111">
        <v>1</v>
      </c>
      <c r="F342" s="112" t="s">
        <v>168</v>
      </c>
      <c r="G342" s="117">
        <v>650000</v>
      </c>
      <c r="H342" s="117">
        <v>650000</v>
      </c>
    </row>
    <row r="343" spans="2:8" x14ac:dyDescent="0.25">
      <c r="B343" s="1"/>
      <c r="C343" s="112" t="s">
        <v>351</v>
      </c>
      <c r="D343" s="110" t="s">
        <v>306</v>
      </c>
      <c r="E343" s="111">
        <v>1</v>
      </c>
      <c r="F343" s="112" t="s">
        <v>168</v>
      </c>
      <c r="G343" s="117">
        <v>70000</v>
      </c>
      <c r="H343" s="117">
        <v>70000</v>
      </c>
    </row>
    <row r="344" spans="2:8" ht="45" x14ac:dyDescent="0.25">
      <c r="B344" s="2"/>
      <c r="C344" s="116" t="s">
        <v>346</v>
      </c>
      <c r="D344" s="118" t="s">
        <v>306</v>
      </c>
      <c r="E344" s="119">
        <v>1</v>
      </c>
      <c r="F344" s="120" t="s">
        <v>17</v>
      </c>
      <c r="G344" s="121">
        <v>2000000</v>
      </c>
      <c r="H344" s="117">
        <v>2000000</v>
      </c>
    </row>
    <row r="345" spans="2:8" ht="18.75" x14ac:dyDescent="0.25">
      <c r="B345" s="389" t="s">
        <v>5</v>
      </c>
      <c r="C345" s="372" t="s">
        <v>175</v>
      </c>
      <c r="D345" s="372" t="s">
        <v>176</v>
      </c>
      <c r="E345" s="375" t="s">
        <v>2</v>
      </c>
      <c r="F345" s="376"/>
      <c r="G345" s="366" t="s">
        <v>177</v>
      </c>
      <c r="H345" s="367"/>
    </row>
    <row r="346" spans="2:8" ht="56.25" x14ac:dyDescent="0.25">
      <c r="B346" s="392"/>
      <c r="C346" s="385"/>
      <c r="D346" s="386"/>
      <c r="E346" s="387"/>
      <c r="F346" s="388"/>
      <c r="G346" s="71" t="s">
        <v>178</v>
      </c>
      <c r="H346" s="72" t="s">
        <v>179</v>
      </c>
    </row>
    <row r="347" spans="2:8" ht="18.75" x14ac:dyDescent="0.3">
      <c r="B347" s="46" t="s">
        <v>25</v>
      </c>
      <c r="C347" s="368" t="s">
        <v>180</v>
      </c>
      <c r="D347" s="369"/>
      <c r="E347" s="369"/>
      <c r="F347" s="369"/>
      <c r="G347" s="369"/>
      <c r="H347" s="370"/>
    </row>
    <row r="348" spans="2:8" x14ac:dyDescent="0.25">
      <c r="B348" s="1"/>
      <c r="C348" s="95" t="s">
        <v>352</v>
      </c>
      <c r="D348" s="92" t="s">
        <v>293</v>
      </c>
      <c r="E348" s="100">
        <v>1</v>
      </c>
      <c r="F348" s="101" t="s">
        <v>168</v>
      </c>
      <c r="G348" s="122">
        <v>240000</v>
      </c>
      <c r="H348" s="122">
        <v>240000</v>
      </c>
    </row>
    <row r="349" spans="2:8" x14ac:dyDescent="0.25">
      <c r="B349" s="1"/>
      <c r="C349" s="95" t="s">
        <v>265</v>
      </c>
      <c r="D349" s="92" t="s">
        <v>293</v>
      </c>
      <c r="E349" s="100">
        <v>11</v>
      </c>
      <c r="F349" s="101" t="s">
        <v>52</v>
      </c>
      <c r="G349" s="122">
        <v>22000</v>
      </c>
      <c r="H349" s="122">
        <v>242000</v>
      </c>
    </row>
    <row r="350" spans="2:8" x14ac:dyDescent="0.25">
      <c r="B350" s="1"/>
      <c r="C350" s="91" t="s">
        <v>353</v>
      </c>
      <c r="D350" s="92" t="s">
        <v>293</v>
      </c>
      <c r="E350" s="100">
        <v>4</v>
      </c>
      <c r="F350" s="101" t="s">
        <v>52</v>
      </c>
      <c r="G350" s="122">
        <v>40000</v>
      </c>
      <c r="H350" s="122">
        <v>160000</v>
      </c>
    </row>
    <row r="351" spans="2:8" x14ac:dyDescent="0.25">
      <c r="B351" s="1"/>
      <c r="C351" s="91" t="s">
        <v>266</v>
      </c>
      <c r="D351" s="92" t="s">
        <v>293</v>
      </c>
      <c r="E351" s="100">
        <v>9</v>
      </c>
      <c r="F351" s="101" t="s">
        <v>52</v>
      </c>
      <c r="G351" s="122">
        <v>10000</v>
      </c>
      <c r="H351" s="122">
        <v>90000</v>
      </c>
    </row>
    <row r="352" spans="2:8" x14ac:dyDescent="0.25">
      <c r="B352" s="1"/>
      <c r="C352" s="95" t="s">
        <v>354</v>
      </c>
      <c r="D352" s="92" t="s">
        <v>293</v>
      </c>
      <c r="E352" s="100">
        <v>1</v>
      </c>
      <c r="F352" s="101" t="s">
        <v>168</v>
      </c>
      <c r="G352" s="122">
        <v>7500000</v>
      </c>
      <c r="H352" s="122">
        <v>7500000</v>
      </c>
    </row>
    <row r="353" spans="2:8" x14ac:dyDescent="0.25">
      <c r="B353" s="1"/>
      <c r="C353" s="91" t="s">
        <v>354</v>
      </c>
      <c r="D353" s="92" t="s">
        <v>293</v>
      </c>
      <c r="E353" s="100">
        <v>1</v>
      </c>
      <c r="F353" s="101" t="s">
        <v>168</v>
      </c>
      <c r="G353" s="122">
        <v>7500000</v>
      </c>
      <c r="H353" s="122">
        <v>7500000</v>
      </c>
    </row>
    <row r="354" spans="2:8" x14ac:dyDescent="0.25">
      <c r="B354" s="1"/>
      <c r="C354" s="91" t="s">
        <v>355</v>
      </c>
      <c r="D354" s="92" t="s">
        <v>293</v>
      </c>
      <c r="E354" s="100">
        <v>1</v>
      </c>
      <c r="F354" s="101" t="s">
        <v>327</v>
      </c>
      <c r="G354" s="122"/>
      <c r="H354" s="122"/>
    </row>
    <row r="355" spans="2:8" x14ac:dyDescent="0.25">
      <c r="B355" s="1"/>
      <c r="C355" s="145" t="s">
        <v>356</v>
      </c>
      <c r="D355" s="92" t="s">
        <v>293</v>
      </c>
      <c r="E355" s="100">
        <v>50</v>
      </c>
      <c r="F355" s="101" t="s">
        <v>52</v>
      </c>
      <c r="G355" s="122">
        <v>15000</v>
      </c>
      <c r="H355" s="122">
        <v>750000</v>
      </c>
    </row>
    <row r="356" spans="2:8" ht="30" x14ac:dyDescent="0.25">
      <c r="B356" s="1"/>
      <c r="C356" s="95" t="s">
        <v>48</v>
      </c>
      <c r="D356" s="92" t="s">
        <v>295</v>
      </c>
      <c r="E356" s="100">
        <v>1</v>
      </c>
      <c r="F356" s="101" t="s">
        <v>220</v>
      </c>
      <c r="G356" s="122">
        <v>160538000</v>
      </c>
      <c r="H356" s="122">
        <v>160538000</v>
      </c>
    </row>
    <row r="357" spans="2:8" x14ac:dyDescent="0.25">
      <c r="B357" s="1"/>
      <c r="C357" s="95" t="s">
        <v>357</v>
      </c>
      <c r="D357" s="92" t="s">
        <v>295</v>
      </c>
      <c r="E357" s="100">
        <v>1</v>
      </c>
      <c r="F357" s="101" t="s">
        <v>168</v>
      </c>
      <c r="G357" s="122">
        <v>69000000</v>
      </c>
      <c r="H357" s="122">
        <v>69000000</v>
      </c>
    </row>
    <row r="358" spans="2:8" x14ac:dyDescent="0.25">
      <c r="B358" s="1"/>
      <c r="C358" s="95" t="s">
        <v>358</v>
      </c>
      <c r="D358" s="92" t="s">
        <v>295</v>
      </c>
      <c r="E358" s="100">
        <v>1</v>
      </c>
      <c r="F358" s="101" t="s">
        <v>168</v>
      </c>
      <c r="G358" s="122"/>
      <c r="H358" s="122"/>
    </row>
    <row r="359" spans="2:8" x14ac:dyDescent="0.25">
      <c r="B359" s="1"/>
      <c r="C359" s="95" t="s">
        <v>359</v>
      </c>
      <c r="D359" s="92" t="s">
        <v>295</v>
      </c>
      <c r="E359" s="100">
        <v>1</v>
      </c>
      <c r="F359" s="101" t="s">
        <v>168</v>
      </c>
      <c r="G359" s="122">
        <v>7360</v>
      </c>
      <c r="H359" s="122">
        <v>7360</v>
      </c>
    </row>
    <row r="360" spans="2:8" x14ac:dyDescent="0.25">
      <c r="B360" s="1"/>
      <c r="C360" s="95" t="s">
        <v>360</v>
      </c>
      <c r="D360" s="92" t="s">
        <v>295</v>
      </c>
      <c r="E360" s="100">
        <v>8</v>
      </c>
      <c r="F360" s="101" t="s">
        <v>52</v>
      </c>
      <c r="G360" s="122">
        <v>1330000</v>
      </c>
      <c r="H360" s="122">
        <v>10640000</v>
      </c>
    </row>
    <row r="361" spans="2:8" x14ac:dyDescent="0.25">
      <c r="B361" s="1"/>
      <c r="C361" s="95" t="s">
        <v>256</v>
      </c>
      <c r="D361" s="92" t="s">
        <v>298</v>
      </c>
      <c r="E361" s="100">
        <v>2</v>
      </c>
      <c r="F361" s="101" t="s">
        <v>52</v>
      </c>
      <c r="G361" s="122">
        <v>2660000</v>
      </c>
      <c r="H361" s="122">
        <v>5320000</v>
      </c>
    </row>
    <row r="362" spans="2:8" x14ac:dyDescent="0.25">
      <c r="B362" s="1"/>
      <c r="C362" s="91" t="s">
        <v>360</v>
      </c>
      <c r="D362" s="92" t="s">
        <v>298</v>
      </c>
      <c r="E362" s="100">
        <v>8</v>
      </c>
      <c r="F362" s="101" t="s">
        <v>52</v>
      </c>
      <c r="G362" s="122">
        <v>1330000</v>
      </c>
      <c r="H362" s="122">
        <v>10640000</v>
      </c>
    </row>
    <row r="363" spans="2:8" x14ac:dyDescent="0.25">
      <c r="B363" s="1"/>
      <c r="C363" s="95" t="s">
        <v>265</v>
      </c>
      <c r="D363" s="92" t="s">
        <v>298</v>
      </c>
      <c r="E363" s="100">
        <v>9</v>
      </c>
      <c r="F363" s="101" t="s">
        <v>52</v>
      </c>
      <c r="G363" s="122">
        <v>22000</v>
      </c>
      <c r="H363" s="122">
        <v>198000</v>
      </c>
    </row>
    <row r="364" spans="2:8" x14ac:dyDescent="0.25">
      <c r="B364" s="1"/>
      <c r="C364" s="95" t="s">
        <v>353</v>
      </c>
      <c r="D364" s="92" t="s">
        <v>298</v>
      </c>
      <c r="E364" s="100">
        <v>2</v>
      </c>
      <c r="F364" s="101" t="s">
        <v>52</v>
      </c>
      <c r="G364" s="122">
        <v>40000</v>
      </c>
      <c r="H364" s="122">
        <v>80000</v>
      </c>
    </row>
    <row r="365" spans="2:8" x14ac:dyDescent="0.25">
      <c r="B365" s="1"/>
      <c r="C365" s="95" t="s">
        <v>266</v>
      </c>
      <c r="D365" s="92" t="s">
        <v>298</v>
      </c>
      <c r="E365" s="100">
        <v>8</v>
      </c>
      <c r="F365" s="101" t="s">
        <v>52</v>
      </c>
      <c r="G365" s="122">
        <v>10000</v>
      </c>
      <c r="H365" s="122">
        <v>80000</v>
      </c>
    </row>
    <row r="366" spans="2:8" ht="45" x14ac:dyDescent="0.25">
      <c r="B366" s="1"/>
      <c r="C366" s="95" t="s">
        <v>318</v>
      </c>
      <c r="D366" s="92" t="s">
        <v>300</v>
      </c>
      <c r="E366" s="100">
        <v>1</v>
      </c>
      <c r="F366" s="101" t="s">
        <v>168</v>
      </c>
      <c r="G366" s="122">
        <v>540000</v>
      </c>
      <c r="H366" s="122">
        <v>540000</v>
      </c>
    </row>
    <row r="367" spans="2:8" x14ac:dyDescent="0.25">
      <c r="B367" s="1"/>
      <c r="C367" s="91" t="s">
        <v>361</v>
      </c>
      <c r="D367" s="92" t="s">
        <v>300</v>
      </c>
      <c r="E367" s="100">
        <v>1</v>
      </c>
      <c r="F367" s="101" t="s">
        <v>17</v>
      </c>
      <c r="G367" s="122">
        <v>5000</v>
      </c>
      <c r="H367" s="122">
        <v>5000</v>
      </c>
    </row>
    <row r="368" spans="2:8" ht="45" x14ac:dyDescent="0.25">
      <c r="B368" s="1"/>
      <c r="C368" s="95" t="s">
        <v>318</v>
      </c>
      <c r="D368" s="92" t="s">
        <v>300</v>
      </c>
      <c r="E368" s="100">
        <v>1</v>
      </c>
      <c r="F368" s="101" t="s">
        <v>168</v>
      </c>
      <c r="G368" s="122">
        <v>540000</v>
      </c>
      <c r="H368" s="122">
        <v>540000</v>
      </c>
    </row>
    <row r="369" spans="2:8" ht="45" x14ac:dyDescent="0.25">
      <c r="B369" s="1"/>
      <c r="C369" s="95" t="s">
        <v>318</v>
      </c>
      <c r="D369" s="92" t="s">
        <v>300</v>
      </c>
      <c r="E369" s="100">
        <v>1</v>
      </c>
      <c r="F369" s="101" t="s">
        <v>168</v>
      </c>
      <c r="G369" s="122">
        <v>540000</v>
      </c>
      <c r="H369" s="122">
        <v>540000</v>
      </c>
    </row>
    <row r="370" spans="2:8" ht="30" x14ac:dyDescent="0.25">
      <c r="B370" s="1"/>
      <c r="C370" s="95" t="s">
        <v>230</v>
      </c>
      <c r="D370" s="92" t="s">
        <v>300</v>
      </c>
      <c r="E370" s="100">
        <v>1</v>
      </c>
      <c r="F370" s="101" t="s">
        <v>168</v>
      </c>
      <c r="G370" s="122">
        <v>525000</v>
      </c>
      <c r="H370" s="122">
        <v>525000</v>
      </c>
    </row>
    <row r="371" spans="2:8" ht="30" x14ac:dyDescent="0.25">
      <c r="B371" s="1"/>
      <c r="C371" s="95" t="s">
        <v>337</v>
      </c>
      <c r="D371" s="92" t="s">
        <v>300</v>
      </c>
      <c r="E371" s="100">
        <v>1</v>
      </c>
      <c r="F371" s="101" t="s">
        <v>168</v>
      </c>
      <c r="G371" s="122">
        <v>535000</v>
      </c>
      <c r="H371" s="122">
        <v>535000</v>
      </c>
    </row>
    <row r="372" spans="2:8" ht="30" x14ac:dyDescent="0.25">
      <c r="B372" s="1"/>
      <c r="C372" s="95" t="s">
        <v>229</v>
      </c>
      <c r="D372" s="92" t="s">
        <v>300</v>
      </c>
      <c r="E372" s="100">
        <v>1</v>
      </c>
      <c r="F372" s="101" t="s">
        <v>51</v>
      </c>
      <c r="G372" s="122">
        <v>500000</v>
      </c>
      <c r="H372" s="122">
        <v>500000</v>
      </c>
    </row>
    <row r="373" spans="2:8" ht="30" x14ac:dyDescent="0.25">
      <c r="B373" s="1"/>
      <c r="C373" s="95" t="s">
        <v>362</v>
      </c>
      <c r="D373" s="92" t="s">
        <v>300</v>
      </c>
      <c r="E373" s="100">
        <v>1</v>
      </c>
      <c r="F373" s="101" t="s">
        <v>168</v>
      </c>
      <c r="G373" s="122">
        <v>535000</v>
      </c>
      <c r="H373" s="122">
        <v>535000</v>
      </c>
    </row>
    <row r="374" spans="2:8" x14ac:dyDescent="0.25">
      <c r="B374" s="1"/>
      <c r="C374" s="91" t="s">
        <v>363</v>
      </c>
      <c r="D374" s="92" t="s">
        <v>306</v>
      </c>
      <c r="E374" s="100">
        <v>8</v>
      </c>
      <c r="F374" s="101" t="s">
        <v>52</v>
      </c>
      <c r="G374" s="122">
        <v>1330000</v>
      </c>
      <c r="H374" s="122">
        <v>10640000</v>
      </c>
    </row>
    <row r="375" spans="2:8" x14ac:dyDescent="0.25">
      <c r="B375" s="1"/>
      <c r="C375" s="123" t="s">
        <v>333</v>
      </c>
      <c r="D375" s="92" t="s">
        <v>306</v>
      </c>
      <c r="E375" s="100">
        <v>8</v>
      </c>
      <c r="F375" s="101" t="s">
        <v>17</v>
      </c>
      <c r="G375" s="122">
        <v>300000</v>
      </c>
      <c r="H375" s="122">
        <v>2400000</v>
      </c>
    </row>
    <row r="376" spans="2:8" x14ac:dyDescent="0.25">
      <c r="B376" s="1"/>
      <c r="C376" s="123" t="s">
        <v>333</v>
      </c>
      <c r="D376" s="92" t="s">
        <v>306</v>
      </c>
      <c r="E376" s="100">
        <v>1</v>
      </c>
      <c r="F376" s="101" t="s">
        <v>17</v>
      </c>
      <c r="G376" s="122">
        <v>300000</v>
      </c>
      <c r="H376" s="122">
        <v>300000</v>
      </c>
    </row>
    <row r="377" spans="2:8" ht="45" x14ac:dyDescent="0.25">
      <c r="B377" s="1"/>
      <c r="C377" s="123" t="s">
        <v>364</v>
      </c>
      <c r="D377" s="92" t="s">
        <v>306</v>
      </c>
      <c r="E377" s="100">
        <v>2</v>
      </c>
      <c r="F377" s="101" t="s">
        <v>52</v>
      </c>
      <c r="G377" s="122">
        <v>540000</v>
      </c>
      <c r="H377" s="122">
        <v>1080000</v>
      </c>
    </row>
    <row r="378" spans="2:8" x14ac:dyDescent="0.25">
      <c r="B378" s="1"/>
      <c r="C378" s="91" t="s">
        <v>359</v>
      </c>
      <c r="D378" s="92" t="s">
        <v>306</v>
      </c>
      <c r="E378" s="100">
        <v>2</v>
      </c>
      <c r="F378" s="101" t="s">
        <v>52</v>
      </c>
      <c r="G378" s="122">
        <v>7360</v>
      </c>
      <c r="H378" s="122">
        <v>14720</v>
      </c>
    </row>
    <row r="379" spans="2:8" x14ac:dyDescent="0.25">
      <c r="B379" s="1"/>
      <c r="C379" s="94" t="s">
        <v>268</v>
      </c>
      <c r="D379" s="92" t="s">
        <v>306</v>
      </c>
      <c r="E379" s="100">
        <v>2</v>
      </c>
      <c r="F379" s="101" t="s">
        <v>52</v>
      </c>
      <c r="G379" s="122">
        <v>3596000</v>
      </c>
      <c r="H379" s="122">
        <v>7192000</v>
      </c>
    </row>
    <row r="380" spans="2:8" ht="18.75" x14ac:dyDescent="0.25">
      <c r="B380" s="389" t="s">
        <v>5</v>
      </c>
      <c r="C380" s="372" t="s">
        <v>175</v>
      </c>
      <c r="D380" s="372" t="s">
        <v>176</v>
      </c>
      <c r="E380" s="375" t="s">
        <v>2</v>
      </c>
      <c r="F380" s="376"/>
      <c r="G380" s="366" t="s">
        <v>177</v>
      </c>
      <c r="H380" s="367"/>
    </row>
    <row r="381" spans="2:8" ht="56.25" x14ac:dyDescent="0.25">
      <c r="B381" s="392"/>
      <c r="C381" s="385"/>
      <c r="D381" s="386"/>
      <c r="E381" s="387"/>
      <c r="F381" s="388"/>
      <c r="G381" s="71" t="s">
        <v>178</v>
      </c>
      <c r="H381" s="72" t="s">
        <v>179</v>
      </c>
    </row>
    <row r="382" spans="2:8" ht="18.75" x14ac:dyDescent="0.3">
      <c r="B382" s="46" t="s">
        <v>25</v>
      </c>
      <c r="C382" s="368" t="s">
        <v>180</v>
      </c>
      <c r="D382" s="369"/>
      <c r="E382" s="369"/>
      <c r="F382" s="369"/>
      <c r="G382" s="369"/>
      <c r="H382" s="370"/>
    </row>
    <row r="383" spans="2:8" x14ac:dyDescent="0.25">
      <c r="B383" s="1"/>
      <c r="C383" s="124" t="s">
        <v>235</v>
      </c>
      <c r="D383" s="125" t="s">
        <v>293</v>
      </c>
      <c r="E383" s="126">
        <v>2</v>
      </c>
      <c r="F383" s="127" t="s">
        <v>52</v>
      </c>
      <c r="G383" s="122">
        <v>3420000</v>
      </c>
      <c r="H383" s="122">
        <v>6840000</v>
      </c>
    </row>
    <row r="384" spans="2:8" x14ac:dyDescent="0.25">
      <c r="B384" s="1"/>
      <c r="C384" s="124" t="s">
        <v>365</v>
      </c>
      <c r="D384" s="125" t="s">
        <v>293</v>
      </c>
      <c r="E384" s="126">
        <v>1</v>
      </c>
      <c r="F384" s="127" t="s">
        <v>17</v>
      </c>
      <c r="G384" s="122">
        <v>4000000</v>
      </c>
      <c r="H384" s="122">
        <v>4000000</v>
      </c>
    </row>
    <row r="385" spans="2:8" ht="30" x14ac:dyDescent="0.25">
      <c r="B385" s="1"/>
      <c r="C385" s="124" t="s">
        <v>195</v>
      </c>
      <c r="D385" s="125" t="s">
        <v>295</v>
      </c>
      <c r="E385" s="126">
        <v>1</v>
      </c>
      <c r="F385" s="127" t="s">
        <v>168</v>
      </c>
      <c r="G385" s="122">
        <v>4329000</v>
      </c>
      <c r="H385" s="122">
        <v>4329000</v>
      </c>
    </row>
    <row r="386" spans="2:8" x14ac:dyDescent="0.25">
      <c r="B386" s="1"/>
      <c r="C386" s="124" t="s">
        <v>297</v>
      </c>
      <c r="D386" s="125" t="s">
        <v>295</v>
      </c>
      <c r="E386" s="126">
        <v>1</v>
      </c>
      <c r="F386" s="127" t="s">
        <v>168</v>
      </c>
      <c r="G386" s="122">
        <v>17780000</v>
      </c>
      <c r="H386" s="122">
        <v>17780000</v>
      </c>
    </row>
    <row r="387" spans="2:8" x14ac:dyDescent="0.25">
      <c r="B387" s="1"/>
      <c r="C387" s="124" t="s">
        <v>355</v>
      </c>
      <c r="D387" s="125" t="s">
        <v>295</v>
      </c>
      <c r="E387" s="126"/>
      <c r="F387" s="127"/>
      <c r="G387" s="122"/>
      <c r="H387" s="122"/>
    </row>
    <row r="388" spans="2:8" x14ac:dyDescent="0.25">
      <c r="B388" s="1"/>
      <c r="C388" s="146" t="s">
        <v>366</v>
      </c>
      <c r="D388" s="125" t="s">
        <v>295</v>
      </c>
      <c r="E388" s="126">
        <v>50</v>
      </c>
      <c r="F388" s="127" t="s">
        <v>52</v>
      </c>
      <c r="G388" s="122">
        <v>15000</v>
      </c>
      <c r="H388" s="122">
        <v>750000</v>
      </c>
    </row>
    <row r="389" spans="2:8" ht="30" x14ac:dyDescent="0.25">
      <c r="B389" s="1"/>
      <c r="C389" s="124" t="s">
        <v>367</v>
      </c>
      <c r="D389" s="125" t="s">
        <v>295</v>
      </c>
      <c r="E389" s="126">
        <v>1</v>
      </c>
      <c r="F389" s="127" t="s">
        <v>168</v>
      </c>
      <c r="G389" s="122">
        <v>500000</v>
      </c>
      <c r="H389" s="122">
        <v>500000</v>
      </c>
    </row>
    <row r="390" spans="2:8" x14ac:dyDescent="0.25">
      <c r="B390" s="1"/>
      <c r="C390" s="124" t="s">
        <v>186</v>
      </c>
      <c r="D390" s="125" t="s">
        <v>300</v>
      </c>
      <c r="E390" s="126">
        <v>1</v>
      </c>
      <c r="F390" s="127" t="s">
        <v>168</v>
      </c>
      <c r="G390" s="122">
        <v>300000</v>
      </c>
      <c r="H390" s="122">
        <v>300000</v>
      </c>
    </row>
    <row r="391" spans="2:8" ht="25.5" x14ac:dyDescent="0.25">
      <c r="B391" s="1"/>
      <c r="C391" s="128" t="s">
        <v>368</v>
      </c>
      <c r="D391" s="125" t="s">
        <v>300</v>
      </c>
      <c r="E391" s="126">
        <v>1</v>
      </c>
      <c r="F391" s="127" t="s">
        <v>168</v>
      </c>
      <c r="G391" s="122">
        <v>64985000</v>
      </c>
      <c r="H391" s="122">
        <v>64985000</v>
      </c>
    </row>
    <row r="392" spans="2:8" ht="30" x14ac:dyDescent="0.25">
      <c r="B392" s="1"/>
      <c r="C392" s="124" t="s">
        <v>369</v>
      </c>
      <c r="D392" s="125" t="s">
        <v>300</v>
      </c>
      <c r="E392" s="126">
        <v>1</v>
      </c>
      <c r="F392" s="127" t="s">
        <v>168</v>
      </c>
      <c r="G392" s="122">
        <v>53592000</v>
      </c>
      <c r="H392" s="122">
        <v>53592000</v>
      </c>
    </row>
    <row r="393" spans="2:8" x14ac:dyDescent="0.25">
      <c r="B393" s="1"/>
      <c r="C393" s="128" t="s">
        <v>227</v>
      </c>
      <c r="D393" s="125" t="s">
        <v>306</v>
      </c>
      <c r="E393" s="126">
        <v>1</v>
      </c>
      <c r="F393" s="127" t="s">
        <v>168</v>
      </c>
      <c r="G393" s="122">
        <v>85000</v>
      </c>
      <c r="H393" s="122">
        <v>85000</v>
      </c>
    </row>
    <row r="394" spans="2:8" x14ac:dyDescent="0.25">
      <c r="B394" s="1"/>
      <c r="C394" s="129" t="s">
        <v>186</v>
      </c>
      <c r="D394" s="125" t="s">
        <v>306</v>
      </c>
      <c r="E394" s="126">
        <v>2</v>
      </c>
      <c r="F394" s="127" t="s">
        <v>52</v>
      </c>
      <c r="G394" s="122">
        <v>300000</v>
      </c>
      <c r="H394" s="122">
        <v>600000</v>
      </c>
    </row>
    <row r="395" spans="2:8" ht="30" x14ac:dyDescent="0.25">
      <c r="B395" s="1"/>
      <c r="C395" s="129" t="s">
        <v>370</v>
      </c>
      <c r="D395" s="125" t="s">
        <v>306</v>
      </c>
      <c r="E395" s="126">
        <v>1</v>
      </c>
      <c r="F395" s="127" t="s">
        <v>168</v>
      </c>
      <c r="G395" s="122">
        <v>1643000</v>
      </c>
      <c r="H395" s="122">
        <v>1643000</v>
      </c>
    </row>
  </sheetData>
  <mergeCells count="99">
    <mergeCell ref="C382:H382"/>
    <mergeCell ref="B5:B6"/>
    <mergeCell ref="B33:B36"/>
    <mergeCell ref="B47:B48"/>
    <mergeCell ref="B74:B75"/>
    <mergeCell ref="B101:B102"/>
    <mergeCell ref="B127:B128"/>
    <mergeCell ref="B153:B154"/>
    <mergeCell ref="B175:B176"/>
    <mergeCell ref="B220:B221"/>
    <mergeCell ref="B246:B247"/>
    <mergeCell ref="B283:B284"/>
    <mergeCell ref="B317:B318"/>
    <mergeCell ref="B345:B346"/>
    <mergeCell ref="B380:B381"/>
    <mergeCell ref="C5:C6"/>
    <mergeCell ref="G317:H317"/>
    <mergeCell ref="C319:H319"/>
    <mergeCell ref="G345:H345"/>
    <mergeCell ref="C347:H347"/>
    <mergeCell ref="G380:H380"/>
    <mergeCell ref="C317:C318"/>
    <mergeCell ref="C345:C346"/>
    <mergeCell ref="C380:C381"/>
    <mergeCell ref="D317:D318"/>
    <mergeCell ref="D345:D346"/>
    <mergeCell ref="D380:D381"/>
    <mergeCell ref="E345:F346"/>
    <mergeCell ref="E380:F381"/>
    <mergeCell ref="E317:F318"/>
    <mergeCell ref="C222:H222"/>
    <mergeCell ref="G246:H246"/>
    <mergeCell ref="C248:H248"/>
    <mergeCell ref="G283:H283"/>
    <mergeCell ref="C285:H285"/>
    <mergeCell ref="C246:C247"/>
    <mergeCell ref="C283:C284"/>
    <mergeCell ref="D246:D247"/>
    <mergeCell ref="D283:D284"/>
    <mergeCell ref="E283:F284"/>
    <mergeCell ref="E246:F247"/>
    <mergeCell ref="B216:G216"/>
    <mergeCell ref="B217:G217"/>
    <mergeCell ref="B218:G218"/>
    <mergeCell ref="B219:G219"/>
    <mergeCell ref="G220:H220"/>
    <mergeCell ref="C220:C221"/>
    <mergeCell ref="D220:D221"/>
    <mergeCell ref="E220:F221"/>
    <mergeCell ref="B172:G172"/>
    <mergeCell ref="B173:G173"/>
    <mergeCell ref="B174:G174"/>
    <mergeCell ref="G175:H175"/>
    <mergeCell ref="C177:H177"/>
    <mergeCell ref="C175:C176"/>
    <mergeCell ref="D175:D176"/>
    <mergeCell ref="E175:F176"/>
    <mergeCell ref="B148:G148"/>
    <mergeCell ref="B152:E152"/>
    <mergeCell ref="G153:H153"/>
    <mergeCell ref="C155:H155"/>
    <mergeCell ref="B171:G171"/>
    <mergeCell ref="C153:C154"/>
    <mergeCell ref="D153:D154"/>
    <mergeCell ref="E153:F154"/>
    <mergeCell ref="G127:H127"/>
    <mergeCell ref="C129:H129"/>
    <mergeCell ref="B145:G145"/>
    <mergeCell ref="B146:G146"/>
    <mergeCell ref="B147:G147"/>
    <mergeCell ref="C127:C128"/>
    <mergeCell ref="D127:D128"/>
    <mergeCell ref="E127:F128"/>
    <mergeCell ref="B96:G96"/>
    <mergeCell ref="B100:E100"/>
    <mergeCell ref="G101:H101"/>
    <mergeCell ref="C103:H103"/>
    <mergeCell ref="B126:E126"/>
    <mergeCell ref="C101:C102"/>
    <mergeCell ref="D101:D102"/>
    <mergeCell ref="E101:F102"/>
    <mergeCell ref="G74:H74"/>
    <mergeCell ref="C76:H76"/>
    <mergeCell ref="B93:G93"/>
    <mergeCell ref="B94:G94"/>
    <mergeCell ref="B95:G95"/>
    <mergeCell ref="C74:C75"/>
    <mergeCell ref="D74:D75"/>
    <mergeCell ref="E74:F75"/>
    <mergeCell ref="G5:H5"/>
    <mergeCell ref="C7:H7"/>
    <mergeCell ref="G47:H47"/>
    <mergeCell ref="C49:H49"/>
    <mergeCell ref="B73:E73"/>
    <mergeCell ref="C47:C48"/>
    <mergeCell ref="D5:D6"/>
    <mergeCell ref="D47:D48"/>
    <mergeCell ref="E47:F48"/>
    <mergeCell ref="E5:F6"/>
  </mergeCells>
  <conditionalFormatting sqref="B1:H1048576">
    <cfRule type="containsText" dxfId="7" priority="1" operator="containsText" text="Rewinding Stator Exciter">
      <formula>NOT(ISERROR(SEARCH("Rewinding Stator Exciter",B1)))</formula>
    </cfRule>
    <cfRule type="containsText" dxfId="6" priority="2" operator="containsText" text="Separator Filter RK 22788 Merek Racor">
      <formula>NOT(ISERROR(SEARCH("Separator Filter RK 22788 Merek Racor",B1)))</formula>
    </cfRule>
    <cfRule type="containsText" dxfId="5" priority="3" operator="containsText" text="Water Separator Element 2020 PM Merek PARKER">
      <formula>NOT(ISERROR(SEARCH("Water Separator Element 2020 PM Merek PARKER",B1)))</formula>
    </cfRule>
    <cfRule type="containsText" dxfId="4" priority="4" operator="containsText" text="Fuel/Water Separator Filter Pn. 0756 Merek CAT">
      <formula>NOT(ISERROR(SEARCH("Fuel/Water Separator Filter Pn. 0756 Merek CAT",B1)))</formula>
    </cfRule>
    <cfRule type="containsText" dxfId="3" priority="5" operator="containsText" text="Engine Oil Filter Pn. 0726 Merek CAT">
      <formula>NOT(ISERROR(SEARCH("Engine Oil Filter Pn. 0726 Merek CAT",B1)))</formula>
    </cfRule>
    <cfRule type="containsText" dxfId="2" priority="6" operator="containsText" text="Fuel Filter Water Separator Pn. 326-1641 Merek CAT">
      <formula>NOT(ISERROR(SEARCH("Fuel Filter Water Separator Pn. 326-1641 Merek CAT",B1)))</formula>
    </cfRule>
    <cfRule type="containsText" dxfId="1" priority="7" operator="containsText" text="Fuel Filter Pn. 1R-0749 Merek CAT">
      <formula>NOT(ISERROR(SEARCH("Fuel Filter Pn. 1R-0749 Merek CAT",B1)))</formula>
    </cfRule>
  </conditionalFormatting>
  <conditionalFormatting sqref="B5:B14 D5:H14 C5:C13 B15:H395">
    <cfRule type="containsText" dxfId="0" priority="8" operator="containsText" text="Engine Oil Filter Pn. 1R-1808 Merek CAT">
      <formula>NOT(ISERROR(SEARCH("Engine Oil Filter Pn. 1R-1808 Merek CAT",B5)))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4:J42"/>
  <sheetViews>
    <sheetView topLeftCell="A4" zoomScale="70" zoomScaleNormal="70" zoomScaleSheetLayoutView="100" workbookViewId="0">
      <selection activeCell="G40" sqref="G40"/>
    </sheetView>
  </sheetViews>
  <sheetFormatPr defaultColWidth="9" defaultRowHeight="15.75" x14ac:dyDescent="0.25"/>
  <cols>
    <col min="1" max="1" width="4.625" customWidth="1"/>
    <col min="2" max="2" width="46.625" customWidth="1"/>
    <col min="3" max="3" width="5.125" customWidth="1"/>
    <col min="4" max="4" width="4.625" customWidth="1"/>
    <col min="5" max="5" width="21.625" customWidth="1"/>
    <col min="6" max="6" width="17.625" customWidth="1"/>
    <col min="7" max="7" width="18" customWidth="1"/>
    <col min="8" max="8" width="17.5" bestFit="1" customWidth="1"/>
    <col min="9" max="9" width="16.5" bestFit="1" customWidth="1"/>
  </cols>
  <sheetData>
    <row r="4" spans="1:9" x14ac:dyDescent="0.25">
      <c r="A4" s="360" t="s">
        <v>548</v>
      </c>
      <c r="B4" s="360"/>
      <c r="C4" s="360"/>
      <c r="D4" s="360"/>
      <c r="E4" s="360"/>
      <c r="F4" s="360"/>
      <c r="G4" s="360"/>
    </row>
    <row r="5" spans="1:9" ht="15.6" customHeight="1" x14ac:dyDescent="0.25">
      <c r="A5" s="361" t="str">
        <f>'RAB print'!A2:G2</f>
        <v>PEKERJAAN KONTRAK PEMELIHARAAN ALAT BONGKAR MUAT</v>
      </c>
      <c r="B5" s="361"/>
      <c r="C5" s="361"/>
      <c r="D5" s="361"/>
      <c r="E5" s="361"/>
      <c r="F5" s="361"/>
      <c r="G5" s="361"/>
    </row>
    <row r="6" spans="1:9" ht="15.6" customHeight="1" x14ac:dyDescent="0.25">
      <c r="A6" s="361" t="str">
        <f>'RAB print'!A3:G3</f>
        <v>DI PT PRIMA TERMINAL PETIKEMAS</v>
      </c>
      <c r="B6" s="361"/>
      <c r="C6" s="361"/>
      <c r="D6" s="361"/>
      <c r="E6" s="361"/>
      <c r="F6" s="361"/>
      <c r="G6" s="361"/>
    </row>
    <row r="7" spans="1:9" x14ac:dyDescent="0.25">
      <c r="A7" s="399" t="s">
        <v>5</v>
      </c>
      <c r="B7" s="399" t="s">
        <v>1</v>
      </c>
      <c r="C7" s="399"/>
      <c r="D7" s="399"/>
      <c r="E7" s="159" t="s">
        <v>549</v>
      </c>
      <c r="F7" s="159" t="s">
        <v>550</v>
      </c>
      <c r="G7" s="159" t="s">
        <v>548</v>
      </c>
    </row>
    <row r="8" spans="1:9" ht="31.5" x14ac:dyDescent="0.25">
      <c r="A8" s="399"/>
      <c r="B8" s="399"/>
      <c r="C8" s="399"/>
      <c r="D8" s="399"/>
      <c r="E8" s="160" t="s">
        <v>440</v>
      </c>
      <c r="F8" s="160" t="s">
        <v>440</v>
      </c>
      <c r="G8" s="160" t="s">
        <v>440</v>
      </c>
    </row>
    <row r="9" spans="1:9" x14ac:dyDescent="0.25">
      <c r="A9" s="161">
        <v>1</v>
      </c>
      <c r="B9" s="398" t="s">
        <v>441</v>
      </c>
      <c r="C9" s="398"/>
      <c r="D9" s="398"/>
      <c r="E9" s="398"/>
      <c r="F9" s="398"/>
      <c r="G9" s="398"/>
      <c r="H9" s="301"/>
    </row>
    <row r="10" spans="1:9" x14ac:dyDescent="0.25">
      <c r="A10" s="161"/>
      <c r="B10" s="397" t="s">
        <v>156</v>
      </c>
      <c r="C10" s="397"/>
      <c r="D10" s="397"/>
      <c r="E10" s="162">
        <f>'RAB print'!G9</f>
        <v>1468254000</v>
      </c>
      <c r="F10" s="162">
        <f>'RAB print'!K9</f>
        <v>1445250000</v>
      </c>
      <c r="G10" s="162">
        <f>'RAB print'!O9</f>
        <v>1389930000</v>
      </c>
      <c r="H10" s="301">
        <f>G13/6</f>
        <v>291807000</v>
      </c>
      <c r="I10" s="301">
        <f>H10*1.1</f>
        <v>320987700</v>
      </c>
    </row>
    <row r="11" spans="1:9" x14ac:dyDescent="0.25">
      <c r="A11" s="161"/>
      <c r="B11" s="406" t="s">
        <v>371</v>
      </c>
      <c r="C11" s="397"/>
      <c r="D11" s="397"/>
      <c r="E11" s="162">
        <f>'RAB print'!G10</f>
        <v>59437980</v>
      </c>
      <c r="F11" s="162">
        <f>'RAB print'!K10</f>
        <v>58788000</v>
      </c>
      <c r="G11" s="162">
        <f>'RAB print'!O10</f>
        <v>58788000</v>
      </c>
    </row>
    <row r="12" spans="1:9" x14ac:dyDescent="0.25">
      <c r="A12" s="161"/>
      <c r="B12" s="397" t="s">
        <v>158</v>
      </c>
      <c r="C12" s="397"/>
      <c r="D12" s="397"/>
      <c r="E12" s="162">
        <f>'RAB print'!G11</f>
        <v>317412000</v>
      </c>
      <c r="F12" s="162">
        <f>'RAB print'!K11</f>
        <v>312830000</v>
      </c>
      <c r="G12" s="162">
        <f>'RAB print'!O11</f>
        <v>302124000</v>
      </c>
    </row>
    <row r="13" spans="1:9" x14ac:dyDescent="0.25">
      <c r="A13" s="408" t="s">
        <v>372</v>
      </c>
      <c r="B13" s="408"/>
      <c r="C13" s="408"/>
      <c r="D13" s="408"/>
      <c r="E13" s="163">
        <f>SUM(E10:E12)</f>
        <v>1845103980</v>
      </c>
      <c r="F13" s="164">
        <f>SUM(F10:F12)</f>
        <v>1816868000</v>
      </c>
      <c r="G13" s="164">
        <f>SUM(G10:G12)</f>
        <v>1750842000</v>
      </c>
      <c r="H13" s="276">
        <f>G13*1.1</f>
        <v>1925926200.0000002</v>
      </c>
      <c r="I13" s="301">
        <f>G13*1.1</f>
        <v>1925926200.0000002</v>
      </c>
    </row>
    <row r="14" spans="1:9" x14ac:dyDescent="0.25">
      <c r="A14" s="161">
        <v>2</v>
      </c>
      <c r="B14" s="409" t="s">
        <v>373</v>
      </c>
      <c r="C14" s="409"/>
      <c r="D14" s="409"/>
      <c r="E14" s="409"/>
      <c r="F14" s="409"/>
      <c r="G14" s="409"/>
      <c r="H14" s="277"/>
    </row>
    <row r="15" spans="1:9" x14ac:dyDescent="0.25">
      <c r="A15" s="161"/>
      <c r="B15" s="406" t="s">
        <v>374</v>
      </c>
      <c r="C15" s="397"/>
      <c r="D15" s="397"/>
      <c r="E15" s="162">
        <f>'RAB print'!G50</f>
        <v>929155100</v>
      </c>
      <c r="F15" s="162">
        <f>'RAB print'!K50</f>
        <v>929155100</v>
      </c>
      <c r="G15" s="162">
        <f>'RAB print'!O50</f>
        <v>929155100</v>
      </c>
      <c r="H15" s="276">
        <f>SUM(H13,H18)</f>
        <v>3210508200</v>
      </c>
      <c r="I15" s="301"/>
    </row>
    <row r="16" spans="1:9" x14ac:dyDescent="0.25">
      <c r="A16" s="161"/>
      <c r="B16" s="397" t="s">
        <v>161</v>
      </c>
      <c r="C16" s="397"/>
      <c r="D16" s="397"/>
      <c r="E16" s="162">
        <f>'RAB print'!G223</f>
        <v>163377000</v>
      </c>
      <c r="F16" s="162">
        <f>'RAB print'!K223</f>
        <v>163216100</v>
      </c>
      <c r="G16" s="162">
        <f>'RAB print'!O223</f>
        <v>162532950</v>
      </c>
    </row>
    <row r="17" spans="1:10" x14ac:dyDescent="0.25">
      <c r="A17" s="161"/>
      <c r="B17" s="397" t="s">
        <v>162</v>
      </c>
      <c r="C17" s="397"/>
      <c r="D17" s="397"/>
      <c r="E17" s="162">
        <f>'RAB print'!G258</f>
        <v>78513600</v>
      </c>
      <c r="F17" s="162">
        <f>'RAB print'!K258</f>
        <v>77313600</v>
      </c>
      <c r="G17" s="162">
        <f>'RAB print'!O258</f>
        <v>76113600</v>
      </c>
    </row>
    <row r="18" spans="1:10" x14ac:dyDescent="0.25">
      <c r="A18" s="408" t="s">
        <v>375</v>
      </c>
      <c r="B18" s="408"/>
      <c r="C18" s="408"/>
      <c r="D18" s="408"/>
      <c r="E18" s="163">
        <f>SUM(E15:E17)</f>
        <v>1171045700</v>
      </c>
      <c r="F18" s="163">
        <f>SUM(F15:F17)</f>
        <v>1169684800</v>
      </c>
      <c r="G18" s="164">
        <f>SUM(G15:G17)</f>
        <v>1167801650</v>
      </c>
      <c r="H18" s="276">
        <f>ROUNDUP(G18*1.1,-3)</f>
        <v>1284582000</v>
      </c>
      <c r="I18" s="301">
        <f>G18*1.1</f>
        <v>1284581815</v>
      </c>
    </row>
    <row r="19" spans="1:10" x14ac:dyDescent="0.25">
      <c r="A19" s="407" t="s">
        <v>506</v>
      </c>
      <c r="B19" s="407"/>
      <c r="C19" s="407"/>
      <c r="D19" s="407"/>
      <c r="E19" s="164">
        <f>+E13+E18</f>
        <v>3016149680</v>
      </c>
      <c r="F19" s="164">
        <f>SUM(F13+F18)</f>
        <v>2986552800</v>
      </c>
      <c r="G19" s="164">
        <f>SUM(G13+G18)</f>
        <v>2918643650</v>
      </c>
    </row>
    <row r="20" spans="1:10" x14ac:dyDescent="0.25">
      <c r="A20" s="407" t="s">
        <v>45</v>
      </c>
      <c r="B20" s="407"/>
      <c r="C20" s="407"/>
      <c r="D20" s="407"/>
      <c r="E20" s="164">
        <f>E19*0.1</f>
        <v>301614968</v>
      </c>
      <c r="F20" s="164">
        <f>F19*10%</f>
        <v>298655280</v>
      </c>
      <c r="G20" s="164">
        <f>G19*10%</f>
        <v>291864365</v>
      </c>
    </row>
    <row r="21" spans="1:10" x14ac:dyDescent="0.25">
      <c r="A21" s="407" t="s">
        <v>164</v>
      </c>
      <c r="B21" s="407"/>
      <c r="C21" s="407"/>
      <c r="D21" s="407"/>
      <c r="E21" s="164">
        <f>E19+E20</f>
        <v>3317764648</v>
      </c>
      <c r="F21" s="164">
        <f t="shared" ref="F21" si="0">F19+F20</f>
        <v>3285208080</v>
      </c>
      <c r="G21" s="164">
        <f>G19+G20</f>
        <v>3210508015</v>
      </c>
    </row>
    <row r="22" spans="1:10" s="147" customFormat="1" x14ac:dyDescent="0.25">
      <c r="A22" s="407" t="s">
        <v>546</v>
      </c>
      <c r="B22" s="407"/>
      <c r="C22" s="407"/>
      <c r="D22" s="407"/>
      <c r="E22" s="164">
        <f>ROUNDUP(E21,-3)</f>
        <v>3317765000</v>
      </c>
      <c r="F22" s="164">
        <f t="shared" ref="F22" si="1">ROUNDUP(F21,-3)</f>
        <v>3285209000</v>
      </c>
      <c r="G22" s="164">
        <f>ROUNDUP(G21,-3)</f>
        <v>3210509000</v>
      </c>
      <c r="H22" s="276">
        <f>E22-G22</f>
        <v>107256000</v>
      </c>
    </row>
    <row r="23" spans="1:10" s="147" customFormat="1" x14ac:dyDescent="0.25">
      <c r="A23" s="393" t="s">
        <v>165</v>
      </c>
      <c r="B23" s="394"/>
      <c r="C23" s="394"/>
      <c r="D23" s="394"/>
      <c r="E23" s="395"/>
      <c r="F23" s="335"/>
      <c r="G23" s="335"/>
      <c r="H23" s="276"/>
    </row>
    <row r="24" spans="1:10" ht="15.75" customHeight="1" x14ac:dyDescent="0.25">
      <c r="A24" s="400" t="str">
        <f>PROPER(IF(E22=0,"nol",IF(E22&lt;0,"minus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22),"000000000000000"),1,3)=0,"",MID(TEXT(ABS(E22),"000000000000000"),1,1)&amp;" ratus "&amp;MID(TEXT(ABS(E22),"000000000000000"),2,1)&amp;" puluh "&amp;MID(TEXT(ABS(E22),"000000000000000"),3,1)&amp;" trilyun ")&amp;IF(--MID(TEXT(ABS(E22),"000000000000000"),4,3)=0,"",MID(TEXT(ABS(E22),"000000000000000"),4,1)&amp;" ratus "&amp;MID(TEXT(ABS(E22),"000000000000000"),5,1)&amp;" puluh "&amp;MID(TEXT(ABS(E22),"000000000000000"),6,1)&amp;" milyar ")&amp;IF(--MID(TEXT(ABS(E22),"000000000000000"),7,3)=0,"",MID(TEXT(ABS(E22),"000000000000000"),7,1)&amp;" ratus "&amp;MID(TEXT(ABS(E22),"000000000000000"),8,1)&amp;" puluh "&amp;MID(TEXT(ABS(E22),"000000000000000"),9,1)&amp;" juta ")&amp;IF(--MID(TEXT(ABS(E22),"000000000000000"),10,3)=0,"",IF(--MID(TEXT(ABS(E22),"000000000000000"),10,3)=1,"*",MID(TEXT(ABS(E22),"000000000000000"),10,1)&amp;" ratus "&amp;MID(TEXT(ABS(E22),"000000000000000"),11,1)&amp;" puluh ")&amp;MID(TEXT(ABS(E22),"000000000000000"),12,1)&amp;" ribu ")&amp;IF(--MID(TEXT(ABS(E22),"000000000000000"),13,3)=0,"",MID(TEXT(ABS(E22),"000000000000000"),13,1)&amp;" ratus "&amp;MID(TEXT(ABS(E22),"000000000000000"),14,1)&amp;" puluh "&amp;MID(TEXT(ABS(E22),"000000000000000"),15,1)),1,"satu"),2,"dua"),3,"tiga"),4,"empat"),5,"lima"),6,"enam"),7,"tujuh"),8,"delapan"),9,"sembilan"),"0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Tiga Milyar Tiga Ratus Tujuhbelas Juta Tujuh Ratus Enam Puluh Lima Ribu Rupiah</v>
      </c>
      <c r="B24" s="401"/>
      <c r="C24" s="401"/>
      <c r="D24" s="401"/>
      <c r="E24" s="402"/>
      <c r="G24" s="277"/>
    </row>
    <row r="25" spans="1:10" x14ac:dyDescent="0.25">
      <c r="A25" s="403"/>
      <c r="B25" s="404"/>
      <c r="C25" s="404"/>
      <c r="D25" s="404"/>
      <c r="E25" s="405"/>
      <c r="G25" s="277"/>
    </row>
    <row r="26" spans="1:10" s="147" customFormat="1" x14ac:dyDescent="0.25">
      <c r="A26" s="149"/>
      <c r="B26" s="149"/>
      <c r="C26" s="149"/>
      <c r="D26" s="149"/>
      <c r="E26" s="149"/>
    </row>
    <row r="27" spans="1:10" x14ac:dyDescent="0.25">
      <c r="F27" s="396" t="s">
        <v>508</v>
      </c>
      <c r="G27" s="396"/>
      <c r="H27" s="140"/>
    </row>
    <row r="28" spans="1:10" ht="18" x14ac:dyDescent="0.25">
      <c r="A28" s="311"/>
      <c r="B28" s="311"/>
      <c r="C28" s="310"/>
      <c r="D28" s="311"/>
      <c r="E28" s="312"/>
      <c r="F28" s="313"/>
      <c r="G28" s="314"/>
      <c r="H28" s="315"/>
    </row>
    <row r="29" spans="1:10" x14ac:dyDescent="0.25">
      <c r="A29" s="321"/>
      <c r="B29" s="321"/>
      <c r="C29" s="316"/>
      <c r="D29" s="148"/>
      <c r="E29" s="6"/>
      <c r="F29" s="6"/>
      <c r="G29" s="6"/>
      <c r="H29" s="137"/>
    </row>
    <row r="30" spans="1:10" x14ac:dyDescent="0.25">
      <c r="A30" s="321"/>
      <c r="B30" s="321"/>
      <c r="C30" s="316"/>
      <c r="D30" s="148"/>
      <c r="E30" s="6"/>
      <c r="F30" s="6"/>
      <c r="G30" s="6"/>
      <c r="H30" s="137"/>
    </row>
    <row r="31" spans="1:10" x14ac:dyDescent="0.25">
      <c r="A31" s="140"/>
      <c r="B31" s="321"/>
      <c r="C31" s="6"/>
      <c r="D31" s="148"/>
      <c r="E31" s="6"/>
      <c r="F31" s="317"/>
      <c r="G31" s="6"/>
      <c r="H31" s="137"/>
    </row>
    <row r="32" spans="1:10" x14ac:dyDescent="0.25">
      <c r="A32" s="140"/>
      <c r="B32" s="321"/>
      <c r="C32" s="6"/>
      <c r="D32" s="148"/>
      <c r="E32" s="6"/>
      <c r="F32" s="317"/>
      <c r="H32" s="6"/>
      <c r="I32" s="6"/>
      <c r="J32" s="6"/>
    </row>
    <row r="33" spans="1:10" x14ac:dyDescent="0.25">
      <c r="A33" s="140"/>
      <c r="B33" s="140"/>
      <c r="C33" s="6"/>
      <c r="D33" s="148"/>
      <c r="E33" s="6"/>
      <c r="F33" s="6"/>
      <c r="H33" s="6"/>
      <c r="I33" s="6"/>
      <c r="J33" s="6"/>
    </row>
    <row r="34" spans="1:10" x14ac:dyDescent="0.25">
      <c r="A34" s="140"/>
      <c r="B34" s="322"/>
      <c r="C34" s="6"/>
      <c r="D34" s="148"/>
      <c r="E34" s="6"/>
      <c r="F34" s="6"/>
      <c r="H34" s="6"/>
      <c r="I34" s="319"/>
      <c r="J34" s="6"/>
    </row>
    <row r="35" spans="1:10" ht="15.75" customHeight="1" x14ac:dyDescent="0.25">
      <c r="A35" s="322"/>
      <c r="B35" s="322"/>
      <c r="C35" s="6"/>
      <c r="D35" s="148"/>
      <c r="E35" s="6"/>
      <c r="F35" s="317"/>
      <c r="H35" s="6"/>
      <c r="I35" s="319"/>
      <c r="J35" s="317"/>
    </row>
    <row r="36" spans="1:10" x14ac:dyDescent="0.25">
      <c r="A36" s="140"/>
      <c r="B36" s="322"/>
      <c r="C36" s="6"/>
      <c r="D36" s="148"/>
      <c r="E36" s="6"/>
      <c r="F36" s="317"/>
      <c r="H36" s="6"/>
      <c r="I36" s="319"/>
      <c r="J36" s="317"/>
    </row>
    <row r="37" spans="1:10" x14ac:dyDescent="0.25">
      <c r="A37" s="140"/>
      <c r="B37" s="140"/>
      <c r="C37" s="6"/>
      <c r="D37" s="148"/>
      <c r="E37" s="6"/>
      <c r="F37" s="6"/>
      <c r="H37" s="6"/>
      <c r="I37" s="319"/>
      <c r="J37" s="6"/>
    </row>
    <row r="38" spans="1:10" x14ac:dyDescent="0.25">
      <c r="A38" s="147"/>
      <c r="B38" s="318"/>
      <c r="C38" s="6"/>
      <c r="D38" s="148"/>
      <c r="E38" s="6"/>
      <c r="F38" s="6"/>
      <c r="H38" s="6"/>
      <c r="I38" s="319"/>
      <c r="J38" s="6"/>
    </row>
    <row r="39" spans="1:10" x14ac:dyDescent="0.25">
      <c r="A39" s="147"/>
      <c r="B39" s="6"/>
      <c r="C39" s="6"/>
      <c r="D39" s="6"/>
      <c r="E39" s="6"/>
      <c r="F39" s="319"/>
      <c r="H39" s="6"/>
      <c r="I39" s="319"/>
      <c r="J39" s="319"/>
    </row>
    <row r="40" spans="1:10" x14ac:dyDescent="0.25">
      <c r="A40" s="147"/>
      <c r="B40" s="6"/>
      <c r="C40" s="6"/>
      <c r="D40" s="6"/>
      <c r="E40" s="6"/>
      <c r="F40" s="319"/>
      <c r="H40" s="6"/>
      <c r="I40" s="319"/>
      <c r="J40" s="319"/>
    </row>
    <row r="41" spans="1:10" x14ac:dyDescent="0.25">
      <c r="A41" s="147"/>
      <c r="B41" s="6"/>
      <c r="C41" s="6"/>
      <c r="D41" s="6"/>
      <c r="E41" s="6"/>
      <c r="F41" s="6"/>
      <c r="H41" s="6"/>
      <c r="I41" s="319"/>
      <c r="J41" s="6"/>
    </row>
    <row r="42" spans="1:10" x14ac:dyDescent="0.25">
      <c r="B42" s="6"/>
      <c r="C42" s="33"/>
      <c r="D42" s="6"/>
      <c r="E42" s="6"/>
      <c r="F42" s="6"/>
      <c r="G42" s="6"/>
      <c r="H42" s="6"/>
      <c r="I42" s="6"/>
      <c r="J42" s="6"/>
    </row>
  </sheetData>
  <mergeCells count="22">
    <mergeCell ref="B12:D12"/>
    <mergeCell ref="A20:D20"/>
    <mergeCell ref="A21:D21"/>
    <mergeCell ref="A13:D13"/>
    <mergeCell ref="A18:D18"/>
    <mergeCell ref="B14:G14"/>
    <mergeCell ref="A23:E23"/>
    <mergeCell ref="F27:G27"/>
    <mergeCell ref="B10:D10"/>
    <mergeCell ref="A4:G4"/>
    <mergeCell ref="A5:G5"/>
    <mergeCell ref="A6:G6"/>
    <mergeCell ref="B9:G9"/>
    <mergeCell ref="A7:A8"/>
    <mergeCell ref="B7:D8"/>
    <mergeCell ref="A24:E25"/>
    <mergeCell ref="B15:D15"/>
    <mergeCell ref="B16:D16"/>
    <mergeCell ref="B17:D17"/>
    <mergeCell ref="A19:D19"/>
    <mergeCell ref="A22:D22"/>
    <mergeCell ref="B11:D11"/>
  </mergeCells>
  <printOptions horizontalCentered="1"/>
  <pageMargins left="3.937007874015748E-2" right="0" top="0.35433070866141736" bottom="0" header="0.27559055118110237" footer="0.15748031496062992"/>
  <pageSetup paperSize="9" scale="94"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U367"/>
  <sheetViews>
    <sheetView tabSelected="1" zoomScale="70" zoomScaleNormal="70" zoomScaleSheetLayoutView="66" workbookViewId="0">
      <selection activeCell="O20" sqref="O20"/>
    </sheetView>
  </sheetViews>
  <sheetFormatPr defaultColWidth="9" defaultRowHeight="15.75" x14ac:dyDescent="0.25"/>
  <cols>
    <col min="1" max="1" width="5.125" style="6" customWidth="1"/>
    <col min="2" max="2" width="39" style="6" customWidth="1"/>
    <col min="3" max="3" width="32.125" style="6" customWidth="1"/>
    <col min="4" max="4" width="7.5" style="33" customWidth="1"/>
    <col min="5" max="5" width="9.75" style="6" bestFit="1" customWidth="1"/>
    <col min="6" max="6" width="20" style="6" bestFit="1" customWidth="1"/>
    <col min="7" max="7" width="22.5" style="6" bestFit="1" customWidth="1"/>
    <col min="8" max="8" width="7.625" style="6" customWidth="1"/>
    <col min="9" max="9" width="9.75" style="6" bestFit="1" customWidth="1"/>
    <col min="10" max="10" width="17.125" style="139" customWidth="1"/>
    <col min="11" max="11" width="24.125" style="6" customWidth="1"/>
    <col min="12" max="12" width="7.625" style="6" customWidth="1"/>
    <col min="13" max="13" width="9.75" style="6" bestFit="1" customWidth="1"/>
    <col min="14" max="14" width="15.5" style="6" customWidth="1"/>
    <col min="15" max="15" width="22.5" style="6" bestFit="1" customWidth="1"/>
    <col min="16" max="16" width="13.5" style="15" bestFit="1" customWidth="1"/>
    <col min="17" max="17" width="14.625" style="15" bestFit="1" customWidth="1"/>
    <col min="18" max="19" width="9" style="15"/>
    <col min="20" max="16384" width="9" style="6"/>
  </cols>
  <sheetData>
    <row r="1" spans="1:15" ht="18.75" customHeight="1" x14ac:dyDescent="0.3">
      <c r="A1" s="419" t="s">
        <v>376</v>
      </c>
      <c r="B1" s="419"/>
      <c r="C1" s="419"/>
      <c r="D1" s="419"/>
      <c r="E1" s="419"/>
      <c r="F1" s="419"/>
      <c r="G1" s="419"/>
    </row>
    <row r="2" spans="1:15" ht="18.75" x14ac:dyDescent="0.3">
      <c r="A2" s="420" t="s">
        <v>496</v>
      </c>
      <c r="B2" s="420"/>
      <c r="C2" s="420"/>
      <c r="D2" s="420"/>
      <c r="E2" s="420"/>
      <c r="F2" s="420"/>
      <c r="G2" s="420"/>
    </row>
    <row r="3" spans="1:15" ht="18.75" x14ac:dyDescent="0.3">
      <c r="A3" s="419" t="s">
        <v>497</v>
      </c>
      <c r="B3" s="419"/>
      <c r="C3" s="419"/>
      <c r="D3" s="419"/>
      <c r="E3" s="419"/>
      <c r="F3" s="419"/>
      <c r="G3" s="419"/>
    </row>
    <row r="4" spans="1:15" ht="18.75" x14ac:dyDescent="0.3">
      <c r="A4" s="282"/>
      <c r="B4" s="282"/>
      <c r="C4" s="282"/>
      <c r="D4" s="282"/>
      <c r="E4" s="282"/>
      <c r="F4" s="282"/>
      <c r="G4" s="282"/>
    </row>
    <row r="5" spans="1:15" x14ac:dyDescent="0.25">
      <c r="A5" s="412" t="s">
        <v>3</v>
      </c>
      <c r="B5" s="412" t="s">
        <v>377</v>
      </c>
      <c r="C5" s="412"/>
      <c r="D5" s="422" t="s">
        <v>568</v>
      </c>
      <c r="E5" s="422"/>
      <c r="F5" s="422"/>
      <c r="G5" s="422"/>
      <c r="H5" s="418" t="s">
        <v>569</v>
      </c>
      <c r="I5" s="418"/>
      <c r="J5" s="418"/>
      <c r="K5" s="418"/>
      <c r="L5" s="418" t="s">
        <v>570</v>
      </c>
      <c r="M5" s="418"/>
      <c r="N5" s="418"/>
      <c r="O5" s="418"/>
    </row>
    <row r="6" spans="1:15" ht="31.5" x14ac:dyDescent="0.25">
      <c r="A6" s="412"/>
      <c r="B6" s="412"/>
      <c r="C6" s="412"/>
      <c r="D6" s="34" t="s">
        <v>378</v>
      </c>
      <c r="E6" s="7" t="s">
        <v>4</v>
      </c>
      <c r="F6" s="7" t="s">
        <v>379</v>
      </c>
      <c r="G6" s="7" t="s">
        <v>380</v>
      </c>
      <c r="H6" s="34" t="s">
        <v>378</v>
      </c>
      <c r="I6" s="7" t="s">
        <v>4</v>
      </c>
      <c r="J6" s="7" t="s">
        <v>379</v>
      </c>
      <c r="K6" s="7" t="s">
        <v>380</v>
      </c>
      <c r="L6" s="34" t="s">
        <v>378</v>
      </c>
      <c r="M6" s="7" t="s">
        <v>4</v>
      </c>
      <c r="N6" s="7" t="s">
        <v>379</v>
      </c>
      <c r="O6" s="7" t="s">
        <v>380</v>
      </c>
    </row>
    <row r="7" spans="1:15" x14ac:dyDescent="0.25">
      <c r="A7" s="153">
        <v>1</v>
      </c>
      <c r="B7" s="415">
        <v>2</v>
      </c>
      <c r="C7" s="416"/>
      <c r="D7" s="153">
        <v>3</v>
      </c>
      <c r="E7" s="153">
        <v>4</v>
      </c>
      <c r="F7" s="153">
        <v>5</v>
      </c>
      <c r="G7" s="153">
        <v>6</v>
      </c>
      <c r="H7" s="153">
        <v>7</v>
      </c>
      <c r="I7" s="153">
        <v>8</v>
      </c>
      <c r="J7" s="153">
        <v>9</v>
      </c>
      <c r="K7" s="153">
        <v>10</v>
      </c>
      <c r="L7" s="153">
        <v>11</v>
      </c>
      <c r="M7" s="153">
        <v>12</v>
      </c>
      <c r="N7" s="153">
        <v>13</v>
      </c>
      <c r="O7" s="153">
        <v>14</v>
      </c>
    </row>
    <row r="8" spans="1:15" x14ac:dyDescent="0.25">
      <c r="A8" s="165" t="s">
        <v>24</v>
      </c>
      <c r="B8" s="417" t="s">
        <v>499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</row>
    <row r="9" spans="1:15" x14ac:dyDescent="0.25">
      <c r="A9" s="156">
        <v>1</v>
      </c>
      <c r="B9" s="262" t="s">
        <v>156</v>
      </c>
      <c r="C9" s="261"/>
      <c r="D9" s="175">
        <v>6</v>
      </c>
      <c r="E9" s="176" t="s">
        <v>381</v>
      </c>
      <c r="F9" s="177">
        <f>'Lumpsum+CG+Penunjang print'!G17</f>
        <v>244709000</v>
      </c>
      <c r="G9" s="283">
        <f t="shared" ref="G9:G11" si="0">F9*D9</f>
        <v>1468254000</v>
      </c>
      <c r="H9" s="203">
        <v>6</v>
      </c>
      <c r="I9" s="203" t="s">
        <v>381</v>
      </c>
      <c r="J9" s="198">
        <f>'Lumpsum+CG+Penunjang print'!K17</f>
        <v>240875000</v>
      </c>
      <c r="K9" s="199">
        <f>H9*J9</f>
        <v>1445250000</v>
      </c>
      <c r="L9" s="203">
        <v>6</v>
      </c>
      <c r="M9" s="203" t="s">
        <v>381</v>
      </c>
      <c r="N9" s="198">
        <f>'Lumpsum+CG+Penunjang print'!O17</f>
        <v>231655000</v>
      </c>
      <c r="O9" s="199">
        <f>N9*L9</f>
        <v>1389930000</v>
      </c>
    </row>
    <row r="10" spans="1:15" x14ac:dyDescent="0.25">
      <c r="A10" s="156">
        <f>A9+1</f>
        <v>2</v>
      </c>
      <c r="B10" s="413" t="s">
        <v>371</v>
      </c>
      <c r="C10" s="413"/>
      <c r="D10" s="175">
        <v>6</v>
      </c>
      <c r="E10" s="176" t="s">
        <v>381</v>
      </c>
      <c r="F10" s="177">
        <f>'Lumpsum+CG+Penunjang print'!G29</f>
        <v>9906330</v>
      </c>
      <c r="G10" s="283">
        <f t="shared" si="0"/>
        <v>59437980</v>
      </c>
      <c r="H10" s="203">
        <v>6</v>
      </c>
      <c r="I10" s="203" t="s">
        <v>381</v>
      </c>
      <c r="J10" s="198">
        <f>'Lumpsum+CG+Penunjang print'!K29</f>
        <v>9798000</v>
      </c>
      <c r="K10" s="198">
        <f>H10*J10</f>
        <v>58788000</v>
      </c>
      <c r="L10" s="203">
        <v>6</v>
      </c>
      <c r="M10" s="203" t="s">
        <v>381</v>
      </c>
      <c r="N10" s="198">
        <f>'Lumpsum+CG+Penunjang print'!O29</f>
        <v>9798000</v>
      </c>
      <c r="O10" s="199">
        <f t="shared" ref="O10:O11" si="1">N10*L10</f>
        <v>58788000</v>
      </c>
    </row>
    <row r="11" spans="1:15" x14ac:dyDescent="0.25">
      <c r="A11" s="156">
        <f>A10+1</f>
        <v>3</v>
      </c>
      <c r="B11" s="413" t="s">
        <v>158</v>
      </c>
      <c r="C11" s="413"/>
      <c r="D11" s="175">
        <v>6</v>
      </c>
      <c r="E11" s="176" t="s">
        <v>381</v>
      </c>
      <c r="F11" s="177">
        <f>'Lumpsum+CG+Penunjang print'!G43</f>
        <v>52902000</v>
      </c>
      <c r="G11" s="283">
        <f t="shared" si="0"/>
        <v>317412000</v>
      </c>
      <c r="H11" s="203">
        <v>6</v>
      </c>
      <c r="I11" s="203" t="s">
        <v>381</v>
      </c>
      <c r="J11" s="198">
        <f>'Lumpsum+CG+Penunjang print'!K43</f>
        <v>52138333.333333328</v>
      </c>
      <c r="K11" s="198">
        <f>H11*J11</f>
        <v>312830000</v>
      </c>
      <c r="L11" s="203">
        <v>6</v>
      </c>
      <c r="M11" s="203" t="s">
        <v>381</v>
      </c>
      <c r="N11" s="198">
        <f>'Lumpsum+CG+Penunjang print'!O43</f>
        <v>50354000</v>
      </c>
      <c r="O11" s="199">
        <f t="shared" si="1"/>
        <v>302124000</v>
      </c>
    </row>
    <row r="12" spans="1:15" x14ac:dyDescent="0.25">
      <c r="A12" s="157"/>
      <c r="B12" s="410" t="s">
        <v>382</v>
      </c>
      <c r="C12" s="410"/>
      <c r="D12" s="410"/>
      <c r="E12" s="410"/>
      <c r="F12" s="410"/>
      <c r="G12" s="284">
        <f>SUM(G9:G11)</f>
        <v>1845103980</v>
      </c>
      <c r="H12" s="152"/>
      <c r="I12" s="152"/>
      <c r="J12" s="152"/>
      <c r="K12" s="179">
        <f>SUM(K9:K11)</f>
        <v>1816868000</v>
      </c>
      <c r="L12" s="152"/>
      <c r="M12" s="152"/>
      <c r="N12" s="152"/>
      <c r="O12" s="284">
        <f>SUM(O9:O11)</f>
        <v>1750842000</v>
      </c>
    </row>
    <row r="13" spans="1:15" x14ac:dyDescent="0.25">
      <c r="A13" s="165" t="s">
        <v>25</v>
      </c>
      <c r="B13" s="417" t="s">
        <v>500</v>
      </c>
      <c r="C13" s="417"/>
      <c r="D13" s="417"/>
      <c r="E13" s="417"/>
      <c r="F13" s="417"/>
      <c r="G13" s="417"/>
      <c r="H13" s="417"/>
      <c r="I13" s="417"/>
      <c r="J13" s="417"/>
      <c r="K13" s="417"/>
      <c r="L13" s="417"/>
      <c r="M13" s="417"/>
      <c r="N13" s="417"/>
      <c r="O13" s="417"/>
    </row>
    <row r="14" spans="1:15" ht="18.75" customHeight="1" x14ac:dyDescent="0.25">
      <c r="A14" s="165" t="s">
        <v>383</v>
      </c>
      <c r="B14" s="417" t="s">
        <v>384</v>
      </c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</row>
    <row r="15" spans="1:15" ht="18.75" customHeight="1" x14ac:dyDescent="0.25">
      <c r="A15" s="167" t="s">
        <v>385</v>
      </c>
      <c r="B15" s="424" t="s">
        <v>428</v>
      </c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</row>
    <row r="16" spans="1:15" x14ac:dyDescent="0.25">
      <c r="A16" s="168">
        <v>1</v>
      </c>
      <c r="B16" s="180" t="s">
        <v>416</v>
      </c>
      <c r="C16" s="180" t="s">
        <v>511</v>
      </c>
      <c r="D16" s="181">
        <v>1556</v>
      </c>
      <c r="E16" s="182" t="s">
        <v>47</v>
      </c>
      <c r="F16" s="183">
        <v>253000</v>
      </c>
      <c r="G16" s="285">
        <f t="shared" ref="G16:G23" si="2">F16*D16</f>
        <v>393668000</v>
      </c>
      <c r="H16" s="181">
        <f>D16</f>
        <v>1556</v>
      </c>
      <c r="I16" s="211" t="s">
        <v>47</v>
      </c>
      <c r="J16" s="285">
        <v>253000</v>
      </c>
      <c r="K16" s="291">
        <f>J16*H16</f>
        <v>393668000</v>
      </c>
      <c r="L16" s="181">
        <f>D16</f>
        <v>1556</v>
      </c>
      <c r="M16" s="211" t="s">
        <v>47</v>
      </c>
      <c r="N16" s="246">
        <f>F16</f>
        <v>253000</v>
      </c>
      <c r="O16" s="198">
        <f>N16*L16</f>
        <v>393668000</v>
      </c>
    </row>
    <row r="17" spans="1:19" x14ac:dyDescent="0.25">
      <c r="A17" s="168">
        <v>2</v>
      </c>
      <c r="B17" s="180" t="s">
        <v>393</v>
      </c>
      <c r="C17" s="180" t="s">
        <v>418</v>
      </c>
      <c r="D17" s="181">
        <v>34</v>
      </c>
      <c r="E17" s="182" t="s">
        <v>47</v>
      </c>
      <c r="F17" s="183">
        <v>77000</v>
      </c>
      <c r="G17" s="285">
        <f t="shared" si="2"/>
        <v>2618000</v>
      </c>
      <c r="H17" s="181">
        <f t="shared" ref="H17:H23" si="3">D17</f>
        <v>34</v>
      </c>
      <c r="I17" s="211" t="s">
        <v>47</v>
      </c>
      <c r="J17" s="285">
        <v>77000</v>
      </c>
      <c r="K17" s="291">
        <f t="shared" ref="K17:K23" si="4">J17*H17</f>
        <v>2618000</v>
      </c>
      <c r="L17" s="181">
        <f t="shared" ref="L17:L23" si="5">D17</f>
        <v>34</v>
      </c>
      <c r="M17" s="211" t="s">
        <v>47</v>
      </c>
      <c r="N17" s="246">
        <f>F17</f>
        <v>77000</v>
      </c>
      <c r="O17" s="198">
        <f t="shared" ref="O17:O23" si="6">N17*L17</f>
        <v>2618000</v>
      </c>
    </row>
    <row r="18" spans="1:19" ht="31.5" x14ac:dyDescent="0.25">
      <c r="A18" s="168">
        <v>3</v>
      </c>
      <c r="B18" s="180" t="s">
        <v>419</v>
      </c>
      <c r="C18" s="180" t="s">
        <v>421</v>
      </c>
      <c r="D18" s="181">
        <v>504</v>
      </c>
      <c r="E18" s="182" t="s">
        <v>20</v>
      </c>
      <c r="F18" s="183">
        <v>33000</v>
      </c>
      <c r="G18" s="285">
        <f t="shared" si="2"/>
        <v>16632000</v>
      </c>
      <c r="H18" s="181">
        <f t="shared" si="3"/>
        <v>504</v>
      </c>
      <c r="I18" s="211" t="s">
        <v>20</v>
      </c>
      <c r="J18" s="285">
        <v>33000</v>
      </c>
      <c r="K18" s="291">
        <f t="shared" si="4"/>
        <v>16632000</v>
      </c>
      <c r="L18" s="181">
        <f t="shared" si="5"/>
        <v>504</v>
      </c>
      <c r="M18" s="211" t="s">
        <v>20</v>
      </c>
      <c r="N18" s="246">
        <f>F18</f>
        <v>33000</v>
      </c>
      <c r="O18" s="198">
        <f t="shared" si="6"/>
        <v>16632000</v>
      </c>
    </row>
    <row r="19" spans="1:19" ht="31.5" x14ac:dyDescent="0.25">
      <c r="A19" s="168">
        <v>4</v>
      </c>
      <c r="B19" s="180" t="s">
        <v>394</v>
      </c>
      <c r="C19" s="180" t="s">
        <v>417</v>
      </c>
      <c r="D19" s="181">
        <v>82</v>
      </c>
      <c r="E19" s="182" t="s">
        <v>47</v>
      </c>
      <c r="F19" s="183">
        <v>115500</v>
      </c>
      <c r="G19" s="285">
        <f t="shared" si="2"/>
        <v>9471000</v>
      </c>
      <c r="H19" s="181">
        <f t="shared" si="3"/>
        <v>82</v>
      </c>
      <c r="I19" s="211" t="s">
        <v>47</v>
      </c>
      <c r="J19" s="285">
        <v>115500</v>
      </c>
      <c r="K19" s="291">
        <f t="shared" si="4"/>
        <v>9471000</v>
      </c>
      <c r="L19" s="181">
        <f t="shared" si="5"/>
        <v>82</v>
      </c>
      <c r="M19" s="211" t="s">
        <v>47</v>
      </c>
      <c r="N19" s="246">
        <f t="shared" ref="N19:N22" si="7">F19</f>
        <v>115500</v>
      </c>
      <c r="O19" s="198">
        <f t="shared" si="6"/>
        <v>9471000</v>
      </c>
    </row>
    <row r="20" spans="1:19" ht="31.5" x14ac:dyDescent="0.25">
      <c r="A20" s="168">
        <v>5</v>
      </c>
      <c r="B20" s="180" t="s">
        <v>395</v>
      </c>
      <c r="C20" s="180" t="s">
        <v>552</v>
      </c>
      <c r="D20" s="181">
        <v>624</v>
      </c>
      <c r="E20" s="182" t="s">
        <v>47</v>
      </c>
      <c r="F20" s="183">
        <v>46800</v>
      </c>
      <c r="G20" s="285">
        <f t="shared" si="2"/>
        <v>29203200</v>
      </c>
      <c r="H20" s="181">
        <f t="shared" si="3"/>
        <v>624</v>
      </c>
      <c r="I20" s="211" t="s">
        <v>47</v>
      </c>
      <c r="J20" s="285">
        <v>46800</v>
      </c>
      <c r="K20" s="291">
        <f t="shared" si="4"/>
        <v>29203200</v>
      </c>
      <c r="L20" s="181">
        <f t="shared" si="5"/>
        <v>624</v>
      </c>
      <c r="M20" s="211" t="s">
        <v>47</v>
      </c>
      <c r="N20" s="246">
        <f t="shared" si="7"/>
        <v>46800</v>
      </c>
      <c r="O20" s="198">
        <f t="shared" si="6"/>
        <v>29203200</v>
      </c>
    </row>
    <row r="21" spans="1:19" ht="31.5" x14ac:dyDescent="0.25">
      <c r="A21" s="168">
        <v>6</v>
      </c>
      <c r="B21" s="180" t="s">
        <v>396</v>
      </c>
      <c r="C21" s="180" t="s">
        <v>553</v>
      </c>
      <c r="D21" s="181">
        <v>1268</v>
      </c>
      <c r="E21" s="182" t="s">
        <v>47</v>
      </c>
      <c r="F21" s="183">
        <v>46800</v>
      </c>
      <c r="G21" s="285">
        <f t="shared" si="2"/>
        <v>59342400</v>
      </c>
      <c r="H21" s="181">
        <f t="shared" si="3"/>
        <v>1268</v>
      </c>
      <c r="I21" s="211" t="s">
        <v>47</v>
      </c>
      <c r="J21" s="285">
        <v>46800</v>
      </c>
      <c r="K21" s="291">
        <f t="shared" si="4"/>
        <v>59342400</v>
      </c>
      <c r="L21" s="181">
        <f t="shared" si="5"/>
        <v>1268</v>
      </c>
      <c r="M21" s="211" t="s">
        <v>47</v>
      </c>
      <c r="N21" s="246">
        <f t="shared" si="7"/>
        <v>46800</v>
      </c>
      <c r="O21" s="198">
        <f t="shared" si="6"/>
        <v>59342400</v>
      </c>
    </row>
    <row r="22" spans="1:19" ht="31.5" x14ac:dyDescent="0.25">
      <c r="A22" s="168">
        <v>7</v>
      </c>
      <c r="B22" s="180" t="s">
        <v>397</v>
      </c>
      <c r="C22" s="180" t="s">
        <v>554</v>
      </c>
      <c r="D22" s="181">
        <v>8</v>
      </c>
      <c r="E22" s="182" t="s">
        <v>47</v>
      </c>
      <c r="F22" s="183">
        <v>46800</v>
      </c>
      <c r="G22" s="285">
        <f t="shared" si="2"/>
        <v>374400</v>
      </c>
      <c r="H22" s="181">
        <f t="shared" si="3"/>
        <v>8</v>
      </c>
      <c r="I22" s="211" t="s">
        <v>47</v>
      </c>
      <c r="J22" s="285">
        <v>46800</v>
      </c>
      <c r="K22" s="291">
        <f t="shared" si="4"/>
        <v>374400</v>
      </c>
      <c r="L22" s="181">
        <f t="shared" si="5"/>
        <v>8</v>
      </c>
      <c r="M22" s="211" t="s">
        <v>47</v>
      </c>
      <c r="N22" s="246">
        <f t="shared" si="7"/>
        <v>46800</v>
      </c>
      <c r="O22" s="198">
        <f t="shared" si="6"/>
        <v>374400</v>
      </c>
    </row>
    <row r="23" spans="1:19" ht="31.5" x14ac:dyDescent="0.25">
      <c r="A23" s="168">
        <v>8</v>
      </c>
      <c r="B23" s="180" t="s">
        <v>398</v>
      </c>
      <c r="C23" s="278" t="s">
        <v>427</v>
      </c>
      <c r="D23" s="181">
        <v>384</v>
      </c>
      <c r="E23" s="182" t="s">
        <v>20</v>
      </c>
      <c r="F23" s="183">
        <v>72000</v>
      </c>
      <c r="G23" s="285">
        <f t="shared" si="2"/>
        <v>27648000</v>
      </c>
      <c r="H23" s="181">
        <f t="shared" si="3"/>
        <v>384</v>
      </c>
      <c r="I23" s="211" t="s">
        <v>20</v>
      </c>
      <c r="J23" s="285">
        <v>72000</v>
      </c>
      <c r="K23" s="291">
        <f t="shared" si="4"/>
        <v>27648000</v>
      </c>
      <c r="L23" s="181">
        <f t="shared" si="5"/>
        <v>384</v>
      </c>
      <c r="M23" s="211" t="s">
        <v>20</v>
      </c>
      <c r="N23" s="246">
        <f>ROUNDDOWN((62850*1.15),-3)</f>
        <v>72000</v>
      </c>
      <c r="O23" s="198">
        <f t="shared" si="6"/>
        <v>27648000</v>
      </c>
    </row>
    <row r="24" spans="1:19" x14ac:dyDescent="0.25">
      <c r="A24" s="156"/>
      <c r="B24" s="410" t="s">
        <v>389</v>
      </c>
      <c r="C24" s="410"/>
      <c r="D24" s="410"/>
      <c r="E24" s="410"/>
      <c r="F24" s="410"/>
      <c r="G24" s="286">
        <f>SUM(G16:G23)</f>
        <v>538957000</v>
      </c>
      <c r="H24" s="152"/>
      <c r="I24" s="152"/>
      <c r="J24" s="152"/>
      <c r="K24" s="185">
        <f>SUM(K16:K23)</f>
        <v>538957000</v>
      </c>
      <c r="L24" s="181"/>
      <c r="M24" s="152"/>
      <c r="N24" s="152"/>
      <c r="O24" s="286">
        <f>SUM(O16:O23)</f>
        <v>538957000</v>
      </c>
    </row>
    <row r="25" spans="1:19" x14ac:dyDescent="0.25">
      <c r="A25" s="169" t="s">
        <v>399</v>
      </c>
      <c r="B25" s="409" t="s">
        <v>400</v>
      </c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</row>
    <row r="26" spans="1:19" s="5" customFormat="1" x14ac:dyDescent="0.25">
      <c r="A26" s="170">
        <v>1</v>
      </c>
      <c r="B26" s="180" t="s">
        <v>416</v>
      </c>
      <c r="C26" s="180" t="s">
        <v>511</v>
      </c>
      <c r="D26" s="181">
        <v>216</v>
      </c>
      <c r="E26" s="182" t="s">
        <v>20</v>
      </c>
      <c r="F26" s="186">
        <v>253000</v>
      </c>
      <c r="G26" s="285">
        <f t="shared" ref="G26:G31" si="8">F26*D26</f>
        <v>54648000</v>
      </c>
      <c r="H26" s="181">
        <f>D26</f>
        <v>216</v>
      </c>
      <c r="I26" s="211" t="s">
        <v>20</v>
      </c>
      <c r="J26" s="186">
        <v>253000</v>
      </c>
      <c r="K26" s="304">
        <f>J26*H26</f>
        <v>54648000</v>
      </c>
      <c r="L26" s="181">
        <f>D26</f>
        <v>216</v>
      </c>
      <c r="M26" s="211" t="s">
        <v>20</v>
      </c>
      <c r="N26" s="251">
        <f>F26</f>
        <v>253000</v>
      </c>
      <c r="O26" s="287">
        <f>N26*L26</f>
        <v>54648000</v>
      </c>
      <c r="P26" s="279"/>
      <c r="Q26" s="279"/>
      <c r="R26" s="279"/>
      <c r="S26" s="279"/>
    </row>
    <row r="27" spans="1:19" s="5" customFormat="1" ht="31.5" x14ac:dyDescent="0.25">
      <c r="A27" s="170">
        <v>2</v>
      </c>
      <c r="B27" s="180" t="s">
        <v>419</v>
      </c>
      <c r="C27" s="180" t="s">
        <v>420</v>
      </c>
      <c r="D27" s="181">
        <v>108</v>
      </c>
      <c r="E27" s="182" t="s">
        <v>47</v>
      </c>
      <c r="F27" s="186">
        <v>30200</v>
      </c>
      <c r="G27" s="285">
        <f t="shared" si="8"/>
        <v>3261600</v>
      </c>
      <c r="H27" s="181">
        <f t="shared" ref="H27:H31" si="9">D27</f>
        <v>108</v>
      </c>
      <c r="I27" s="211" t="s">
        <v>47</v>
      </c>
      <c r="J27" s="186">
        <v>30200</v>
      </c>
      <c r="K27" s="304">
        <f t="shared" ref="K27:K31" si="10">J27*H27</f>
        <v>3261600</v>
      </c>
      <c r="L27" s="181">
        <f t="shared" ref="L27:L31" si="11">D27</f>
        <v>108</v>
      </c>
      <c r="M27" s="211" t="s">
        <v>47</v>
      </c>
      <c r="N27" s="251">
        <f t="shared" ref="N27:N30" si="12">F27</f>
        <v>30200</v>
      </c>
      <c r="O27" s="287">
        <f t="shared" ref="O27:O31" si="13">N27*L27</f>
        <v>3261600</v>
      </c>
      <c r="P27" s="279"/>
      <c r="Q27" s="279"/>
      <c r="R27" s="279"/>
      <c r="S27" s="279"/>
    </row>
    <row r="28" spans="1:19" s="5" customFormat="1" ht="31.5" x14ac:dyDescent="0.25">
      <c r="A28" s="170">
        <v>3</v>
      </c>
      <c r="B28" s="180" t="s">
        <v>394</v>
      </c>
      <c r="C28" s="180" t="s">
        <v>417</v>
      </c>
      <c r="D28" s="181">
        <v>82</v>
      </c>
      <c r="E28" s="182" t="s">
        <v>20</v>
      </c>
      <c r="F28" s="186">
        <v>115500</v>
      </c>
      <c r="G28" s="285">
        <f t="shared" si="8"/>
        <v>9471000</v>
      </c>
      <c r="H28" s="181">
        <f t="shared" si="9"/>
        <v>82</v>
      </c>
      <c r="I28" s="211" t="s">
        <v>20</v>
      </c>
      <c r="J28" s="186">
        <v>115500</v>
      </c>
      <c r="K28" s="304">
        <f t="shared" si="10"/>
        <v>9471000</v>
      </c>
      <c r="L28" s="181">
        <f t="shared" si="11"/>
        <v>82</v>
      </c>
      <c r="M28" s="211" t="s">
        <v>20</v>
      </c>
      <c r="N28" s="251">
        <f t="shared" si="12"/>
        <v>115500</v>
      </c>
      <c r="O28" s="287">
        <f t="shared" si="13"/>
        <v>9471000</v>
      </c>
      <c r="P28" s="279"/>
      <c r="Q28" s="279"/>
      <c r="R28" s="279"/>
      <c r="S28" s="279"/>
    </row>
    <row r="29" spans="1:19" s="5" customFormat="1" ht="63" x14ac:dyDescent="0.25">
      <c r="A29" s="170">
        <v>4</v>
      </c>
      <c r="B29" s="180" t="s">
        <v>53</v>
      </c>
      <c r="C29" s="180" t="s">
        <v>555</v>
      </c>
      <c r="D29" s="181">
        <v>1445</v>
      </c>
      <c r="E29" s="182" t="s">
        <v>47</v>
      </c>
      <c r="F29" s="186">
        <v>46800</v>
      </c>
      <c r="G29" s="285">
        <f t="shared" si="8"/>
        <v>67626000</v>
      </c>
      <c r="H29" s="181">
        <f t="shared" si="9"/>
        <v>1445</v>
      </c>
      <c r="I29" s="211" t="s">
        <v>47</v>
      </c>
      <c r="J29" s="186">
        <v>46800</v>
      </c>
      <c r="K29" s="304">
        <f t="shared" si="10"/>
        <v>67626000</v>
      </c>
      <c r="L29" s="181">
        <f t="shared" si="11"/>
        <v>1445</v>
      </c>
      <c r="M29" s="211" t="s">
        <v>47</v>
      </c>
      <c r="N29" s="251">
        <f t="shared" si="12"/>
        <v>46800</v>
      </c>
      <c r="O29" s="287">
        <f t="shared" si="13"/>
        <v>67626000</v>
      </c>
      <c r="P29" s="279"/>
      <c r="Q29" s="279"/>
      <c r="R29" s="279"/>
      <c r="S29" s="279"/>
    </row>
    <row r="30" spans="1:19" s="5" customFormat="1" ht="41.1" customHeight="1" x14ac:dyDescent="0.25">
      <c r="A30" s="170">
        <v>5</v>
      </c>
      <c r="B30" s="180" t="s">
        <v>55</v>
      </c>
      <c r="C30" s="180" t="s">
        <v>56</v>
      </c>
      <c r="D30" s="181">
        <v>15</v>
      </c>
      <c r="E30" s="182" t="s">
        <v>47</v>
      </c>
      <c r="F30" s="186">
        <v>821100</v>
      </c>
      <c r="G30" s="285">
        <f t="shared" si="8"/>
        <v>12316500</v>
      </c>
      <c r="H30" s="181">
        <f t="shared" si="9"/>
        <v>15</v>
      </c>
      <c r="I30" s="211" t="s">
        <v>47</v>
      </c>
      <c r="J30" s="186">
        <v>821100</v>
      </c>
      <c r="K30" s="304">
        <f t="shared" si="10"/>
        <v>12316500</v>
      </c>
      <c r="L30" s="181">
        <f t="shared" si="11"/>
        <v>15</v>
      </c>
      <c r="M30" s="211" t="s">
        <v>47</v>
      </c>
      <c r="N30" s="251">
        <f t="shared" si="12"/>
        <v>821100</v>
      </c>
      <c r="O30" s="287">
        <f t="shared" si="13"/>
        <v>12316500</v>
      </c>
      <c r="P30" s="279"/>
      <c r="Q30" s="279"/>
      <c r="R30" s="279"/>
      <c r="S30" s="279"/>
    </row>
    <row r="31" spans="1:19" s="5" customFormat="1" ht="31.5" x14ac:dyDescent="0.25">
      <c r="A31" s="170">
        <v>6</v>
      </c>
      <c r="B31" s="180" t="s">
        <v>398</v>
      </c>
      <c r="C31" s="180" t="s">
        <v>427</v>
      </c>
      <c r="D31" s="181">
        <v>432</v>
      </c>
      <c r="E31" s="182" t="s">
        <v>20</v>
      </c>
      <c r="F31" s="186">
        <v>72000</v>
      </c>
      <c r="G31" s="285">
        <f t="shared" si="8"/>
        <v>31104000</v>
      </c>
      <c r="H31" s="181">
        <f t="shared" si="9"/>
        <v>432</v>
      </c>
      <c r="I31" s="211" t="s">
        <v>20</v>
      </c>
      <c r="J31" s="186">
        <v>72000</v>
      </c>
      <c r="K31" s="304">
        <f t="shared" si="10"/>
        <v>31104000</v>
      </c>
      <c r="L31" s="181">
        <f t="shared" si="11"/>
        <v>432</v>
      </c>
      <c r="M31" s="211" t="s">
        <v>20</v>
      </c>
      <c r="N31" s="251">
        <f>N23</f>
        <v>72000</v>
      </c>
      <c r="O31" s="287">
        <f t="shared" si="13"/>
        <v>31104000</v>
      </c>
      <c r="P31" s="279"/>
      <c r="Q31" s="279"/>
      <c r="R31" s="279"/>
      <c r="S31" s="279"/>
    </row>
    <row r="32" spans="1:19" x14ac:dyDescent="0.25">
      <c r="A32" s="170"/>
      <c r="B32" s="410" t="s">
        <v>391</v>
      </c>
      <c r="C32" s="410"/>
      <c r="D32" s="410"/>
      <c r="E32" s="410"/>
      <c r="F32" s="410"/>
      <c r="G32" s="286">
        <f>SUM(G26:G31)</f>
        <v>178427100</v>
      </c>
      <c r="H32" s="184"/>
      <c r="I32" s="152"/>
      <c r="J32" s="152"/>
      <c r="K32" s="185">
        <f>SUM(K26:K31)</f>
        <v>178427100</v>
      </c>
      <c r="L32" s="152"/>
      <c r="M32" s="152"/>
      <c r="N32" s="152"/>
      <c r="O32" s="288">
        <f>SUM(O26:O31)</f>
        <v>178427100</v>
      </c>
    </row>
    <row r="33" spans="1:19" x14ac:dyDescent="0.25">
      <c r="A33" s="169" t="s">
        <v>401</v>
      </c>
      <c r="B33" s="414" t="s">
        <v>402</v>
      </c>
      <c r="C33" s="414"/>
      <c r="D33" s="414"/>
      <c r="E33" s="414"/>
      <c r="F33" s="414"/>
      <c r="G33" s="414"/>
      <c r="H33" s="184"/>
      <c r="I33" s="152"/>
      <c r="J33" s="152"/>
      <c r="K33" s="152"/>
      <c r="L33" s="152"/>
      <c r="M33" s="152"/>
      <c r="N33" s="152"/>
      <c r="O33" s="152"/>
    </row>
    <row r="34" spans="1:19" x14ac:dyDescent="0.25">
      <c r="A34" s="170">
        <v>1</v>
      </c>
      <c r="B34" s="187" t="s">
        <v>403</v>
      </c>
      <c r="C34" s="187" t="s">
        <v>422</v>
      </c>
      <c r="D34" s="188">
        <v>400</v>
      </c>
      <c r="E34" s="189" t="s">
        <v>47</v>
      </c>
      <c r="F34" s="177">
        <v>75000</v>
      </c>
      <c r="G34" s="283">
        <f t="shared" ref="G34:G47" si="14">F34*D34</f>
        <v>30000000</v>
      </c>
      <c r="H34" s="181">
        <f>D34</f>
        <v>400</v>
      </c>
      <c r="I34" s="211" t="s">
        <v>47</v>
      </c>
      <c r="J34" s="177">
        <v>75000</v>
      </c>
      <c r="K34" s="305">
        <f>J34*H34</f>
        <v>30000000</v>
      </c>
      <c r="L34" s="181">
        <f>D34</f>
        <v>400</v>
      </c>
      <c r="M34" s="211" t="s">
        <v>47</v>
      </c>
      <c r="N34" s="252">
        <f>F34</f>
        <v>75000</v>
      </c>
      <c r="O34" s="193">
        <f>N34*L34</f>
        <v>30000000</v>
      </c>
    </row>
    <row r="35" spans="1:19" x14ac:dyDescent="0.25">
      <c r="A35" s="170">
        <v>2</v>
      </c>
      <c r="B35" s="187" t="s">
        <v>404</v>
      </c>
      <c r="C35" s="187" t="s">
        <v>423</v>
      </c>
      <c r="D35" s="188">
        <v>400</v>
      </c>
      <c r="E35" s="189" t="s">
        <v>47</v>
      </c>
      <c r="F35" s="177">
        <v>65700</v>
      </c>
      <c r="G35" s="283">
        <f t="shared" si="14"/>
        <v>26280000</v>
      </c>
      <c r="H35" s="181">
        <f t="shared" ref="H35:H48" si="15">D35</f>
        <v>400</v>
      </c>
      <c r="I35" s="211" t="s">
        <v>47</v>
      </c>
      <c r="J35" s="177">
        <v>65700</v>
      </c>
      <c r="K35" s="305">
        <f t="shared" ref="K35:K48" si="16">J35*H35</f>
        <v>26280000</v>
      </c>
      <c r="L35" s="181">
        <f t="shared" ref="L35:L48" si="17">D35</f>
        <v>400</v>
      </c>
      <c r="M35" s="211" t="s">
        <v>47</v>
      </c>
      <c r="N35" s="252">
        <f t="shared" ref="N35:N48" si="18">F35</f>
        <v>65700</v>
      </c>
      <c r="O35" s="193">
        <f t="shared" ref="O35:O48" si="19">N35*L35</f>
        <v>26280000</v>
      </c>
    </row>
    <row r="36" spans="1:19" x14ac:dyDescent="0.25">
      <c r="A36" s="170">
        <v>3</v>
      </c>
      <c r="B36" s="187" t="s">
        <v>405</v>
      </c>
      <c r="C36" s="187" t="s">
        <v>424</v>
      </c>
      <c r="D36" s="188">
        <v>400</v>
      </c>
      <c r="E36" s="189" t="s">
        <v>47</v>
      </c>
      <c r="F36" s="177">
        <v>72000</v>
      </c>
      <c r="G36" s="283">
        <f t="shared" si="14"/>
        <v>28800000</v>
      </c>
      <c r="H36" s="181">
        <f t="shared" si="15"/>
        <v>400</v>
      </c>
      <c r="I36" s="211" t="s">
        <v>47</v>
      </c>
      <c r="J36" s="177">
        <v>72000</v>
      </c>
      <c r="K36" s="305">
        <f t="shared" si="16"/>
        <v>28800000</v>
      </c>
      <c r="L36" s="181">
        <f t="shared" si="17"/>
        <v>400</v>
      </c>
      <c r="M36" s="211" t="s">
        <v>47</v>
      </c>
      <c r="N36" s="252">
        <f t="shared" si="18"/>
        <v>72000</v>
      </c>
      <c r="O36" s="193">
        <f t="shared" si="19"/>
        <v>28800000</v>
      </c>
    </row>
    <row r="37" spans="1:19" x14ac:dyDescent="0.25">
      <c r="A37" s="170">
        <v>4</v>
      </c>
      <c r="B37" s="187" t="s">
        <v>54</v>
      </c>
      <c r="C37" s="187" t="s">
        <v>425</v>
      </c>
      <c r="D37" s="188">
        <v>60</v>
      </c>
      <c r="E37" s="189" t="s">
        <v>47</v>
      </c>
      <c r="F37" s="177">
        <v>44500</v>
      </c>
      <c r="G37" s="283">
        <f t="shared" si="14"/>
        <v>2670000</v>
      </c>
      <c r="H37" s="181">
        <f t="shared" si="15"/>
        <v>60</v>
      </c>
      <c r="I37" s="211" t="s">
        <v>47</v>
      </c>
      <c r="J37" s="177">
        <v>44500</v>
      </c>
      <c r="K37" s="305">
        <f t="shared" si="16"/>
        <v>2670000</v>
      </c>
      <c r="L37" s="181">
        <f t="shared" si="17"/>
        <v>60</v>
      </c>
      <c r="M37" s="211" t="s">
        <v>47</v>
      </c>
      <c r="N37" s="252">
        <f t="shared" si="18"/>
        <v>44500</v>
      </c>
      <c r="O37" s="193">
        <f t="shared" si="19"/>
        <v>2670000</v>
      </c>
    </row>
    <row r="38" spans="1:19" s="5" customFormat="1" ht="31.5" x14ac:dyDescent="0.25">
      <c r="A38" s="170">
        <v>5</v>
      </c>
      <c r="B38" s="180" t="s">
        <v>398</v>
      </c>
      <c r="C38" s="180" t="s">
        <v>426</v>
      </c>
      <c r="D38" s="181">
        <v>144</v>
      </c>
      <c r="E38" s="182" t="s">
        <v>20</v>
      </c>
      <c r="F38" s="186">
        <v>72000</v>
      </c>
      <c r="G38" s="285">
        <f t="shared" si="14"/>
        <v>10368000</v>
      </c>
      <c r="H38" s="181">
        <f t="shared" si="15"/>
        <v>144</v>
      </c>
      <c r="I38" s="211" t="s">
        <v>20</v>
      </c>
      <c r="J38" s="177">
        <v>72000</v>
      </c>
      <c r="K38" s="305">
        <f t="shared" si="16"/>
        <v>10368000</v>
      </c>
      <c r="L38" s="181">
        <f t="shared" si="17"/>
        <v>144</v>
      </c>
      <c r="M38" s="211" t="s">
        <v>20</v>
      </c>
      <c r="N38" s="252">
        <f>N23</f>
        <v>72000</v>
      </c>
      <c r="O38" s="193">
        <f t="shared" si="19"/>
        <v>10368000</v>
      </c>
      <c r="P38" s="279"/>
      <c r="Q38" s="279"/>
      <c r="R38" s="279"/>
      <c r="S38" s="279"/>
    </row>
    <row r="39" spans="1:19" x14ac:dyDescent="0.25">
      <c r="A39" s="170">
        <v>6</v>
      </c>
      <c r="B39" s="187" t="s">
        <v>429</v>
      </c>
      <c r="C39" s="187" t="s">
        <v>527</v>
      </c>
      <c r="D39" s="188">
        <v>0</v>
      </c>
      <c r="E39" s="189" t="s">
        <v>61</v>
      </c>
      <c r="F39" s="177">
        <v>434700</v>
      </c>
      <c r="G39" s="283">
        <f t="shared" si="14"/>
        <v>0</v>
      </c>
      <c r="H39" s="181">
        <f t="shared" si="15"/>
        <v>0</v>
      </c>
      <c r="I39" s="211" t="s">
        <v>61</v>
      </c>
      <c r="J39" s="177">
        <v>434700</v>
      </c>
      <c r="K39" s="305">
        <f t="shared" si="16"/>
        <v>0</v>
      </c>
      <c r="L39" s="181">
        <f t="shared" si="17"/>
        <v>0</v>
      </c>
      <c r="M39" s="211" t="s">
        <v>61</v>
      </c>
      <c r="N39" s="252">
        <f t="shared" si="18"/>
        <v>434700</v>
      </c>
      <c r="O39" s="193">
        <f t="shared" si="19"/>
        <v>0</v>
      </c>
    </row>
    <row r="40" spans="1:19" x14ac:dyDescent="0.25">
      <c r="A40" s="170">
        <v>7</v>
      </c>
      <c r="B40" s="187" t="s">
        <v>430</v>
      </c>
      <c r="C40" s="187" t="s">
        <v>57</v>
      </c>
      <c r="D40" s="188">
        <v>0</v>
      </c>
      <c r="E40" s="189" t="s">
        <v>61</v>
      </c>
      <c r="F40" s="177">
        <v>538500</v>
      </c>
      <c r="G40" s="283">
        <f t="shared" si="14"/>
        <v>0</v>
      </c>
      <c r="H40" s="181">
        <f t="shared" si="15"/>
        <v>0</v>
      </c>
      <c r="I40" s="211" t="s">
        <v>61</v>
      </c>
      <c r="J40" s="177">
        <v>538500</v>
      </c>
      <c r="K40" s="305">
        <f t="shared" si="16"/>
        <v>0</v>
      </c>
      <c r="L40" s="181">
        <f t="shared" si="17"/>
        <v>0</v>
      </c>
      <c r="M40" s="211" t="s">
        <v>61</v>
      </c>
      <c r="N40" s="252">
        <f t="shared" si="18"/>
        <v>538500</v>
      </c>
      <c r="O40" s="193">
        <f t="shared" si="19"/>
        <v>0</v>
      </c>
    </row>
    <row r="41" spans="1:19" x14ac:dyDescent="0.25">
      <c r="A41" s="170">
        <v>8</v>
      </c>
      <c r="B41" s="187" t="s">
        <v>431</v>
      </c>
      <c r="C41" s="187" t="s">
        <v>526</v>
      </c>
      <c r="D41" s="188">
        <v>0</v>
      </c>
      <c r="E41" s="189" t="s">
        <v>61</v>
      </c>
      <c r="F41" s="177">
        <v>1248400</v>
      </c>
      <c r="G41" s="283">
        <f t="shared" si="14"/>
        <v>0</v>
      </c>
      <c r="H41" s="181">
        <f t="shared" si="15"/>
        <v>0</v>
      </c>
      <c r="I41" s="211" t="s">
        <v>61</v>
      </c>
      <c r="J41" s="177">
        <v>1248400</v>
      </c>
      <c r="K41" s="305">
        <f t="shared" si="16"/>
        <v>0</v>
      </c>
      <c r="L41" s="181">
        <f t="shared" si="17"/>
        <v>0</v>
      </c>
      <c r="M41" s="211" t="s">
        <v>61</v>
      </c>
      <c r="N41" s="252">
        <f t="shared" si="18"/>
        <v>1248400</v>
      </c>
      <c r="O41" s="193">
        <f t="shared" si="19"/>
        <v>0</v>
      </c>
    </row>
    <row r="42" spans="1:19" x14ac:dyDescent="0.25">
      <c r="A42" s="170">
        <v>9</v>
      </c>
      <c r="B42" s="187" t="s">
        <v>432</v>
      </c>
      <c r="C42" s="187" t="s">
        <v>58</v>
      </c>
      <c r="D42" s="188">
        <v>20</v>
      </c>
      <c r="E42" s="189" t="s">
        <v>61</v>
      </c>
      <c r="F42" s="177">
        <v>4172300</v>
      </c>
      <c r="G42" s="283">
        <f t="shared" si="14"/>
        <v>83446000</v>
      </c>
      <c r="H42" s="181">
        <f t="shared" si="15"/>
        <v>20</v>
      </c>
      <c r="I42" s="211" t="s">
        <v>61</v>
      </c>
      <c r="J42" s="177">
        <v>4172300</v>
      </c>
      <c r="K42" s="305">
        <f t="shared" si="16"/>
        <v>83446000</v>
      </c>
      <c r="L42" s="181">
        <f t="shared" si="17"/>
        <v>20</v>
      </c>
      <c r="M42" s="211" t="s">
        <v>61</v>
      </c>
      <c r="N42" s="252">
        <f t="shared" si="18"/>
        <v>4172300</v>
      </c>
      <c r="O42" s="193">
        <f t="shared" si="19"/>
        <v>83446000</v>
      </c>
    </row>
    <row r="43" spans="1:19" x14ac:dyDescent="0.25">
      <c r="A43" s="170">
        <v>10</v>
      </c>
      <c r="B43" s="187" t="s">
        <v>544</v>
      </c>
      <c r="C43" s="187" t="s">
        <v>545</v>
      </c>
      <c r="D43" s="188">
        <v>90</v>
      </c>
      <c r="E43" s="189" t="s">
        <v>61</v>
      </c>
      <c r="F43" s="177">
        <v>67000</v>
      </c>
      <c r="G43" s="283">
        <f t="shared" si="14"/>
        <v>6030000</v>
      </c>
      <c r="H43" s="181">
        <f t="shared" si="15"/>
        <v>90</v>
      </c>
      <c r="I43" s="211" t="s">
        <v>61</v>
      </c>
      <c r="J43" s="177">
        <v>67000</v>
      </c>
      <c r="K43" s="305">
        <f t="shared" si="16"/>
        <v>6030000</v>
      </c>
      <c r="L43" s="181">
        <f t="shared" si="17"/>
        <v>90</v>
      </c>
      <c r="M43" s="211" t="s">
        <v>61</v>
      </c>
      <c r="N43" s="252">
        <f t="shared" si="18"/>
        <v>67000</v>
      </c>
      <c r="O43" s="193">
        <f t="shared" si="19"/>
        <v>6030000</v>
      </c>
    </row>
    <row r="44" spans="1:19" x14ac:dyDescent="0.25">
      <c r="A44" s="170">
        <v>11</v>
      </c>
      <c r="B44" s="187" t="s">
        <v>433</v>
      </c>
      <c r="C44" s="187" t="s">
        <v>59</v>
      </c>
      <c r="D44" s="188">
        <v>0</v>
      </c>
      <c r="E44" s="189" t="s">
        <v>61</v>
      </c>
      <c r="F44" s="177">
        <v>1699000</v>
      </c>
      <c r="G44" s="283">
        <f t="shared" si="14"/>
        <v>0</v>
      </c>
      <c r="H44" s="181">
        <f t="shared" si="15"/>
        <v>0</v>
      </c>
      <c r="I44" s="211" t="s">
        <v>61</v>
      </c>
      <c r="J44" s="177">
        <v>1699000</v>
      </c>
      <c r="K44" s="305">
        <f t="shared" si="16"/>
        <v>0</v>
      </c>
      <c r="L44" s="181">
        <f t="shared" si="17"/>
        <v>0</v>
      </c>
      <c r="M44" s="211" t="s">
        <v>61</v>
      </c>
      <c r="N44" s="252">
        <f t="shared" si="18"/>
        <v>1699000</v>
      </c>
      <c r="O44" s="193">
        <f t="shared" si="19"/>
        <v>0</v>
      </c>
    </row>
    <row r="45" spans="1:19" x14ac:dyDescent="0.25">
      <c r="A45" s="170">
        <v>12</v>
      </c>
      <c r="B45" s="187" t="s">
        <v>434</v>
      </c>
      <c r="C45" s="187" t="s">
        <v>60</v>
      </c>
      <c r="D45" s="188">
        <v>0</v>
      </c>
      <c r="E45" s="189" t="s">
        <v>61</v>
      </c>
      <c r="F45" s="177">
        <v>1499700</v>
      </c>
      <c r="G45" s="283">
        <f t="shared" si="14"/>
        <v>0</v>
      </c>
      <c r="H45" s="181">
        <f t="shared" si="15"/>
        <v>0</v>
      </c>
      <c r="I45" s="211" t="s">
        <v>61</v>
      </c>
      <c r="J45" s="177">
        <v>1499700</v>
      </c>
      <c r="K45" s="305">
        <f t="shared" si="16"/>
        <v>0</v>
      </c>
      <c r="L45" s="181">
        <f t="shared" si="17"/>
        <v>0</v>
      </c>
      <c r="M45" s="211" t="s">
        <v>61</v>
      </c>
      <c r="N45" s="252">
        <f t="shared" si="18"/>
        <v>1499700</v>
      </c>
      <c r="O45" s="193">
        <f t="shared" si="19"/>
        <v>0</v>
      </c>
    </row>
    <row r="46" spans="1:19" x14ac:dyDescent="0.25">
      <c r="A46" s="170">
        <v>13</v>
      </c>
      <c r="B46" s="187" t="s">
        <v>435</v>
      </c>
      <c r="C46" s="187"/>
      <c r="D46" s="188">
        <v>3</v>
      </c>
      <c r="E46" s="190" t="s">
        <v>9</v>
      </c>
      <c r="F46" s="177">
        <v>3319000</v>
      </c>
      <c r="G46" s="283">
        <f t="shared" si="14"/>
        <v>9957000</v>
      </c>
      <c r="H46" s="181">
        <f t="shared" si="15"/>
        <v>3</v>
      </c>
      <c r="I46" s="211" t="s">
        <v>9</v>
      </c>
      <c r="J46" s="177">
        <v>3319000</v>
      </c>
      <c r="K46" s="305">
        <f t="shared" si="16"/>
        <v>9957000</v>
      </c>
      <c r="L46" s="181">
        <f t="shared" si="17"/>
        <v>3</v>
      </c>
      <c r="M46" s="211" t="s">
        <v>9</v>
      </c>
      <c r="N46" s="252">
        <f t="shared" si="18"/>
        <v>3319000</v>
      </c>
      <c r="O46" s="193">
        <f t="shared" si="19"/>
        <v>9957000</v>
      </c>
    </row>
    <row r="47" spans="1:19" x14ac:dyDescent="0.25">
      <c r="A47" s="170">
        <v>14</v>
      </c>
      <c r="B47" s="187" t="s">
        <v>436</v>
      </c>
      <c r="C47" s="187"/>
      <c r="D47" s="188">
        <v>120</v>
      </c>
      <c r="E47" s="190" t="s">
        <v>47</v>
      </c>
      <c r="F47" s="177">
        <v>15000</v>
      </c>
      <c r="G47" s="283">
        <f t="shared" si="14"/>
        <v>1800000</v>
      </c>
      <c r="H47" s="181">
        <f t="shared" si="15"/>
        <v>120</v>
      </c>
      <c r="I47" s="211" t="s">
        <v>47</v>
      </c>
      <c r="J47" s="177">
        <v>15000</v>
      </c>
      <c r="K47" s="305">
        <f t="shared" si="16"/>
        <v>1800000</v>
      </c>
      <c r="L47" s="181">
        <f t="shared" si="17"/>
        <v>120</v>
      </c>
      <c r="M47" s="211" t="s">
        <v>47</v>
      </c>
      <c r="N47" s="252">
        <f t="shared" si="18"/>
        <v>15000</v>
      </c>
      <c r="O47" s="193">
        <f t="shared" si="19"/>
        <v>1800000</v>
      </c>
    </row>
    <row r="48" spans="1:19" x14ac:dyDescent="0.25">
      <c r="A48" s="170">
        <v>15</v>
      </c>
      <c r="B48" s="187" t="s">
        <v>513</v>
      </c>
      <c r="C48" s="187" t="s">
        <v>558</v>
      </c>
      <c r="D48" s="191">
        <v>36</v>
      </c>
      <c r="E48" s="191" t="s">
        <v>52</v>
      </c>
      <c r="F48" s="177">
        <v>345000</v>
      </c>
      <c r="G48" s="283">
        <f>F48*D48</f>
        <v>12420000</v>
      </c>
      <c r="H48" s="181">
        <f t="shared" si="15"/>
        <v>36</v>
      </c>
      <c r="I48" s="211" t="s">
        <v>52</v>
      </c>
      <c r="J48" s="177">
        <v>345000</v>
      </c>
      <c r="K48" s="305">
        <f t="shared" si="16"/>
        <v>12420000</v>
      </c>
      <c r="L48" s="181">
        <f t="shared" si="17"/>
        <v>36</v>
      </c>
      <c r="M48" s="211" t="s">
        <v>52</v>
      </c>
      <c r="N48" s="252">
        <f t="shared" si="18"/>
        <v>345000</v>
      </c>
      <c r="O48" s="193">
        <f t="shared" si="19"/>
        <v>12420000</v>
      </c>
    </row>
    <row r="49" spans="1:15" x14ac:dyDescent="0.25">
      <c r="A49" s="156"/>
      <c r="B49" s="410" t="s">
        <v>410</v>
      </c>
      <c r="C49" s="410"/>
      <c r="D49" s="410"/>
      <c r="E49" s="410"/>
      <c r="F49" s="410"/>
      <c r="G49" s="286">
        <f>SUM(G34:G48)</f>
        <v>211771000</v>
      </c>
      <c r="H49" s="152"/>
      <c r="I49" s="152"/>
      <c r="J49" s="152"/>
      <c r="K49" s="185">
        <f>SUM(K34:K48)</f>
        <v>211771000</v>
      </c>
      <c r="L49" s="152"/>
      <c r="M49" s="152"/>
      <c r="N49" s="152"/>
      <c r="O49" s="288">
        <f>SUM(O34:O48)</f>
        <v>211771000</v>
      </c>
    </row>
    <row r="50" spans="1:15" x14ac:dyDescent="0.25">
      <c r="A50" s="156"/>
      <c r="B50" s="410" t="s">
        <v>412</v>
      </c>
      <c r="C50" s="411"/>
      <c r="D50" s="411"/>
      <c r="E50" s="411"/>
      <c r="F50" s="411"/>
      <c r="G50" s="284">
        <f>G24+G32+G49</f>
        <v>929155100</v>
      </c>
      <c r="H50" s="152"/>
      <c r="I50" s="152"/>
      <c r="J50" s="152"/>
      <c r="K50" s="179">
        <f>K24+K32+K49</f>
        <v>929155100</v>
      </c>
      <c r="L50" s="152"/>
      <c r="M50" s="152"/>
      <c r="N50" s="152"/>
      <c r="O50" s="289">
        <f>O24+O32+O49</f>
        <v>929155100</v>
      </c>
    </row>
    <row r="51" spans="1:15" ht="17.25" customHeight="1" x14ac:dyDescent="0.25">
      <c r="A51" s="166" t="s">
        <v>386</v>
      </c>
      <c r="B51" s="426" t="s">
        <v>387</v>
      </c>
      <c r="C51" s="426"/>
      <c r="D51" s="426"/>
      <c r="E51" s="426"/>
      <c r="F51" s="426"/>
      <c r="G51" s="426"/>
      <c r="H51" s="426"/>
      <c r="I51" s="426"/>
      <c r="J51" s="426"/>
      <c r="K51" s="426"/>
      <c r="L51" s="426"/>
      <c r="M51" s="426"/>
      <c r="N51" s="426"/>
      <c r="O51" s="426"/>
    </row>
    <row r="52" spans="1:15" ht="18.75" customHeight="1" x14ac:dyDescent="0.25">
      <c r="A52" s="167" t="s">
        <v>385</v>
      </c>
      <c r="B52" s="427" t="s">
        <v>501</v>
      </c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427"/>
      <c r="N52" s="427"/>
      <c r="O52" s="427"/>
    </row>
    <row r="53" spans="1:15" hidden="1" x14ac:dyDescent="0.25">
      <c r="A53" s="156">
        <v>1</v>
      </c>
      <c r="B53" s="151" t="e">
        <f>#REF!</f>
        <v>#REF!</v>
      </c>
      <c r="C53" s="151" t="e">
        <f>#REF!</f>
        <v>#REF!</v>
      </c>
      <c r="D53" s="154" t="e">
        <f>#REF!</f>
        <v>#REF!</v>
      </c>
      <c r="E53" s="189" t="e">
        <f>#REF!</f>
        <v>#REF!</v>
      </c>
      <c r="F53" s="192" t="e">
        <f>#REF!</f>
        <v>#REF!</v>
      </c>
      <c r="G53" s="178" t="e">
        <f>F53*D53</f>
        <v>#REF!</v>
      </c>
      <c r="H53" s="184"/>
      <c r="I53" s="152"/>
      <c r="J53" s="192"/>
      <c r="K53" s="152"/>
      <c r="L53" s="193"/>
      <c r="M53" s="152"/>
      <c r="N53" s="152"/>
      <c r="O53" s="152"/>
    </row>
    <row r="54" spans="1:15" hidden="1" x14ac:dyDescent="0.25">
      <c r="A54" s="156">
        <v>2</v>
      </c>
      <c r="B54" s="151" t="e">
        <f>#REF!</f>
        <v>#REF!</v>
      </c>
      <c r="C54" s="151" t="e">
        <f>#REF!</f>
        <v>#REF!</v>
      </c>
      <c r="D54" s="154" t="e">
        <f>#REF!</f>
        <v>#REF!</v>
      </c>
      <c r="E54" s="189" t="e">
        <f>#REF!</f>
        <v>#REF!</v>
      </c>
      <c r="F54" s="192" t="e">
        <f>#REF!</f>
        <v>#REF!</v>
      </c>
      <c r="G54" s="178" t="e">
        <f t="shared" ref="G54:G117" si="20">F54*D54</f>
        <v>#REF!</v>
      </c>
      <c r="H54" s="184"/>
      <c r="I54" s="152"/>
      <c r="J54" s="192"/>
      <c r="K54" s="152"/>
      <c r="L54" s="193"/>
      <c r="M54" s="152"/>
      <c r="N54" s="152"/>
      <c r="O54" s="152"/>
    </row>
    <row r="55" spans="1:15" hidden="1" x14ac:dyDescent="0.25">
      <c r="A55" s="156">
        <v>3</v>
      </c>
      <c r="B55" s="151" t="e">
        <f>#REF!</f>
        <v>#REF!</v>
      </c>
      <c r="C55" s="151" t="e">
        <f>#REF!</f>
        <v>#REF!</v>
      </c>
      <c r="D55" s="154" t="e">
        <f>#REF!</f>
        <v>#REF!</v>
      </c>
      <c r="E55" s="189" t="e">
        <f>#REF!</f>
        <v>#REF!</v>
      </c>
      <c r="F55" s="192" t="e">
        <f>#REF!</f>
        <v>#REF!</v>
      </c>
      <c r="G55" s="178" t="e">
        <f t="shared" si="20"/>
        <v>#REF!</v>
      </c>
      <c r="H55" s="184"/>
      <c r="I55" s="152"/>
      <c r="J55" s="192"/>
      <c r="K55" s="152"/>
      <c r="L55" s="193"/>
      <c r="M55" s="152"/>
      <c r="N55" s="152"/>
      <c r="O55" s="152"/>
    </row>
    <row r="56" spans="1:15" hidden="1" x14ac:dyDescent="0.25">
      <c r="A56" s="156">
        <v>4</v>
      </c>
      <c r="B56" s="151" t="e">
        <f>#REF!</f>
        <v>#REF!</v>
      </c>
      <c r="C56" s="151" t="e">
        <f>#REF!</f>
        <v>#REF!</v>
      </c>
      <c r="D56" s="154" t="e">
        <f>#REF!</f>
        <v>#REF!</v>
      </c>
      <c r="E56" s="189" t="e">
        <f>#REF!</f>
        <v>#REF!</v>
      </c>
      <c r="F56" s="192" t="e">
        <f>#REF!</f>
        <v>#REF!</v>
      </c>
      <c r="G56" s="178" t="e">
        <f t="shared" si="20"/>
        <v>#REF!</v>
      </c>
      <c r="H56" s="184"/>
      <c r="I56" s="152"/>
      <c r="J56" s="192"/>
      <c r="K56" s="152"/>
      <c r="L56" s="193"/>
      <c r="M56" s="152"/>
      <c r="N56" s="152"/>
      <c r="O56" s="152"/>
    </row>
    <row r="57" spans="1:15" hidden="1" x14ac:dyDescent="0.25">
      <c r="A57" s="156">
        <v>5</v>
      </c>
      <c r="B57" s="151" t="e">
        <f>#REF!</f>
        <v>#REF!</v>
      </c>
      <c r="C57" s="151" t="e">
        <f>#REF!</f>
        <v>#REF!</v>
      </c>
      <c r="D57" s="154" t="e">
        <f>#REF!</f>
        <v>#REF!</v>
      </c>
      <c r="E57" s="189" t="e">
        <f>#REF!</f>
        <v>#REF!</v>
      </c>
      <c r="F57" s="192" t="e">
        <f>#REF!</f>
        <v>#REF!</v>
      </c>
      <c r="G57" s="178" t="e">
        <f t="shared" si="20"/>
        <v>#REF!</v>
      </c>
      <c r="H57" s="184"/>
      <c r="I57" s="152"/>
      <c r="J57" s="192"/>
      <c r="K57" s="152"/>
      <c r="L57" s="193"/>
      <c r="M57" s="152"/>
      <c r="N57" s="152"/>
      <c r="O57" s="152"/>
    </row>
    <row r="58" spans="1:15" hidden="1" x14ac:dyDescent="0.25">
      <c r="A58" s="156">
        <v>6</v>
      </c>
      <c r="B58" s="151" t="e">
        <f>#REF!</f>
        <v>#REF!</v>
      </c>
      <c r="C58" s="151" t="e">
        <f>#REF!</f>
        <v>#REF!</v>
      </c>
      <c r="D58" s="154" t="e">
        <f>#REF!</f>
        <v>#REF!</v>
      </c>
      <c r="E58" s="189" t="e">
        <f>#REF!</f>
        <v>#REF!</v>
      </c>
      <c r="F58" s="192" t="e">
        <f>#REF!</f>
        <v>#REF!</v>
      </c>
      <c r="G58" s="178" t="e">
        <f t="shared" si="20"/>
        <v>#REF!</v>
      </c>
      <c r="H58" s="184"/>
      <c r="I58" s="152"/>
      <c r="J58" s="192"/>
      <c r="K58" s="152"/>
      <c r="L58" s="193"/>
      <c r="M58" s="152"/>
      <c r="N58" s="152"/>
      <c r="O58" s="152"/>
    </row>
    <row r="59" spans="1:15" hidden="1" x14ac:dyDescent="0.25">
      <c r="A59" s="156">
        <v>7</v>
      </c>
      <c r="B59" s="151" t="e">
        <f>#REF!</f>
        <v>#REF!</v>
      </c>
      <c r="C59" s="151" t="e">
        <f>#REF!</f>
        <v>#REF!</v>
      </c>
      <c r="D59" s="154" t="e">
        <f>#REF!</f>
        <v>#REF!</v>
      </c>
      <c r="E59" s="189" t="e">
        <f>#REF!</f>
        <v>#REF!</v>
      </c>
      <c r="F59" s="192" t="e">
        <f>#REF!</f>
        <v>#REF!</v>
      </c>
      <c r="G59" s="178" t="e">
        <f t="shared" si="20"/>
        <v>#REF!</v>
      </c>
      <c r="H59" s="184"/>
      <c r="I59" s="152"/>
      <c r="J59" s="192"/>
      <c r="K59" s="152"/>
      <c r="L59" s="193"/>
      <c r="M59" s="152"/>
      <c r="N59" s="152"/>
      <c r="O59" s="152"/>
    </row>
    <row r="60" spans="1:15" hidden="1" x14ac:dyDescent="0.25">
      <c r="A60" s="156">
        <v>8</v>
      </c>
      <c r="B60" s="151" t="e">
        <f>#REF!</f>
        <v>#REF!</v>
      </c>
      <c r="C60" s="151" t="e">
        <f>#REF!</f>
        <v>#REF!</v>
      </c>
      <c r="D60" s="154" t="e">
        <f>#REF!</f>
        <v>#REF!</v>
      </c>
      <c r="E60" s="189" t="e">
        <f>#REF!</f>
        <v>#REF!</v>
      </c>
      <c r="F60" s="192" t="e">
        <f>#REF!</f>
        <v>#REF!</v>
      </c>
      <c r="G60" s="178" t="e">
        <f t="shared" si="20"/>
        <v>#REF!</v>
      </c>
      <c r="H60" s="184"/>
      <c r="I60" s="152"/>
      <c r="J60" s="192"/>
      <c r="K60" s="152"/>
      <c r="L60" s="193"/>
      <c r="M60" s="152"/>
      <c r="N60" s="152"/>
      <c r="O60" s="152"/>
    </row>
    <row r="61" spans="1:15" hidden="1" x14ac:dyDescent="0.25">
      <c r="A61" s="156">
        <v>9</v>
      </c>
      <c r="B61" s="151" t="e">
        <f>#REF!</f>
        <v>#REF!</v>
      </c>
      <c r="C61" s="151" t="e">
        <f>#REF!</f>
        <v>#REF!</v>
      </c>
      <c r="D61" s="154" t="e">
        <f>#REF!</f>
        <v>#REF!</v>
      </c>
      <c r="E61" s="189" t="e">
        <f>#REF!</f>
        <v>#REF!</v>
      </c>
      <c r="F61" s="192" t="e">
        <f>#REF!</f>
        <v>#REF!</v>
      </c>
      <c r="G61" s="178" t="e">
        <f t="shared" si="20"/>
        <v>#REF!</v>
      </c>
      <c r="H61" s="184"/>
      <c r="I61" s="152"/>
      <c r="J61" s="192"/>
      <c r="K61" s="152"/>
      <c r="L61" s="193"/>
      <c r="M61" s="152"/>
      <c r="N61" s="152"/>
      <c r="O61" s="152"/>
    </row>
    <row r="62" spans="1:15" hidden="1" x14ac:dyDescent="0.25">
      <c r="A62" s="156">
        <v>10</v>
      </c>
      <c r="B62" s="151" t="e">
        <f>#REF!</f>
        <v>#REF!</v>
      </c>
      <c r="C62" s="151" t="e">
        <f>#REF!</f>
        <v>#REF!</v>
      </c>
      <c r="D62" s="154" t="e">
        <f>#REF!</f>
        <v>#REF!</v>
      </c>
      <c r="E62" s="189" t="e">
        <f>#REF!</f>
        <v>#REF!</v>
      </c>
      <c r="F62" s="192" t="e">
        <f>#REF!</f>
        <v>#REF!</v>
      </c>
      <c r="G62" s="178" t="e">
        <f t="shared" si="20"/>
        <v>#REF!</v>
      </c>
      <c r="H62" s="184"/>
      <c r="I62" s="152"/>
      <c r="J62" s="192"/>
      <c r="K62" s="152"/>
      <c r="L62" s="193"/>
      <c r="M62" s="152"/>
      <c r="N62" s="152"/>
      <c r="O62" s="152"/>
    </row>
    <row r="63" spans="1:15" hidden="1" x14ac:dyDescent="0.25">
      <c r="A63" s="156">
        <v>11</v>
      </c>
      <c r="B63" s="151" t="e">
        <f>#REF!</f>
        <v>#REF!</v>
      </c>
      <c r="C63" s="151" t="e">
        <f>#REF!</f>
        <v>#REF!</v>
      </c>
      <c r="D63" s="154" t="e">
        <f>#REF!</f>
        <v>#REF!</v>
      </c>
      <c r="E63" s="189" t="e">
        <f>#REF!</f>
        <v>#REF!</v>
      </c>
      <c r="F63" s="192" t="e">
        <f>#REF!</f>
        <v>#REF!</v>
      </c>
      <c r="G63" s="178" t="e">
        <f t="shared" si="20"/>
        <v>#REF!</v>
      </c>
      <c r="H63" s="184"/>
      <c r="I63" s="152"/>
      <c r="J63" s="192"/>
      <c r="K63" s="152"/>
      <c r="L63" s="193"/>
      <c r="M63" s="152"/>
      <c r="N63" s="152"/>
      <c r="O63" s="152"/>
    </row>
    <row r="64" spans="1:15" hidden="1" x14ac:dyDescent="0.25">
      <c r="A64" s="156">
        <v>12</v>
      </c>
      <c r="B64" s="151" t="e">
        <f>#REF!</f>
        <v>#REF!</v>
      </c>
      <c r="C64" s="151" t="e">
        <f>#REF!</f>
        <v>#REF!</v>
      </c>
      <c r="D64" s="154" t="e">
        <f>#REF!</f>
        <v>#REF!</v>
      </c>
      <c r="E64" s="189" t="e">
        <f>#REF!</f>
        <v>#REF!</v>
      </c>
      <c r="F64" s="192" t="e">
        <f>#REF!</f>
        <v>#REF!</v>
      </c>
      <c r="G64" s="178" t="e">
        <f t="shared" si="20"/>
        <v>#REF!</v>
      </c>
      <c r="H64" s="184"/>
      <c r="I64" s="152"/>
      <c r="J64" s="192"/>
      <c r="K64" s="152"/>
      <c r="L64" s="193"/>
      <c r="M64" s="152"/>
      <c r="N64" s="152"/>
      <c r="O64" s="152"/>
    </row>
    <row r="65" spans="1:15" hidden="1" x14ac:dyDescent="0.25">
      <c r="A65" s="156">
        <v>13</v>
      </c>
      <c r="B65" s="151" t="e">
        <f>#REF!</f>
        <v>#REF!</v>
      </c>
      <c r="C65" s="151" t="e">
        <f>#REF!</f>
        <v>#REF!</v>
      </c>
      <c r="D65" s="154" t="e">
        <f>#REF!</f>
        <v>#REF!</v>
      </c>
      <c r="E65" s="189" t="e">
        <f>#REF!</f>
        <v>#REF!</v>
      </c>
      <c r="F65" s="192" t="e">
        <f>#REF!</f>
        <v>#REF!</v>
      </c>
      <c r="G65" s="178" t="e">
        <f t="shared" si="20"/>
        <v>#REF!</v>
      </c>
      <c r="H65" s="184"/>
      <c r="I65" s="152"/>
      <c r="J65" s="192"/>
      <c r="K65" s="152"/>
      <c r="L65" s="193"/>
      <c r="M65" s="152"/>
      <c r="N65" s="152"/>
      <c r="O65" s="152"/>
    </row>
    <row r="66" spans="1:15" hidden="1" x14ac:dyDescent="0.25">
      <c r="A66" s="156">
        <v>14</v>
      </c>
      <c r="B66" s="151" t="e">
        <f>#REF!</f>
        <v>#REF!</v>
      </c>
      <c r="C66" s="151" t="e">
        <f>#REF!</f>
        <v>#REF!</v>
      </c>
      <c r="D66" s="154" t="e">
        <f>#REF!</f>
        <v>#REF!</v>
      </c>
      <c r="E66" s="189" t="e">
        <f>#REF!</f>
        <v>#REF!</v>
      </c>
      <c r="F66" s="192" t="e">
        <f>#REF!</f>
        <v>#REF!</v>
      </c>
      <c r="G66" s="178" t="e">
        <f t="shared" si="20"/>
        <v>#REF!</v>
      </c>
      <c r="H66" s="184"/>
      <c r="I66" s="152"/>
      <c r="J66" s="192"/>
      <c r="K66" s="152"/>
      <c r="L66" s="193"/>
      <c r="M66" s="152"/>
      <c r="N66" s="152"/>
      <c r="O66" s="152"/>
    </row>
    <row r="67" spans="1:15" hidden="1" x14ac:dyDescent="0.25">
      <c r="A67" s="156">
        <v>15</v>
      </c>
      <c r="B67" s="151" t="e">
        <f>#REF!</f>
        <v>#REF!</v>
      </c>
      <c r="C67" s="151" t="e">
        <f>#REF!</f>
        <v>#REF!</v>
      </c>
      <c r="D67" s="154" t="e">
        <f>#REF!</f>
        <v>#REF!</v>
      </c>
      <c r="E67" s="189" t="e">
        <f>#REF!</f>
        <v>#REF!</v>
      </c>
      <c r="F67" s="192" t="e">
        <f>#REF!</f>
        <v>#REF!</v>
      </c>
      <c r="G67" s="178" t="e">
        <f t="shared" si="20"/>
        <v>#REF!</v>
      </c>
      <c r="H67" s="184"/>
      <c r="I67" s="152"/>
      <c r="J67" s="192"/>
      <c r="K67" s="152"/>
      <c r="L67" s="193"/>
      <c r="M67" s="152"/>
      <c r="N67" s="152"/>
      <c r="O67" s="152"/>
    </row>
    <row r="68" spans="1:15" hidden="1" x14ac:dyDescent="0.25">
      <c r="A68" s="156">
        <v>16</v>
      </c>
      <c r="B68" s="151" t="e">
        <f>#REF!</f>
        <v>#REF!</v>
      </c>
      <c r="C68" s="151" t="e">
        <f>#REF!</f>
        <v>#REF!</v>
      </c>
      <c r="D68" s="154" t="e">
        <f>#REF!</f>
        <v>#REF!</v>
      </c>
      <c r="E68" s="189" t="e">
        <f>#REF!</f>
        <v>#REF!</v>
      </c>
      <c r="F68" s="192" t="e">
        <f>#REF!</f>
        <v>#REF!</v>
      </c>
      <c r="G68" s="178" t="e">
        <f t="shared" si="20"/>
        <v>#REF!</v>
      </c>
      <c r="H68" s="184"/>
      <c r="I68" s="152"/>
      <c r="J68" s="192"/>
      <c r="K68" s="152"/>
      <c r="L68" s="193"/>
      <c r="M68" s="152"/>
      <c r="N68" s="152"/>
      <c r="O68" s="152"/>
    </row>
    <row r="69" spans="1:15" hidden="1" x14ac:dyDescent="0.25">
      <c r="A69" s="156">
        <v>17</v>
      </c>
      <c r="B69" s="151" t="e">
        <f>#REF!</f>
        <v>#REF!</v>
      </c>
      <c r="C69" s="151" t="e">
        <f>#REF!</f>
        <v>#REF!</v>
      </c>
      <c r="D69" s="154" t="e">
        <f>#REF!</f>
        <v>#REF!</v>
      </c>
      <c r="E69" s="189" t="e">
        <f>#REF!</f>
        <v>#REF!</v>
      </c>
      <c r="F69" s="192" t="e">
        <f>#REF!</f>
        <v>#REF!</v>
      </c>
      <c r="G69" s="178" t="e">
        <f t="shared" si="20"/>
        <v>#REF!</v>
      </c>
      <c r="H69" s="184"/>
      <c r="I69" s="152"/>
      <c r="J69" s="192"/>
      <c r="K69" s="152"/>
      <c r="L69" s="193"/>
      <c r="M69" s="152"/>
      <c r="N69" s="152"/>
      <c r="O69" s="152"/>
    </row>
    <row r="70" spans="1:15" hidden="1" x14ac:dyDescent="0.25">
      <c r="A70" s="156">
        <v>18</v>
      </c>
      <c r="B70" s="151" t="e">
        <f>#REF!</f>
        <v>#REF!</v>
      </c>
      <c r="C70" s="151" t="e">
        <f>#REF!</f>
        <v>#REF!</v>
      </c>
      <c r="D70" s="154" t="e">
        <f>#REF!</f>
        <v>#REF!</v>
      </c>
      <c r="E70" s="189" t="e">
        <f>#REF!</f>
        <v>#REF!</v>
      </c>
      <c r="F70" s="192" t="e">
        <f>#REF!</f>
        <v>#REF!</v>
      </c>
      <c r="G70" s="178" t="e">
        <f t="shared" si="20"/>
        <v>#REF!</v>
      </c>
      <c r="H70" s="184"/>
      <c r="I70" s="152"/>
      <c r="J70" s="192"/>
      <c r="K70" s="152"/>
      <c r="L70" s="193"/>
      <c r="M70" s="152"/>
      <c r="N70" s="152"/>
      <c r="O70" s="152"/>
    </row>
    <row r="71" spans="1:15" hidden="1" x14ac:dyDescent="0.25">
      <c r="A71" s="156">
        <v>19</v>
      </c>
      <c r="B71" s="151" t="e">
        <f>#REF!</f>
        <v>#REF!</v>
      </c>
      <c r="C71" s="151" t="e">
        <f>#REF!</f>
        <v>#REF!</v>
      </c>
      <c r="D71" s="154" t="e">
        <f>#REF!</f>
        <v>#REF!</v>
      </c>
      <c r="E71" s="189" t="e">
        <f>#REF!</f>
        <v>#REF!</v>
      </c>
      <c r="F71" s="192" t="e">
        <f>#REF!</f>
        <v>#REF!</v>
      </c>
      <c r="G71" s="178" t="e">
        <f t="shared" si="20"/>
        <v>#REF!</v>
      </c>
      <c r="H71" s="184"/>
      <c r="I71" s="152"/>
      <c r="J71" s="192"/>
      <c r="K71" s="152"/>
      <c r="L71" s="193"/>
      <c r="M71" s="152"/>
      <c r="N71" s="152"/>
      <c r="O71" s="152"/>
    </row>
    <row r="72" spans="1:15" hidden="1" x14ac:dyDescent="0.25">
      <c r="A72" s="156">
        <v>20</v>
      </c>
      <c r="B72" s="151" t="e">
        <f>#REF!</f>
        <v>#REF!</v>
      </c>
      <c r="C72" s="151" t="e">
        <f>#REF!</f>
        <v>#REF!</v>
      </c>
      <c r="D72" s="154" t="e">
        <f>#REF!</f>
        <v>#REF!</v>
      </c>
      <c r="E72" s="189" t="e">
        <f>#REF!</f>
        <v>#REF!</v>
      </c>
      <c r="F72" s="192" t="e">
        <f>#REF!</f>
        <v>#REF!</v>
      </c>
      <c r="G72" s="178" t="e">
        <f t="shared" si="20"/>
        <v>#REF!</v>
      </c>
      <c r="H72" s="184"/>
      <c r="I72" s="152"/>
      <c r="J72" s="192"/>
      <c r="K72" s="152"/>
      <c r="L72" s="193"/>
      <c r="M72" s="152"/>
      <c r="N72" s="152"/>
      <c r="O72" s="152"/>
    </row>
    <row r="73" spans="1:15" hidden="1" x14ac:dyDescent="0.25">
      <c r="A73" s="156">
        <v>21</v>
      </c>
      <c r="B73" s="151" t="e">
        <f>#REF!</f>
        <v>#REF!</v>
      </c>
      <c r="C73" s="151" t="e">
        <f>#REF!</f>
        <v>#REF!</v>
      </c>
      <c r="D73" s="154" t="e">
        <f>#REF!</f>
        <v>#REF!</v>
      </c>
      <c r="E73" s="189" t="e">
        <f>#REF!</f>
        <v>#REF!</v>
      </c>
      <c r="F73" s="192" t="e">
        <f>#REF!</f>
        <v>#REF!</v>
      </c>
      <c r="G73" s="178" t="e">
        <f t="shared" si="20"/>
        <v>#REF!</v>
      </c>
      <c r="H73" s="184"/>
      <c r="I73" s="152"/>
      <c r="J73" s="192"/>
      <c r="K73" s="152"/>
      <c r="L73" s="193"/>
      <c r="M73" s="152"/>
      <c r="N73" s="152"/>
      <c r="O73" s="152"/>
    </row>
    <row r="74" spans="1:15" hidden="1" x14ac:dyDescent="0.25">
      <c r="A74" s="156">
        <v>22</v>
      </c>
      <c r="B74" s="151" t="e">
        <f>#REF!</f>
        <v>#REF!</v>
      </c>
      <c r="C74" s="151" t="e">
        <f>#REF!</f>
        <v>#REF!</v>
      </c>
      <c r="D74" s="154" t="e">
        <f>#REF!</f>
        <v>#REF!</v>
      </c>
      <c r="E74" s="189" t="e">
        <f>#REF!</f>
        <v>#REF!</v>
      </c>
      <c r="F74" s="192" t="e">
        <f>#REF!</f>
        <v>#REF!</v>
      </c>
      <c r="G74" s="178" t="e">
        <f t="shared" si="20"/>
        <v>#REF!</v>
      </c>
      <c r="H74" s="184"/>
      <c r="I74" s="152"/>
      <c r="J74" s="192"/>
      <c r="K74" s="152"/>
      <c r="L74" s="193"/>
      <c r="M74" s="152"/>
      <c r="N74" s="152"/>
      <c r="O74" s="152"/>
    </row>
    <row r="75" spans="1:15" hidden="1" x14ac:dyDescent="0.25">
      <c r="A75" s="156">
        <v>23</v>
      </c>
      <c r="B75" s="151" t="e">
        <f>#REF!</f>
        <v>#REF!</v>
      </c>
      <c r="C75" s="151" t="e">
        <f>#REF!</f>
        <v>#REF!</v>
      </c>
      <c r="D75" s="154" t="e">
        <f>#REF!</f>
        <v>#REF!</v>
      </c>
      <c r="E75" s="189" t="e">
        <f>#REF!</f>
        <v>#REF!</v>
      </c>
      <c r="F75" s="192" t="e">
        <f>#REF!</f>
        <v>#REF!</v>
      </c>
      <c r="G75" s="178" t="e">
        <f t="shared" si="20"/>
        <v>#REF!</v>
      </c>
      <c r="H75" s="184"/>
      <c r="I75" s="152"/>
      <c r="J75" s="192"/>
      <c r="K75" s="152"/>
      <c r="L75" s="193"/>
      <c r="M75" s="152"/>
      <c r="N75" s="152"/>
      <c r="O75" s="152"/>
    </row>
    <row r="76" spans="1:15" hidden="1" x14ac:dyDescent="0.25">
      <c r="A76" s="156">
        <v>24</v>
      </c>
      <c r="B76" s="151" t="e">
        <f>#REF!</f>
        <v>#REF!</v>
      </c>
      <c r="C76" s="151" t="e">
        <f>#REF!</f>
        <v>#REF!</v>
      </c>
      <c r="D76" s="154" t="e">
        <f>#REF!</f>
        <v>#REF!</v>
      </c>
      <c r="E76" s="189" t="e">
        <f>#REF!</f>
        <v>#REF!</v>
      </c>
      <c r="F76" s="192" t="e">
        <f>#REF!</f>
        <v>#REF!</v>
      </c>
      <c r="G76" s="178" t="e">
        <f t="shared" si="20"/>
        <v>#REF!</v>
      </c>
      <c r="H76" s="184"/>
      <c r="I76" s="152"/>
      <c r="J76" s="192"/>
      <c r="K76" s="152"/>
      <c r="L76" s="193"/>
      <c r="M76" s="152"/>
      <c r="N76" s="152"/>
      <c r="O76" s="152"/>
    </row>
    <row r="77" spans="1:15" hidden="1" x14ac:dyDescent="0.25">
      <c r="A77" s="156">
        <v>25</v>
      </c>
      <c r="B77" s="151" t="e">
        <f>#REF!</f>
        <v>#REF!</v>
      </c>
      <c r="C77" s="151" t="e">
        <f>#REF!</f>
        <v>#REF!</v>
      </c>
      <c r="D77" s="154" t="e">
        <f>#REF!</f>
        <v>#REF!</v>
      </c>
      <c r="E77" s="189" t="e">
        <f>#REF!</f>
        <v>#REF!</v>
      </c>
      <c r="F77" s="192" t="e">
        <f>#REF!</f>
        <v>#REF!</v>
      </c>
      <c r="G77" s="178" t="e">
        <f t="shared" si="20"/>
        <v>#REF!</v>
      </c>
      <c r="H77" s="184"/>
      <c r="I77" s="152"/>
      <c r="J77" s="192"/>
      <c r="K77" s="152"/>
      <c r="L77" s="193"/>
      <c r="M77" s="152"/>
      <c r="N77" s="152"/>
      <c r="O77" s="152"/>
    </row>
    <row r="78" spans="1:15" hidden="1" x14ac:dyDescent="0.25">
      <c r="A78" s="156">
        <v>26</v>
      </c>
      <c r="B78" s="151" t="e">
        <f>#REF!</f>
        <v>#REF!</v>
      </c>
      <c r="C78" s="151" t="e">
        <f>#REF!</f>
        <v>#REF!</v>
      </c>
      <c r="D78" s="154" t="e">
        <f>#REF!</f>
        <v>#REF!</v>
      </c>
      <c r="E78" s="189" t="e">
        <f>#REF!</f>
        <v>#REF!</v>
      </c>
      <c r="F78" s="192" t="e">
        <f>#REF!</f>
        <v>#REF!</v>
      </c>
      <c r="G78" s="178" t="e">
        <f t="shared" si="20"/>
        <v>#REF!</v>
      </c>
      <c r="H78" s="184"/>
      <c r="I78" s="152"/>
      <c r="J78" s="192"/>
      <c r="K78" s="152"/>
      <c r="L78" s="193"/>
      <c r="M78" s="152"/>
      <c r="N78" s="152"/>
      <c r="O78" s="152"/>
    </row>
    <row r="79" spans="1:15" hidden="1" x14ac:dyDescent="0.25">
      <c r="A79" s="156">
        <v>27</v>
      </c>
      <c r="B79" s="151" t="e">
        <f>#REF!</f>
        <v>#REF!</v>
      </c>
      <c r="C79" s="151" t="e">
        <f>#REF!</f>
        <v>#REF!</v>
      </c>
      <c r="D79" s="154" t="e">
        <f>#REF!</f>
        <v>#REF!</v>
      </c>
      <c r="E79" s="189" t="e">
        <f>#REF!</f>
        <v>#REF!</v>
      </c>
      <c r="F79" s="192" t="e">
        <f>#REF!</f>
        <v>#REF!</v>
      </c>
      <c r="G79" s="178" t="e">
        <f t="shared" si="20"/>
        <v>#REF!</v>
      </c>
      <c r="H79" s="184"/>
      <c r="I79" s="152"/>
      <c r="J79" s="192"/>
      <c r="K79" s="152"/>
      <c r="L79" s="193"/>
      <c r="M79" s="152"/>
      <c r="N79" s="152"/>
      <c r="O79" s="152"/>
    </row>
    <row r="80" spans="1:15" hidden="1" x14ac:dyDescent="0.25">
      <c r="A80" s="156">
        <v>28</v>
      </c>
      <c r="B80" s="151" t="e">
        <f>#REF!</f>
        <v>#REF!</v>
      </c>
      <c r="C80" s="151" t="e">
        <f>#REF!</f>
        <v>#REF!</v>
      </c>
      <c r="D80" s="154" t="e">
        <f>#REF!</f>
        <v>#REF!</v>
      </c>
      <c r="E80" s="189" t="e">
        <f>#REF!</f>
        <v>#REF!</v>
      </c>
      <c r="F80" s="192" t="e">
        <f>#REF!</f>
        <v>#REF!</v>
      </c>
      <c r="G80" s="178" t="e">
        <f t="shared" si="20"/>
        <v>#REF!</v>
      </c>
      <c r="H80" s="184"/>
      <c r="I80" s="152"/>
      <c r="J80" s="192"/>
      <c r="K80" s="152"/>
      <c r="L80" s="193"/>
      <c r="M80" s="152"/>
      <c r="N80" s="152"/>
      <c r="O80" s="152"/>
    </row>
    <row r="81" spans="1:15" hidden="1" x14ac:dyDescent="0.25">
      <c r="A81" s="156">
        <v>29</v>
      </c>
      <c r="B81" s="151" t="e">
        <f>#REF!</f>
        <v>#REF!</v>
      </c>
      <c r="C81" s="151" t="e">
        <f>#REF!</f>
        <v>#REF!</v>
      </c>
      <c r="D81" s="154" t="e">
        <f>#REF!</f>
        <v>#REF!</v>
      </c>
      <c r="E81" s="189" t="e">
        <f>#REF!</f>
        <v>#REF!</v>
      </c>
      <c r="F81" s="192" t="e">
        <f>#REF!</f>
        <v>#REF!</v>
      </c>
      <c r="G81" s="178" t="e">
        <f t="shared" si="20"/>
        <v>#REF!</v>
      </c>
      <c r="H81" s="184"/>
      <c r="I81" s="152"/>
      <c r="J81" s="192"/>
      <c r="K81" s="152"/>
      <c r="L81" s="193"/>
      <c r="M81" s="152"/>
      <c r="N81" s="152"/>
      <c r="O81" s="152"/>
    </row>
    <row r="82" spans="1:15" hidden="1" x14ac:dyDescent="0.25">
      <c r="A82" s="156">
        <v>30</v>
      </c>
      <c r="B82" s="151" t="e">
        <f>#REF!</f>
        <v>#REF!</v>
      </c>
      <c r="C82" s="151" t="e">
        <f>#REF!</f>
        <v>#REF!</v>
      </c>
      <c r="D82" s="154" t="e">
        <f>#REF!</f>
        <v>#REF!</v>
      </c>
      <c r="E82" s="189" t="e">
        <f>#REF!</f>
        <v>#REF!</v>
      </c>
      <c r="F82" s="192" t="e">
        <f>#REF!</f>
        <v>#REF!</v>
      </c>
      <c r="G82" s="178" t="e">
        <f t="shared" si="20"/>
        <v>#REF!</v>
      </c>
      <c r="H82" s="184"/>
      <c r="I82" s="152"/>
      <c r="J82" s="192"/>
      <c r="K82" s="152"/>
      <c r="L82" s="193"/>
      <c r="M82" s="152"/>
      <c r="N82" s="152"/>
      <c r="O82" s="152"/>
    </row>
    <row r="83" spans="1:15" hidden="1" x14ac:dyDescent="0.25">
      <c r="A83" s="156">
        <v>31</v>
      </c>
      <c r="B83" s="151" t="e">
        <f>#REF!</f>
        <v>#REF!</v>
      </c>
      <c r="C83" s="151" t="e">
        <f>#REF!</f>
        <v>#REF!</v>
      </c>
      <c r="D83" s="154" t="e">
        <f>#REF!</f>
        <v>#REF!</v>
      </c>
      <c r="E83" s="189" t="e">
        <f>#REF!</f>
        <v>#REF!</v>
      </c>
      <c r="F83" s="192" t="e">
        <f>#REF!</f>
        <v>#REF!</v>
      </c>
      <c r="G83" s="178" t="e">
        <f t="shared" si="20"/>
        <v>#REF!</v>
      </c>
      <c r="H83" s="184"/>
      <c r="I83" s="152"/>
      <c r="J83" s="192"/>
      <c r="K83" s="152"/>
      <c r="L83" s="193"/>
      <c r="M83" s="152"/>
      <c r="N83" s="152"/>
      <c r="O83" s="152"/>
    </row>
    <row r="84" spans="1:15" hidden="1" x14ac:dyDescent="0.25">
      <c r="A84" s="156">
        <v>32</v>
      </c>
      <c r="B84" s="151" t="e">
        <f>#REF!</f>
        <v>#REF!</v>
      </c>
      <c r="C84" s="151" t="e">
        <f>#REF!</f>
        <v>#REF!</v>
      </c>
      <c r="D84" s="154" t="e">
        <f>#REF!</f>
        <v>#REF!</v>
      </c>
      <c r="E84" s="189" t="e">
        <f>#REF!</f>
        <v>#REF!</v>
      </c>
      <c r="F84" s="192" t="e">
        <f>#REF!</f>
        <v>#REF!</v>
      </c>
      <c r="G84" s="178" t="e">
        <f t="shared" si="20"/>
        <v>#REF!</v>
      </c>
      <c r="H84" s="184"/>
      <c r="I84" s="152"/>
      <c r="J84" s="192"/>
      <c r="K84" s="152"/>
      <c r="L84" s="193"/>
      <c r="M84" s="152"/>
      <c r="N84" s="152"/>
      <c r="O84" s="152"/>
    </row>
    <row r="85" spans="1:15" hidden="1" x14ac:dyDescent="0.25">
      <c r="A85" s="156">
        <v>33</v>
      </c>
      <c r="B85" s="151" t="e">
        <f>#REF!</f>
        <v>#REF!</v>
      </c>
      <c r="C85" s="151" t="e">
        <f>#REF!</f>
        <v>#REF!</v>
      </c>
      <c r="D85" s="154" t="e">
        <f>#REF!</f>
        <v>#REF!</v>
      </c>
      <c r="E85" s="189" t="e">
        <f>#REF!</f>
        <v>#REF!</v>
      </c>
      <c r="F85" s="192" t="e">
        <f>#REF!</f>
        <v>#REF!</v>
      </c>
      <c r="G85" s="178" t="e">
        <f t="shared" si="20"/>
        <v>#REF!</v>
      </c>
      <c r="H85" s="184"/>
      <c r="I85" s="152"/>
      <c r="J85" s="192"/>
      <c r="K85" s="152"/>
      <c r="L85" s="193"/>
      <c r="M85" s="152"/>
      <c r="N85" s="152"/>
      <c r="O85" s="152"/>
    </row>
    <row r="86" spans="1:15" hidden="1" x14ac:dyDescent="0.25">
      <c r="A86" s="156">
        <v>34</v>
      </c>
      <c r="B86" s="151" t="e">
        <f>#REF!</f>
        <v>#REF!</v>
      </c>
      <c r="C86" s="151" t="e">
        <f>#REF!</f>
        <v>#REF!</v>
      </c>
      <c r="D86" s="154" t="e">
        <f>#REF!</f>
        <v>#REF!</v>
      </c>
      <c r="E86" s="189" t="e">
        <f>#REF!</f>
        <v>#REF!</v>
      </c>
      <c r="F86" s="192" t="e">
        <f>#REF!</f>
        <v>#REF!</v>
      </c>
      <c r="G86" s="178" t="e">
        <f t="shared" si="20"/>
        <v>#REF!</v>
      </c>
      <c r="H86" s="184"/>
      <c r="I86" s="152"/>
      <c r="J86" s="192"/>
      <c r="K86" s="152"/>
      <c r="L86" s="193"/>
      <c r="M86" s="152"/>
      <c r="N86" s="152"/>
      <c r="O86" s="152"/>
    </row>
    <row r="87" spans="1:15" hidden="1" x14ac:dyDescent="0.25">
      <c r="A87" s="156">
        <v>35</v>
      </c>
      <c r="B87" s="151" t="e">
        <f>#REF!</f>
        <v>#REF!</v>
      </c>
      <c r="C87" s="151" t="e">
        <f>#REF!</f>
        <v>#REF!</v>
      </c>
      <c r="D87" s="154" t="e">
        <f>#REF!</f>
        <v>#REF!</v>
      </c>
      <c r="E87" s="189" t="e">
        <f>#REF!</f>
        <v>#REF!</v>
      </c>
      <c r="F87" s="192" t="e">
        <f>#REF!</f>
        <v>#REF!</v>
      </c>
      <c r="G87" s="178" t="e">
        <f t="shared" si="20"/>
        <v>#REF!</v>
      </c>
      <c r="H87" s="184"/>
      <c r="I87" s="152"/>
      <c r="J87" s="192"/>
      <c r="K87" s="152"/>
      <c r="L87" s="193"/>
      <c r="M87" s="152"/>
      <c r="N87" s="152"/>
      <c r="O87" s="152"/>
    </row>
    <row r="88" spans="1:15" hidden="1" x14ac:dyDescent="0.25">
      <c r="A88" s="156">
        <v>36</v>
      </c>
      <c r="B88" s="151" t="e">
        <f>#REF!</f>
        <v>#REF!</v>
      </c>
      <c r="C88" s="151" t="e">
        <f>#REF!</f>
        <v>#REF!</v>
      </c>
      <c r="D88" s="154" t="e">
        <f>#REF!</f>
        <v>#REF!</v>
      </c>
      <c r="E88" s="189" t="e">
        <f>#REF!</f>
        <v>#REF!</v>
      </c>
      <c r="F88" s="192" t="e">
        <f>#REF!</f>
        <v>#REF!</v>
      </c>
      <c r="G88" s="178" t="e">
        <f t="shared" si="20"/>
        <v>#REF!</v>
      </c>
      <c r="H88" s="184"/>
      <c r="I88" s="152"/>
      <c r="J88" s="192"/>
      <c r="K88" s="152"/>
      <c r="L88" s="193"/>
      <c r="M88" s="152"/>
      <c r="N88" s="152"/>
      <c r="O88" s="152"/>
    </row>
    <row r="89" spans="1:15" hidden="1" x14ac:dyDescent="0.25">
      <c r="A89" s="156">
        <v>37</v>
      </c>
      <c r="B89" s="151" t="e">
        <f>#REF!</f>
        <v>#REF!</v>
      </c>
      <c r="C89" s="151" t="e">
        <f>#REF!</f>
        <v>#REF!</v>
      </c>
      <c r="D89" s="154" t="e">
        <f>#REF!</f>
        <v>#REF!</v>
      </c>
      <c r="E89" s="189" t="e">
        <f>#REF!</f>
        <v>#REF!</v>
      </c>
      <c r="F89" s="192" t="e">
        <f>#REF!</f>
        <v>#REF!</v>
      </c>
      <c r="G89" s="178" t="e">
        <f t="shared" si="20"/>
        <v>#REF!</v>
      </c>
      <c r="H89" s="184"/>
      <c r="I89" s="152"/>
      <c r="J89" s="192"/>
      <c r="K89" s="152"/>
      <c r="L89" s="193"/>
      <c r="M89" s="152"/>
      <c r="N89" s="152"/>
      <c r="O89" s="152"/>
    </row>
    <row r="90" spans="1:15" hidden="1" x14ac:dyDescent="0.25">
      <c r="A90" s="156">
        <v>38</v>
      </c>
      <c r="B90" s="151" t="e">
        <f>#REF!</f>
        <v>#REF!</v>
      </c>
      <c r="C90" s="151" t="e">
        <f>#REF!</f>
        <v>#REF!</v>
      </c>
      <c r="D90" s="154" t="e">
        <f>#REF!</f>
        <v>#REF!</v>
      </c>
      <c r="E90" s="189" t="e">
        <f>#REF!</f>
        <v>#REF!</v>
      </c>
      <c r="F90" s="192" t="e">
        <f>#REF!</f>
        <v>#REF!</v>
      </c>
      <c r="G90" s="178" t="e">
        <f t="shared" si="20"/>
        <v>#REF!</v>
      </c>
      <c r="H90" s="184"/>
      <c r="I90" s="152"/>
      <c r="J90" s="192"/>
      <c r="K90" s="152"/>
      <c r="L90" s="193"/>
      <c r="M90" s="152"/>
      <c r="N90" s="152"/>
      <c r="O90" s="152"/>
    </row>
    <row r="91" spans="1:15" hidden="1" x14ac:dyDescent="0.25">
      <c r="A91" s="156">
        <v>39</v>
      </c>
      <c r="B91" s="151" t="e">
        <f>#REF!</f>
        <v>#REF!</v>
      </c>
      <c r="C91" s="151" t="e">
        <f>#REF!</f>
        <v>#REF!</v>
      </c>
      <c r="D91" s="154" t="e">
        <f>#REF!</f>
        <v>#REF!</v>
      </c>
      <c r="E91" s="189" t="e">
        <f>#REF!</f>
        <v>#REF!</v>
      </c>
      <c r="F91" s="192" t="e">
        <f>#REF!</f>
        <v>#REF!</v>
      </c>
      <c r="G91" s="178" t="e">
        <f t="shared" si="20"/>
        <v>#REF!</v>
      </c>
      <c r="H91" s="184"/>
      <c r="I91" s="152"/>
      <c r="J91" s="192"/>
      <c r="K91" s="152"/>
      <c r="L91" s="193"/>
      <c r="M91" s="152"/>
      <c r="N91" s="152"/>
      <c r="O91" s="152"/>
    </row>
    <row r="92" spans="1:15" hidden="1" x14ac:dyDescent="0.25">
      <c r="A92" s="156">
        <v>40</v>
      </c>
      <c r="B92" s="151" t="e">
        <f>#REF!</f>
        <v>#REF!</v>
      </c>
      <c r="C92" s="151" t="e">
        <f>#REF!</f>
        <v>#REF!</v>
      </c>
      <c r="D92" s="154" t="e">
        <f>#REF!</f>
        <v>#REF!</v>
      </c>
      <c r="E92" s="189" t="e">
        <f>#REF!</f>
        <v>#REF!</v>
      </c>
      <c r="F92" s="192" t="e">
        <f>#REF!</f>
        <v>#REF!</v>
      </c>
      <c r="G92" s="178" t="e">
        <f t="shared" si="20"/>
        <v>#REF!</v>
      </c>
      <c r="H92" s="184"/>
      <c r="I92" s="152"/>
      <c r="J92" s="192"/>
      <c r="K92" s="152"/>
      <c r="L92" s="193"/>
      <c r="M92" s="152"/>
      <c r="N92" s="152"/>
      <c r="O92" s="152"/>
    </row>
    <row r="93" spans="1:15" hidden="1" x14ac:dyDescent="0.25">
      <c r="A93" s="156">
        <v>41</v>
      </c>
      <c r="B93" s="151" t="e">
        <f>#REF!</f>
        <v>#REF!</v>
      </c>
      <c r="C93" s="151" t="e">
        <f>#REF!</f>
        <v>#REF!</v>
      </c>
      <c r="D93" s="154" t="e">
        <f>#REF!</f>
        <v>#REF!</v>
      </c>
      <c r="E93" s="189" t="e">
        <f>#REF!</f>
        <v>#REF!</v>
      </c>
      <c r="F93" s="192" t="e">
        <f>#REF!</f>
        <v>#REF!</v>
      </c>
      <c r="G93" s="178" t="e">
        <f t="shared" si="20"/>
        <v>#REF!</v>
      </c>
      <c r="H93" s="184"/>
      <c r="I93" s="152"/>
      <c r="J93" s="192"/>
      <c r="K93" s="152"/>
      <c r="L93" s="193"/>
      <c r="M93" s="152"/>
      <c r="N93" s="152"/>
      <c r="O93" s="152"/>
    </row>
    <row r="94" spans="1:15" hidden="1" x14ac:dyDescent="0.25">
      <c r="A94" s="156">
        <v>42</v>
      </c>
      <c r="B94" s="151" t="e">
        <f>#REF!</f>
        <v>#REF!</v>
      </c>
      <c r="C94" s="151" t="e">
        <f>#REF!</f>
        <v>#REF!</v>
      </c>
      <c r="D94" s="154" t="e">
        <f>#REF!</f>
        <v>#REF!</v>
      </c>
      <c r="E94" s="189" t="e">
        <f>#REF!</f>
        <v>#REF!</v>
      </c>
      <c r="F94" s="192" t="e">
        <f>#REF!</f>
        <v>#REF!</v>
      </c>
      <c r="G94" s="178" t="e">
        <f t="shared" si="20"/>
        <v>#REF!</v>
      </c>
      <c r="H94" s="184"/>
      <c r="I94" s="152"/>
      <c r="J94" s="192"/>
      <c r="K94" s="152"/>
      <c r="L94" s="193"/>
      <c r="M94" s="152"/>
      <c r="N94" s="152"/>
      <c r="O94" s="152"/>
    </row>
    <row r="95" spans="1:15" hidden="1" x14ac:dyDescent="0.25">
      <c r="A95" s="156">
        <v>43</v>
      </c>
      <c r="B95" s="151" t="e">
        <f>#REF!</f>
        <v>#REF!</v>
      </c>
      <c r="C95" s="151" t="e">
        <f>#REF!</f>
        <v>#REF!</v>
      </c>
      <c r="D95" s="154" t="e">
        <f>#REF!</f>
        <v>#REF!</v>
      </c>
      <c r="E95" s="189" t="e">
        <f>#REF!</f>
        <v>#REF!</v>
      </c>
      <c r="F95" s="192" t="e">
        <f>#REF!</f>
        <v>#REF!</v>
      </c>
      <c r="G95" s="178" t="e">
        <f t="shared" si="20"/>
        <v>#REF!</v>
      </c>
      <c r="H95" s="184"/>
      <c r="I95" s="152"/>
      <c r="J95" s="192"/>
      <c r="K95" s="152"/>
      <c r="L95" s="193"/>
      <c r="M95" s="152"/>
      <c r="N95" s="152"/>
      <c r="O95" s="152"/>
    </row>
    <row r="96" spans="1:15" hidden="1" x14ac:dyDescent="0.25">
      <c r="A96" s="156">
        <v>44</v>
      </c>
      <c r="B96" s="151" t="e">
        <f>#REF!</f>
        <v>#REF!</v>
      </c>
      <c r="C96" s="151" t="e">
        <f>#REF!</f>
        <v>#REF!</v>
      </c>
      <c r="D96" s="154" t="e">
        <f>#REF!</f>
        <v>#REF!</v>
      </c>
      <c r="E96" s="189" t="e">
        <f>#REF!</f>
        <v>#REF!</v>
      </c>
      <c r="F96" s="192" t="e">
        <f>#REF!</f>
        <v>#REF!</v>
      </c>
      <c r="G96" s="178" t="e">
        <f t="shared" si="20"/>
        <v>#REF!</v>
      </c>
      <c r="H96" s="184"/>
      <c r="I96" s="152"/>
      <c r="J96" s="192"/>
      <c r="K96" s="152"/>
      <c r="L96" s="193"/>
      <c r="M96" s="152"/>
      <c r="N96" s="152"/>
      <c r="O96" s="152"/>
    </row>
    <row r="97" spans="1:15" hidden="1" x14ac:dyDescent="0.25">
      <c r="A97" s="156">
        <v>45</v>
      </c>
      <c r="B97" s="151" t="e">
        <f>#REF!</f>
        <v>#REF!</v>
      </c>
      <c r="C97" s="151" t="e">
        <f>#REF!</f>
        <v>#REF!</v>
      </c>
      <c r="D97" s="154" t="e">
        <f>#REF!</f>
        <v>#REF!</v>
      </c>
      <c r="E97" s="189" t="e">
        <f>#REF!</f>
        <v>#REF!</v>
      </c>
      <c r="F97" s="192" t="e">
        <f>#REF!</f>
        <v>#REF!</v>
      </c>
      <c r="G97" s="178" t="e">
        <f t="shared" si="20"/>
        <v>#REF!</v>
      </c>
      <c r="H97" s="184"/>
      <c r="I97" s="152"/>
      <c r="J97" s="192"/>
      <c r="K97" s="152"/>
      <c r="L97" s="193"/>
      <c r="M97" s="152"/>
      <c r="N97" s="152"/>
      <c r="O97" s="152"/>
    </row>
    <row r="98" spans="1:15" hidden="1" x14ac:dyDescent="0.25">
      <c r="A98" s="156">
        <v>46</v>
      </c>
      <c r="B98" s="151" t="e">
        <f>#REF!</f>
        <v>#REF!</v>
      </c>
      <c r="C98" s="151" t="e">
        <f>#REF!</f>
        <v>#REF!</v>
      </c>
      <c r="D98" s="154" t="e">
        <f>#REF!</f>
        <v>#REF!</v>
      </c>
      <c r="E98" s="189" t="e">
        <f>#REF!</f>
        <v>#REF!</v>
      </c>
      <c r="F98" s="192" t="e">
        <f>#REF!</f>
        <v>#REF!</v>
      </c>
      <c r="G98" s="178" t="e">
        <f t="shared" si="20"/>
        <v>#REF!</v>
      </c>
      <c r="H98" s="184"/>
      <c r="I98" s="152"/>
      <c r="J98" s="192"/>
      <c r="K98" s="152"/>
      <c r="L98" s="193"/>
      <c r="M98" s="152"/>
      <c r="N98" s="152"/>
      <c r="O98" s="152"/>
    </row>
    <row r="99" spans="1:15" hidden="1" x14ac:dyDescent="0.25">
      <c r="A99" s="156">
        <v>47</v>
      </c>
      <c r="B99" s="151" t="e">
        <f>#REF!</f>
        <v>#REF!</v>
      </c>
      <c r="C99" s="151" t="e">
        <f>#REF!</f>
        <v>#REF!</v>
      </c>
      <c r="D99" s="154" t="e">
        <f>#REF!</f>
        <v>#REF!</v>
      </c>
      <c r="E99" s="189" t="e">
        <f>#REF!</f>
        <v>#REF!</v>
      </c>
      <c r="F99" s="192" t="e">
        <f>#REF!</f>
        <v>#REF!</v>
      </c>
      <c r="G99" s="178" t="e">
        <f t="shared" si="20"/>
        <v>#REF!</v>
      </c>
      <c r="H99" s="184"/>
      <c r="I99" s="152"/>
      <c r="J99" s="192"/>
      <c r="K99" s="152"/>
      <c r="L99" s="193"/>
      <c r="M99" s="152"/>
      <c r="N99" s="152"/>
      <c r="O99" s="152"/>
    </row>
    <row r="100" spans="1:15" hidden="1" x14ac:dyDescent="0.25">
      <c r="A100" s="156">
        <v>48</v>
      </c>
      <c r="B100" s="151" t="e">
        <f>#REF!</f>
        <v>#REF!</v>
      </c>
      <c r="C100" s="151" t="e">
        <f>#REF!</f>
        <v>#REF!</v>
      </c>
      <c r="D100" s="154" t="e">
        <f>#REF!</f>
        <v>#REF!</v>
      </c>
      <c r="E100" s="189" t="e">
        <f>#REF!</f>
        <v>#REF!</v>
      </c>
      <c r="F100" s="192" t="e">
        <f>#REF!</f>
        <v>#REF!</v>
      </c>
      <c r="G100" s="178" t="e">
        <f t="shared" si="20"/>
        <v>#REF!</v>
      </c>
      <c r="H100" s="184"/>
      <c r="I100" s="152"/>
      <c r="J100" s="192"/>
      <c r="K100" s="152"/>
      <c r="L100" s="193"/>
      <c r="M100" s="152"/>
      <c r="N100" s="152"/>
      <c r="O100" s="152"/>
    </row>
    <row r="101" spans="1:15" hidden="1" x14ac:dyDescent="0.25">
      <c r="A101" s="156">
        <v>49</v>
      </c>
      <c r="B101" s="151" t="e">
        <f>#REF!</f>
        <v>#REF!</v>
      </c>
      <c r="C101" s="151" t="e">
        <f>#REF!</f>
        <v>#REF!</v>
      </c>
      <c r="D101" s="154" t="e">
        <f>#REF!</f>
        <v>#REF!</v>
      </c>
      <c r="E101" s="189" t="e">
        <f>#REF!</f>
        <v>#REF!</v>
      </c>
      <c r="F101" s="192" t="e">
        <f>#REF!</f>
        <v>#REF!</v>
      </c>
      <c r="G101" s="178" t="e">
        <f t="shared" si="20"/>
        <v>#REF!</v>
      </c>
      <c r="H101" s="184"/>
      <c r="I101" s="152"/>
      <c r="J101" s="192"/>
      <c r="K101" s="152"/>
      <c r="L101" s="193"/>
      <c r="M101" s="152"/>
      <c r="N101" s="152"/>
      <c r="O101" s="152"/>
    </row>
    <row r="102" spans="1:15" hidden="1" x14ac:dyDescent="0.25">
      <c r="A102" s="156">
        <v>50</v>
      </c>
      <c r="B102" s="151" t="e">
        <f>#REF!</f>
        <v>#REF!</v>
      </c>
      <c r="C102" s="151" t="e">
        <f>#REF!</f>
        <v>#REF!</v>
      </c>
      <c r="D102" s="154" t="e">
        <f>#REF!</f>
        <v>#REF!</v>
      </c>
      <c r="E102" s="189" t="e">
        <f>#REF!</f>
        <v>#REF!</v>
      </c>
      <c r="F102" s="192" t="e">
        <f>#REF!</f>
        <v>#REF!</v>
      </c>
      <c r="G102" s="178" t="e">
        <f t="shared" si="20"/>
        <v>#REF!</v>
      </c>
      <c r="H102" s="184"/>
      <c r="I102" s="152"/>
      <c r="J102" s="192"/>
      <c r="K102" s="152"/>
      <c r="L102" s="193"/>
      <c r="M102" s="152"/>
      <c r="N102" s="152"/>
      <c r="O102" s="152"/>
    </row>
    <row r="103" spans="1:15" hidden="1" x14ac:dyDescent="0.25">
      <c r="A103" s="156">
        <v>51</v>
      </c>
      <c r="B103" s="151" t="e">
        <f>#REF!</f>
        <v>#REF!</v>
      </c>
      <c r="C103" s="151" t="e">
        <f>#REF!</f>
        <v>#REF!</v>
      </c>
      <c r="D103" s="154" t="e">
        <f>#REF!</f>
        <v>#REF!</v>
      </c>
      <c r="E103" s="189" t="e">
        <f>#REF!</f>
        <v>#REF!</v>
      </c>
      <c r="F103" s="192" t="e">
        <f>#REF!</f>
        <v>#REF!</v>
      </c>
      <c r="G103" s="178" t="e">
        <f t="shared" si="20"/>
        <v>#REF!</v>
      </c>
      <c r="H103" s="184"/>
      <c r="I103" s="152"/>
      <c r="J103" s="192"/>
      <c r="K103" s="152"/>
      <c r="L103" s="193"/>
      <c r="M103" s="152"/>
      <c r="N103" s="152"/>
      <c r="O103" s="152"/>
    </row>
    <row r="104" spans="1:15" hidden="1" x14ac:dyDescent="0.25">
      <c r="A104" s="156">
        <v>52</v>
      </c>
      <c r="B104" s="151" t="e">
        <f>#REF!</f>
        <v>#REF!</v>
      </c>
      <c r="C104" s="151" t="e">
        <f>#REF!</f>
        <v>#REF!</v>
      </c>
      <c r="D104" s="154" t="e">
        <f>#REF!</f>
        <v>#REF!</v>
      </c>
      <c r="E104" s="189" t="e">
        <f>#REF!</f>
        <v>#REF!</v>
      </c>
      <c r="F104" s="192" t="e">
        <f>#REF!</f>
        <v>#REF!</v>
      </c>
      <c r="G104" s="178" t="e">
        <f t="shared" si="20"/>
        <v>#REF!</v>
      </c>
      <c r="H104" s="184"/>
      <c r="I104" s="152"/>
      <c r="J104" s="192"/>
      <c r="K104" s="152"/>
      <c r="L104" s="193"/>
      <c r="M104" s="152"/>
      <c r="N104" s="152"/>
      <c r="O104" s="152"/>
    </row>
    <row r="105" spans="1:15" hidden="1" x14ac:dyDescent="0.25">
      <c r="A105" s="156">
        <v>53</v>
      </c>
      <c r="B105" s="151" t="e">
        <f>#REF!</f>
        <v>#REF!</v>
      </c>
      <c r="C105" s="151" t="e">
        <f>#REF!</f>
        <v>#REF!</v>
      </c>
      <c r="D105" s="154" t="e">
        <f>#REF!</f>
        <v>#REF!</v>
      </c>
      <c r="E105" s="189" t="e">
        <f>#REF!</f>
        <v>#REF!</v>
      </c>
      <c r="F105" s="192" t="e">
        <f>#REF!</f>
        <v>#REF!</v>
      </c>
      <c r="G105" s="178" t="e">
        <f t="shared" si="20"/>
        <v>#REF!</v>
      </c>
      <c r="H105" s="184"/>
      <c r="I105" s="152"/>
      <c r="J105" s="192"/>
      <c r="K105" s="152"/>
      <c r="L105" s="193"/>
      <c r="M105" s="152"/>
      <c r="N105" s="152"/>
      <c r="O105" s="152"/>
    </row>
    <row r="106" spans="1:15" hidden="1" x14ac:dyDescent="0.25">
      <c r="A106" s="156">
        <v>54</v>
      </c>
      <c r="B106" s="151" t="e">
        <f>#REF!</f>
        <v>#REF!</v>
      </c>
      <c r="C106" s="151" t="e">
        <f>#REF!</f>
        <v>#REF!</v>
      </c>
      <c r="D106" s="154" t="e">
        <f>#REF!</f>
        <v>#REF!</v>
      </c>
      <c r="E106" s="189" t="e">
        <f>#REF!</f>
        <v>#REF!</v>
      </c>
      <c r="F106" s="192" t="e">
        <f>#REF!</f>
        <v>#REF!</v>
      </c>
      <c r="G106" s="178" t="e">
        <f t="shared" si="20"/>
        <v>#REF!</v>
      </c>
      <c r="H106" s="184"/>
      <c r="I106" s="152"/>
      <c r="J106" s="192"/>
      <c r="K106" s="152"/>
      <c r="L106" s="193"/>
      <c r="M106" s="152"/>
      <c r="N106" s="152"/>
      <c r="O106" s="152"/>
    </row>
    <row r="107" spans="1:15" hidden="1" x14ac:dyDescent="0.25">
      <c r="A107" s="156">
        <v>55</v>
      </c>
      <c r="B107" s="151" t="e">
        <f>#REF!</f>
        <v>#REF!</v>
      </c>
      <c r="C107" s="151" t="e">
        <f>#REF!</f>
        <v>#REF!</v>
      </c>
      <c r="D107" s="154" t="e">
        <f>#REF!</f>
        <v>#REF!</v>
      </c>
      <c r="E107" s="189" t="e">
        <f>#REF!</f>
        <v>#REF!</v>
      </c>
      <c r="F107" s="192" t="e">
        <f>#REF!</f>
        <v>#REF!</v>
      </c>
      <c r="G107" s="178" t="e">
        <f t="shared" si="20"/>
        <v>#REF!</v>
      </c>
      <c r="H107" s="184"/>
      <c r="I107" s="152"/>
      <c r="J107" s="192"/>
      <c r="K107" s="152"/>
      <c r="L107" s="193"/>
      <c r="M107" s="152"/>
      <c r="N107" s="152"/>
      <c r="O107" s="152"/>
    </row>
    <row r="108" spans="1:15" hidden="1" x14ac:dyDescent="0.25">
      <c r="A108" s="156">
        <v>56</v>
      </c>
      <c r="B108" s="151" t="e">
        <f>#REF!</f>
        <v>#REF!</v>
      </c>
      <c r="C108" s="151" t="e">
        <f>#REF!</f>
        <v>#REF!</v>
      </c>
      <c r="D108" s="154" t="e">
        <f>#REF!</f>
        <v>#REF!</v>
      </c>
      <c r="E108" s="189" t="e">
        <f>#REF!</f>
        <v>#REF!</v>
      </c>
      <c r="F108" s="192" t="e">
        <f>#REF!</f>
        <v>#REF!</v>
      </c>
      <c r="G108" s="178" t="e">
        <f t="shared" si="20"/>
        <v>#REF!</v>
      </c>
      <c r="H108" s="184"/>
      <c r="I108" s="152"/>
      <c r="J108" s="192"/>
      <c r="K108" s="152"/>
      <c r="L108" s="193"/>
      <c r="M108" s="152"/>
      <c r="N108" s="152"/>
      <c r="O108" s="152"/>
    </row>
    <row r="109" spans="1:15" hidden="1" x14ac:dyDescent="0.25">
      <c r="A109" s="156">
        <v>57</v>
      </c>
      <c r="B109" s="151" t="e">
        <f>#REF!</f>
        <v>#REF!</v>
      </c>
      <c r="C109" s="151" t="e">
        <f>#REF!</f>
        <v>#REF!</v>
      </c>
      <c r="D109" s="154" t="e">
        <f>#REF!</f>
        <v>#REF!</v>
      </c>
      <c r="E109" s="189" t="e">
        <f>#REF!</f>
        <v>#REF!</v>
      </c>
      <c r="F109" s="192" t="e">
        <f>#REF!</f>
        <v>#REF!</v>
      </c>
      <c r="G109" s="178" t="e">
        <f t="shared" si="20"/>
        <v>#REF!</v>
      </c>
      <c r="H109" s="184"/>
      <c r="I109" s="152"/>
      <c r="J109" s="192"/>
      <c r="K109" s="152"/>
      <c r="L109" s="193"/>
      <c r="M109" s="152"/>
      <c r="N109" s="152"/>
      <c r="O109" s="152"/>
    </row>
    <row r="110" spans="1:15" hidden="1" x14ac:dyDescent="0.25">
      <c r="A110" s="156">
        <v>58</v>
      </c>
      <c r="B110" s="151" t="e">
        <f>#REF!</f>
        <v>#REF!</v>
      </c>
      <c r="C110" s="151" t="e">
        <f>#REF!</f>
        <v>#REF!</v>
      </c>
      <c r="D110" s="154" t="e">
        <f>#REF!</f>
        <v>#REF!</v>
      </c>
      <c r="E110" s="189" t="e">
        <f>#REF!</f>
        <v>#REF!</v>
      </c>
      <c r="F110" s="192" t="e">
        <f>#REF!</f>
        <v>#REF!</v>
      </c>
      <c r="G110" s="178" t="e">
        <f t="shared" si="20"/>
        <v>#REF!</v>
      </c>
      <c r="H110" s="184"/>
      <c r="I110" s="152"/>
      <c r="J110" s="192"/>
      <c r="K110" s="152"/>
      <c r="L110" s="193"/>
      <c r="M110" s="152"/>
      <c r="N110" s="152"/>
      <c r="O110" s="152"/>
    </row>
    <row r="111" spans="1:15" hidden="1" x14ac:dyDescent="0.25">
      <c r="A111" s="156">
        <v>59</v>
      </c>
      <c r="B111" s="151" t="e">
        <f>#REF!</f>
        <v>#REF!</v>
      </c>
      <c r="C111" s="151" t="e">
        <f>#REF!</f>
        <v>#REF!</v>
      </c>
      <c r="D111" s="154" t="e">
        <f>#REF!</f>
        <v>#REF!</v>
      </c>
      <c r="E111" s="189" t="e">
        <f>#REF!</f>
        <v>#REF!</v>
      </c>
      <c r="F111" s="192" t="e">
        <f>#REF!</f>
        <v>#REF!</v>
      </c>
      <c r="G111" s="178" t="e">
        <f t="shared" si="20"/>
        <v>#REF!</v>
      </c>
      <c r="H111" s="184"/>
      <c r="I111" s="152"/>
      <c r="J111" s="192"/>
      <c r="K111" s="152"/>
      <c r="L111" s="193"/>
      <c r="M111" s="152"/>
      <c r="N111" s="152"/>
      <c r="O111" s="152"/>
    </row>
    <row r="112" spans="1:15" hidden="1" x14ac:dyDescent="0.25">
      <c r="A112" s="156">
        <v>60</v>
      </c>
      <c r="B112" s="151" t="e">
        <f>#REF!</f>
        <v>#REF!</v>
      </c>
      <c r="C112" s="151" t="e">
        <f>#REF!</f>
        <v>#REF!</v>
      </c>
      <c r="D112" s="154" t="e">
        <f>#REF!</f>
        <v>#REF!</v>
      </c>
      <c r="E112" s="189" t="e">
        <f>#REF!</f>
        <v>#REF!</v>
      </c>
      <c r="F112" s="192" t="e">
        <f>#REF!</f>
        <v>#REF!</v>
      </c>
      <c r="G112" s="178" t="e">
        <f t="shared" si="20"/>
        <v>#REF!</v>
      </c>
      <c r="H112" s="184"/>
      <c r="I112" s="152"/>
      <c r="J112" s="192"/>
      <c r="K112" s="152"/>
      <c r="L112" s="193"/>
      <c r="M112" s="152"/>
      <c r="N112" s="152"/>
      <c r="O112" s="152"/>
    </row>
    <row r="113" spans="1:15" hidden="1" x14ac:dyDescent="0.25">
      <c r="A113" s="156">
        <v>61</v>
      </c>
      <c r="B113" s="151" t="e">
        <f>#REF!</f>
        <v>#REF!</v>
      </c>
      <c r="C113" s="151" t="e">
        <f>#REF!</f>
        <v>#REF!</v>
      </c>
      <c r="D113" s="154" t="e">
        <f>#REF!</f>
        <v>#REF!</v>
      </c>
      <c r="E113" s="189" t="e">
        <f>#REF!</f>
        <v>#REF!</v>
      </c>
      <c r="F113" s="192" t="e">
        <f>#REF!</f>
        <v>#REF!</v>
      </c>
      <c r="G113" s="178" t="e">
        <f t="shared" si="20"/>
        <v>#REF!</v>
      </c>
      <c r="H113" s="184"/>
      <c r="I113" s="152"/>
      <c r="J113" s="192"/>
      <c r="K113" s="152"/>
      <c r="L113" s="193"/>
      <c r="M113" s="152"/>
      <c r="N113" s="152"/>
      <c r="O113" s="152"/>
    </row>
    <row r="114" spans="1:15" hidden="1" x14ac:dyDescent="0.25">
      <c r="A114" s="156">
        <v>62</v>
      </c>
      <c r="B114" s="151" t="e">
        <f>#REF!</f>
        <v>#REF!</v>
      </c>
      <c r="C114" s="151" t="e">
        <f>#REF!</f>
        <v>#REF!</v>
      </c>
      <c r="D114" s="154" t="e">
        <f>#REF!</f>
        <v>#REF!</v>
      </c>
      <c r="E114" s="189" t="e">
        <f>#REF!</f>
        <v>#REF!</v>
      </c>
      <c r="F114" s="192" t="e">
        <f>#REF!</f>
        <v>#REF!</v>
      </c>
      <c r="G114" s="178" t="e">
        <f t="shared" si="20"/>
        <v>#REF!</v>
      </c>
      <c r="H114" s="184"/>
      <c r="I114" s="152"/>
      <c r="J114" s="192"/>
      <c r="K114" s="152"/>
      <c r="L114" s="193"/>
      <c r="M114" s="152"/>
      <c r="N114" s="152"/>
      <c r="O114" s="152"/>
    </row>
    <row r="115" spans="1:15" hidden="1" x14ac:dyDescent="0.25">
      <c r="A115" s="156">
        <v>63</v>
      </c>
      <c r="B115" s="151" t="e">
        <f>#REF!</f>
        <v>#REF!</v>
      </c>
      <c r="C115" s="151" t="e">
        <f>#REF!</f>
        <v>#REF!</v>
      </c>
      <c r="D115" s="154" t="e">
        <f>#REF!</f>
        <v>#REF!</v>
      </c>
      <c r="E115" s="189" t="e">
        <f>#REF!</f>
        <v>#REF!</v>
      </c>
      <c r="F115" s="192" t="e">
        <f>#REF!</f>
        <v>#REF!</v>
      </c>
      <c r="G115" s="178" t="e">
        <f t="shared" si="20"/>
        <v>#REF!</v>
      </c>
      <c r="H115" s="184"/>
      <c r="I115" s="152"/>
      <c r="J115" s="192"/>
      <c r="K115" s="152"/>
      <c r="L115" s="193"/>
      <c r="M115" s="152"/>
      <c r="N115" s="152"/>
      <c r="O115" s="152"/>
    </row>
    <row r="116" spans="1:15" hidden="1" x14ac:dyDescent="0.25">
      <c r="A116" s="156">
        <v>64</v>
      </c>
      <c r="B116" s="151" t="e">
        <f>#REF!</f>
        <v>#REF!</v>
      </c>
      <c r="C116" s="151" t="e">
        <f>#REF!</f>
        <v>#REF!</v>
      </c>
      <c r="D116" s="154" t="e">
        <f>#REF!</f>
        <v>#REF!</v>
      </c>
      <c r="E116" s="189" t="e">
        <f>#REF!</f>
        <v>#REF!</v>
      </c>
      <c r="F116" s="192" t="e">
        <f>#REF!</f>
        <v>#REF!</v>
      </c>
      <c r="G116" s="178" t="e">
        <f t="shared" si="20"/>
        <v>#REF!</v>
      </c>
      <c r="H116" s="184"/>
      <c r="I116" s="152"/>
      <c r="J116" s="192"/>
      <c r="K116" s="152"/>
      <c r="L116" s="193"/>
      <c r="M116" s="152"/>
      <c r="N116" s="152"/>
      <c r="O116" s="152"/>
    </row>
    <row r="117" spans="1:15" hidden="1" x14ac:dyDescent="0.25">
      <c r="A117" s="156">
        <v>65</v>
      </c>
      <c r="B117" s="151" t="e">
        <f>#REF!</f>
        <v>#REF!</v>
      </c>
      <c r="C117" s="151" t="e">
        <f>#REF!</f>
        <v>#REF!</v>
      </c>
      <c r="D117" s="154" t="e">
        <f>#REF!</f>
        <v>#REF!</v>
      </c>
      <c r="E117" s="189" t="e">
        <f>#REF!</f>
        <v>#REF!</v>
      </c>
      <c r="F117" s="192" t="e">
        <f>#REF!</f>
        <v>#REF!</v>
      </c>
      <c r="G117" s="178" t="e">
        <f t="shared" si="20"/>
        <v>#REF!</v>
      </c>
      <c r="H117" s="184"/>
      <c r="I117" s="152"/>
      <c r="J117" s="192"/>
      <c r="K117" s="152"/>
      <c r="L117" s="193"/>
      <c r="M117" s="152"/>
      <c r="N117" s="152"/>
      <c r="O117" s="152"/>
    </row>
    <row r="118" spans="1:15" hidden="1" x14ac:dyDescent="0.25">
      <c r="A118" s="156">
        <v>66</v>
      </c>
      <c r="B118" s="151" t="e">
        <f>#REF!</f>
        <v>#REF!</v>
      </c>
      <c r="C118" s="151" t="e">
        <f>#REF!</f>
        <v>#REF!</v>
      </c>
      <c r="D118" s="154" t="e">
        <f>#REF!</f>
        <v>#REF!</v>
      </c>
      <c r="E118" s="189" t="e">
        <f>#REF!</f>
        <v>#REF!</v>
      </c>
      <c r="F118" s="192" t="e">
        <f>#REF!</f>
        <v>#REF!</v>
      </c>
      <c r="G118" s="178" t="e">
        <f t="shared" ref="G118:G153" si="21">F118*D118</f>
        <v>#REF!</v>
      </c>
      <c r="H118" s="184"/>
      <c r="I118" s="152"/>
      <c r="J118" s="192"/>
      <c r="K118" s="152"/>
      <c r="L118" s="193"/>
      <c r="M118" s="152"/>
      <c r="N118" s="152"/>
      <c r="O118" s="152"/>
    </row>
    <row r="119" spans="1:15" hidden="1" x14ac:dyDescent="0.25">
      <c r="A119" s="156">
        <v>67</v>
      </c>
      <c r="B119" s="151" t="e">
        <f>#REF!</f>
        <v>#REF!</v>
      </c>
      <c r="C119" s="151" t="e">
        <f>#REF!</f>
        <v>#REF!</v>
      </c>
      <c r="D119" s="154" t="e">
        <f>#REF!</f>
        <v>#REF!</v>
      </c>
      <c r="E119" s="189" t="e">
        <f>#REF!</f>
        <v>#REF!</v>
      </c>
      <c r="F119" s="192" t="e">
        <f>#REF!</f>
        <v>#REF!</v>
      </c>
      <c r="G119" s="178" t="e">
        <f t="shared" si="21"/>
        <v>#REF!</v>
      </c>
      <c r="H119" s="184"/>
      <c r="I119" s="152"/>
      <c r="J119" s="192"/>
      <c r="K119" s="152"/>
      <c r="L119" s="193"/>
      <c r="M119" s="152"/>
      <c r="N119" s="152"/>
      <c r="O119" s="152"/>
    </row>
    <row r="120" spans="1:15" hidden="1" x14ac:dyDescent="0.25">
      <c r="A120" s="156">
        <v>68</v>
      </c>
      <c r="B120" s="151" t="e">
        <f>#REF!</f>
        <v>#REF!</v>
      </c>
      <c r="C120" s="151" t="e">
        <f>#REF!</f>
        <v>#REF!</v>
      </c>
      <c r="D120" s="154" t="e">
        <f>#REF!</f>
        <v>#REF!</v>
      </c>
      <c r="E120" s="189" t="e">
        <f>#REF!</f>
        <v>#REF!</v>
      </c>
      <c r="F120" s="192" t="e">
        <f>#REF!</f>
        <v>#REF!</v>
      </c>
      <c r="G120" s="178" t="e">
        <f t="shared" si="21"/>
        <v>#REF!</v>
      </c>
      <c r="H120" s="184"/>
      <c r="I120" s="152"/>
      <c r="J120" s="192"/>
      <c r="K120" s="152"/>
      <c r="L120" s="193"/>
      <c r="M120" s="152"/>
      <c r="N120" s="152"/>
      <c r="O120" s="152"/>
    </row>
    <row r="121" spans="1:15" hidden="1" x14ac:dyDescent="0.25">
      <c r="A121" s="156">
        <v>69</v>
      </c>
      <c r="B121" s="151" t="e">
        <f>#REF!</f>
        <v>#REF!</v>
      </c>
      <c r="C121" s="151" t="e">
        <f>#REF!</f>
        <v>#REF!</v>
      </c>
      <c r="D121" s="154" t="e">
        <f>#REF!</f>
        <v>#REF!</v>
      </c>
      <c r="E121" s="189" t="e">
        <f>#REF!</f>
        <v>#REF!</v>
      </c>
      <c r="F121" s="192" t="e">
        <f>#REF!</f>
        <v>#REF!</v>
      </c>
      <c r="G121" s="178" t="e">
        <f t="shared" si="21"/>
        <v>#REF!</v>
      </c>
      <c r="H121" s="184"/>
      <c r="I121" s="152"/>
      <c r="J121" s="192"/>
      <c r="K121" s="152"/>
      <c r="L121" s="193"/>
      <c r="M121" s="152"/>
      <c r="N121" s="152"/>
      <c r="O121" s="152"/>
    </row>
    <row r="122" spans="1:15" hidden="1" x14ac:dyDescent="0.25">
      <c r="A122" s="156">
        <v>70</v>
      </c>
      <c r="B122" s="151" t="e">
        <f>#REF!</f>
        <v>#REF!</v>
      </c>
      <c r="C122" s="151" t="e">
        <f>#REF!</f>
        <v>#REF!</v>
      </c>
      <c r="D122" s="154" t="e">
        <f>#REF!</f>
        <v>#REF!</v>
      </c>
      <c r="E122" s="189" t="e">
        <f>#REF!</f>
        <v>#REF!</v>
      </c>
      <c r="F122" s="192" t="e">
        <f>#REF!</f>
        <v>#REF!</v>
      </c>
      <c r="G122" s="178" t="e">
        <f t="shared" si="21"/>
        <v>#REF!</v>
      </c>
      <c r="H122" s="184"/>
      <c r="I122" s="152"/>
      <c r="J122" s="192"/>
      <c r="K122" s="152"/>
      <c r="L122" s="193"/>
      <c r="M122" s="152"/>
      <c r="N122" s="152"/>
      <c r="O122" s="152"/>
    </row>
    <row r="123" spans="1:15" hidden="1" x14ac:dyDescent="0.25">
      <c r="A123" s="156">
        <v>71</v>
      </c>
      <c r="B123" s="151" t="e">
        <f>#REF!</f>
        <v>#REF!</v>
      </c>
      <c r="C123" s="151" t="e">
        <f>#REF!</f>
        <v>#REF!</v>
      </c>
      <c r="D123" s="154" t="e">
        <f>#REF!</f>
        <v>#REF!</v>
      </c>
      <c r="E123" s="189" t="e">
        <f>#REF!</f>
        <v>#REF!</v>
      </c>
      <c r="F123" s="192" t="e">
        <f>#REF!</f>
        <v>#REF!</v>
      </c>
      <c r="G123" s="178" t="e">
        <f t="shared" si="21"/>
        <v>#REF!</v>
      </c>
      <c r="H123" s="184"/>
      <c r="I123" s="152"/>
      <c r="J123" s="192"/>
      <c r="K123" s="152"/>
      <c r="L123" s="193"/>
      <c r="M123" s="152"/>
      <c r="N123" s="152"/>
      <c r="O123" s="152"/>
    </row>
    <row r="124" spans="1:15" hidden="1" x14ac:dyDescent="0.25">
      <c r="A124" s="156">
        <v>72</v>
      </c>
      <c r="B124" s="151" t="e">
        <f>#REF!</f>
        <v>#REF!</v>
      </c>
      <c r="C124" s="151" t="e">
        <f>#REF!</f>
        <v>#REF!</v>
      </c>
      <c r="D124" s="154" t="e">
        <f>#REF!</f>
        <v>#REF!</v>
      </c>
      <c r="E124" s="189" t="e">
        <f>#REF!</f>
        <v>#REF!</v>
      </c>
      <c r="F124" s="192" t="e">
        <f>#REF!</f>
        <v>#REF!</v>
      </c>
      <c r="G124" s="178" t="e">
        <f t="shared" si="21"/>
        <v>#REF!</v>
      </c>
      <c r="H124" s="184"/>
      <c r="I124" s="152"/>
      <c r="J124" s="192"/>
      <c r="K124" s="152"/>
      <c r="L124" s="193"/>
      <c r="M124" s="152"/>
      <c r="N124" s="152"/>
      <c r="O124" s="152"/>
    </row>
    <row r="125" spans="1:15" hidden="1" x14ac:dyDescent="0.25">
      <c r="A125" s="156">
        <v>73</v>
      </c>
      <c r="B125" s="151" t="e">
        <f>#REF!</f>
        <v>#REF!</v>
      </c>
      <c r="C125" s="151" t="e">
        <f>#REF!</f>
        <v>#REF!</v>
      </c>
      <c r="D125" s="154" t="e">
        <f>#REF!</f>
        <v>#REF!</v>
      </c>
      <c r="E125" s="189" t="e">
        <f>#REF!</f>
        <v>#REF!</v>
      </c>
      <c r="F125" s="192" t="e">
        <f>#REF!</f>
        <v>#REF!</v>
      </c>
      <c r="G125" s="178" t="e">
        <f t="shared" si="21"/>
        <v>#REF!</v>
      </c>
      <c r="H125" s="184"/>
      <c r="I125" s="152"/>
      <c r="J125" s="192"/>
      <c r="K125" s="152"/>
      <c r="L125" s="193"/>
      <c r="M125" s="152"/>
      <c r="N125" s="152"/>
      <c r="O125" s="152"/>
    </row>
    <row r="126" spans="1:15" x14ac:dyDescent="0.25">
      <c r="A126" s="156">
        <v>1</v>
      </c>
      <c r="B126" s="187" t="s">
        <v>443</v>
      </c>
      <c r="C126" s="187" t="s">
        <v>442</v>
      </c>
      <c r="D126" s="154">
        <v>0</v>
      </c>
      <c r="E126" s="189" t="s">
        <v>62</v>
      </c>
      <c r="F126" s="192">
        <v>27676100</v>
      </c>
      <c r="G126" s="283">
        <f t="shared" si="21"/>
        <v>0</v>
      </c>
      <c r="H126" s="213">
        <f>D126</f>
        <v>0</v>
      </c>
      <c r="I126" s="189" t="s">
        <v>62</v>
      </c>
      <c r="J126" s="192">
        <v>27403</v>
      </c>
      <c r="K126" s="193">
        <f>J126*H126</f>
        <v>0</v>
      </c>
      <c r="L126" s="212">
        <f>D126</f>
        <v>0</v>
      </c>
      <c r="M126" s="211" t="s">
        <v>62</v>
      </c>
      <c r="N126" s="198">
        <v>27202099.999999996</v>
      </c>
      <c r="O126" s="198">
        <f>N126*L126</f>
        <v>0</v>
      </c>
    </row>
    <row r="127" spans="1:15" x14ac:dyDescent="0.25">
      <c r="A127" s="156">
        <v>2</v>
      </c>
      <c r="B127" s="187" t="s">
        <v>444</v>
      </c>
      <c r="C127" s="187" t="s">
        <v>445</v>
      </c>
      <c r="D127" s="154">
        <v>0</v>
      </c>
      <c r="E127" s="189" t="s">
        <v>62</v>
      </c>
      <c r="F127" s="192">
        <v>27676100</v>
      </c>
      <c r="G127" s="283">
        <f t="shared" si="21"/>
        <v>0</v>
      </c>
      <c r="H127" s="213">
        <f t="shared" ref="H127:H151" si="22">D127</f>
        <v>0</v>
      </c>
      <c r="I127" s="189" t="s">
        <v>62</v>
      </c>
      <c r="J127" s="192">
        <v>27403</v>
      </c>
      <c r="K127" s="193">
        <f t="shared" ref="K127:K151" si="23">J127*H127</f>
        <v>0</v>
      </c>
      <c r="L127" s="212">
        <f t="shared" ref="L127:L153" si="24">D127</f>
        <v>0</v>
      </c>
      <c r="M127" s="211" t="s">
        <v>62</v>
      </c>
      <c r="N127" s="198">
        <v>27202099.999999996</v>
      </c>
      <c r="O127" s="198">
        <f t="shared" ref="O127:O151" si="25">N127*L127</f>
        <v>0</v>
      </c>
    </row>
    <row r="128" spans="1:15" x14ac:dyDescent="0.25">
      <c r="A128" s="156">
        <v>3</v>
      </c>
      <c r="B128" s="187" t="s">
        <v>447</v>
      </c>
      <c r="C128" s="187" t="s">
        <v>446</v>
      </c>
      <c r="D128" s="154">
        <v>0</v>
      </c>
      <c r="E128" s="189" t="s">
        <v>62</v>
      </c>
      <c r="F128" s="192">
        <v>5980500</v>
      </c>
      <c r="G128" s="283">
        <f t="shared" si="21"/>
        <v>0</v>
      </c>
      <c r="H128" s="213">
        <f t="shared" si="22"/>
        <v>0</v>
      </c>
      <c r="I128" s="189" t="s">
        <v>62</v>
      </c>
      <c r="J128" s="192">
        <v>5922000</v>
      </c>
      <c r="K128" s="193">
        <f t="shared" si="23"/>
        <v>0</v>
      </c>
      <c r="L128" s="212">
        <f t="shared" si="24"/>
        <v>0</v>
      </c>
      <c r="M128" s="211" t="s">
        <v>62</v>
      </c>
      <c r="N128" s="198">
        <v>5877650</v>
      </c>
      <c r="O128" s="198">
        <f t="shared" si="25"/>
        <v>0</v>
      </c>
    </row>
    <row r="129" spans="1:15" x14ac:dyDescent="0.25">
      <c r="A129" s="156">
        <v>4</v>
      </c>
      <c r="B129" s="187" t="s">
        <v>448</v>
      </c>
      <c r="C129" s="187" t="s">
        <v>449</v>
      </c>
      <c r="D129" s="154">
        <v>0</v>
      </c>
      <c r="E129" s="189" t="s">
        <v>62</v>
      </c>
      <c r="F129" s="192">
        <v>7583600</v>
      </c>
      <c r="G129" s="283">
        <f t="shared" si="21"/>
        <v>0</v>
      </c>
      <c r="H129" s="213">
        <f t="shared" si="22"/>
        <v>0</v>
      </c>
      <c r="I129" s="189" t="s">
        <v>62</v>
      </c>
      <c r="J129" s="192">
        <v>7509000</v>
      </c>
      <c r="K129" s="193">
        <f t="shared" si="23"/>
        <v>0</v>
      </c>
      <c r="L129" s="212">
        <f t="shared" si="24"/>
        <v>0</v>
      </c>
      <c r="M129" s="211" t="s">
        <v>62</v>
      </c>
      <c r="N129" s="198">
        <v>7453149.9999999991</v>
      </c>
      <c r="O129" s="198">
        <f t="shared" si="25"/>
        <v>0</v>
      </c>
    </row>
    <row r="130" spans="1:15" x14ac:dyDescent="0.25">
      <c r="A130" s="156">
        <v>5</v>
      </c>
      <c r="B130" s="187" t="s">
        <v>450</v>
      </c>
      <c r="C130" s="187" t="s">
        <v>451</v>
      </c>
      <c r="D130" s="154">
        <v>0</v>
      </c>
      <c r="E130" s="189" t="s">
        <v>62</v>
      </c>
      <c r="F130" s="192">
        <v>7583600</v>
      </c>
      <c r="G130" s="283">
        <f t="shared" si="21"/>
        <v>0</v>
      </c>
      <c r="H130" s="213">
        <f t="shared" si="22"/>
        <v>0</v>
      </c>
      <c r="I130" s="189" t="s">
        <v>62</v>
      </c>
      <c r="J130" s="192">
        <v>7509000</v>
      </c>
      <c r="K130" s="193">
        <f t="shared" si="23"/>
        <v>0</v>
      </c>
      <c r="L130" s="212">
        <f t="shared" si="24"/>
        <v>0</v>
      </c>
      <c r="M130" s="211" t="s">
        <v>62</v>
      </c>
      <c r="N130" s="198">
        <v>7453149.9999999991</v>
      </c>
      <c r="O130" s="198">
        <f t="shared" si="25"/>
        <v>0</v>
      </c>
    </row>
    <row r="131" spans="1:15" hidden="1" x14ac:dyDescent="0.25">
      <c r="A131" s="156">
        <v>6</v>
      </c>
      <c r="B131" s="187" t="s">
        <v>452</v>
      </c>
      <c r="C131" s="187" t="s">
        <v>453</v>
      </c>
      <c r="D131" s="154">
        <v>0</v>
      </c>
      <c r="E131" s="189" t="s">
        <v>62</v>
      </c>
      <c r="F131" s="192">
        <v>13568600</v>
      </c>
      <c r="G131" s="283">
        <f t="shared" si="21"/>
        <v>0</v>
      </c>
      <c r="H131" s="213">
        <f t="shared" si="22"/>
        <v>0</v>
      </c>
      <c r="I131" s="189" t="s">
        <v>62</v>
      </c>
      <c r="J131" s="192"/>
      <c r="K131" s="193">
        <f t="shared" si="23"/>
        <v>0</v>
      </c>
      <c r="L131" s="212">
        <f t="shared" si="24"/>
        <v>0</v>
      </c>
      <c r="M131" s="211" t="s">
        <v>62</v>
      </c>
      <c r="N131" s="198"/>
      <c r="O131" s="198">
        <f t="shared" si="25"/>
        <v>0</v>
      </c>
    </row>
    <row r="132" spans="1:15" hidden="1" x14ac:dyDescent="0.25">
      <c r="A132" s="156">
        <v>7</v>
      </c>
      <c r="B132" s="187" t="s">
        <v>454</v>
      </c>
      <c r="C132" s="187" t="s">
        <v>456</v>
      </c>
      <c r="D132" s="154">
        <v>0</v>
      </c>
      <c r="E132" s="189" t="s">
        <v>62</v>
      </c>
      <c r="F132" s="192">
        <v>13568600</v>
      </c>
      <c r="G132" s="283">
        <f t="shared" si="21"/>
        <v>0</v>
      </c>
      <c r="H132" s="213">
        <f t="shared" si="22"/>
        <v>0</v>
      </c>
      <c r="I132" s="189" t="s">
        <v>62</v>
      </c>
      <c r="J132" s="192"/>
      <c r="K132" s="193">
        <f t="shared" si="23"/>
        <v>0</v>
      </c>
      <c r="L132" s="212">
        <f t="shared" si="24"/>
        <v>0</v>
      </c>
      <c r="M132" s="211" t="s">
        <v>62</v>
      </c>
      <c r="N132" s="198"/>
      <c r="O132" s="198">
        <f t="shared" si="25"/>
        <v>0</v>
      </c>
    </row>
    <row r="133" spans="1:15" hidden="1" x14ac:dyDescent="0.25">
      <c r="A133" s="156">
        <v>8</v>
      </c>
      <c r="B133" s="187" t="s">
        <v>455</v>
      </c>
      <c r="C133" s="187" t="s">
        <v>457</v>
      </c>
      <c r="D133" s="154">
        <v>0</v>
      </c>
      <c r="E133" s="189" t="s">
        <v>62</v>
      </c>
      <c r="F133" s="192">
        <v>13782300</v>
      </c>
      <c r="G133" s="283">
        <f t="shared" si="21"/>
        <v>0</v>
      </c>
      <c r="H133" s="213">
        <f t="shared" si="22"/>
        <v>0</v>
      </c>
      <c r="I133" s="189" t="s">
        <v>62</v>
      </c>
      <c r="J133" s="192"/>
      <c r="K133" s="193">
        <f t="shared" si="23"/>
        <v>0</v>
      </c>
      <c r="L133" s="212">
        <f t="shared" si="24"/>
        <v>0</v>
      </c>
      <c r="M133" s="211" t="s">
        <v>62</v>
      </c>
      <c r="N133" s="198"/>
      <c r="O133" s="198">
        <f t="shared" si="25"/>
        <v>0</v>
      </c>
    </row>
    <row r="134" spans="1:15" x14ac:dyDescent="0.25">
      <c r="A134" s="156">
        <v>6</v>
      </c>
      <c r="B134" s="187" t="s">
        <v>458</v>
      </c>
      <c r="C134" s="187" t="s">
        <v>460</v>
      </c>
      <c r="D134" s="154">
        <v>0</v>
      </c>
      <c r="E134" s="189" t="s">
        <v>62</v>
      </c>
      <c r="F134" s="192">
        <v>3041400</v>
      </c>
      <c r="G134" s="283">
        <f t="shared" si="21"/>
        <v>0</v>
      </c>
      <c r="H134" s="213">
        <f t="shared" si="22"/>
        <v>0</v>
      </c>
      <c r="I134" s="189" t="s">
        <v>62</v>
      </c>
      <c r="J134" s="192">
        <v>3012000</v>
      </c>
      <c r="K134" s="193">
        <f t="shared" si="23"/>
        <v>0</v>
      </c>
      <c r="L134" s="212">
        <f t="shared" si="24"/>
        <v>0</v>
      </c>
      <c r="M134" s="211" t="s">
        <v>62</v>
      </c>
      <c r="N134" s="198">
        <v>2988850</v>
      </c>
      <c r="O134" s="198">
        <f t="shared" si="25"/>
        <v>0</v>
      </c>
    </row>
    <row r="135" spans="1:15" x14ac:dyDescent="0.25">
      <c r="A135" s="156">
        <v>7</v>
      </c>
      <c r="B135" s="187" t="s">
        <v>459</v>
      </c>
      <c r="C135" s="187" t="s">
        <v>461</v>
      </c>
      <c r="D135" s="154">
        <v>0</v>
      </c>
      <c r="E135" s="189" t="s">
        <v>62</v>
      </c>
      <c r="F135" s="192">
        <v>4163600</v>
      </c>
      <c r="G135" s="283">
        <f t="shared" si="21"/>
        <v>0</v>
      </c>
      <c r="H135" s="213">
        <f t="shared" si="22"/>
        <v>0</v>
      </c>
      <c r="I135" s="189" t="s">
        <v>62</v>
      </c>
      <c r="J135" s="192">
        <v>4123000</v>
      </c>
      <c r="K135" s="193">
        <f t="shared" si="23"/>
        <v>0</v>
      </c>
      <c r="L135" s="212">
        <f t="shared" si="24"/>
        <v>0</v>
      </c>
      <c r="M135" s="211" t="s">
        <v>62</v>
      </c>
      <c r="N135" s="198">
        <v>4091699.9999999995</v>
      </c>
      <c r="O135" s="198">
        <f t="shared" si="25"/>
        <v>0</v>
      </c>
    </row>
    <row r="136" spans="1:15" x14ac:dyDescent="0.25">
      <c r="A136" s="156">
        <v>8</v>
      </c>
      <c r="B136" s="187" t="s">
        <v>462</v>
      </c>
      <c r="C136" s="187" t="s">
        <v>463</v>
      </c>
      <c r="D136" s="154">
        <v>0</v>
      </c>
      <c r="E136" s="189" t="s">
        <v>62</v>
      </c>
      <c r="F136" s="192">
        <v>9667700</v>
      </c>
      <c r="G136" s="283">
        <f t="shared" si="21"/>
        <v>0</v>
      </c>
      <c r="H136" s="213">
        <f t="shared" si="22"/>
        <v>0</v>
      </c>
      <c r="I136" s="189" t="s">
        <v>62</v>
      </c>
      <c r="J136" s="192">
        <v>9572000</v>
      </c>
      <c r="K136" s="193">
        <f t="shared" si="23"/>
        <v>0</v>
      </c>
      <c r="L136" s="212">
        <f t="shared" si="24"/>
        <v>0</v>
      </c>
      <c r="M136" s="211" t="s">
        <v>62</v>
      </c>
      <c r="N136" s="198">
        <v>9501300</v>
      </c>
      <c r="O136" s="198">
        <f t="shared" si="25"/>
        <v>0</v>
      </c>
    </row>
    <row r="137" spans="1:15" x14ac:dyDescent="0.25">
      <c r="A137" s="156">
        <v>9</v>
      </c>
      <c r="B137" s="187" t="s">
        <v>464</v>
      </c>
      <c r="C137" s="187" t="s">
        <v>465</v>
      </c>
      <c r="D137" s="154">
        <v>0</v>
      </c>
      <c r="E137" s="189" t="s">
        <v>62</v>
      </c>
      <c r="F137" s="192">
        <v>6247600</v>
      </c>
      <c r="G137" s="283">
        <f t="shared" si="21"/>
        <v>0</v>
      </c>
      <c r="H137" s="213">
        <f t="shared" si="22"/>
        <v>0</v>
      </c>
      <c r="I137" s="189" t="s">
        <v>62</v>
      </c>
      <c r="J137" s="192">
        <v>6186000</v>
      </c>
      <c r="K137" s="193">
        <f t="shared" si="23"/>
        <v>0</v>
      </c>
      <c r="L137" s="212">
        <f t="shared" si="24"/>
        <v>0</v>
      </c>
      <c r="M137" s="211" t="s">
        <v>62</v>
      </c>
      <c r="N137" s="198">
        <v>6139849.9999999991</v>
      </c>
      <c r="O137" s="198">
        <f t="shared" si="25"/>
        <v>0</v>
      </c>
    </row>
    <row r="138" spans="1:15" x14ac:dyDescent="0.25">
      <c r="A138" s="156">
        <v>10</v>
      </c>
      <c r="B138" s="187" t="s">
        <v>466</v>
      </c>
      <c r="C138" s="187" t="s">
        <v>467</v>
      </c>
      <c r="D138" s="154">
        <v>0</v>
      </c>
      <c r="E138" s="189" t="s">
        <v>62</v>
      </c>
      <c r="F138" s="192">
        <v>2881100</v>
      </c>
      <c r="G138" s="283">
        <f t="shared" si="21"/>
        <v>0</v>
      </c>
      <c r="H138" s="213">
        <f t="shared" si="22"/>
        <v>0</v>
      </c>
      <c r="I138" s="189" t="s">
        <v>62</v>
      </c>
      <c r="J138" s="192">
        <v>2853000</v>
      </c>
      <c r="K138" s="193">
        <f t="shared" si="23"/>
        <v>0</v>
      </c>
      <c r="L138" s="212">
        <f t="shared" si="24"/>
        <v>0</v>
      </c>
      <c r="M138" s="211" t="s">
        <v>62</v>
      </c>
      <c r="N138" s="198">
        <v>2831300</v>
      </c>
      <c r="O138" s="198">
        <f t="shared" si="25"/>
        <v>0</v>
      </c>
    </row>
    <row r="139" spans="1:15" x14ac:dyDescent="0.25">
      <c r="A139" s="156">
        <v>11</v>
      </c>
      <c r="B139" s="302" t="s">
        <v>468</v>
      </c>
      <c r="C139" s="187" t="s">
        <v>469</v>
      </c>
      <c r="D139" s="154">
        <v>1</v>
      </c>
      <c r="E139" s="189" t="s">
        <v>62</v>
      </c>
      <c r="F139" s="192">
        <v>2774200</v>
      </c>
      <c r="G139" s="283">
        <f t="shared" si="21"/>
        <v>2774200</v>
      </c>
      <c r="H139" s="213">
        <f t="shared" si="22"/>
        <v>1</v>
      </c>
      <c r="I139" s="189" t="s">
        <v>62</v>
      </c>
      <c r="J139" s="192">
        <v>2747000</v>
      </c>
      <c r="K139" s="193">
        <f t="shared" si="23"/>
        <v>2747000</v>
      </c>
      <c r="L139" s="212">
        <f t="shared" si="24"/>
        <v>1</v>
      </c>
      <c r="M139" s="211" t="s">
        <v>62</v>
      </c>
      <c r="N139" s="198">
        <v>2726650</v>
      </c>
      <c r="O139" s="198">
        <f t="shared" si="25"/>
        <v>2726650</v>
      </c>
    </row>
    <row r="140" spans="1:15" x14ac:dyDescent="0.25">
      <c r="A140" s="156">
        <v>12</v>
      </c>
      <c r="B140" s="302" t="s">
        <v>470</v>
      </c>
      <c r="C140" s="187" t="s">
        <v>471</v>
      </c>
      <c r="D140" s="154">
        <v>1</v>
      </c>
      <c r="E140" s="189" t="s">
        <v>62</v>
      </c>
      <c r="F140" s="192">
        <v>4537600</v>
      </c>
      <c r="G140" s="283">
        <f t="shared" si="21"/>
        <v>4537600</v>
      </c>
      <c r="H140" s="213">
        <f t="shared" si="22"/>
        <v>1</v>
      </c>
      <c r="I140" s="189" t="s">
        <v>62</v>
      </c>
      <c r="J140" s="192">
        <v>4493000</v>
      </c>
      <c r="K140" s="193">
        <f t="shared" si="23"/>
        <v>4493000</v>
      </c>
      <c r="L140" s="212">
        <f t="shared" si="24"/>
        <v>1</v>
      </c>
      <c r="M140" s="211" t="s">
        <v>62</v>
      </c>
      <c r="N140" s="198">
        <v>4459700</v>
      </c>
      <c r="O140" s="198">
        <f t="shared" si="25"/>
        <v>4459700</v>
      </c>
    </row>
    <row r="141" spans="1:15" x14ac:dyDescent="0.25">
      <c r="A141" s="156">
        <v>13</v>
      </c>
      <c r="B141" s="302" t="s">
        <v>472</v>
      </c>
      <c r="C141" s="187" t="s">
        <v>473</v>
      </c>
      <c r="D141" s="154">
        <v>1</v>
      </c>
      <c r="E141" s="189" t="s">
        <v>62</v>
      </c>
      <c r="F141" s="192">
        <v>1652000</v>
      </c>
      <c r="G141" s="283">
        <f t="shared" si="21"/>
        <v>1652000</v>
      </c>
      <c r="H141" s="213">
        <f t="shared" si="22"/>
        <v>1</v>
      </c>
      <c r="I141" s="189" t="s">
        <v>62</v>
      </c>
      <c r="J141" s="192">
        <v>1636000</v>
      </c>
      <c r="K141" s="193">
        <f t="shared" si="23"/>
        <v>1636000</v>
      </c>
      <c r="L141" s="212">
        <f t="shared" si="24"/>
        <v>1</v>
      </c>
      <c r="M141" s="211" t="s">
        <v>62</v>
      </c>
      <c r="N141" s="198">
        <v>1623799.9999999998</v>
      </c>
      <c r="O141" s="198">
        <f t="shared" si="25"/>
        <v>1623799.9999999998</v>
      </c>
    </row>
    <row r="142" spans="1:15" x14ac:dyDescent="0.25">
      <c r="A142" s="156">
        <v>14</v>
      </c>
      <c r="B142" s="302" t="s">
        <v>474</v>
      </c>
      <c r="C142" s="187" t="s">
        <v>477</v>
      </c>
      <c r="D142" s="154">
        <v>1</v>
      </c>
      <c r="E142" s="189" t="s">
        <v>62</v>
      </c>
      <c r="F142" s="192">
        <v>1652000</v>
      </c>
      <c r="G142" s="283">
        <f t="shared" si="21"/>
        <v>1652000</v>
      </c>
      <c r="H142" s="213">
        <f t="shared" si="22"/>
        <v>1</v>
      </c>
      <c r="I142" s="189" t="s">
        <v>62</v>
      </c>
      <c r="J142" s="192">
        <v>1636000</v>
      </c>
      <c r="K142" s="193">
        <f t="shared" si="23"/>
        <v>1636000</v>
      </c>
      <c r="L142" s="212">
        <f t="shared" si="24"/>
        <v>1</v>
      </c>
      <c r="M142" s="211" t="s">
        <v>62</v>
      </c>
      <c r="N142" s="198">
        <v>1623799.9999999998</v>
      </c>
      <c r="O142" s="198">
        <f t="shared" si="25"/>
        <v>1623799.9999999998</v>
      </c>
    </row>
    <row r="143" spans="1:15" x14ac:dyDescent="0.25">
      <c r="A143" s="156">
        <v>15</v>
      </c>
      <c r="B143" s="302" t="s">
        <v>475</v>
      </c>
      <c r="C143" s="187" t="s">
        <v>478</v>
      </c>
      <c r="D143" s="154">
        <v>1</v>
      </c>
      <c r="E143" s="189" t="s">
        <v>62</v>
      </c>
      <c r="F143" s="192">
        <v>1652000</v>
      </c>
      <c r="G143" s="283">
        <f t="shared" si="21"/>
        <v>1652000</v>
      </c>
      <c r="H143" s="213">
        <f t="shared" si="22"/>
        <v>1</v>
      </c>
      <c r="I143" s="189" t="s">
        <v>62</v>
      </c>
      <c r="J143" s="192">
        <v>1636000</v>
      </c>
      <c r="K143" s="193">
        <f t="shared" si="23"/>
        <v>1636000</v>
      </c>
      <c r="L143" s="212">
        <f t="shared" si="24"/>
        <v>1</v>
      </c>
      <c r="M143" s="211" t="s">
        <v>62</v>
      </c>
      <c r="N143" s="198">
        <v>1623799.9999999998</v>
      </c>
      <c r="O143" s="198">
        <f t="shared" si="25"/>
        <v>1623799.9999999998</v>
      </c>
    </row>
    <row r="144" spans="1:15" x14ac:dyDescent="0.25">
      <c r="A144" s="156">
        <v>16</v>
      </c>
      <c r="B144" s="302" t="s">
        <v>476</v>
      </c>
      <c r="C144" s="187" t="s">
        <v>479</v>
      </c>
      <c r="D144" s="154">
        <v>1</v>
      </c>
      <c r="E144" s="189" t="s">
        <v>62</v>
      </c>
      <c r="F144" s="192">
        <v>1652000</v>
      </c>
      <c r="G144" s="283">
        <f t="shared" si="21"/>
        <v>1652000</v>
      </c>
      <c r="H144" s="213">
        <f t="shared" si="22"/>
        <v>1</v>
      </c>
      <c r="I144" s="189" t="s">
        <v>62</v>
      </c>
      <c r="J144" s="192">
        <v>1636000</v>
      </c>
      <c r="K144" s="193">
        <f t="shared" si="23"/>
        <v>1636000</v>
      </c>
      <c r="L144" s="212">
        <f t="shared" si="24"/>
        <v>1</v>
      </c>
      <c r="M144" s="211" t="s">
        <v>62</v>
      </c>
      <c r="N144" s="198">
        <v>1623799.9999999998</v>
      </c>
      <c r="O144" s="198">
        <f t="shared" si="25"/>
        <v>1623799.9999999998</v>
      </c>
    </row>
    <row r="145" spans="1:15" x14ac:dyDescent="0.25">
      <c r="A145" s="156">
        <v>17</v>
      </c>
      <c r="B145" s="187" t="s">
        <v>480</v>
      </c>
      <c r="C145" s="187" t="s">
        <v>481</v>
      </c>
      <c r="D145" s="154">
        <v>0</v>
      </c>
      <c r="E145" s="189" t="s">
        <v>62</v>
      </c>
      <c r="F145" s="192">
        <v>3041400</v>
      </c>
      <c r="G145" s="283">
        <f t="shared" si="21"/>
        <v>0</v>
      </c>
      <c r="H145" s="213">
        <f t="shared" si="22"/>
        <v>0</v>
      </c>
      <c r="I145" s="189" t="s">
        <v>62</v>
      </c>
      <c r="J145" s="192">
        <v>3012000</v>
      </c>
      <c r="K145" s="193">
        <f t="shared" si="23"/>
        <v>0</v>
      </c>
      <c r="L145" s="212">
        <f t="shared" si="24"/>
        <v>0</v>
      </c>
      <c r="M145" s="211" t="s">
        <v>62</v>
      </c>
      <c r="N145" s="198">
        <v>2988850</v>
      </c>
      <c r="O145" s="198">
        <f t="shared" si="25"/>
        <v>0</v>
      </c>
    </row>
    <row r="146" spans="1:15" x14ac:dyDescent="0.25">
      <c r="A146" s="156">
        <v>18</v>
      </c>
      <c r="B146" s="187" t="s">
        <v>482</v>
      </c>
      <c r="C146" s="187" t="s">
        <v>483</v>
      </c>
      <c r="D146" s="154">
        <v>0</v>
      </c>
      <c r="E146" s="189" t="s">
        <v>62</v>
      </c>
      <c r="F146" s="192">
        <v>3201700</v>
      </c>
      <c r="G146" s="283">
        <f t="shared" si="21"/>
        <v>0</v>
      </c>
      <c r="H146" s="213">
        <f t="shared" si="22"/>
        <v>0</v>
      </c>
      <c r="I146" s="189" t="s">
        <v>62</v>
      </c>
      <c r="J146" s="192">
        <v>3170000</v>
      </c>
      <c r="K146" s="193">
        <f t="shared" si="23"/>
        <v>0</v>
      </c>
      <c r="L146" s="212">
        <f t="shared" si="24"/>
        <v>0</v>
      </c>
      <c r="M146" s="211" t="s">
        <v>62</v>
      </c>
      <c r="N146" s="198">
        <v>3146399.9999999995</v>
      </c>
      <c r="O146" s="198">
        <f t="shared" si="25"/>
        <v>0</v>
      </c>
    </row>
    <row r="147" spans="1:15" x14ac:dyDescent="0.25">
      <c r="A147" s="156">
        <v>19</v>
      </c>
      <c r="B147" s="187" t="s">
        <v>484</v>
      </c>
      <c r="C147" s="187" t="s">
        <v>485</v>
      </c>
      <c r="D147" s="154">
        <v>0</v>
      </c>
      <c r="E147" s="189" t="s">
        <v>62</v>
      </c>
      <c r="F147" s="192">
        <v>4484200</v>
      </c>
      <c r="G147" s="283">
        <f t="shared" si="21"/>
        <v>0</v>
      </c>
      <c r="H147" s="213">
        <f t="shared" si="22"/>
        <v>0</v>
      </c>
      <c r="I147" s="189" t="s">
        <v>62</v>
      </c>
      <c r="J147" s="192">
        <v>4440000</v>
      </c>
      <c r="K147" s="193">
        <f t="shared" si="23"/>
        <v>0</v>
      </c>
      <c r="L147" s="212">
        <f t="shared" si="24"/>
        <v>0</v>
      </c>
      <c r="M147" s="211" t="s">
        <v>62</v>
      </c>
      <c r="N147" s="198">
        <v>4406800</v>
      </c>
      <c r="O147" s="198">
        <f t="shared" si="25"/>
        <v>0</v>
      </c>
    </row>
    <row r="148" spans="1:15" hidden="1" x14ac:dyDescent="0.25">
      <c r="A148" s="156">
        <v>23</v>
      </c>
      <c r="B148" s="187" t="s">
        <v>486</v>
      </c>
      <c r="C148" s="187" t="s">
        <v>487</v>
      </c>
      <c r="D148" s="154">
        <v>0</v>
      </c>
      <c r="E148" s="189" t="s">
        <v>62</v>
      </c>
      <c r="F148" s="192">
        <v>19339900</v>
      </c>
      <c r="G148" s="283">
        <f t="shared" si="21"/>
        <v>0</v>
      </c>
      <c r="H148" s="213">
        <f t="shared" si="22"/>
        <v>0</v>
      </c>
      <c r="I148" s="189" t="s">
        <v>62</v>
      </c>
      <c r="J148" s="192"/>
      <c r="K148" s="193">
        <f t="shared" si="23"/>
        <v>0</v>
      </c>
      <c r="L148" s="212">
        <f t="shared" si="24"/>
        <v>0</v>
      </c>
      <c r="M148" s="211" t="s">
        <v>62</v>
      </c>
      <c r="N148" s="198"/>
      <c r="O148" s="198">
        <f t="shared" si="25"/>
        <v>0</v>
      </c>
    </row>
    <row r="149" spans="1:15" x14ac:dyDescent="0.25">
      <c r="A149" s="156">
        <v>20</v>
      </c>
      <c r="B149" s="187" t="s">
        <v>556</v>
      </c>
      <c r="C149" s="187" t="s">
        <v>488</v>
      </c>
      <c r="D149" s="154">
        <v>0</v>
      </c>
      <c r="E149" s="189" t="s">
        <v>62</v>
      </c>
      <c r="F149" s="192">
        <v>4377300</v>
      </c>
      <c r="G149" s="283">
        <f t="shared" si="21"/>
        <v>0</v>
      </c>
      <c r="H149" s="213">
        <f t="shared" si="22"/>
        <v>0</v>
      </c>
      <c r="I149" s="189" t="s">
        <v>62</v>
      </c>
      <c r="J149" s="192">
        <v>4334000</v>
      </c>
      <c r="K149" s="193">
        <f t="shared" si="23"/>
        <v>0</v>
      </c>
      <c r="L149" s="212">
        <f t="shared" si="24"/>
        <v>0</v>
      </c>
      <c r="M149" s="211" t="s">
        <v>62</v>
      </c>
      <c r="N149" s="198">
        <v>4302150</v>
      </c>
      <c r="O149" s="198">
        <f t="shared" si="25"/>
        <v>0</v>
      </c>
    </row>
    <row r="150" spans="1:15" hidden="1" x14ac:dyDescent="0.25">
      <c r="A150" s="156">
        <v>25</v>
      </c>
      <c r="B150" s="187" t="s">
        <v>489</v>
      </c>
      <c r="C150" s="187" t="s">
        <v>490</v>
      </c>
      <c r="D150" s="154">
        <v>0</v>
      </c>
      <c r="E150" s="189" t="s">
        <v>62</v>
      </c>
      <c r="F150" s="192">
        <v>17843600</v>
      </c>
      <c r="G150" s="283">
        <f t="shared" si="21"/>
        <v>0</v>
      </c>
      <c r="H150" s="213">
        <f t="shared" si="22"/>
        <v>0</v>
      </c>
      <c r="I150" s="189" t="s">
        <v>62</v>
      </c>
      <c r="J150" s="192"/>
      <c r="K150" s="193">
        <f t="shared" si="23"/>
        <v>0</v>
      </c>
      <c r="L150" s="212">
        <f t="shared" si="24"/>
        <v>0</v>
      </c>
      <c r="M150" s="211" t="s">
        <v>62</v>
      </c>
      <c r="N150" s="198"/>
      <c r="O150" s="198">
        <f t="shared" si="25"/>
        <v>0</v>
      </c>
    </row>
    <row r="151" spans="1:15" x14ac:dyDescent="0.25">
      <c r="A151" s="156">
        <v>21</v>
      </c>
      <c r="B151" s="187" t="s">
        <v>484</v>
      </c>
      <c r="C151" s="187" t="s">
        <v>485</v>
      </c>
      <c r="D151" s="154">
        <v>0</v>
      </c>
      <c r="E151" s="189" t="s">
        <v>62</v>
      </c>
      <c r="F151" s="192">
        <v>4484200</v>
      </c>
      <c r="G151" s="283">
        <f t="shared" si="21"/>
        <v>0</v>
      </c>
      <c r="H151" s="213">
        <f t="shared" si="22"/>
        <v>0</v>
      </c>
      <c r="I151" s="189" t="s">
        <v>62</v>
      </c>
      <c r="J151" s="192">
        <v>4440000</v>
      </c>
      <c r="K151" s="193">
        <f t="shared" si="23"/>
        <v>0</v>
      </c>
      <c r="L151" s="212">
        <f t="shared" si="24"/>
        <v>0</v>
      </c>
      <c r="M151" s="211" t="s">
        <v>62</v>
      </c>
      <c r="N151" s="198">
        <v>4406800</v>
      </c>
      <c r="O151" s="198">
        <f t="shared" si="25"/>
        <v>0</v>
      </c>
    </row>
    <row r="152" spans="1:15" hidden="1" x14ac:dyDescent="0.25">
      <c r="A152" s="156">
        <v>27</v>
      </c>
      <c r="B152" s="187" t="e">
        <f>#REF!</f>
        <v>#REF!</v>
      </c>
      <c r="C152" s="187" t="e">
        <f>#REF!</f>
        <v>#REF!</v>
      </c>
      <c r="D152" s="154" t="e">
        <f>#REF!</f>
        <v>#REF!</v>
      </c>
      <c r="E152" s="189" t="e">
        <f>#REF!</f>
        <v>#REF!</v>
      </c>
      <c r="F152" s="192" t="e">
        <f>#REF!</f>
        <v>#REF!</v>
      </c>
      <c r="G152" s="283" t="e">
        <f t="shared" si="21"/>
        <v>#REF!</v>
      </c>
      <c r="H152" s="184"/>
      <c r="I152" s="152"/>
      <c r="J152" s="192"/>
      <c r="K152" s="152"/>
      <c r="L152" s="212" t="e">
        <f t="shared" si="24"/>
        <v>#REF!</v>
      </c>
      <c r="M152" s="152"/>
      <c r="N152" s="152"/>
      <c r="O152" s="152"/>
    </row>
    <row r="153" spans="1:15" hidden="1" x14ac:dyDescent="0.25">
      <c r="A153" s="156">
        <v>28</v>
      </c>
      <c r="B153" s="187" t="e">
        <f>#REF!</f>
        <v>#REF!</v>
      </c>
      <c r="C153" s="187" t="e">
        <f>#REF!</f>
        <v>#REF!</v>
      </c>
      <c r="D153" s="154" t="e">
        <f>#REF!</f>
        <v>#REF!</v>
      </c>
      <c r="E153" s="189" t="e">
        <f>#REF!</f>
        <v>#REF!</v>
      </c>
      <c r="F153" s="192" t="e">
        <f>#REF!</f>
        <v>#REF!</v>
      </c>
      <c r="G153" s="283" t="e">
        <f t="shared" si="21"/>
        <v>#REF!</v>
      </c>
      <c r="H153" s="184"/>
      <c r="I153" s="152"/>
      <c r="J153" s="192"/>
      <c r="K153" s="152"/>
      <c r="L153" s="212" t="e">
        <f t="shared" si="24"/>
        <v>#REF!</v>
      </c>
      <c r="M153" s="152"/>
      <c r="N153" s="152"/>
      <c r="O153" s="152"/>
    </row>
    <row r="154" spans="1:15" x14ac:dyDescent="0.25">
      <c r="A154" s="156"/>
      <c r="B154" s="410" t="s">
        <v>389</v>
      </c>
      <c r="C154" s="410"/>
      <c r="D154" s="410"/>
      <c r="E154" s="410"/>
      <c r="F154" s="410"/>
      <c r="G154" s="286">
        <f>SUM(G126:G151)</f>
        <v>13919800</v>
      </c>
      <c r="H154" s="152"/>
      <c r="I154" s="152"/>
      <c r="J154" s="152"/>
      <c r="K154" s="185">
        <f>SUM(K53:K153)</f>
        <v>13784000</v>
      </c>
      <c r="L154" s="152"/>
      <c r="M154" s="152"/>
      <c r="N154" s="152"/>
      <c r="O154" s="286">
        <f>SUM(O53:O153)</f>
        <v>13681550</v>
      </c>
    </row>
    <row r="155" spans="1:15" x14ac:dyDescent="0.25">
      <c r="A155" s="167" t="s">
        <v>390</v>
      </c>
      <c r="B155" s="427" t="s">
        <v>406</v>
      </c>
      <c r="C155" s="427"/>
      <c r="D155" s="427"/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7"/>
    </row>
    <row r="156" spans="1:15" x14ac:dyDescent="0.25">
      <c r="A156" s="156">
        <v>1</v>
      </c>
      <c r="B156" s="194" t="s">
        <v>63</v>
      </c>
      <c r="C156" s="194" t="s">
        <v>64</v>
      </c>
      <c r="D156" s="154">
        <v>1</v>
      </c>
      <c r="E156" s="189" t="s">
        <v>62</v>
      </c>
      <c r="F156" s="177">
        <v>1049700</v>
      </c>
      <c r="G156" s="283">
        <f t="shared" ref="G156:G182" si="26">F156*D156</f>
        <v>1049700</v>
      </c>
      <c r="H156" s="213">
        <f>D156</f>
        <v>1</v>
      </c>
      <c r="I156" s="189" t="s">
        <v>62</v>
      </c>
      <c r="J156" s="177">
        <v>1049000</v>
      </c>
      <c r="K156" s="305">
        <f>J156*H156</f>
        <v>1049000</v>
      </c>
      <c r="L156" s="203">
        <f>D156</f>
        <v>1</v>
      </c>
      <c r="M156" s="203" t="s">
        <v>62</v>
      </c>
      <c r="N156" s="198">
        <v>1048800</v>
      </c>
      <c r="O156" s="199">
        <f>N156*L156</f>
        <v>1048800</v>
      </c>
    </row>
    <row r="157" spans="1:15" x14ac:dyDescent="0.25">
      <c r="A157" s="156">
        <v>2</v>
      </c>
      <c r="B157" s="194" t="s">
        <v>63</v>
      </c>
      <c r="C157" s="194" t="s">
        <v>65</v>
      </c>
      <c r="D157" s="154">
        <v>1</v>
      </c>
      <c r="E157" s="189" t="s">
        <v>46</v>
      </c>
      <c r="F157" s="177">
        <v>1140600</v>
      </c>
      <c r="G157" s="283">
        <f t="shared" si="26"/>
        <v>1140600</v>
      </c>
      <c r="H157" s="213">
        <f t="shared" ref="H157:H197" si="27">D157</f>
        <v>1</v>
      </c>
      <c r="I157" s="189" t="s">
        <v>46</v>
      </c>
      <c r="J157" s="177">
        <v>1140000</v>
      </c>
      <c r="K157" s="305">
        <f t="shared" ref="K157:K197" si="28">J157*H157</f>
        <v>1140000</v>
      </c>
      <c r="L157" s="203">
        <f t="shared" ref="L157:L197" si="29">D157</f>
        <v>1</v>
      </c>
      <c r="M157" s="203" t="s">
        <v>46</v>
      </c>
      <c r="N157" s="198">
        <v>1139650</v>
      </c>
      <c r="O157" s="199">
        <f t="shared" ref="O157:O190" si="30">N157*L157</f>
        <v>1139650</v>
      </c>
    </row>
    <row r="158" spans="1:15" x14ac:dyDescent="0.25">
      <c r="A158" s="156">
        <v>3</v>
      </c>
      <c r="B158" s="194" t="s">
        <v>63</v>
      </c>
      <c r="C158" s="194" t="s">
        <v>66</v>
      </c>
      <c r="D158" s="154">
        <v>1</v>
      </c>
      <c r="E158" s="189" t="s">
        <v>62</v>
      </c>
      <c r="F158" s="177">
        <v>1215000</v>
      </c>
      <c r="G158" s="283">
        <f t="shared" si="26"/>
        <v>1215000</v>
      </c>
      <c r="H158" s="213">
        <f t="shared" si="27"/>
        <v>1</v>
      </c>
      <c r="I158" s="189" t="s">
        <v>62</v>
      </c>
      <c r="J158" s="177">
        <v>1215000</v>
      </c>
      <c r="K158" s="305">
        <f t="shared" si="28"/>
        <v>1215000</v>
      </c>
      <c r="L158" s="203">
        <f t="shared" si="29"/>
        <v>1</v>
      </c>
      <c r="M158" s="203" t="s">
        <v>62</v>
      </c>
      <c r="N158" s="198">
        <v>1214400</v>
      </c>
      <c r="O158" s="199">
        <f t="shared" si="30"/>
        <v>1214400</v>
      </c>
    </row>
    <row r="159" spans="1:15" x14ac:dyDescent="0.25">
      <c r="A159" s="156">
        <v>4</v>
      </c>
      <c r="B159" s="194" t="s">
        <v>63</v>
      </c>
      <c r="C159" s="194" t="s">
        <v>67</v>
      </c>
      <c r="D159" s="154">
        <v>1</v>
      </c>
      <c r="E159" s="189" t="s">
        <v>46</v>
      </c>
      <c r="F159" s="177">
        <v>1049700</v>
      </c>
      <c r="G159" s="283">
        <f t="shared" si="26"/>
        <v>1049700</v>
      </c>
      <c r="H159" s="213">
        <f t="shared" si="27"/>
        <v>1</v>
      </c>
      <c r="I159" s="189" t="s">
        <v>46</v>
      </c>
      <c r="J159" s="177">
        <v>1049000</v>
      </c>
      <c r="K159" s="305">
        <f t="shared" si="28"/>
        <v>1049000</v>
      </c>
      <c r="L159" s="203">
        <f t="shared" si="29"/>
        <v>1</v>
      </c>
      <c r="M159" s="203" t="s">
        <v>46</v>
      </c>
      <c r="N159" s="198">
        <v>1048800</v>
      </c>
      <c r="O159" s="199">
        <f t="shared" si="30"/>
        <v>1048800</v>
      </c>
    </row>
    <row r="160" spans="1:15" x14ac:dyDescent="0.25">
      <c r="A160" s="156">
        <v>5</v>
      </c>
      <c r="B160" s="194" t="s">
        <v>68</v>
      </c>
      <c r="C160" s="194" t="s">
        <v>69</v>
      </c>
      <c r="D160" s="154">
        <v>1</v>
      </c>
      <c r="E160" s="189" t="s">
        <v>62</v>
      </c>
      <c r="F160" s="177">
        <v>601700</v>
      </c>
      <c r="G160" s="283">
        <f t="shared" si="26"/>
        <v>601700</v>
      </c>
      <c r="H160" s="213">
        <f t="shared" si="27"/>
        <v>1</v>
      </c>
      <c r="I160" s="189" t="s">
        <v>62</v>
      </c>
      <c r="J160" s="177">
        <v>602000</v>
      </c>
      <c r="K160" s="305">
        <f t="shared" si="28"/>
        <v>602000</v>
      </c>
      <c r="L160" s="203">
        <f t="shared" si="29"/>
        <v>1</v>
      </c>
      <c r="M160" s="203" t="s">
        <v>62</v>
      </c>
      <c r="N160" s="198">
        <v>601450</v>
      </c>
      <c r="O160" s="199">
        <f t="shared" si="30"/>
        <v>601450</v>
      </c>
    </row>
    <row r="161" spans="1:15" x14ac:dyDescent="0.25">
      <c r="A161" s="156">
        <v>6</v>
      </c>
      <c r="B161" s="194" t="s">
        <v>68</v>
      </c>
      <c r="C161" s="194" t="s">
        <v>70</v>
      </c>
      <c r="D161" s="154">
        <v>1</v>
      </c>
      <c r="E161" s="189" t="s">
        <v>46</v>
      </c>
      <c r="F161" s="177">
        <v>1520000</v>
      </c>
      <c r="G161" s="283">
        <f t="shared" si="26"/>
        <v>1520000</v>
      </c>
      <c r="H161" s="213">
        <f t="shared" si="27"/>
        <v>1</v>
      </c>
      <c r="I161" s="189" t="s">
        <v>46</v>
      </c>
      <c r="J161" s="177">
        <v>1519800</v>
      </c>
      <c r="K161" s="305">
        <f t="shared" si="28"/>
        <v>1519800</v>
      </c>
      <c r="L161" s="203">
        <f t="shared" si="29"/>
        <v>1</v>
      </c>
      <c r="M161" s="203" t="s">
        <v>46</v>
      </c>
      <c r="N161" s="198">
        <v>1519149.9999999998</v>
      </c>
      <c r="O161" s="199">
        <f t="shared" si="30"/>
        <v>1519149.9999999998</v>
      </c>
    </row>
    <row r="162" spans="1:15" x14ac:dyDescent="0.25">
      <c r="A162" s="156">
        <v>7</v>
      </c>
      <c r="B162" s="194" t="s">
        <v>68</v>
      </c>
      <c r="C162" s="194" t="s">
        <v>71</v>
      </c>
      <c r="D162" s="154">
        <v>1</v>
      </c>
      <c r="E162" s="189" t="s">
        <v>62</v>
      </c>
      <c r="F162" s="177">
        <v>2282100</v>
      </c>
      <c r="G162" s="283">
        <f t="shared" si="26"/>
        <v>2282100</v>
      </c>
      <c r="H162" s="213">
        <f t="shared" si="27"/>
        <v>1</v>
      </c>
      <c r="I162" s="189" t="s">
        <v>62</v>
      </c>
      <c r="J162" s="177">
        <v>2281800</v>
      </c>
      <c r="K162" s="305">
        <f t="shared" si="28"/>
        <v>2281800</v>
      </c>
      <c r="L162" s="203">
        <f t="shared" si="29"/>
        <v>1</v>
      </c>
      <c r="M162" s="203" t="s">
        <v>62</v>
      </c>
      <c r="N162" s="198">
        <v>2281600</v>
      </c>
      <c r="O162" s="199">
        <f t="shared" si="30"/>
        <v>2281600</v>
      </c>
    </row>
    <row r="163" spans="1:15" x14ac:dyDescent="0.25">
      <c r="A163" s="156">
        <v>8</v>
      </c>
      <c r="B163" s="194" t="s">
        <v>72</v>
      </c>
      <c r="C163" s="194" t="s">
        <v>73</v>
      </c>
      <c r="D163" s="154">
        <v>1</v>
      </c>
      <c r="E163" s="189" t="s">
        <v>46</v>
      </c>
      <c r="F163" s="177">
        <v>125600</v>
      </c>
      <c r="G163" s="283">
        <f t="shared" si="26"/>
        <v>125600</v>
      </c>
      <c r="H163" s="213">
        <f t="shared" si="27"/>
        <v>1</v>
      </c>
      <c r="I163" s="189" t="s">
        <v>46</v>
      </c>
      <c r="J163" s="177">
        <v>126000</v>
      </c>
      <c r="K163" s="305">
        <f t="shared" si="28"/>
        <v>126000</v>
      </c>
      <c r="L163" s="203">
        <f t="shared" si="29"/>
        <v>1</v>
      </c>
      <c r="M163" s="203" t="s">
        <v>46</v>
      </c>
      <c r="N163" s="198">
        <v>125349.99999999999</v>
      </c>
      <c r="O163" s="199">
        <f t="shared" si="30"/>
        <v>125349.99999999999</v>
      </c>
    </row>
    <row r="164" spans="1:15" x14ac:dyDescent="0.25">
      <c r="A164" s="156">
        <v>9</v>
      </c>
      <c r="B164" s="194" t="s">
        <v>72</v>
      </c>
      <c r="C164" s="194" t="s">
        <v>74</v>
      </c>
      <c r="D164" s="154">
        <v>1</v>
      </c>
      <c r="E164" s="189" t="s">
        <v>46</v>
      </c>
      <c r="F164" s="177">
        <v>159500</v>
      </c>
      <c r="G164" s="283">
        <f t="shared" si="26"/>
        <v>159500</v>
      </c>
      <c r="H164" s="213">
        <f t="shared" si="27"/>
        <v>1</v>
      </c>
      <c r="I164" s="189" t="s">
        <v>46</v>
      </c>
      <c r="J164" s="177">
        <v>160000</v>
      </c>
      <c r="K164" s="305">
        <f t="shared" si="28"/>
        <v>160000</v>
      </c>
      <c r="L164" s="203">
        <f t="shared" si="29"/>
        <v>1</v>
      </c>
      <c r="M164" s="203" t="s">
        <v>46</v>
      </c>
      <c r="N164" s="198">
        <v>158700</v>
      </c>
      <c r="O164" s="199">
        <f t="shared" si="30"/>
        <v>158700</v>
      </c>
    </row>
    <row r="165" spans="1:15" x14ac:dyDescent="0.25">
      <c r="A165" s="156">
        <v>10</v>
      </c>
      <c r="B165" s="194" t="s">
        <v>72</v>
      </c>
      <c r="C165" s="194" t="s">
        <v>75</v>
      </c>
      <c r="D165" s="154">
        <v>1</v>
      </c>
      <c r="E165" s="189" t="s">
        <v>62</v>
      </c>
      <c r="F165" s="177">
        <v>150400</v>
      </c>
      <c r="G165" s="283">
        <f t="shared" si="26"/>
        <v>150400</v>
      </c>
      <c r="H165" s="213">
        <f t="shared" si="27"/>
        <v>1</v>
      </c>
      <c r="I165" s="189" t="s">
        <v>62</v>
      </c>
      <c r="J165" s="177">
        <v>151000</v>
      </c>
      <c r="K165" s="305">
        <f t="shared" si="28"/>
        <v>151000</v>
      </c>
      <c r="L165" s="203">
        <f t="shared" si="29"/>
        <v>1</v>
      </c>
      <c r="M165" s="203" t="s">
        <v>62</v>
      </c>
      <c r="N165" s="198">
        <v>149500</v>
      </c>
      <c r="O165" s="199">
        <f t="shared" si="30"/>
        <v>149500</v>
      </c>
    </row>
    <row r="166" spans="1:15" x14ac:dyDescent="0.25">
      <c r="A166" s="156">
        <v>11</v>
      </c>
      <c r="B166" s="194" t="s">
        <v>76</v>
      </c>
      <c r="C166" s="194" t="s">
        <v>77</v>
      </c>
      <c r="D166" s="154">
        <v>1</v>
      </c>
      <c r="E166" s="189" t="s">
        <v>46</v>
      </c>
      <c r="F166" s="177">
        <v>389300</v>
      </c>
      <c r="G166" s="283">
        <f t="shared" si="26"/>
        <v>389300</v>
      </c>
      <c r="H166" s="213">
        <f t="shared" si="27"/>
        <v>1</v>
      </c>
      <c r="I166" s="189" t="s">
        <v>46</v>
      </c>
      <c r="J166" s="177">
        <v>389000</v>
      </c>
      <c r="K166" s="305">
        <f t="shared" si="28"/>
        <v>389000</v>
      </c>
      <c r="L166" s="203">
        <f t="shared" si="29"/>
        <v>1</v>
      </c>
      <c r="M166" s="203" t="s">
        <v>46</v>
      </c>
      <c r="N166" s="198">
        <v>388699.99999999994</v>
      </c>
      <c r="O166" s="199">
        <f t="shared" si="30"/>
        <v>388699.99999999994</v>
      </c>
    </row>
    <row r="167" spans="1:15" x14ac:dyDescent="0.25">
      <c r="A167" s="156">
        <v>12</v>
      </c>
      <c r="B167" s="194" t="s">
        <v>78</v>
      </c>
      <c r="C167" s="194" t="s">
        <v>79</v>
      </c>
      <c r="D167" s="154">
        <v>1</v>
      </c>
      <c r="E167" s="189" t="s">
        <v>46</v>
      </c>
      <c r="F167" s="177">
        <v>3521100</v>
      </c>
      <c r="G167" s="283">
        <f t="shared" si="26"/>
        <v>3521100</v>
      </c>
      <c r="H167" s="213">
        <f t="shared" si="27"/>
        <v>1</v>
      </c>
      <c r="I167" s="189" t="s">
        <v>46</v>
      </c>
      <c r="J167" s="177">
        <v>3520500</v>
      </c>
      <c r="K167" s="305">
        <f t="shared" si="28"/>
        <v>3520500</v>
      </c>
      <c r="L167" s="203">
        <f t="shared" si="29"/>
        <v>1</v>
      </c>
      <c r="M167" s="203" t="s">
        <v>46</v>
      </c>
      <c r="N167" s="198">
        <v>3520149.9999999995</v>
      </c>
      <c r="O167" s="199">
        <f t="shared" si="30"/>
        <v>3520149.9999999995</v>
      </c>
    </row>
    <row r="168" spans="1:15" x14ac:dyDescent="0.25">
      <c r="A168" s="156">
        <v>13</v>
      </c>
      <c r="B168" s="194" t="s">
        <v>80</v>
      </c>
      <c r="C168" s="194" t="s">
        <v>81</v>
      </c>
      <c r="D168" s="154">
        <v>1</v>
      </c>
      <c r="E168" s="189" t="s">
        <v>62</v>
      </c>
      <c r="F168" s="177">
        <v>1083600</v>
      </c>
      <c r="G168" s="283">
        <f t="shared" si="26"/>
        <v>1083600</v>
      </c>
      <c r="H168" s="213">
        <f t="shared" si="27"/>
        <v>1</v>
      </c>
      <c r="I168" s="189" t="s">
        <v>62</v>
      </c>
      <c r="J168" s="177">
        <v>1084000</v>
      </c>
      <c r="K168" s="305">
        <f t="shared" si="28"/>
        <v>1084000</v>
      </c>
      <c r="L168" s="203">
        <f t="shared" si="29"/>
        <v>1</v>
      </c>
      <c r="M168" s="203" t="s">
        <v>62</v>
      </c>
      <c r="N168" s="198">
        <v>1083300</v>
      </c>
      <c r="O168" s="199">
        <f t="shared" si="30"/>
        <v>1083300</v>
      </c>
    </row>
    <row r="169" spans="1:15" x14ac:dyDescent="0.25">
      <c r="A169" s="156">
        <v>14</v>
      </c>
      <c r="B169" s="194" t="s">
        <v>80</v>
      </c>
      <c r="C169" s="194" t="s">
        <v>82</v>
      </c>
      <c r="D169" s="154">
        <v>0</v>
      </c>
      <c r="E169" s="189" t="s">
        <v>46</v>
      </c>
      <c r="F169" s="177">
        <v>1221600</v>
      </c>
      <c r="G169" s="283">
        <f t="shared" si="26"/>
        <v>0</v>
      </c>
      <c r="H169" s="213">
        <f t="shared" si="27"/>
        <v>0</v>
      </c>
      <c r="I169" s="189" t="s">
        <v>46</v>
      </c>
      <c r="J169" s="177">
        <v>1221500</v>
      </c>
      <c r="K169" s="305">
        <f t="shared" si="28"/>
        <v>0</v>
      </c>
      <c r="L169" s="203">
        <f t="shared" si="29"/>
        <v>0</v>
      </c>
      <c r="M169" s="203" t="s">
        <v>46</v>
      </c>
      <c r="N169" s="198">
        <v>1221300</v>
      </c>
      <c r="O169" s="199">
        <f t="shared" si="30"/>
        <v>0</v>
      </c>
    </row>
    <row r="170" spans="1:15" x14ac:dyDescent="0.25">
      <c r="A170" s="156">
        <v>15</v>
      </c>
      <c r="B170" s="194" t="s">
        <v>83</v>
      </c>
      <c r="C170" s="194" t="s">
        <v>84</v>
      </c>
      <c r="D170" s="154">
        <v>0</v>
      </c>
      <c r="E170" s="189" t="s">
        <v>62</v>
      </c>
      <c r="F170" s="177">
        <v>277700</v>
      </c>
      <c r="G170" s="283">
        <f t="shared" si="26"/>
        <v>0</v>
      </c>
      <c r="H170" s="213">
        <f t="shared" si="27"/>
        <v>0</v>
      </c>
      <c r="I170" s="189" t="s">
        <v>62</v>
      </c>
      <c r="J170" s="177">
        <v>277500</v>
      </c>
      <c r="K170" s="305">
        <f t="shared" si="28"/>
        <v>0</v>
      </c>
      <c r="L170" s="203">
        <f t="shared" si="29"/>
        <v>0</v>
      </c>
      <c r="M170" s="203" t="s">
        <v>62</v>
      </c>
      <c r="N170" s="198">
        <v>277150</v>
      </c>
      <c r="O170" s="199">
        <f t="shared" si="30"/>
        <v>0</v>
      </c>
    </row>
    <row r="171" spans="1:15" x14ac:dyDescent="0.25">
      <c r="A171" s="156">
        <v>16</v>
      </c>
      <c r="B171" s="194" t="s">
        <v>85</v>
      </c>
      <c r="C171" s="194" t="s">
        <v>86</v>
      </c>
      <c r="D171" s="154">
        <v>0</v>
      </c>
      <c r="E171" s="189" t="s">
        <v>46</v>
      </c>
      <c r="F171" s="177">
        <v>1041400</v>
      </c>
      <c r="G171" s="283">
        <f t="shared" si="26"/>
        <v>0</v>
      </c>
      <c r="H171" s="213">
        <f t="shared" si="27"/>
        <v>0</v>
      </c>
      <c r="I171" s="189" t="s">
        <v>46</v>
      </c>
      <c r="J171" s="177">
        <v>1041000</v>
      </c>
      <c r="K171" s="305">
        <f t="shared" si="28"/>
        <v>0</v>
      </c>
      <c r="L171" s="203">
        <f t="shared" si="29"/>
        <v>0</v>
      </c>
      <c r="M171" s="203" t="s">
        <v>46</v>
      </c>
      <c r="N171" s="198">
        <v>1040749.9999999999</v>
      </c>
      <c r="O171" s="199">
        <f t="shared" si="30"/>
        <v>0</v>
      </c>
    </row>
    <row r="172" spans="1:15" x14ac:dyDescent="0.25">
      <c r="A172" s="156">
        <v>17</v>
      </c>
      <c r="B172" s="194" t="s">
        <v>87</v>
      </c>
      <c r="C172" s="194" t="s">
        <v>88</v>
      </c>
      <c r="D172" s="154">
        <v>0</v>
      </c>
      <c r="E172" s="189" t="s">
        <v>62</v>
      </c>
      <c r="F172" s="177">
        <v>1077800</v>
      </c>
      <c r="G172" s="283">
        <f t="shared" si="26"/>
        <v>0</v>
      </c>
      <c r="H172" s="213">
        <f t="shared" si="27"/>
        <v>0</v>
      </c>
      <c r="I172" s="189" t="s">
        <v>62</v>
      </c>
      <c r="J172" s="177">
        <v>1077600</v>
      </c>
      <c r="K172" s="305">
        <f t="shared" si="28"/>
        <v>0</v>
      </c>
      <c r="L172" s="203">
        <f t="shared" si="29"/>
        <v>0</v>
      </c>
      <c r="M172" s="203" t="s">
        <v>62</v>
      </c>
      <c r="N172" s="198">
        <v>1077550</v>
      </c>
      <c r="O172" s="199">
        <f t="shared" si="30"/>
        <v>0</v>
      </c>
    </row>
    <row r="173" spans="1:15" x14ac:dyDescent="0.25">
      <c r="A173" s="156">
        <v>18</v>
      </c>
      <c r="B173" s="194" t="s">
        <v>90</v>
      </c>
      <c r="C173" s="194" t="s">
        <v>91</v>
      </c>
      <c r="D173" s="154">
        <v>0</v>
      </c>
      <c r="E173" s="189" t="s">
        <v>62</v>
      </c>
      <c r="F173" s="177">
        <v>74300</v>
      </c>
      <c r="G173" s="283">
        <f t="shared" si="26"/>
        <v>0</v>
      </c>
      <c r="H173" s="213">
        <f t="shared" si="27"/>
        <v>0</v>
      </c>
      <c r="I173" s="189" t="s">
        <v>62</v>
      </c>
      <c r="J173" s="177">
        <v>75000</v>
      </c>
      <c r="K173" s="305">
        <f t="shared" si="28"/>
        <v>0</v>
      </c>
      <c r="L173" s="203">
        <f t="shared" si="29"/>
        <v>0</v>
      </c>
      <c r="M173" s="203" t="s">
        <v>62</v>
      </c>
      <c r="N173" s="198">
        <v>73600</v>
      </c>
      <c r="O173" s="199">
        <f t="shared" si="30"/>
        <v>0</v>
      </c>
    </row>
    <row r="174" spans="1:15" x14ac:dyDescent="0.25">
      <c r="A174" s="156">
        <v>19</v>
      </c>
      <c r="B174" s="194" t="s">
        <v>90</v>
      </c>
      <c r="C174" s="194" t="s">
        <v>92</v>
      </c>
      <c r="D174" s="154">
        <v>0</v>
      </c>
      <c r="E174" s="189" t="s">
        <v>46</v>
      </c>
      <c r="F174" s="177">
        <v>107400</v>
      </c>
      <c r="G174" s="283">
        <f t="shared" si="26"/>
        <v>0</v>
      </c>
      <c r="H174" s="213">
        <f t="shared" si="27"/>
        <v>0</v>
      </c>
      <c r="I174" s="189" t="s">
        <v>46</v>
      </c>
      <c r="J174" s="177">
        <v>108000</v>
      </c>
      <c r="K174" s="305">
        <f t="shared" si="28"/>
        <v>0</v>
      </c>
      <c r="L174" s="203">
        <f t="shared" si="29"/>
        <v>0</v>
      </c>
      <c r="M174" s="203" t="s">
        <v>46</v>
      </c>
      <c r="N174" s="198">
        <v>106949.99999999999</v>
      </c>
      <c r="O174" s="199">
        <f t="shared" si="30"/>
        <v>0</v>
      </c>
    </row>
    <row r="175" spans="1:15" x14ac:dyDescent="0.25">
      <c r="A175" s="156">
        <v>20</v>
      </c>
      <c r="B175" s="194" t="s">
        <v>93</v>
      </c>
      <c r="C175" s="194" t="s">
        <v>94</v>
      </c>
      <c r="D175" s="154">
        <v>0</v>
      </c>
      <c r="E175" s="189" t="s">
        <v>46</v>
      </c>
      <c r="F175" s="177">
        <v>67700</v>
      </c>
      <c r="G175" s="283">
        <f t="shared" si="26"/>
        <v>0</v>
      </c>
      <c r="H175" s="213">
        <f t="shared" si="27"/>
        <v>0</v>
      </c>
      <c r="I175" s="189" t="s">
        <v>46</v>
      </c>
      <c r="J175" s="177">
        <v>68000</v>
      </c>
      <c r="K175" s="305">
        <f t="shared" si="28"/>
        <v>0</v>
      </c>
      <c r="L175" s="203">
        <f t="shared" si="29"/>
        <v>0</v>
      </c>
      <c r="M175" s="203" t="s">
        <v>46</v>
      </c>
      <c r="N175" s="198">
        <v>66700</v>
      </c>
      <c r="O175" s="199">
        <f t="shared" si="30"/>
        <v>0</v>
      </c>
    </row>
    <row r="176" spans="1:15" x14ac:dyDescent="0.25">
      <c r="A176" s="156">
        <v>21</v>
      </c>
      <c r="B176" s="194" t="s">
        <v>95</v>
      </c>
      <c r="C176" s="194" t="s">
        <v>96</v>
      </c>
      <c r="D176" s="154">
        <v>0</v>
      </c>
      <c r="E176" s="189" t="s">
        <v>62</v>
      </c>
      <c r="F176" s="177">
        <v>123900</v>
      </c>
      <c r="G176" s="283">
        <f t="shared" si="26"/>
        <v>0</v>
      </c>
      <c r="H176" s="213">
        <f t="shared" si="27"/>
        <v>0</v>
      </c>
      <c r="I176" s="189" t="s">
        <v>62</v>
      </c>
      <c r="J176" s="177">
        <v>124000</v>
      </c>
      <c r="K176" s="305">
        <f t="shared" si="28"/>
        <v>0</v>
      </c>
      <c r="L176" s="203">
        <f t="shared" si="29"/>
        <v>0</v>
      </c>
      <c r="M176" s="203" t="s">
        <v>62</v>
      </c>
      <c r="N176" s="198">
        <v>123049.99999999999</v>
      </c>
      <c r="O176" s="199">
        <f t="shared" si="30"/>
        <v>0</v>
      </c>
    </row>
    <row r="177" spans="1:15" x14ac:dyDescent="0.25">
      <c r="A177" s="156">
        <v>22</v>
      </c>
      <c r="B177" s="194" t="s">
        <v>95</v>
      </c>
      <c r="C177" s="194" t="s">
        <v>97</v>
      </c>
      <c r="D177" s="154">
        <v>0</v>
      </c>
      <c r="E177" s="189" t="s">
        <v>46</v>
      </c>
      <c r="F177" s="177">
        <v>195000</v>
      </c>
      <c r="G177" s="283">
        <f t="shared" si="26"/>
        <v>0</v>
      </c>
      <c r="H177" s="213">
        <f t="shared" si="27"/>
        <v>0</v>
      </c>
      <c r="I177" s="189" t="s">
        <v>46</v>
      </c>
      <c r="J177" s="177">
        <v>195000</v>
      </c>
      <c r="K177" s="305">
        <f t="shared" si="28"/>
        <v>0</v>
      </c>
      <c r="L177" s="203">
        <f t="shared" si="29"/>
        <v>0</v>
      </c>
      <c r="M177" s="203" t="s">
        <v>46</v>
      </c>
      <c r="N177" s="198">
        <v>194349.99999999997</v>
      </c>
      <c r="O177" s="199">
        <f t="shared" si="30"/>
        <v>0</v>
      </c>
    </row>
    <row r="178" spans="1:15" x14ac:dyDescent="0.25">
      <c r="A178" s="156">
        <v>23</v>
      </c>
      <c r="B178" s="194" t="s">
        <v>95</v>
      </c>
      <c r="C178" s="194" t="s">
        <v>98</v>
      </c>
      <c r="D178" s="154">
        <v>0</v>
      </c>
      <c r="E178" s="189" t="s">
        <v>62</v>
      </c>
      <c r="F178" s="177">
        <v>529000</v>
      </c>
      <c r="G178" s="283">
        <f t="shared" si="26"/>
        <v>0</v>
      </c>
      <c r="H178" s="213">
        <f t="shared" si="27"/>
        <v>0</v>
      </c>
      <c r="I178" s="189" t="s">
        <v>62</v>
      </c>
      <c r="J178" s="177">
        <v>529000</v>
      </c>
      <c r="K178" s="305">
        <f t="shared" si="28"/>
        <v>0</v>
      </c>
      <c r="L178" s="203">
        <f t="shared" si="29"/>
        <v>0</v>
      </c>
      <c r="M178" s="203" t="s">
        <v>62</v>
      </c>
      <c r="N178" s="198">
        <v>529000</v>
      </c>
      <c r="O178" s="199">
        <f t="shared" si="30"/>
        <v>0</v>
      </c>
    </row>
    <row r="179" spans="1:15" x14ac:dyDescent="0.25">
      <c r="A179" s="156">
        <v>24</v>
      </c>
      <c r="B179" s="194" t="s">
        <v>89</v>
      </c>
      <c r="C179" s="194" t="s">
        <v>99</v>
      </c>
      <c r="D179" s="154">
        <v>0</v>
      </c>
      <c r="E179" s="189" t="s">
        <v>62</v>
      </c>
      <c r="F179" s="177">
        <v>48100</v>
      </c>
      <c r="G179" s="283">
        <f t="shared" si="26"/>
        <v>0</v>
      </c>
      <c r="H179" s="213">
        <f t="shared" si="27"/>
        <v>0</v>
      </c>
      <c r="I179" s="189" t="s">
        <v>62</v>
      </c>
      <c r="J179" s="177">
        <v>49000</v>
      </c>
      <c r="K179" s="305">
        <f t="shared" si="28"/>
        <v>0</v>
      </c>
      <c r="L179" s="203">
        <f t="shared" si="29"/>
        <v>0</v>
      </c>
      <c r="M179" s="203" t="s">
        <v>62</v>
      </c>
      <c r="N179" s="198">
        <v>47149.999999999993</v>
      </c>
      <c r="O179" s="199">
        <f t="shared" si="30"/>
        <v>0</v>
      </c>
    </row>
    <row r="180" spans="1:15" x14ac:dyDescent="0.25">
      <c r="A180" s="156">
        <v>25</v>
      </c>
      <c r="B180" s="194" t="s">
        <v>89</v>
      </c>
      <c r="C180" s="194" t="s">
        <v>100</v>
      </c>
      <c r="D180" s="154">
        <v>0</v>
      </c>
      <c r="E180" s="189" t="s">
        <v>62</v>
      </c>
      <c r="F180" s="177">
        <v>55000</v>
      </c>
      <c r="G180" s="283">
        <f t="shared" si="26"/>
        <v>0</v>
      </c>
      <c r="H180" s="213">
        <f t="shared" si="27"/>
        <v>0</v>
      </c>
      <c r="I180" s="189" t="s">
        <v>62</v>
      </c>
      <c r="J180" s="177">
        <v>55000</v>
      </c>
      <c r="K180" s="305">
        <f t="shared" si="28"/>
        <v>0</v>
      </c>
      <c r="L180" s="203">
        <f t="shared" si="29"/>
        <v>0</v>
      </c>
      <c r="M180" s="203" t="s">
        <v>62</v>
      </c>
      <c r="N180" s="198">
        <v>54049.999999999993</v>
      </c>
      <c r="O180" s="199">
        <f t="shared" si="30"/>
        <v>0</v>
      </c>
    </row>
    <row r="181" spans="1:15" x14ac:dyDescent="0.25">
      <c r="A181" s="156">
        <v>26</v>
      </c>
      <c r="B181" s="194" t="s">
        <v>89</v>
      </c>
      <c r="C181" s="194" t="s">
        <v>101</v>
      </c>
      <c r="D181" s="154">
        <v>0</v>
      </c>
      <c r="E181" s="189" t="s">
        <v>46</v>
      </c>
      <c r="F181" s="177">
        <v>43800</v>
      </c>
      <c r="G181" s="283">
        <f t="shared" si="26"/>
        <v>0</v>
      </c>
      <c r="H181" s="213">
        <f t="shared" si="27"/>
        <v>0</v>
      </c>
      <c r="I181" s="189" t="s">
        <v>46</v>
      </c>
      <c r="J181" s="177">
        <v>44000</v>
      </c>
      <c r="K181" s="305">
        <f t="shared" si="28"/>
        <v>0</v>
      </c>
      <c r="L181" s="203">
        <f t="shared" si="29"/>
        <v>0</v>
      </c>
      <c r="M181" s="203" t="s">
        <v>46</v>
      </c>
      <c r="N181" s="198">
        <v>43700</v>
      </c>
      <c r="O181" s="199">
        <f t="shared" si="30"/>
        <v>0</v>
      </c>
    </row>
    <row r="182" spans="1:15" x14ac:dyDescent="0.25">
      <c r="A182" s="156">
        <v>27</v>
      </c>
      <c r="B182" s="194" t="s">
        <v>89</v>
      </c>
      <c r="C182" s="194" t="s">
        <v>102</v>
      </c>
      <c r="D182" s="154">
        <v>0</v>
      </c>
      <c r="E182" s="189" t="s">
        <v>46</v>
      </c>
      <c r="F182" s="177">
        <v>51400</v>
      </c>
      <c r="G182" s="283">
        <f t="shared" si="26"/>
        <v>0</v>
      </c>
      <c r="H182" s="213">
        <f t="shared" si="27"/>
        <v>0</v>
      </c>
      <c r="I182" s="189" t="s">
        <v>46</v>
      </c>
      <c r="J182" s="177">
        <v>52000</v>
      </c>
      <c r="K182" s="305">
        <f t="shared" si="28"/>
        <v>0</v>
      </c>
      <c r="L182" s="203">
        <f t="shared" si="29"/>
        <v>0</v>
      </c>
      <c r="M182" s="203" t="s">
        <v>46</v>
      </c>
      <c r="N182" s="198">
        <v>50599.999999999993</v>
      </c>
      <c r="O182" s="199">
        <f t="shared" si="30"/>
        <v>0</v>
      </c>
    </row>
    <row r="183" spans="1:15" x14ac:dyDescent="0.25">
      <c r="A183" s="156">
        <v>28</v>
      </c>
      <c r="B183" s="194" t="s">
        <v>103</v>
      </c>
      <c r="C183" s="194" t="s">
        <v>104</v>
      </c>
      <c r="D183" s="154">
        <v>0</v>
      </c>
      <c r="E183" s="189" t="s">
        <v>62</v>
      </c>
      <c r="F183" s="177">
        <v>2937800</v>
      </c>
      <c r="G183" s="283">
        <f t="shared" ref="G183:G197" si="31">F183*D183</f>
        <v>0</v>
      </c>
      <c r="H183" s="213">
        <f t="shared" si="27"/>
        <v>0</v>
      </c>
      <c r="I183" s="189" t="s">
        <v>62</v>
      </c>
      <c r="J183" s="177">
        <v>2935000</v>
      </c>
      <c r="K183" s="305">
        <f t="shared" si="28"/>
        <v>0</v>
      </c>
      <c r="L183" s="203">
        <f t="shared" si="29"/>
        <v>0</v>
      </c>
      <c r="M183" s="203" t="s">
        <v>62</v>
      </c>
      <c r="N183" s="198">
        <v>2887650</v>
      </c>
      <c r="O183" s="199">
        <f t="shared" si="30"/>
        <v>0</v>
      </c>
    </row>
    <row r="184" spans="1:15" x14ac:dyDescent="0.25">
      <c r="A184" s="156">
        <v>29</v>
      </c>
      <c r="B184" s="194" t="s">
        <v>78</v>
      </c>
      <c r="C184" s="194" t="s">
        <v>105</v>
      </c>
      <c r="D184" s="154">
        <v>0</v>
      </c>
      <c r="E184" s="189" t="s">
        <v>62</v>
      </c>
      <c r="F184" s="177">
        <v>3514900</v>
      </c>
      <c r="G184" s="283">
        <f t="shared" si="31"/>
        <v>0</v>
      </c>
      <c r="H184" s="213">
        <f t="shared" si="27"/>
        <v>0</v>
      </c>
      <c r="I184" s="189" t="s">
        <v>62</v>
      </c>
      <c r="J184" s="177">
        <v>3512000</v>
      </c>
      <c r="K184" s="305">
        <f t="shared" si="28"/>
        <v>0</v>
      </c>
      <c r="L184" s="203">
        <f t="shared" si="29"/>
        <v>0</v>
      </c>
      <c r="M184" s="203" t="s">
        <v>62</v>
      </c>
      <c r="N184" s="198">
        <v>3454599.9999999995</v>
      </c>
      <c r="O184" s="199">
        <f t="shared" si="30"/>
        <v>0</v>
      </c>
    </row>
    <row r="185" spans="1:15" x14ac:dyDescent="0.25">
      <c r="A185" s="156">
        <v>30</v>
      </c>
      <c r="B185" s="194" t="s">
        <v>106</v>
      </c>
      <c r="C185" s="194" t="s">
        <v>107</v>
      </c>
      <c r="D185" s="154">
        <v>120</v>
      </c>
      <c r="E185" s="189" t="s">
        <v>62</v>
      </c>
      <c r="F185" s="177">
        <v>841800</v>
      </c>
      <c r="G185" s="283">
        <f t="shared" si="31"/>
        <v>101016000</v>
      </c>
      <c r="H185" s="213">
        <f t="shared" si="27"/>
        <v>120</v>
      </c>
      <c r="I185" s="189" t="s">
        <v>62</v>
      </c>
      <c r="J185" s="177">
        <v>841800</v>
      </c>
      <c r="K185" s="305">
        <f t="shared" si="28"/>
        <v>101016000</v>
      </c>
      <c r="L185" s="203">
        <f t="shared" si="29"/>
        <v>120</v>
      </c>
      <c r="M185" s="203" t="s">
        <v>62</v>
      </c>
      <c r="N185" s="198">
        <v>841799.99999999988</v>
      </c>
      <c r="O185" s="199">
        <f t="shared" si="30"/>
        <v>101015999.99999999</v>
      </c>
    </row>
    <row r="186" spans="1:15" x14ac:dyDescent="0.25">
      <c r="A186" s="156">
        <v>31</v>
      </c>
      <c r="B186" s="194" t="s">
        <v>108</v>
      </c>
      <c r="C186" s="194" t="s">
        <v>109</v>
      </c>
      <c r="D186" s="154">
        <v>0</v>
      </c>
      <c r="E186" s="189" t="s">
        <v>62</v>
      </c>
      <c r="F186" s="177">
        <v>5031500</v>
      </c>
      <c r="G186" s="283">
        <f t="shared" si="31"/>
        <v>0</v>
      </c>
      <c r="H186" s="213">
        <f t="shared" si="27"/>
        <v>0</v>
      </c>
      <c r="I186" s="189" t="s">
        <v>62</v>
      </c>
      <c r="J186" s="177">
        <v>5027000</v>
      </c>
      <c r="K186" s="305">
        <f t="shared" si="28"/>
        <v>0</v>
      </c>
      <c r="L186" s="203">
        <f t="shared" si="29"/>
        <v>0</v>
      </c>
      <c r="M186" s="203" t="s">
        <v>62</v>
      </c>
      <c r="N186" s="198">
        <v>4945000</v>
      </c>
      <c r="O186" s="199">
        <f t="shared" si="30"/>
        <v>0</v>
      </c>
    </row>
    <row r="187" spans="1:15" x14ac:dyDescent="0.25">
      <c r="A187" s="156">
        <v>32</v>
      </c>
      <c r="B187" s="194" t="s">
        <v>108</v>
      </c>
      <c r="C187" s="194" t="s">
        <v>110</v>
      </c>
      <c r="D187" s="154">
        <v>0</v>
      </c>
      <c r="E187" s="189" t="s">
        <v>62</v>
      </c>
      <c r="F187" s="177">
        <v>1498700</v>
      </c>
      <c r="G187" s="283">
        <f t="shared" si="31"/>
        <v>0</v>
      </c>
      <c r="H187" s="213">
        <f t="shared" si="27"/>
        <v>0</v>
      </c>
      <c r="I187" s="189" t="s">
        <v>62</v>
      </c>
      <c r="J187" s="177">
        <v>1498000</v>
      </c>
      <c r="K187" s="305">
        <f t="shared" si="28"/>
        <v>0</v>
      </c>
      <c r="L187" s="203">
        <f t="shared" si="29"/>
        <v>0</v>
      </c>
      <c r="M187" s="203" t="s">
        <v>62</v>
      </c>
      <c r="N187" s="198">
        <v>1473150</v>
      </c>
      <c r="O187" s="199">
        <f t="shared" si="30"/>
        <v>0</v>
      </c>
    </row>
    <row r="188" spans="1:15" x14ac:dyDescent="0.25">
      <c r="A188" s="156">
        <v>33</v>
      </c>
      <c r="B188" s="194" t="s">
        <v>111</v>
      </c>
      <c r="C188" s="194" t="s">
        <v>112</v>
      </c>
      <c r="D188" s="154">
        <v>0</v>
      </c>
      <c r="E188" s="189" t="s">
        <v>62</v>
      </c>
      <c r="F188" s="177">
        <v>8055800</v>
      </c>
      <c r="G188" s="283">
        <f t="shared" si="31"/>
        <v>0</v>
      </c>
      <c r="H188" s="213">
        <f t="shared" si="27"/>
        <v>0</v>
      </c>
      <c r="I188" s="189" t="s">
        <v>62</v>
      </c>
      <c r="J188" s="177">
        <v>8048000</v>
      </c>
      <c r="K188" s="305">
        <f t="shared" si="28"/>
        <v>0</v>
      </c>
      <c r="L188" s="203">
        <f t="shared" si="29"/>
        <v>0</v>
      </c>
      <c r="M188" s="203" t="s">
        <v>62</v>
      </c>
      <c r="N188" s="198">
        <v>7917749.9999999991</v>
      </c>
      <c r="O188" s="199">
        <f t="shared" si="30"/>
        <v>0</v>
      </c>
    </row>
    <row r="189" spans="1:15" x14ac:dyDescent="0.25">
      <c r="A189" s="156">
        <v>34</v>
      </c>
      <c r="B189" s="194" t="s">
        <v>108</v>
      </c>
      <c r="C189" s="194" t="s">
        <v>113</v>
      </c>
      <c r="D189" s="154">
        <v>0</v>
      </c>
      <c r="E189" s="189" t="s">
        <v>62</v>
      </c>
      <c r="F189" s="177">
        <v>669000</v>
      </c>
      <c r="G189" s="283">
        <f t="shared" si="31"/>
        <v>0</v>
      </c>
      <c r="H189" s="213">
        <f t="shared" si="27"/>
        <v>0</v>
      </c>
      <c r="I189" s="189" t="s">
        <v>62</v>
      </c>
      <c r="J189" s="177">
        <v>669000</v>
      </c>
      <c r="K189" s="305">
        <f t="shared" si="28"/>
        <v>0</v>
      </c>
      <c r="L189" s="203">
        <f t="shared" si="29"/>
        <v>0</v>
      </c>
      <c r="M189" s="203" t="s">
        <v>62</v>
      </c>
      <c r="N189" s="198">
        <v>656650</v>
      </c>
      <c r="O189" s="199">
        <f t="shared" si="30"/>
        <v>0</v>
      </c>
    </row>
    <row r="190" spans="1:15" x14ac:dyDescent="0.25">
      <c r="A190" s="156">
        <v>35</v>
      </c>
      <c r="B190" s="194" t="s">
        <v>114</v>
      </c>
      <c r="C190" s="194" t="s">
        <v>115</v>
      </c>
      <c r="D190" s="154">
        <v>0</v>
      </c>
      <c r="E190" s="189" t="s">
        <v>62</v>
      </c>
      <c r="F190" s="177">
        <v>1017000</v>
      </c>
      <c r="G190" s="283">
        <f t="shared" si="31"/>
        <v>0</v>
      </c>
      <c r="H190" s="213">
        <f t="shared" si="27"/>
        <v>0</v>
      </c>
      <c r="I190" s="189" t="s">
        <v>62</v>
      </c>
      <c r="J190" s="177">
        <v>1016000</v>
      </c>
      <c r="K190" s="305">
        <f t="shared" si="28"/>
        <v>0</v>
      </c>
      <c r="L190" s="203">
        <f t="shared" si="29"/>
        <v>0</v>
      </c>
      <c r="M190" s="203" t="s">
        <v>62</v>
      </c>
      <c r="N190" s="198">
        <v>999349.99999999988</v>
      </c>
      <c r="O190" s="199">
        <f t="shared" si="30"/>
        <v>0</v>
      </c>
    </row>
    <row r="191" spans="1:15" x14ac:dyDescent="0.25">
      <c r="A191" s="270">
        <v>36</v>
      </c>
      <c r="B191" s="271" t="s">
        <v>559</v>
      </c>
      <c r="C191" s="271" t="s">
        <v>560</v>
      </c>
      <c r="D191" s="272">
        <v>0</v>
      </c>
      <c r="E191" s="189" t="s">
        <v>62</v>
      </c>
      <c r="F191" s="273">
        <v>111658300</v>
      </c>
      <c r="G191" s="290">
        <f>F191*D191</f>
        <v>0</v>
      </c>
      <c r="H191" s="213">
        <f t="shared" si="27"/>
        <v>0</v>
      </c>
      <c r="I191" s="189" t="s">
        <v>62</v>
      </c>
      <c r="J191" s="177">
        <v>111547000</v>
      </c>
      <c r="K191" s="305">
        <f t="shared" si="28"/>
        <v>0</v>
      </c>
      <c r="L191" s="203">
        <f t="shared" si="29"/>
        <v>0</v>
      </c>
      <c r="M191" s="203" t="s">
        <v>62</v>
      </c>
      <c r="N191" s="274">
        <f>F191*1.15/1.17</f>
        <v>109749611.1111111</v>
      </c>
      <c r="O191" s="275">
        <f>N191*L191</f>
        <v>0</v>
      </c>
    </row>
    <row r="192" spans="1:15" x14ac:dyDescent="0.25">
      <c r="A192" s="270">
        <v>37</v>
      </c>
      <c r="B192" s="271" t="s">
        <v>559</v>
      </c>
      <c r="C192" s="271" t="s">
        <v>561</v>
      </c>
      <c r="D192" s="272">
        <v>0</v>
      </c>
      <c r="E192" s="189" t="s">
        <v>62</v>
      </c>
      <c r="F192" s="273">
        <v>107799000</v>
      </c>
      <c r="G192" s="290">
        <f t="shared" ref="G192:G195" si="32">F192*D192</f>
        <v>0</v>
      </c>
      <c r="H192" s="213">
        <f t="shared" si="27"/>
        <v>0</v>
      </c>
      <c r="I192" s="189" t="s">
        <v>62</v>
      </c>
      <c r="J192" s="177">
        <v>107692000</v>
      </c>
      <c r="K192" s="305">
        <f t="shared" si="28"/>
        <v>0</v>
      </c>
      <c r="L192" s="203">
        <f t="shared" si="29"/>
        <v>0</v>
      </c>
      <c r="M192" s="203" t="s">
        <v>62</v>
      </c>
      <c r="N192" s="274">
        <f t="shared" ref="N192:N194" si="33">F192*1.15/1.17</f>
        <v>105956282.05128205</v>
      </c>
      <c r="O192" s="275">
        <f t="shared" ref="O192:O195" si="34">N192*L192</f>
        <v>0</v>
      </c>
    </row>
    <row r="193" spans="1:17" x14ac:dyDescent="0.25">
      <c r="A193" s="270">
        <v>38</v>
      </c>
      <c r="B193" s="271" t="s">
        <v>559</v>
      </c>
      <c r="C193" s="271" t="s">
        <v>562</v>
      </c>
      <c r="D193" s="272">
        <v>0</v>
      </c>
      <c r="E193" s="189" t="s">
        <v>62</v>
      </c>
      <c r="F193" s="273">
        <v>196365600</v>
      </c>
      <c r="G193" s="290">
        <f t="shared" si="32"/>
        <v>0</v>
      </c>
      <c r="H193" s="213">
        <f t="shared" si="27"/>
        <v>0</v>
      </c>
      <c r="I193" s="189" t="s">
        <v>62</v>
      </c>
      <c r="J193" s="177">
        <v>196170000</v>
      </c>
      <c r="K193" s="305">
        <f t="shared" si="28"/>
        <v>0</v>
      </c>
      <c r="L193" s="203">
        <f t="shared" si="29"/>
        <v>0</v>
      </c>
      <c r="M193" s="203" t="s">
        <v>62</v>
      </c>
      <c r="N193" s="274">
        <f t="shared" si="33"/>
        <v>193008923.07692307</v>
      </c>
      <c r="O193" s="275">
        <f t="shared" si="34"/>
        <v>0</v>
      </c>
    </row>
    <row r="194" spans="1:17" x14ac:dyDescent="0.25">
      <c r="A194" s="270">
        <v>39</v>
      </c>
      <c r="B194" s="271" t="s">
        <v>563</v>
      </c>
      <c r="C194" s="271" t="s">
        <v>564</v>
      </c>
      <c r="D194" s="272">
        <v>0</v>
      </c>
      <c r="E194" s="189" t="s">
        <v>62</v>
      </c>
      <c r="F194" s="273">
        <v>290745000</v>
      </c>
      <c r="G194" s="290">
        <f t="shared" si="32"/>
        <v>0</v>
      </c>
      <c r="H194" s="213">
        <f t="shared" si="27"/>
        <v>0</v>
      </c>
      <c r="I194" s="189" t="s">
        <v>62</v>
      </c>
      <c r="J194" s="177">
        <v>290455000</v>
      </c>
      <c r="K194" s="305">
        <f t="shared" si="28"/>
        <v>0</v>
      </c>
      <c r="L194" s="203">
        <f t="shared" si="29"/>
        <v>0</v>
      </c>
      <c r="M194" s="203" t="s">
        <v>62</v>
      </c>
      <c r="N194" s="274">
        <f t="shared" si="33"/>
        <v>285775000</v>
      </c>
      <c r="O194" s="275">
        <f t="shared" si="34"/>
        <v>0</v>
      </c>
    </row>
    <row r="195" spans="1:17" x14ac:dyDescent="0.25">
      <c r="A195" s="270">
        <v>40</v>
      </c>
      <c r="B195" s="271" t="s">
        <v>565</v>
      </c>
      <c r="C195" s="271" t="s">
        <v>566</v>
      </c>
      <c r="D195" s="272">
        <v>0</v>
      </c>
      <c r="E195" s="189" t="s">
        <v>62</v>
      </c>
      <c r="F195" s="273">
        <v>56160000</v>
      </c>
      <c r="G195" s="290">
        <f t="shared" si="32"/>
        <v>0</v>
      </c>
      <c r="H195" s="213">
        <f t="shared" si="27"/>
        <v>0</v>
      </c>
      <c r="I195" s="189" t="s">
        <v>62</v>
      </c>
      <c r="J195" s="177">
        <v>56104000</v>
      </c>
      <c r="K195" s="305">
        <f t="shared" si="28"/>
        <v>0</v>
      </c>
      <c r="L195" s="203">
        <f t="shared" si="29"/>
        <v>0</v>
      </c>
      <c r="M195" s="203" t="s">
        <v>62</v>
      </c>
      <c r="N195" s="274">
        <f>F195*1.15/1.17</f>
        <v>55200000</v>
      </c>
      <c r="O195" s="275">
        <f t="shared" si="34"/>
        <v>0</v>
      </c>
    </row>
    <row r="196" spans="1:17" x14ac:dyDescent="0.25">
      <c r="A196" s="156">
        <v>41</v>
      </c>
      <c r="B196" s="194" t="s">
        <v>116</v>
      </c>
      <c r="C196" s="194" t="s">
        <v>117</v>
      </c>
      <c r="D196" s="154">
        <v>0</v>
      </c>
      <c r="E196" s="189" t="s">
        <v>62</v>
      </c>
      <c r="F196" s="177">
        <v>5509200</v>
      </c>
      <c r="G196" s="283">
        <f t="shared" si="31"/>
        <v>0</v>
      </c>
      <c r="H196" s="213">
        <f t="shared" si="27"/>
        <v>0</v>
      </c>
      <c r="I196" s="189" t="s">
        <v>62</v>
      </c>
      <c r="J196" s="177">
        <v>5504000</v>
      </c>
      <c r="K196" s="305">
        <f t="shared" si="28"/>
        <v>0</v>
      </c>
      <c r="L196" s="203">
        <f t="shared" si="29"/>
        <v>0</v>
      </c>
      <c r="M196" s="203" t="s">
        <v>62</v>
      </c>
      <c r="N196" s="198">
        <v>5414200</v>
      </c>
      <c r="O196" s="199">
        <f t="shared" ref="O196:O197" si="35">N196*L196</f>
        <v>0</v>
      </c>
    </row>
    <row r="197" spans="1:17" x14ac:dyDescent="0.25">
      <c r="A197" s="156">
        <v>42</v>
      </c>
      <c r="B197" s="194" t="s">
        <v>118</v>
      </c>
      <c r="C197" s="194" t="s">
        <v>119</v>
      </c>
      <c r="D197" s="154">
        <v>0</v>
      </c>
      <c r="E197" s="189" t="s">
        <v>62</v>
      </c>
      <c r="F197" s="177">
        <v>5509200</v>
      </c>
      <c r="G197" s="283">
        <f t="shared" si="31"/>
        <v>0</v>
      </c>
      <c r="H197" s="213">
        <f t="shared" si="27"/>
        <v>0</v>
      </c>
      <c r="I197" s="189" t="s">
        <v>62</v>
      </c>
      <c r="J197" s="177">
        <v>5504000</v>
      </c>
      <c r="K197" s="305">
        <f t="shared" si="28"/>
        <v>0</v>
      </c>
      <c r="L197" s="203">
        <f t="shared" si="29"/>
        <v>0</v>
      </c>
      <c r="M197" s="203" t="s">
        <v>62</v>
      </c>
      <c r="N197" s="198">
        <v>5414200</v>
      </c>
      <c r="O197" s="199">
        <f t="shared" si="35"/>
        <v>0</v>
      </c>
    </row>
    <row r="198" spans="1:17" x14ac:dyDescent="0.25">
      <c r="A198" s="156"/>
      <c r="B198" s="410" t="s">
        <v>391</v>
      </c>
      <c r="C198" s="410"/>
      <c r="D198" s="410"/>
      <c r="E198" s="410"/>
      <c r="F198" s="410"/>
      <c r="G198" s="286">
        <f>SUM(G156:G197)</f>
        <v>115304300</v>
      </c>
      <c r="H198" s="152"/>
      <c r="I198" s="152"/>
      <c r="J198" s="152"/>
      <c r="K198" s="185">
        <f>SUM(K156:K197)</f>
        <v>115303100</v>
      </c>
      <c r="L198" s="152"/>
      <c r="M198" s="152"/>
      <c r="N198" s="152"/>
      <c r="O198" s="286">
        <f>SUM(O156:O197)</f>
        <v>115295549.99999999</v>
      </c>
    </row>
    <row r="199" spans="1:17" x14ac:dyDescent="0.25">
      <c r="A199" s="171" t="s">
        <v>407</v>
      </c>
      <c r="B199" s="424" t="s">
        <v>408</v>
      </c>
      <c r="C199" s="424"/>
      <c r="D199" s="424"/>
      <c r="E199" s="424"/>
      <c r="F199" s="424"/>
      <c r="G199" s="424"/>
      <c r="H199" s="424"/>
      <c r="I199" s="424"/>
      <c r="J199" s="424"/>
      <c r="K199" s="424"/>
      <c r="L199" s="424"/>
      <c r="M199" s="424"/>
      <c r="N199" s="424"/>
      <c r="O199" s="424"/>
    </row>
    <row r="200" spans="1:17" x14ac:dyDescent="0.25">
      <c r="A200" s="156">
        <v>1</v>
      </c>
      <c r="B200" s="194" t="s">
        <v>121</v>
      </c>
      <c r="C200" s="194" t="s">
        <v>122</v>
      </c>
      <c r="D200" s="154">
        <v>0</v>
      </c>
      <c r="E200" s="189" t="s">
        <v>46</v>
      </c>
      <c r="F200" s="177">
        <v>4655800</v>
      </c>
      <c r="G200" s="283">
        <f t="shared" ref="G200" si="36">F200*D200</f>
        <v>0</v>
      </c>
      <c r="H200" s="213">
        <f>D200</f>
        <v>0</v>
      </c>
      <c r="I200" s="189" t="s">
        <v>46</v>
      </c>
      <c r="J200" s="177">
        <v>4652000</v>
      </c>
      <c r="K200" s="305">
        <f>J200*H200</f>
        <v>0</v>
      </c>
      <c r="L200" s="203">
        <f>D200</f>
        <v>0</v>
      </c>
      <c r="M200" s="203" t="s">
        <v>46</v>
      </c>
      <c r="N200" s="198">
        <v>4575850</v>
      </c>
      <c r="O200" s="199">
        <f>N200*L200</f>
        <v>0</v>
      </c>
      <c r="P200" s="280"/>
      <c r="Q200" s="281"/>
    </row>
    <row r="201" spans="1:17" x14ac:dyDescent="0.25">
      <c r="A201" s="156">
        <v>2</v>
      </c>
      <c r="B201" s="194" t="s">
        <v>123</v>
      </c>
      <c r="C201" s="194" t="s">
        <v>124</v>
      </c>
      <c r="D201" s="154">
        <v>0</v>
      </c>
      <c r="E201" s="189" t="s">
        <v>46</v>
      </c>
      <c r="F201" s="177">
        <v>7752500</v>
      </c>
      <c r="G201" s="283">
        <f t="shared" ref="G201:G221" si="37">F201*D201</f>
        <v>0</v>
      </c>
      <c r="H201" s="213">
        <f t="shared" ref="H201:H221" si="38">D201</f>
        <v>0</v>
      </c>
      <c r="I201" s="189" t="s">
        <v>46</v>
      </c>
      <c r="J201" s="177">
        <v>7745000</v>
      </c>
      <c r="K201" s="305">
        <f t="shared" ref="K201:K221" si="39">J201*H201</f>
        <v>0</v>
      </c>
      <c r="L201" s="203">
        <f t="shared" ref="L201:L221" si="40">D201</f>
        <v>0</v>
      </c>
      <c r="M201" s="203" t="s">
        <v>46</v>
      </c>
      <c r="N201" s="198">
        <v>7619899.9999999991</v>
      </c>
      <c r="O201" s="199">
        <f t="shared" ref="O201:O221" si="41">N201*L201</f>
        <v>0</v>
      </c>
      <c r="P201" s="280"/>
      <c r="Q201" s="281"/>
    </row>
    <row r="202" spans="1:17" x14ac:dyDescent="0.25">
      <c r="A202" s="156">
        <v>3</v>
      </c>
      <c r="B202" s="194" t="s">
        <v>125</v>
      </c>
      <c r="C202" s="194" t="s">
        <v>126</v>
      </c>
      <c r="D202" s="154">
        <v>0</v>
      </c>
      <c r="E202" s="189" t="s">
        <v>46</v>
      </c>
      <c r="F202" s="177">
        <v>8434800</v>
      </c>
      <c r="G202" s="283">
        <f t="shared" si="37"/>
        <v>0</v>
      </c>
      <c r="H202" s="213">
        <f t="shared" si="38"/>
        <v>0</v>
      </c>
      <c r="I202" s="189" t="s">
        <v>46</v>
      </c>
      <c r="J202" s="177">
        <v>8427000</v>
      </c>
      <c r="K202" s="305">
        <f t="shared" si="39"/>
        <v>0</v>
      </c>
      <c r="L202" s="203">
        <f t="shared" si="40"/>
        <v>0</v>
      </c>
      <c r="M202" s="203" t="s">
        <v>46</v>
      </c>
      <c r="N202" s="198">
        <v>8290349.9999999991</v>
      </c>
      <c r="O202" s="199">
        <f t="shared" si="41"/>
        <v>0</v>
      </c>
      <c r="P202" s="280"/>
      <c r="Q202" s="281"/>
    </row>
    <row r="203" spans="1:17" x14ac:dyDescent="0.25">
      <c r="A203" s="156">
        <v>4</v>
      </c>
      <c r="B203" s="194" t="s">
        <v>127</v>
      </c>
      <c r="C203" s="194" t="s">
        <v>128</v>
      </c>
      <c r="D203" s="154">
        <v>0</v>
      </c>
      <c r="E203" s="189" t="s">
        <v>46</v>
      </c>
      <c r="F203" s="177">
        <v>2631600</v>
      </c>
      <c r="G203" s="283">
        <f t="shared" si="37"/>
        <v>0</v>
      </c>
      <c r="H203" s="213">
        <f t="shared" si="38"/>
        <v>0</v>
      </c>
      <c r="I203" s="189" t="s">
        <v>46</v>
      </c>
      <c r="J203" s="177">
        <v>2629000</v>
      </c>
      <c r="K203" s="305">
        <f t="shared" si="39"/>
        <v>0</v>
      </c>
      <c r="L203" s="203">
        <f t="shared" si="40"/>
        <v>0</v>
      </c>
      <c r="M203" s="203" t="s">
        <v>46</v>
      </c>
      <c r="N203" s="198">
        <v>2586350</v>
      </c>
      <c r="O203" s="199">
        <f t="shared" si="41"/>
        <v>0</v>
      </c>
      <c r="P203" s="280"/>
      <c r="Q203" s="281"/>
    </row>
    <row r="204" spans="1:17" x14ac:dyDescent="0.25">
      <c r="A204" s="156">
        <v>5</v>
      </c>
      <c r="B204" s="194" t="s">
        <v>129</v>
      </c>
      <c r="C204" s="194" t="s">
        <v>130</v>
      </c>
      <c r="D204" s="154">
        <v>0</v>
      </c>
      <c r="E204" s="189" t="s">
        <v>46</v>
      </c>
      <c r="F204" s="177">
        <v>56600</v>
      </c>
      <c r="G204" s="283">
        <f t="shared" si="37"/>
        <v>0</v>
      </c>
      <c r="H204" s="213">
        <f t="shared" si="38"/>
        <v>0</v>
      </c>
      <c r="I204" s="189" t="s">
        <v>46</v>
      </c>
      <c r="J204" s="177">
        <v>57000</v>
      </c>
      <c r="K204" s="305">
        <f t="shared" si="39"/>
        <v>0</v>
      </c>
      <c r="L204" s="203">
        <f t="shared" si="40"/>
        <v>0</v>
      </c>
      <c r="M204" s="203" t="s">
        <v>46</v>
      </c>
      <c r="N204" s="198">
        <v>55199.999999999993</v>
      </c>
      <c r="O204" s="199">
        <f t="shared" si="41"/>
        <v>0</v>
      </c>
      <c r="P204" s="280"/>
      <c r="Q204" s="281"/>
    </row>
    <row r="205" spans="1:17" x14ac:dyDescent="0.25">
      <c r="A205" s="156">
        <v>6</v>
      </c>
      <c r="B205" s="194" t="s">
        <v>135</v>
      </c>
      <c r="C205" s="194" t="s">
        <v>136</v>
      </c>
      <c r="D205" s="154">
        <v>0</v>
      </c>
      <c r="E205" s="189" t="s">
        <v>46</v>
      </c>
      <c r="F205" s="177">
        <v>2877800</v>
      </c>
      <c r="G205" s="283">
        <f t="shared" si="37"/>
        <v>0</v>
      </c>
      <c r="H205" s="213">
        <f t="shared" si="38"/>
        <v>0</v>
      </c>
      <c r="I205" s="189" t="s">
        <v>46</v>
      </c>
      <c r="J205" s="177">
        <v>2875000</v>
      </c>
      <c r="K205" s="305">
        <f t="shared" si="39"/>
        <v>0</v>
      </c>
      <c r="L205" s="203">
        <f t="shared" si="40"/>
        <v>0</v>
      </c>
      <c r="M205" s="203" t="s">
        <v>46</v>
      </c>
      <c r="N205" s="198">
        <v>2827850</v>
      </c>
      <c r="O205" s="199">
        <f t="shared" si="41"/>
        <v>0</v>
      </c>
      <c r="P205" s="280"/>
      <c r="Q205" s="281"/>
    </row>
    <row r="206" spans="1:17" x14ac:dyDescent="0.25">
      <c r="A206" s="156">
        <v>7</v>
      </c>
      <c r="B206" s="194" t="s">
        <v>137</v>
      </c>
      <c r="C206" s="194" t="s">
        <v>138</v>
      </c>
      <c r="D206" s="154">
        <v>0</v>
      </c>
      <c r="E206" s="189" t="s">
        <v>46</v>
      </c>
      <c r="F206" s="177">
        <v>394200</v>
      </c>
      <c r="G206" s="283">
        <f t="shared" si="37"/>
        <v>0</v>
      </c>
      <c r="H206" s="213">
        <f t="shared" si="38"/>
        <v>0</v>
      </c>
      <c r="I206" s="189" t="s">
        <v>46</v>
      </c>
      <c r="J206" s="177">
        <v>394000</v>
      </c>
      <c r="K206" s="305">
        <f t="shared" si="39"/>
        <v>0</v>
      </c>
      <c r="L206" s="203">
        <f t="shared" si="40"/>
        <v>0</v>
      </c>
      <c r="M206" s="203" t="s">
        <v>46</v>
      </c>
      <c r="N206" s="198">
        <v>387549.99999999994</v>
      </c>
      <c r="O206" s="199">
        <f t="shared" si="41"/>
        <v>0</v>
      </c>
      <c r="P206" s="280"/>
      <c r="Q206" s="281"/>
    </row>
    <row r="207" spans="1:17" x14ac:dyDescent="0.25">
      <c r="A207" s="156">
        <v>8</v>
      </c>
      <c r="B207" s="194" t="s">
        <v>542</v>
      </c>
      <c r="C207" s="194" t="s">
        <v>543</v>
      </c>
      <c r="D207" s="154">
        <v>0</v>
      </c>
      <c r="E207" s="189" t="s">
        <v>46</v>
      </c>
      <c r="F207" s="177">
        <v>8086100</v>
      </c>
      <c r="G207" s="283">
        <f t="shared" si="37"/>
        <v>0</v>
      </c>
      <c r="H207" s="213">
        <f t="shared" si="38"/>
        <v>0</v>
      </c>
      <c r="I207" s="189" t="s">
        <v>46</v>
      </c>
      <c r="J207" s="177">
        <v>8079000</v>
      </c>
      <c r="K207" s="305">
        <f t="shared" si="39"/>
        <v>0</v>
      </c>
      <c r="L207" s="203">
        <f t="shared" si="40"/>
        <v>0</v>
      </c>
      <c r="M207" s="203" t="s">
        <v>46</v>
      </c>
      <c r="N207" s="198">
        <v>7947649.9999999991</v>
      </c>
      <c r="O207" s="199">
        <f t="shared" si="41"/>
        <v>0</v>
      </c>
      <c r="P207" s="280"/>
      <c r="Q207" s="281"/>
    </row>
    <row r="208" spans="1:17" x14ac:dyDescent="0.25">
      <c r="A208" s="156">
        <v>9</v>
      </c>
      <c r="B208" s="194" t="s">
        <v>139</v>
      </c>
      <c r="C208" s="194" t="s">
        <v>140</v>
      </c>
      <c r="D208" s="154">
        <v>2</v>
      </c>
      <c r="E208" s="189" t="s">
        <v>46</v>
      </c>
      <c r="F208" s="177">
        <v>992900</v>
      </c>
      <c r="G208" s="283">
        <f t="shared" si="37"/>
        <v>1985800</v>
      </c>
      <c r="H208" s="213">
        <f t="shared" si="38"/>
        <v>2</v>
      </c>
      <c r="I208" s="189" t="s">
        <v>46</v>
      </c>
      <c r="J208" s="177">
        <v>992000</v>
      </c>
      <c r="K208" s="305">
        <f t="shared" si="39"/>
        <v>1984000</v>
      </c>
      <c r="L208" s="203">
        <f t="shared" si="40"/>
        <v>2</v>
      </c>
      <c r="M208" s="203" t="s">
        <v>46</v>
      </c>
      <c r="N208" s="198">
        <v>975199.99999999988</v>
      </c>
      <c r="O208" s="199">
        <f t="shared" si="41"/>
        <v>1950399.9999999998</v>
      </c>
      <c r="P208" s="280"/>
      <c r="Q208" s="281"/>
    </row>
    <row r="209" spans="1:17" x14ac:dyDescent="0.25">
      <c r="A209" s="156">
        <v>10</v>
      </c>
      <c r="B209" s="194" t="s">
        <v>139</v>
      </c>
      <c r="C209" s="194" t="s">
        <v>141</v>
      </c>
      <c r="D209" s="154">
        <v>2</v>
      </c>
      <c r="E209" s="189" t="s">
        <v>46</v>
      </c>
      <c r="F209" s="177">
        <v>202700</v>
      </c>
      <c r="G209" s="283">
        <f t="shared" si="37"/>
        <v>405400</v>
      </c>
      <c r="H209" s="213">
        <f t="shared" si="38"/>
        <v>2</v>
      </c>
      <c r="I209" s="189" t="s">
        <v>46</v>
      </c>
      <c r="J209" s="177">
        <v>202000</v>
      </c>
      <c r="K209" s="305">
        <f t="shared" si="39"/>
        <v>404000</v>
      </c>
      <c r="L209" s="203">
        <f t="shared" si="40"/>
        <v>2</v>
      </c>
      <c r="M209" s="203" t="s">
        <v>46</v>
      </c>
      <c r="N209" s="198">
        <v>198949.99999999997</v>
      </c>
      <c r="O209" s="199">
        <f t="shared" si="41"/>
        <v>397899.99999999994</v>
      </c>
      <c r="P209" s="280"/>
      <c r="Q209" s="281"/>
    </row>
    <row r="210" spans="1:17" x14ac:dyDescent="0.25">
      <c r="A210" s="156">
        <v>11</v>
      </c>
      <c r="B210" s="194" t="s">
        <v>142</v>
      </c>
      <c r="C210" s="194" t="s">
        <v>143</v>
      </c>
      <c r="D210" s="154">
        <v>5</v>
      </c>
      <c r="E210" s="189" t="s">
        <v>46</v>
      </c>
      <c r="F210" s="177">
        <v>448800</v>
      </c>
      <c r="G210" s="283">
        <f t="shared" si="37"/>
        <v>2244000</v>
      </c>
      <c r="H210" s="213">
        <f t="shared" si="38"/>
        <v>5</v>
      </c>
      <c r="I210" s="189" t="s">
        <v>46</v>
      </c>
      <c r="J210" s="177">
        <v>449000</v>
      </c>
      <c r="K210" s="305">
        <f t="shared" si="39"/>
        <v>2245000</v>
      </c>
      <c r="L210" s="203">
        <f t="shared" si="40"/>
        <v>5</v>
      </c>
      <c r="M210" s="203" t="s">
        <v>46</v>
      </c>
      <c r="N210" s="198">
        <v>440449.99999999994</v>
      </c>
      <c r="O210" s="199">
        <f t="shared" si="41"/>
        <v>2202249.9999999995</v>
      </c>
      <c r="P210" s="280"/>
      <c r="Q210" s="281"/>
    </row>
    <row r="211" spans="1:17" x14ac:dyDescent="0.25">
      <c r="A211" s="156">
        <v>12</v>
      </c>
      <c r="B211" s="194" t="s">
        <v>144</v>
      </c>
      <c r="C211" s="194" t="s">
        <v>145</v>
      </c>
      <c r="D211" s="154">
        <v>0</v>
      </c>
      <c r="E211" s="189" t="s">
        <v>46</v>
      </c>
      <c r="F211" s="177">
        <v>896100</v>
      </c>
      <c r="G211" s="283">
        <f t="shared" si="37"/>
        <v>0</v>
      </c>
      <c r="H211" s="213">
        <f t="shared" si="38"/>
        <v>0</v>
      </c>
      <c r="I211" s="189" t="s">
        <v>46</v>
      </c>
      <c r="J211" s="177">
        <v>896000</v>
      </c>
      <c r="K211" s="305">
        <f t="shared" si="39"/>
        <v>0</v>
      </c>
      <c r="L211" s="203">
        <f t="shared" si="40"/>
        <v>0</v>
      </c>
      <c r="M211" s="203" t="s">
        <v>46</v>
      </c>
      <c r="N211" s="198">
        <v>879749.99999999988</v>
      </c>
      <c r="O211" s="199">
        <f t="shared" si="41"/>
        <v>0</v>
      </c>
      <c r="P211" s="280"/>
      <c r="Q211" s="281"/>
    </row>
    <row r="212" spans="1:17" x14ac:dyDescent="0.25">
      <c r="A212" s="156">
        <v>13</v>
      </c>
      <c r="B212" s="194" t="s">
        <v>131</v>
      </c>
      <c r="C212" s="194" t="s">
        <v>132</v>
      </c>
      <c r="D212" s="154">
        <v>3</v>
      </c>
      <c r="E212" s="189" t="s">
        <v>46</v>
      </c>
      <c r="F212" s="177">
        <v>2213700</v>
      </c>
      <c r="G212" s="283">
        <f t="shared" si="37"/>
        <v>6641100</v>
      </c>
      <c r="H212" s="213">
        <f t="shared" si="38"/>
        <v>3</v>
      </c>
      <c r="I212" s="189" t="s">
        <v>46</v>
      </c>
      <c r="J212" s="177">
        <v>2212000</v>
      </c>
      <c r="K212" s="305">
        <f t="shared" si="39"/>
        <v>6636000</v>
      </c>
      <c r="L212" s="203">
        <f t="shared" si="40"/>
        <v>3</v>
      </c>
      <c r="M212" s="203" t="s">
        <v>46</v>
      </c>
      <c r="N212" s="198">
        <v>2175800</v>
      </c>
      <c r="O212" s="199">
        <f t="shared" si="41"/>
        <v>6527400</v>
      </c>
      <c r="P212" s="280"/>
      <c r="Q212" s="281"/>
    </row>
    <row r="213" spans="1:17" x14ac:dyDescent="0.25">
      <c r="A213" s="156">
        <v>14</v>
      </c>
      <c r="B213" s="194" t="s">
        <v>133</v>
      </c>
      <c r="C213" s="194" t="s">
        <v>134</v>
      </c>
      <c r="D213" s="154">
        <v>3</v>
      </c>
      <c r="E213" s="189" t="s">
        <v>46</v>
      </c>
      <c r="F213" s="177">
        <v>808200</v>
      </c>
      <c r="G213" s="283">
        <f t="shared" si="37"/>
        <v>2424600</v>
      </c>
      <c r="H213" s="213">
        <f t="shared" si="38"/>
        <v>3</v>
      </c>
      <c r="I213" s="189" t="s">
        <v>46</v>
      </c>
      <c r="J213" s="177">
        <v>808000</v>
      </c>
      <c r="K213" s="305">
        <f t="shared" si="39"/>
        <v>2424000</v>
      </c>
      <c r="L213" s="203">
        <f t="shared" si="40"/>
        <v>3</v>
      </c>
      <c r="M213" s="203" t="s">
        <v>46</v>
      </c>
      <c r="N213" s="198">
        <v>793499.99999999988</v>
      </c>
      <c r="O213" s="199">
        <f t="shared" si="41"/>
        <v>2380499.9999999995</v>
      </c>
      <c r="P213" s="280"/>
      <c r="Q213" s="281"/>
    </row>
    <row r="214" spans="1:17" x14ac:dyDescent="0.25">
      <c r="A214" s="156">
        <v>15</v>
      </c>
      <c r="B214" s="194" t="s">
        <v>528</v>
      </c>
      <c r="C214" s="194" t="s">
        <v>535</v>
      </c>
      <c r="D214" s="154">
        <v>0</v>
      </c>
      <c r="E214" s="189" t="s">
        <v>46</v>
      </c>
      <c r="F214" s="177">
        <v>6494000</v>
      </c>
      <c r="G214" s="283">
        <f t="shared" si="37"/>
        <v>0</v>
      </c>
      <c r="H214" s="213">
        <f t="shared" si="38"/>
        <v>0</v>
      </c>
      <c r="I214" s="189" t="s">
        <v>46</v>
      </c>
      <c r="J214" s="177">
        <v>6488000</v>
      </c>
      <c r="K214" s="305">
        <f t="shared" si="39"/>
        <v>0</v>
      </c>
      <c r="L214" s="203">
        <f t="shared" si="40"/>
        <v>0</v>
      </c>
      <c r="M214" s="203" t="s">
        <v>46</v>
      </c>
      <c r="N214" s="198">
        <v>6382499.9999999991</v>
      </c>
      <c r="O214" s="199">
        <f t="shared" si="41"/>
        <v>0</v>
      </c>
      <c r="P214" s="280"/>
      <c r="Q214" s="281"/>
    </row>
    <row r="215" spans="1:17" hidden="1" x14ac:dyDescent="0.25">
      <c r="A215" s="156">
        <v>16</v>
      </c>
      <c r="B215" s="194" t="s">
        <v>146</v>
      </c>
      <c r="C215" s="194" t="s">
        <v>147</v>
      </c>
      <c r="D215" s="154">
        <v>0</v>
      </c>
      <c r="E215" s="189" t="s">
        <v>46</v>
      </c>
      <c r="F215" s="177">
        <v>17542000</v>
      </c>
      <c r="G215" s="283">
        <f t="shared" si="37"/>
        <v>0</v>
      </c>
      <c r="H215" s="213">
        <f t="shared" si="38"/>
        <v>0</v>
      </c>
      <c r="I215" s="189" t="s">
        <v>46</v>
      </c>
      <c r="J215" s="177"/>
      <c r="K215" s="305">
        <f t="shared" si="39"/>
        <v>0</v>
      </c>
      <c r="L215" s="203">
        <f t="shared" si="40"/>
        <v>0</v>
      </c>
      <c r="M215" s="203" t="s">
        <v>46</v>
      </c>
      <c r="N215" s="198">
        <v>20173300</v>
      </c>
      <c r="O215" s="199">
        <f t="shared" si="41"/>
        <v>0</v>
      </c>
      <c r="P215" s="280"/>
      <c r="Q215" s="281"/>
    </row>
    <row r="216" spans="1:17" hidden="1" x14ac:dyDescent="0.25">
      <c r="A216" s="156">
        <v>17</v>
      </c>
      <c r="B216" s="194" t="s">
        <v>148</v>
      </c>
      <c r="C216" s="194" t="s">
        <v>149</v>
      </c>
      <c r="D216" s="154">
        <v>0</v>
      </c>
      <c r="E216" s="189" t="s">
        <v>46</v>
      </c>
      <c r="F216" s="177">
        <v>3065000</v>
      </c>
      <c r="G216" s="283">
        <f t="shared" si="37"/>
        <v>0</v>
      </c>
      <c r="H216" s="213">
        <f t="shared" si="38"/>
        <v>0</v>
      </c>
      <c r="I216" s="189" t="s">
        <v>46</v>
      </c>
      <c r="J216" s="177"/>
      <c r="K216" s="305">
        <f t="shared" si="39"/>
        <v>0</v>
      </c>
      <c r="L216" s="203">
        <f t="shared" si="40"/>
        <v>0</v>
      </c>
      <c r="M216" s="203" t="s">
        <v>46</v>
      </c>
      <c r="N216" s="198">
        <v>3524749.9999999995</v>
      </c>
      <c r="O216" s="199">
        <f t="shared" si="41"/>
        <v>0</v>
      </c>
      <c r="P216" s="280"/>
      <c r="Q216" s="281"/>
    </row>
    <row r="217" spans="1:17" x14ac:dyDescent="0.25">
      <c r="A217" s="156">
        <v>18</v>
      </c>
      <c r="B217" s="194" t="s">
        <v>529</v>
      </c>
      <c r="C217" s="194" t="s">
        <v>530</v>
      </c>
      <c r="D217" s="154">
        <v>2</v>
      </c>
      <c r="E217" s="189" t="s">
        <v>46</v>
      </c>
      <c r="F217" s="177">
        <v>1324700</v>
      </c>
      <c r="G217" s="283">
        <f t="shared" si="37"/>
        <v>2649400</v>
      </c>
      <c r="H217" s="213">
        <f t="shared" si="38"/>
        <v>2</v>
      </c>
      <c r="I217" s="189" t="s">
        <v>46</v>
      </c>
      <c r="J217" s="177">
        <v>1324000</v>
      </c>
      <c r="K217" s="305">
        <f t="shared" si="39"/>
        <v>2648000</v>
      </c>
      <c r="L217" s="203">
        <f t="shared" si="40"/>
        <v>2</v>
      </c>
      <c r="M217" s="203" t="s">
        <v>46</v>
      </c>
      <c r="N217" s="198">
        <v>1301800</v>
      </c>
      <c r="O217" s="199">
        <f t="shared" si="41"/>
        <v>2603600</v>
      </c>
      <c r="P217" s="280"/>
      <c r="Q217" s="281"/>
    </row>
    <row r="218" spans="1:17" x14ac:dyDescent="0.25">
      <c r="A218" s="156">
        <v>19</v>
      </c>
      <c r="B218" s="194" t="s">
        <v>531</v>
      </c>
      <c r="C218" s="194" t="s">
        <v>532</v>
      </c>
      <c r="D218" s="154">
        <v>2</v>
      </c>
      <c r="E218" s="189" t="s">
        <v>46</v>
      </c>
      <c r="F218" s="177">
        <v>2285800</v>
      </c>
      <c r="G218" s="283">
        <f t="shared" si="37"/>
        <v>4571600</v>
      </c>
      <c r="H218" s="213">
        <f t="shared" si="38"/>
        <v>2</v>
      </c>
      <c r="I218" s="189" t="s">
        <v>46</v>
      </c>
      <c r="J218" s="177">
        <v>2284000</v>
      </c>
      <c r="K218" s="305">
        <f t="shared" si="39"/>
        <v>4568000</v>
      </c>
      <c r="L218" s="203">
        <f t="shared" si="40"/>
        <v>2</v>
      </c>
      <c r="M218" s="203" t="s">
        <v>46</v>
      </c>
      <c r="N218" s="198">
        <v>2245950</v>
      </c>
      <c r="O218" s="199">
        <f t="shared" si="41"/>
        <v>4491900</v>
      </c>
      <c r="P218" s="280"/>
      <c r="Q218" s="281"/>
    </row>
    <row r="219" spans="1:17" x14ac:dyDescent="0.25">
      <c r="A219" s="156">
        <v>20</v>
      </c>
      <c r="B219" s="194" t="s">
        <v>536</v>
      </c>
      <c r="C219" s="194" t="s">
        <v>537</v>
      </c>
      <c r="D219" s="154">
        <v>2</v>
      </c>
      <c r="E219" s="189" t="s">
        <v>46</v>
      </c>
      <c r="F219" s="177">
        <v>2047900</v>
      </c>
      <c r="G219" s="283">
        <f t="shared" si="37"/>
        <v>4095800</v>
      </c>
      <c r="H219" s="213">
        <f t="shared" si="38"/>
        <v>2</v>
      </c>
      <c r="I219" s="189" t="s">
        <v>46</v>
      </c>
      <c r="J219" s="177">
        <v>2046000</v>
      </c>
      <c r="K219" s="305">
        <f t="shared" si="39"/>
        <v>4092000</v>
      </c>
      <c r="L219" s="203">
        <f t="shared" si="40"/>
        <v>2</v>
      </c>
      <c r="M219" s="203" t="s">
        <v>46</v>
      </c>
      <c r="N219" s="198">
        <v>2012499.9999999998</v>
      </c>
      <c r="O219" s="199">
        <f t="shared" si="41"/>
        <v>4024999.9999999995</v>
      </c>
      <c r="P219" s="280"/>
      <c r="Q219" s="281"/>
    </row>
    <row r="220" spans="1:17" x14ac:dyDescent="0.25">
      <c r="A220" s="156">
        <v>21</v>
      </c>
      <c r="B220" s="194" t="s">
        <v>538</v>
      </c>
      <c r="C220" s="194" t="s">
        <v>539</v>
      </c>
      <c r="D220" s="154">
        <v>2</v>
      </c>
      <c r="E220" s="189" t="s">
        <v>46</v>
      </c>
      <c r="F220" s="177">
        <v>1243300</v>
      </c>
      <c r="G220" s="283">
        <f t="shared" si="37"/>
        <v>2486600</v>
      </c>
      <c r="H220" s="213">
        <f t="shared" si="38"/>
        <v>2</v>
      </c>
      <c r="I220" s="189" t="s">
        <v>46</v>
      </c>
      <c r="J220" s="177">
        <v>1243000</v>
      </c>
      <c r="K220" s="305">
        <f t="shared" si="39"/>
        <v>2486000</v>
      </c>
      <c r="L220" s="203">
        <f t="shared" si="40"/>
        <v>2</v>
      </c>
      <c r="M220" s="203" t="s">
        <v>46</v>
      </c>
      <c r="N220" s="198">
        <v>1221300</v>
      </c>
      <c r="O220" s="199">
        <f t="shared" si="41"/>
        <v>2442600</v>
      </c>
      <c r="P220" s="280"/>
      <c r="Q220" s="281"/>
    </row>
    <row r="221" spans="1:17" x14ac:dyDescent="0.25">
      <c r="A221" s="156">
        <v>22</v>
      </c>
      <c r="B221" s="194" t="s">
        <v>540</v>
      </c>
      <c r="C221" s="194" t="s">
        <v>541</v>
      </c>
      <c r="D221" s="154">
        <v>2</v>
      </c>
      <c r="E221" s="189" t="s">
        <v>46</v>
      </c>
      <c r="F221" s="177">
        <v>3324300</v>
      </c>
      <c r="G221" s="283">
        <f t="shared" si="37"/>
        <v>6648600</v>
      </c>
      <c r="H221" s="213">
        <f t="shared" si="38"/>
        <v>2</v>
      </c>
      <c r="I221" s="189" t="s">
        <v>46</v>
      </c>
      <c r="J221" s="177">
        <v>3321000</v>
      </c>
      <c r="K221" s="305">
        <f t="shared" si="39"/>
        <v>6642000</v>
      </c>
      <c r="L221" s="203">
        <f t="shared" si="40"/>
        <v>2</v>
      </c>
      <c r="M221" s="203" t="s">
        <v>46</v>
      </c>
      <c r="N221" s="198">
        <v>3267149.9999999995</v>
      </c>
      <c r="O221" s="199">
        <f t="shared" si="41"/>
        <v>6534299.9999999991</v>
      </c>
      <c r="P221" s="280"/>
      <c r="Q221" s="281"/>
    </row>
    <row r="222" spans="1:17" x14ac:dyDescent="0.25">
      <c r="A222" s="156"/>
      <c r="B222" s="410" t="s">
        <v>410</v>
      </c>
      <c r="C222" s="410"/>
      <c r="D222" s="410"/>
      <c r="E222" s="410"/>
      <c r="F222" s="410"/>
      <c r="G222" s="286">
        <f>SUM(G200:G221)</f>
        <v>34152900</v>
      </c>
      <c r="H222" s="152"/>
      <c r="I222" s="152"/>
      <c r="J222" s="152"/>
      <c r="K222" s="185">
        <f>SUM(K200:K221)</f>
        <v>34129000</v>
      </c>
      <c r="L222" s="152"/>
      <c r="M222" s="152"/>
      <c r="N222" s="152"/>
      <c r="O222" s="286">
        <f>SUM(O200:O221)</f>
        <v>33555850</v>
      </c>
    </row>
    <row r="223" spans="1:17" x14ac:dyDescent="0.25">
      <c r="A223" s="156"/>
      <c r="B223" s="410" t="s">
        <v>413</v>
      </c>
      <c r="C223" s="411"/>
      <c r="D223" s="411"/>
      <c r="E223" s="411"/>
      <c r="F223" s="411"/>
      <c r="G223" s="284">
        <f>G154+G198+G222</f>
        <v>163377000</v>
      </c>
      <c r="H223" s="152"/>
      <c r="I223" s="152"/>
      <c r="J223" s="152"/>
      <c r="K223" s="179">
        <f>K154+K198+K222</f>
        <v>163216100</v>
      </c>
      <c r="L223" s="152"/>
      <c r="M223" s="152"/>
      <c r="N223" s="152"/>
      <c r="O223" s="284">
        <f>O154+O198+O222</f>
        <v>162532950</v>
      </c>
    </row>
    <row r="224" spans="1:17" x14ac:dyDescent="0.25">
      <c r="A224" s="155" t="s">
        <v>510</v>
      </c>
      <c r="B224" s="427" t="s">
        <v>388</v>
      </c>
      <c r="C224" s="427"/>
      <c r="D224" s="427"/>
      <c r="E224" s="427"/>
      <c r="F224" s="427"/>
      <c r="G224" s="427"/>
      <c r="H224" s="427"/>
      <c r="I224" s="427"/>
      <c r="J224" s="427"/>
      <c r="K224" s="427"/>
      <c r="L224" s="427"/>
      <c r="M224" s="427"/>
      <c r="N224" s="427"/>
      <c r="O224" s="427"/>
    </row>
    <row r="225" spans="1:15" x14ac:dyDescent="0.25">
      <c r="A225" s="172" t="s">
        <v>385</v>
      </c>
      <c r="B225" s="424" t="s">
        <v>437</v>
      </c>
      <c r="C225" s="424"/>
      <c r="D225" s="424"/>
      <c r="E225" s="424"/>
      <c r="F225" s="424"/>
      <c r="G225" s="424"/>
      <c r="H225" s="424"/>
      <c r="I225" s="424"/>
      <c r="J225" s="424"/>
      <c r="K225" s="424"/>
      <c r="L225" s="424"/>
      <c r="M225" s="424"/>
      <c r="N225" s="424"/>
      <c r="O225" s="424"/>
    </row>
    <row r="226" spans="1:15" x14ac:dyDescent="0.25">
      <c r="A226" s="168">
        <v>1</v>
      </c>
      <c r="B226" s="195" t="s">
        <v>518</v>
      </c>
      <c r="C226" s="194"/>
      <c r="D226" s="196">
        <v>1</v>
      </c>
      <c r="E226" s="197" t="s">
        <v>49</v>
      </c>
      <c r="F226" s="177">
        <v>1550000</v>
      </c>
      <c r="G226" s="283">
        <f>F226*D226</f>
        <v>1550000</v>
      </c>
      <c r="H226" s="196">
        <f>D226</f>
        <v>1</v>
      </c>
      <c r="I226" s="197" t="s">
        <v>49</v>
      </c>
      <c r="J226" s="177">
        <v>1550000</v>
      </c>
      <c r="K226" s="305">
        <f>J226*H226</f>
        <v>1550000</v>
      </c>
      <c r="L226" s="203">
        <f>D226</f>
        <v>1</v>
      </c>
      <c r="M226" s="203" t="s">
        <v>49</v>
      </c>
      <c r="N226" s="252">
        <f>F226</f>
        <v>1550000</v>
      </c>
      <c r="O226" s="193">
        <f>N226*L226</f>
        <v>1550000</v>
      </c>
    </row>
    <row r="227" spans="1:15" x14ac:dyDescent="0.25">
      <c r="A227" s="168">
        <v>2</v>
      </c>
      <c r="B227" s="195" t="s">
        <v>520</v>
      </c>
      <c r="C227" s="194"/>
      <c r="D227" s="196">
        <v>1</v>
      </c>
      <c r="E227" s="197" t="s">
        <v>49</v>
      </c>
      <c r="F227" s="177">
        <v>1250000</v>
      </c>
      <c r="G227" s="283">
        <f t="shared" ref="G227:G237" si="42">F227*D227</f>
        <v>1250000</v>
      </c>
      <c r="H227" s="196">
        <f t="shared" ref="H227:H237" si="43">D227</f>
        <v>1</v>
      </c>
      <c r="I227" s="197" t="s">
        <v>49</v>
      </c>
      <c r="J227" s="177">
        <v>1250000</v>
      </c>
      <c r="K227" s="305">
        <f t="shared" ref="K227:K237" si="44">J227*H227</f>
        <v>1250000</v>
      </c>
      <c r="L227" s="203">
        <f t="shared" ref="L227:L237" si="45">D227</f>
        <v>1</v>
      </c>
      <c r="M227" s="203" t="s">
        <v>49</v>
      </c>
      <c r="N227" s="252">
        <f t="shared" ref="N227:N237" si="46">F227</f>
        <v>1250000</v>
      </c>
      <c r="O227" s="193">
        <f t="shared" ref="O227:O237" si="47">N227*L227</f>
        <v>1250000</v>
      </c>
    </row>
    <row r="228" spans="1:15" x14ac:dyDescent="0.25">
      <c r="A228" s="168">
        <v>3</v>
      </c>
      <c r="B228" s="195" t="s">
        <v>521</v>
      </c>
      <c r="C228" s="194"/>
      <c r="D228" s="196">
        <v>0</v>
      </c>
      <c r="E228" s="197" t="s">
        <v>49</v>
      </c>
      <c r="F228" s="177">
        <v>7250000</v>
      </c>
      <c r="G228" s="283">
        <f t="shared" si="42"/>
        <v>0</v>
      </c>
      <c r="H228" s="196">
        <f t="shared" si="43"/>
        <v>0</v>
      </c>
      <c r="I228" s="197" t="s">
        <v>49</v>
      </c>
      <c r="J228" s="177">
        <v>7250000</v>
      </c>
      <c r="K228" s="305">
        <f t="shared" si="44"/>
        <v>0</v>
      </c>
      <c r="L228" s="203">
        <f t="shared" si="45"/>
        <v>0</v>
      </c>
      <c r="M228" s="203" t="s">
        <v>49</v>
      </c>
      <c r="N228" s="252">
        <f t="shared" si="46"/>
        <v>7250000</v>
      </c>
      <c r="O228" s="193">
        <f t="shared" si="47"/>
        <v>0</v>
      </c>
    </row>
    <row r="229" spans="1:15" hidden="1" x14ac:dyDescent="0.25">
      <c r="A229" s="168">
        <v>4</v>
      </c>
      <c r="B229" s="195" t="s">
        <v>522</v>
      </c>
      <c r="C229" s="194"/>
      <c r="D229" s="196">
        <v>0</v>
      </c>
      <c r="E229" s="197" t="s">
        <v>49</v>
      </c>
      <c r="F229" s="177">
        <v>68250000</v>
      </c>
      <c r="G229" s="283">
        <f t="shared" si="42"/>
        <v>0</v>
      </c>
      <c r="H229" s="196">
        <f t="shared" si="43"/>
        <v>0</v>
      </c>
      <c r="I229" s="197" t="s">
        <v>49</v>
      </c>
      <c r="J229" s="177"/>
      <c r="K229" s="305">
        <f t="shared" si="44"/>
        <v>0</v>
      </c>
      <c r="L229" s="203">
        <f t="shared" si="45"/>
        <v>0</v>
      </c>
      <c r="M229" s="203" t="s">
        <v>49</v>
      </c>
      <c r="N229" s="252">
        <f t="shared" si="46"/>
        <v>68250000</v>
      </c>
      <c r="O229" s="193">
        <f t="shared" si="47"/>
        <v>0</v>
      </c>
    </row>
    <row r="230" spans="1:15" x14ac:dyDescent="0.25">
      <c r="A230" s="168">
        <v>4</v>
      </c>
      <c r="B230" s="195" t="s">
        <v>172</v>
      </c>
      <c r="C230" s="194"/>
      <c r="D230" s="196">
        <v>1</v>
      </c>
      <c r="E230" s="197" t="s">
        <v>49</v>
      </c>
      <c r="F230" s="177">
        <v>3550000</v>
      </c>
      <c r="G230" s="283">
        <f t="shared" si="42"/>
        <v>3550000</v>
      </c>
      <c r="H230" s="196">
        <f t="shared" si="43"/>
        <v>1</v>
      </c>
      <c r="I230" s="197" t="s">
        <v>49</v>
      </c>
      <c r="J230" s="177">
        <v>3550000</v>
      </c>
      <c r="K230" s="305">
        <f t="shared" si="44"/>
        <v>3550000</v>
      </c>
      <c r="L230" s="203">
        <f t="shared" si="45"/>
        <v>1</v>
      </c>
      <c r="M230" s="203" t="s">
        <v>49</v>
      </c>
      <c r="N230" s="252">
        <f t="shared" si="46"/>
        <v>3550000</v>
      </c>
      <c r="O230" s="193">
        <f t="shared" si="47"/>
        <v>3550000</v>
      </c>
    </row>
    <row r="231" spans="1:15" x14ac:dyDescent="0.25">
      <c r="A231" s="168">
        <v>5</v>
      </c>
      <c r="B231" s="195" t="s">
        <v>523</v>
      </c>
      <c r="C231" s="194"/>
      <c r="D231" s="196">
        <v>1</v>
      </c>
      <c r="E231" s="197" t="s">
        <v>49</v>
      </c>
      <c r="F231" s="177">
        <v>2850000</v>
      </c>
      <c r="G231" s="283">
        <f t="shared" si="42"/>
        <v>2850000</v>
      </c>
      <c r="H231" s="196">
        <f t="shared" si="43"/>
        <v>1</v>
      </c>
      <c r="I231" s="197" t="s">
        <v>49</v>
      </c>
      <c r="J231" s="177">
        <v>2850000</v>
      </c>
      <c r="K231" s="305">
        <f t="shared" si="44"/>
        <v>2850000</v>
      </c>
      <c r="L231" s="203">
        <f t="shared" si="45"/>
        <v>1</v>
      </c>
      <c r="M231" s="203" t="s">
        <v>49</v>
      </c>
      <c r="N231" s="252">
        <f t="shared" si="46"/>
        <v>2850000</v>
      </c>
      <c r="O231" s="193">
        <f t="shared" si="47"/>
        <v>2850000</v>
      </c>
    </row>
    <row r="232" spans="1:15" x14ac:dyDescent="0.25">
      <c r="A232" s="168">
        <v>6</v>
      </c>
      <c r="B232" s="195" t="s">
        <v>524</v>
      </c>
      <c r="C232" s="194"/>
      <c r="D232" s="196">
        <v>1</v>
      </c>
      <c r="E232" s="197" t="s">
        <v>49</v>
      </c>
      <c r="F232" s="177">
        <v>3750000</v>
      </c>
      <c r="G232" s="283">
        <f t="shared" si="42"/>
        <v>3750000</v>
      </c>
      <c r="H232" s="196">
        <f t="shared" si="43"/>
        <v>1</v>
      </c>
      <c r="I232" s="197" t="s">
        <v>49</v>
      </c>
      <c r="J232" s="177">
        <v>3750000</v>
      </c>
      <c r="K232" s="305">
        <f t="shared" si="44"/>
        <v>3750000</v>
      </c>
      <c r="L232" s="203">
        <f t="shared" si="45"/>
        <v>1</v>
      </c>
      <c r="M232" s="203" t="s">
        <v>49</v>
      </c>
      <c r="N232" s="252">
        <f t="shared" si="46"/>
        <v>3750000</v>
      </c>
      <c r="O232" s="193">
        <f t="shared" si="47"/>
        <v>3750000</v>
      </c>
    </row>
    <row r="233" spans="1:15" x14ac:dyDescent="0.25">
      <c r="A233" s="168">
        <v>7</v>
      </c>
      <c r="B233" s="195" t="s">
        <v>525</v>
      </c>
      <c r="C233" s="194"/>
      <c r="D233" s="196">
        <v>1</v>
      </c>
      <c r="E233" s="197" t="s">
        <v>49</v>
      </c>
      <c r="F233" s="177">
        <v>3550000</v>
      </c>
      <c r="G233" s="283">
        <f t="shared" si="42"/>
        <v>3550000</v>
      </c>
      <c r="H233" s="196">
        <f t="shared" si="43"/>
        <v>1</v>
      </c>
      <c r="I233" s="197" t="s">
        <v>49</v>
      </c>
      <c r="J233" s="177">
        <v>3550000</v>
      </c>
      <c r="K233" s="305">
        <f t="shared" si="44"/>
        <v>3550000</v>
      </c>
      <c r="L233" s="203">
        <f t="shared" si="45"/>
        <v>1</v>
      </c>
      <c r="M233" s="203" t="s">
        <v>49</v>
      </c>
      <c r="N233" s="252">
        <f t="shared" si="46"/>
        <v>3550000</v>
      </c>
      <c r="O233" s="193">
        <f t="shared" si="47"/>
        <v>3550000</v>
      </c>
    </row>
    <row r="234" spans="1:15" x14ac:dyDescent="0.25">
      <c r="A234" s="168">
        <v>8</v>
      </c>
      <c r="B234" s="195" t="s">
        <v>512</v>
      </c>
      <c r="C234" s="194"/>
      <c r="D234" s="196">
        <v>72</v>
      </c>
      <c r="E234" s="197" t="s">
        <v>49</v>
      </c>
      <c r="F234" s="177">
        <v>170000</v>
      </c>
      <c r="G234" s="283">
        <f t="shared" si="42"/>
        <v>12240000</v>
      </c>
      <c r="H234" s="196">
        <f t="shared" si="43"/>
        <v>72</v>
      </c>
      <c r="I234" s="197" t="s">
        <v>49</v>
      </c>
      <c r="J234" s="177">
        <v>160000</v>
      </c>
      <c r="K234" s="305">
        <f t="shared" si="44"/>
        <v>11520000</v>
      </c>
      <c r="L234" s="203">
        <f t="shared" si="45"/>
        <v>72</v>
      </c>
      <c r="M234" s="203" t="s">
        <v>49</v>
      </c>
      <c r="N234" s="252">
        <v>150000</v>
      </c>
      <c r="O234" s="193">
        <f t="shared" si="47"/>
        <v>10800000</v>
      </c>
    </row>
    <row r="235" spans="1:15" x14ac:dyDescent="0.25">
      <c r="A235" s="168">
        <v>9</v>
      </c>
      <c r="B235" s="194" t="s">
        <v>574</v>
      </c>
      <c r="C235" s="194"/>
      <c r="D235" s="196">
        <v>3</v>
      </c>
      <c r="E235" s="197" t="s">
        <v>49</v>
      </c>
      <c r="F235" s="177">
        <v>967500</v>
      </c>
      <c r="G235" s="283">
        <f t="shared" si="42"/>
        <v>2902500</v>
      </c>
      <c r="H235" s="196">
        <f t="shared" si="43"/>
        <v>3</v>
      </c>
      <c r="I235" s="197" t="s">
        <v>49</v>
      </c>
      <c r="J235" s="177">
        <v>967500</v>
      </c>
      <c r="K235" s="305">
        <f t="shared" si="44"/>
        <v>2902500</v>
      </c>
      <c r="L235" s="203">
        <f t="shared" si="45"/>
        <v>3</v>
      </c>
      <c r="M235" s="203" t="s">
        <v>49</v>
      </c>
      <c r="N235" s="252">
        <f t="shared" si="46"/>
        <v>967500</v>
      </c>
      <c r="O235" s="193">
        <f t="shared" si="47"/>
        <v>2902500</v>
      </c>
    </row>
    <row r="236" spans="1:15" x14ac:dyDescent="0.25">
      <c r="A236" s="168">
        <v>10</v>
      </c>
      <c r="B236" s="195" t="s">
        <v>169</v>
      </c>
      <c r="C236" s="194"/>
      <c r="D236" s="196">
        <v>1</v>
      </c>
      <c r="E236" s="197" t="s">
        <v>49</v>
      </c>
      <c r="F236" s="177">
        <v>4173800</v>
      </c>
      <c r="G236" s="283">
        <f t="shared" si="42"/>
        <v>4173800</v>
      </c>
      <c r="H236" s="196">
        <f t="shared" si="43"/>
        <v>1</v>
      </c>
      <c r="I236" s="197" t="s">
        <v>49</v>
      </c>
      <c r="J236" s="177">
        <v>4173800</v>
      </c>
      <c r="K236" s="305">
        <f t="shared" si="44"/>
        <v>4173800</v>
      </c>
      <c r="L236" s="203">
        <f t="shared" si="45"/>
        <v>1</v>
      </c>
      <c r="M236" s="203" t="s">
        <v>49</v>
      </c>
      <c r="N236" s="252">
        <f t="shared" si="46"/>
        <v>4173800</v>
      </c>
      <c r="O236" s="193">
        <f t="shared" si="47"/>
        <v>4173800</v>
      </c>
    </row>
    <row r="237" spans="1:15" x14ac:dyDescent="0.25">
      <c r="A237" s="168">
        <v>11</v>
      </c>
      <c r="B237" s="195" t="s">
        <v>167</v>
      </c>
      <c r="C237" s="194"/>
      <c r="D237" s="196">
        <v>0</v>
      </c>
      <c r="E237" s="197" t="s">
        <v>49</v>
      </c>
      <c r="F237" s="177">
        <v>4057000</v>
      </c>
      <c r="G237" s="283">
        <f t="shared" si="42"/>
        <v>0</v>
      </c>
      <c r="H237" s="196">
        <f t="shared" si="43"/>
        <v>0</v>
      </c>
      <c r="I237" s="197" t="s">
        <v>49</v>
      </c>
      <c r="J237" s="177">
        <v>405700</v>
      </c>
      <c r="K237" s="305">
        <f t="shared" si="44"/>
        <v>0</v>
      </c>
      <c r="L237" s="203">
        <f t="shared" si="45"/>
        <v>0</v>
      </c>
      <c r="M237" s="203" t="s">
        <v>49</v>
      </c>
      <c r="N237" s="252">
        <f t="shared" si="46"/>
        <v>4057000</v>
      </c>
      <c r="O237" s="193">
        <f t="shared" si="47"/>
        <v>0</v>
      </c>
    </row>
    <row r="238" spans="1:15" x14ac:dyDescent="0.25">
      <c r="A238" s="157"/>
      <c r="B238" s="411" t="s">
        <v>389</v>
      </c>
      <c r="C238" s="411"/>
      <c r="D238" s="411"/>
      <c r="E238" s="411"/>
      <c r="F238" s="411"/>
      <c r="G238" s="284">
        <f>SUM(G226:G237)</f>
        <v>35816300</v>
      </c>
      <c r="H238" s="152"/>
      <c r="I238" s="152"/>
      <c r="J238" s="152"/>
      <c r="K238" s="179">
        <f>SUM(K226:K237)</f>
        <v>35096300</v>
      </c>
      <c r="L238" s="152"/>
      <c r="M238" s="152"/>
      <c r="N238" s="152"/>
      <c r="O238" s="284">
        <f>SUM(O226:O237)</f>
        <v>34376300</v>
      </c>
    </row>
    <row r="239" spans="1:15" x14ac:dyDescent="0.25">
      <c r="A239" s="173" t="s">
        <v>390</v>
      </c>
      <c r="B239" s="421" t="s">
        <v>491</v>
      </c>
      <c r="C239" s="421"/>
      <c r="D239" s="421"/>
      <c r="E239" s="421"/>
      <c r="F239" s="421"/>
      <c r="G239" s="421"/>
      <c r="H239" s="200"/>
      <c r="I239" s="152"/>
      <c r="J239" s="152"/>
      <c r="K239" s="152"/>
      <c r="L239" s="152"/>
      <c r="M239" s="152"/>
      <c r="N239" s="152"/>
      <c r="O239" s="152"/>
    </row>
    <row r="240" spans="1:15" x14ac:dyDescent="0.25">
      <c r="A240" s="174">
        <v>1</v>
      </c>
      <c r="B240" s="201" t="s">
        <v>514</v>
      </c>
      <c r="C240" s="201"/>
      <c r="D240" s="202">
        <v>1</v>
      </c>
      <c r="E240" s="203" t="s">
        <v>49</v>
      </c>
      <c r="F240" s="177">
        <v>3406000</v>
      </c>
      <c r="G240" s="291">
        <f>F240*D240</f>
        <v>3406000</v>
      </c>
      <c r="H240" s="202">
        <v>1</v>
      </c>
      <c r="I240" s="203" t="s">
        <v>49</v>
      </c>
      <c r="J240" s="177">
        <v>3406000</v>
      </c>
      <c r="K240" s="305">
        <f>J240*H240</f>
        <v>3406000</v>
      </c>
      <c r="L240" s="202">
        <v>1</v>
      </c>
      <c r="M240" s="203" t="s">
        <v>49</v>
      </c>
      <c r="N240" s="252">
        <f>F240</f>
        <v>3406000</v>
      </c>
      <c r="O240" s="193">
        <f>N240*L240</f>
        <v>3406000</v>
      </c>
    </row>
    <row r="241" spans="1:15" x14ac:dyDescent="0.25">
      <c r="A241" s="174">
        <v>2</v>
      </c>
      <c r="B241" s="201" t="s">
        <v>170</v>
      </c>
      <c r="C241" s="201"/>
      <c r="D241" s="202">
        <v>1</v>
      </c>
      <c r="E241" s="203" t="s">
        <v>49</v>
      </c>
      <c r="F241" s="177">
        <v>3406000</v>
      </c>
      <c r="G241" s="291">
        <f t="shared" ref="G241:G252" si="48">F241*D241</f>
        <v>3406000</v>
      </c>
      <c r="H241" s="202">
        <v>1</v>
      </c>
      <c r="I241" s="203" t="s">
        <v>49</v>
      </c>
      <c r="J241" s="177">
        <v>3406000</v>
      </c>
      <c r="K241" s="305">
        <f t="shared" ref="K241:K252" si="49">J241*H241</f>
        <v>3406000</v>
      </c>
      <c r="L241" s="202">
        <v>1</v>
      </c>
      <c r="M241" s="203" t="s">
        <v>49</v>
      </c>
      <c r="N241" s="252">
        <f t="shared" ref="N241:N252" si="50">F241</f>
        <v>3406000</v>
      </c>
      <c r="O241" s="193">
        <f t="shared" ref="O241:O252" si="51">N241*L241</f>
        <v>3406000</v>
      </c>
    </row>
    <row r="242" spans="1:15" x14ac:dyDescent="0.25">
      <c r="A242" s="174">
        <v>3</v>
      </c>
      <c r="B242" s="201" t="s">
        <v>439</v>
      </c>
      <c r="C242" s="201"/>
      <c r="D242" s="202">
        <v>1</v>
      </c>
      <c r="E242" s="203" t="s">
        <v>49</v>
      </c>
      <c r="F242" s="177">
        <v>5450000</v>
      </c>
      <c r="G242" s="291">
        <f t="shared" si="48"/>
        <v>5450000</v>
      </c>
      <c r="H242" s="202">
        <v>1</v>
      </c>
      <c r="I242" s="203" t="s">
        <v>49</v>
      </c>
      <c r="J242" s="177">
        <v>5450000</v>
      </c>
      <c r="K242" s="305">
        <f t="shared" si="49"/>
        <v>5450000</v>
      </c>
      <c r="L242" s="202">
        <v>1</v>
      </c>
      <c r="M242" s="203" t="s">
        <v>49</v>
      </c>
      <c r="N242" s="252">
        <f t="shared" si="50"/>
        <v>5450000</v>
      </c>
      <c r="O242" s="193">
        <f t="shared" si="51"/>
        <v>5450000</v>
      </c>
    </row>
    <row r="243" spans="1:15" x14ac:dyDescent="0.25">
      <c r="A243" s="174">
        <v>4</v>
      </c>
      <c r="B243" s="201" t="s">
        <v>171</v>
      </c>
      <c r="C243" s="201"/>
      <c r="D243" s="202">
        <v>1</v>
      </c>
      <c r="E243" s="203" t="s">
        <v>49</v>
      </c>
      <c r="F243" s="177">
        <v>381500</v>
      </c>
      <c r="G243" s="291">
        <f t="shared" si="48"/>
        <v>381500</v>
      </c>
      <c r="H243" s="202">
        <v>1</v>
      </c>
      <c r="I243" s="203" t="s">
        <v>49</v>
      </c>
      <c r="J243" s="177">
        <v>381500</v>
      </c>
      <c r="K243" s="305">
        <f t="shared" si="49"/>
        <v>381500</v>
      </c>
      <c r="L243" s="202">
        <v>1</v>
      </c>
      <c r="M243" s="203" t="s">
        <v>49</v>
      </c>
      <c r="N243" s="252">
        <f t="shared" si="50"/>
        <v>381500</v>
      </c>
      <c r="O243" s="193">
        <f t="shared" si="51"/>
        <v>381500</v>
      </c>
    </row>
    <row r="244" spans="1:15" x14ac:dyDescent="0.25">
      <c r="A244" s="174">
        <v>5</v>
      </c>
      <c r="B244" s="201" t="s">
        <v>515</v>
      </c>
      <c r="C244" s="201"/>
      <c r="D244" s="202">
        <v>48</v>
      </c>
      <c r="E244" s="203" t="s">
        <v>49</v>
      </c>
      <c r="F244" s="177">
        <v>170000</v>
      </c>
      <c r="G244" s="291">
        <f t="shared" si="48"/>
        <v>8160000</v>
      </c>
      <c r="H244" s="202">
        <v>48</v>
      </c>
      <c r="I244" s="203" t="s">
        <v>49</v>
      </c>
      <c r="J244" s="177">
        <v>160000</v>
      </c>
      <c r="K244" s="305">
        <f t="shared" si="49"/>
        <v>7680000</v>
      </c>
      <c r="L244" s="202">
        <v>48</v>
      </c>
      <c r="M244" s="203" t="s">
        <v>49</v>
      </c>
      <c r="N244" s="252">
        <v>150000</v>
      </c>
      <c r="O244" s="193">
        <f t="shared" si="51"/>
        <v>7200000</v>
      </c>
    </row>
    <row r="245" spans="1:15" x14ac:dyDescent="0.25">
      <c r="A245" s="174">
        <v>6</v>
      </c>
      <c r="B245" s="201" t="s">
        <v>573</v>
      </c>
      <c r="C245" s="201"/>
      <c r="D245" s="202">
        <v>2</v>
      </c>
      <c r="E245" s="203" t="s">
        <v>49</v>
      </c>
      <c r="F245" s="177">
        <v>1370000</v>
      </c>
      <c r="G245" s="291">
        <f t="shared" si="48"/>
        <v>2740000</v>
      </c>
      <c r="H245" s="202">
        <v>2</v>
      </c>
      <c r="I245" s="203" t="s">
        <v>49</v>
      </c>
      <c r="J245" s="177">
        <v>1370000</v>
      </c>
      <c r="K245" s="305">
        <f t="shared" si="49"/>
        <v>2740000</v>
      </c>
      <c r="L245" s="202">
        <v>2</v>
      </c>
      <c r="M245" s="203" t="s">
        <v>49</v>
      </c>
      <c r="N245" s="252">
        <f t="shared" si="50"/>
        <v>1370000</v>
      </c>
      <c r="O245" s="193">
        <f t="shared" si="51"/>
        <v>2740000</v>
      </c>
    </row>
    <row r="246" spans="1:15" x14ac:dyDescent="0.25">
      <c r="A246" s="174">
        <v>7</v>
      </c>
      <c r="B246" s="201" t="s">
        <v>518</v>
      </c>
      <c r="C246" s="201"/>
      <c r="D246" s="202">
        <v>1</v>
      </c>
      <c r="E246" s="203" t="s">
        <v>49</v>
      </c>
      <c r="F246" s="177">
        <v>204400</v>
      </c>
      <c r="G246" s="291">
        <f t="shared" si="48"/>
        <v>204400</v>
      </c>
      <c r="H246" s="202">
        <v>1</v>
      </c>
      <c r="I246" s="203" t="s">
        <v>49</v>
      </c>
      <c r="J246" s="177">
        <v>204400</v>
      </c>
      <c r="K246" s="305">
        <f t="shared" si="49"/>
        <v>204400</v>
      </c>
      <c r="L246" s="202">
        <v>1</v>
      </c>
      <c r="M246" s="203" t="s">
        <v>49</v>
      </c>
      <c r="N246" s="252">
        <f t="shared" si="50"/>
        <v>204400</v>
      </c>
      <c r="O246" s="193">
        <f t="shared" si="51"/>
        <v>204400</v>
      </c>
    </row>
    <row r="247" spans="1:15" x14ac:dyDescent="0.25">
      <c r="A247" s="174">
        <v>8</v>
      </c>
      <c r="B247" s="201" t="s">
        <v>172</v>
      </c>
      <c r="C247" s="201"/>
      <c r="D247" s="202">
        <v>1</v>
      </c>
      <c r="E247" s="203" t="s">
        <v>49</v>
      </c>
      <c r="F247" s="177">
        <v>1021900</v>
      </c>
      <c r="G247" s="291">
        <f t="shared" si="48"/>
        <v>1021900</v>
      </c>
      <c r="H247" s="202">
        <v>1</v>
      </c>
      <c r="I247" s="203" t="s">
        <v>49</v>
      </c>
      <c r="J247" s="177">
        <v>1021900</v>
      </c>
      <c r="K247" s="305">
        <f t="shared" si="49"/>
        <v>1021900</v>
      </c>
      <c r="L247" s="202">
        <v>1</v>
      </c>
      <c r="M247" s="203" t="s">
        <v>49</v>
      </c>
      <c r="N247" s="252">
        <f t="shared" si="50"/>
        <v>1021900</v>
      </c>
      <c r="O247" s="193">
        <f t="shared" si="51"/>
        <v>1021900</v>
      </c>
    </row>
    <row r="248" spans="1:15" x14ac:dyDescent="0.25">
      <c r="A248" s="174">
        <v>9</v>
      </c>
      <c r="B248" s="201" t="s">
        <v>173</v>
      </c>
      <c r="C248" s="201"/>
      <c r="D248" s="202">
        <v>1</v>
      </c>
      <c r="E248" s="203" t="s">
        <v>49</v>
      </c>
      <c r="F248" s="177">
        <v>1650000</v>
      </c>
      <c r="G248" s="291">
        <f t="shared" si="48"/>
        <v>1650000</v>
      </c>
      <c r="H248" s="202">
        <v>1</v>
      </c>
      <c r="I248" s="203" t="s">
        <v>49</v>
      </c>
      <c r="J248" s="177">
        <v>1650000</v>
      </c>
      <c r="K248" s="305">
        <f t="shared" si="49"/>
        <v>1650000</v>
      </c>
      <c r="L248" s="202">
        <v>1</v>
      </c>
      <c r="M248" s="203" t="s">
        <v>49</v>
      </c>
      <c r="N248" s="252">
        <f t="shared" si="50"/>
        <v>1650000</v>
      </c>
      <c r="O248" s="193">
        <f t="shared" si="51"/>
        <v>1650000</v>
      </c>
    </row>
    <row r="249" spans="1:15" x14ac:dyDescent="0.25">
      <c r="A249" s="174">
        <v>10</v>
      </c>
      <c r="B249" s="201" t="s">
        <v>516</v>
      </c>
      <c r="C249" s="201"/>
      <c r="D249" s="202">
        <v>0</v>
      </c>
      <c r="E249" s="203" t="s">
        <v>49</v>
      </c>
      <c r="F249" s="177">
        <v>2029000</v>
      </c>
      <c r="G249" s="291">
        <f t="shared" si="48"/>
        <v>0</v>
      </c>
      <c r="H249" s="202">
        <v>0</v>
      </c>
      <c r="I249" s="203" t="s">
        <v>49</v>
      </c>
      <c r="J249" s="177">
        <v>2029000</v>
      </c>
      <c r="K249" s="305">
        <f t="shared" si="49"/>
        <v>0</v>
      </c>
      <c r="L249" s="202">
        <v>0</v>
      </c>
      <c r="M249" s="203" t="s">
        <v>49</v>
      </c>
      <c r="N249" s="252">
        <f t="shared" si="50"/>
        <v>2029000</v>
      </c>
      <c r="O249" s="193">
        <f t="shared" si="51"/>
        <v>0</v>
      </c>
    </row>
    <row r="250" spans="1:15" x14ac:dyDescent="0.25">
      <c r="A250" s="174">
        <v>11</v>
      </c>
      <c r="B250" s="201" t="s">
        <v>517</v>
      </c>
      <c r="C250" s="201"/>
      <c r="D250" s="202">
        <v>1</v>
      </c>
      <c r="E250" s="203" t="s">
        <v>49</v>
      </c>
      <c r="F250" s="177">
        <v>3277500</v>
      </c>
      <c r="G250" s="291">
        <f t="shared" si="48"/>
        <v>3277500</v>
      </c>
      <c r="H250" s="202">
        <v>1</v>
      </c>
      <c r="I250" s="203" t="s">
        <v>49</v>
      </c>
      <c r="J250" s="177">
        <v>3277500</v>
      </c>
      <c r="K250" s="305">
        <f t="shared" si="49"/>
        <v>3277500</v>
      </c>
      <c r="L250" s="202">
        <v>1</v>
      </c>
      <c r="M250" s="203" t="s">
        <v>49</v>
      </c>
      <c r="N250" s="252">
        <f t="shared" si="50"/>
        <v>3277500</v>
      </c>
      <c r="O250" s="193">
        <f t="shared" si="51"/>
        <v>3277500</v>
      </c>
    </row>
    <row r="251" spans="1:15" hidden="1" x14ac:dyDescent="0.25">
      <c r="A251" s="174">
        <v>12</v>
      </c>
      <c r="B251" s="201" t="s">
        <v>519</v>
      </c>
      <c r="C251" s="201"/>
      <c r="D251" s="202">
        <v>0</v>
      </c>
      <c r="E251" s="203" t="s">
        <v>49</v>
      </c>
      <c r="F251" s="177">
        <v>23980000</v>
      </c>
      <c r="G251" s="291">
        <f t="shared" si="48"/>
        <v>0</v>
      </c>
      <c r="H251" s="202">
        <v>0</v>
      </c>
      <c r="I251" s="203" t="s">
        <v>49</v>
      </c>
      <c r="J251" s="177"/>
      <c r="K251" s="305">
        <f t="shared" si="49"/>
        <v>0</v>
      </c>
      <c r="L251" s="202">
        <v>0</v>
      </c>
      <c r="M251" s="203" t="s">
        <v>49</v>
      </c>
      <c r="N251" s="252">
        <f t="shared" si="50"/>
        <v>23980000</v>
      </c>
      <c r="O251" s="193">
        <f t="shared" si="51"/>
        <v>0</v>
      </c>
    </row>
    <row r="252" spans="1:15" x14ac:dyDescent="0.25">
      <c r="A252" s="174">
        <v>12</v>
      </c>
      <c r="B252" s="201" t="s">
        <v>167</v>
      </c>
      <c r="C252" s="201"/>
      <c r="D252" s="202">
        <v>0</v>
      </c>
      <c r="E252" s="203" t="s">
        <v>49</v>
      </c>
      <c r="F252" s="177">
        <v>3376000</v>
      </c>
      <c r="G252" s="291">
        <f t="shared" si="48"/>
        <v>0</v>
      </c>
      <c r="H252" s="202">
        <v>0</v>
      </c>
      <c r="I252" s="203" t="s">
        <v>49</v>
      </c>
      <c r="J252" s="177">
        <v>3376000</v>
      </c>
      <c r="K252" s="305">
        <f t="shared" si="49"/>
        <v>0</v>
      </c>
      <c r="L252" s="202">
        <v>0</v>
      </c>
      <c r="M252" s="203" t="s">
        <v>49</v>
      </c>
      <c r="N252" s="252">
        <f t="shared" si="50"/>
        <v>3376000</v>
      </c>
      <c r="O252" s="193">
        <f t="shared" si="51"/>
        <v>0</v>
      </c>
    </row>
    <row r="253" spans="1:15" x14ac:dyDescent="0.25">
      <c r="A253" s="156"/>
      <c r="B253" s="411" t="s">
        <v>391</v>
      </c>
      <c r="C253" s="411"/>
      <c r="D253" s="411"/>
      <c r="E253" s="411"/>
      <c r="F253" s="411"/>
      <c r="G253" s="284">
        <f>SUM(G240:G252)</f>
        <v>29697300</v>
      </c>
      <c r="H253" s="152"/>
      <c r="I253" s="152"/>
      <c r="J253" s="152"/>
      <c r="K253" s="179">
        <f>SUM(K240:K252)</f>
        <v>29217300</v>
      </c>
      <c r="L253" s="152"/>
      <c r="M253" s="152"/>
      <c r="N253" s="152"/>
      <c r="O253" s="289">
        <f>SUM(O240:O252)</f>
        <v>28737300</v>
      </c>
    </row>
    <row r="254" spans="1:15" x14ac:dyDescent="0.25">
      <c r="A254" s="169" t="s">
        <v>407</v>
      </c>
      <c r="B254" s="421" t="s">
        <v>438</v>
      </c>
      <c r="C254" s="421"/>
      <c r="D254" s="421"/>
      <c r="E254" s="421"/>
      <c r="F254" s="421"/>
      <c r="G254" s="421"/>
      <c r="H254" s="421"/>
      <c r="I254" s="421"/>
      <c r="J254" s="421"/>
      <c r="K254" s="421"/>
      <c r="L254" s="421"/>
      <c r="M254" s="421"/>
      <c r="N254" s="421"/>
      <c r="O254" s="421"/>
    </row>
    <row r="255" spans="1:15" x14ac:dyDescent="0.25">
      <c r="A255" s="174">
        <v>1</v>
      </c>
      <c r="B255" s="204" t="s">
        <v>409</v>
      </c>
      <c r="C255" s="201"/>
      <c r="D255" s="202">
        <v>60</v>
      </c>
      <c r="E255" s="203" t="s">
        <v>49</v>
      </c>
      <c r="F255" s="177">
        <v>100000</v>
      </c>
      <c r="G255" s="291">
        <f t="shared" ref="G255:G256" si="52">F255*D255</f>
        <v>6000000</v>
      </c>
      <c r="H255" s="202">
        <f>D255</f>
        <v>60</v>
      </c>
      <c r="I255" s="203" t="s">
        <v>49</v>
      </c>
      <c r="J255" s="177">
        <v>100000</v>
      </c>
      <c r="K255" s="305">
        <f>J255*H255</f>
        <v>6000000</v>
      </c>
      <c r="L255" s="202">
        <v>60</v>
      </c>
      <c r="M255" s="203" t="s">
        <v>49</v>
      </c>
      <c r="N255" s="252">
        <f>F255</f>
        <v>100000</v>
      </c>
      <c r="O255" s="193">
        <f>N255*L255</f>
        <v>6000000</v>
      </c>
    </row>
    <row r="256" spans="1:15" x14ac:dyDescent="0.25">
      <c r="A256" s="174">
        <v>2</v>
      </c>
      <c r="B256" s="204" t="s">
        <v>167</v>
      </c>
      <c r="C256" s="201"/>
      <c r="D256" s="202">
        <v>20</v>
      </c>
      <c r="E256" s="203" t="s">
        <v>49</v>
      </c>
      <c r="F256" s="177">
        <v>350000</v>
      </c>
      <c r="G256" s="291">
        <f t="shared" si="52"/>
        <v>7000000</v>
      </c>
      <c r="H256" s="202">
        <f>D256</f>
        <v>20</v>
      </c>
      <c r="I256" s="203" t="s">
        <v>49</v>
      </c>
      <c r="J256" s="177">
        <v>350000</v>
      </c>
      <c r="K256" s="305">
        <f>J256*H256</f>
        <v>7000000</v>
      </c>
      <c r="L256" s="202">
        <v>20</v>
      </c>
      <c r="M256" s="203" t="s">
        <v>49</v>
      </c>
      <c r="N256" s="252">
        <f>F256</f>
        <v>350000</v>
      </c>
      <c r="O256" s="193">
        <f>N256*L256</f>
        <v>7000000</v>
      </c>
    </row>
    <row r="257" spans="1:15" x14ac:dyDescent="0.25">
      <c r="A257" s="157"/>
      <c r="B257" s="410" t="s">
        <v>410</v>
      </c>
      <c r="C257" s="411"/>
      <c r="D257" s="411"/>
      <c r="E257" s="411"/>
      <c r="F257" s="411"/>
      <c r="G257" s="284">
        <f>SUM(G255:G256)</f>
        <v>13000000</v>
      </c>
      <c r="H257" s="152"/>
      <c r="I257" s="152"/>
      <c r="J257" s="152"/>
      <c r="K257" s="179">
        <f>SUM(K255:K256)</f>
        <v>13000000</v>
      </c>
      <c r="L257" s="152"/>
      <c r="M257" s="152"/>
      <c r="N257" s="152"/>
      <c r="O257" s="284">
        <f>SUM(O255:O256)</f>
        <v>13000000</v>
      </c>
    </row>
    <row r="258" spans="1:15" x14ac:dyDescent="0.25">
      <c r="A258" s="156"/>
      <c r="B258" s="410" t="s">
        <v>411</v>
      </c>
      <c r="C258" s="411"/>
      <c r="D258" s="411"/>
      <c r="E258" s="411"/>
      <c r="F258" s="411"/>
      <c r="G258" s="179">
        <f>G253+G238+G257</f>
        <v>78513600</v>
      </c>
      <c r="H258" s="152"/>
      <c r="I258" s="152"/>
      <c r="J258" s="152"/>
      <c r="K258" s="179">
        <f>K253+K238+K257</f>
        <v>77313600</v>
      </c>
      <c r="L258" s="152"/>
      <c r="M258" s="152"/>
      <c r="N258" s="152"/>
      <c r="O258" s="179">
        <f>O253+O238+O257</f>
        <v>76113600</v>
      </c>
    </row>
    <row r="259" spans="1:15" x14ac:dyDescent="0.25">
      <c r="A259" s="156"/>
      <c r="B259" s="411" t="s">
        <v>498</v>
      </c>
      <c r="C259" s="411"/>
      <c r="D259" s="411"/>
      <c r="E259" s="411"/>
      <c r="F259" s="411"/>
      <c r="G259" s="179">
        <f>G258+G223+G50</f>
        <v>1171045700</v>
      </c>
      <c r="H259" s="152"/>
      <c r="I259" s="152"/>
      <c r="J259" s="152"/>
      <c r="K259" s="179">
        <f>K258+K223+K50</f>
        <v>1169684800</v>
      </c>
      <c r="L259" s="152"/>
      <c r="M259" s="152"/>
      <c r="N259" s="152"/>
      <c r="O259" s="179">
        <f>O258+O223+O50</f>
        <v>1167801650</v>
      </c>
    </row>
    <row r="260" spans="1:15" x14ac:dyDescent="0.25">
      <c r="A260" s="156"/>
      <c r="B260" s="205"/>
      <c r="C260" s="205"/>
      <c r="D260" s="206"/>
      <c r="E260" s="205"/>
      <c r="F260" s="207" t="s">
        <v>392</v>
      </c>
      <c r="G260" s="179">
        <f>G259+G12</f>
        <v>3016149680</v>
      </c>
      <c r="H260" s="152"/>
      <c r="I260" s="152"/>
      <c r="J260" s="152"/>
      <c r="K260" s="179">
        <f>K259+K12</f>
        <v>2986552800</v>
      </c>
      <c r="L260" s="152"/>
      <c r="M260" s="152"/>
      <c r="N260" s="152"/>
      <c r="O260" s="179">
        <f>O259+O12</f>
        <v>2918643650</v>
      </c>
    </row>
    <row r="261" spans="1:15" x14ac:dyDescent="0.25">
      <c r="A261" s="156"/>
      <c r="B261" s="208"/>
      <c r="C261" s="208"/>
      <c r="D261" s="209"/>
      <c r="E261" s="208"/>
      <c r="F261" s="210" t="s">
        <v>45</v>
      </c>
      <c r="G261" s="179">
        <f>G260*10%</f>
        <v>301614968</v>
      </c>
      <c r="H261" s="152"/>
      <c r="I261" s="152"/>
      <c r="J261" s="152"/>
      <c r="K261" s="179">
        <f>K260*10%</f>
        <v>298655280</v>
      </c>
      <c r="L261" s="152"/>
      <c r="M261" s="152"/>
      <c r="N261" s="152"/>
      <c r="O261" s="179">
        <f>O260*10%</f>
        <v>291864365</v>
      </c>
    </row>
    <row r="262" spans="1:15" x14ac:dyDescent="0.25">
      <c r="A262" s="156"/>
      <c r="B262" s="208"/>
      <c r="C262" s="208"/>
      <c r="D262" s="209"/>
      <c r="E262" s="208"/>
      <c r="F262" s="210" t="s">
        <v>8</v>
      </c>
      <c r="G262" s="179">
        <f>SUM(G260:G261)</f>
        <v>3317764648</v>
      </c>
      <c r="H262" s="152"/>
      <c r="I262" s="152"/>
      <c r="J262" s="152"/>
      <c r="K262" s="179">
        <f>SUM(K260:K261)</f>
        <v>3285208080</v>
      </c>
      <c r="L262" s="152"/>
      <c r="M262" s="152"/>
      <c r="N262" s="152"/>
      <c r="O262" s="179">
        <f>SUM(O260:O261)</f>
        <v>3210508015</v>
      </c>
    </row>
    <row r="263" spans="1:15" x14ac:dyDescent="0.25">
      <c r="A263" s="330"/>
      <c r="B263" s="330"/>
      <c r="C263" s="330"/>
      <c r="D263" s="331"/>
      <c r="E263" s="330"/>
      <c r="F263" s="332" t="s">
        <v>547</v>
      </c>
      <c r="G263" s="333">
        <f>ROUNDUP(G262,-3)</f>
        <v>3317765000</v>
      </c>
      <c r="H263" s="334"/>
      <c r="I263" s="334"/>
      <c r="J263" s="334"/>
      <c r="K263" s="333">
        <f>ROUNDUP(K262,-3)</f>
        <v>3285209000</v>
      </c>
      <c r="L263" s="334"/>
      <c r="M263" s="334"/>
      <c r="N263" s="334"/>
      <c r="O263" s="333">
        <f>ROUNDUP(O262,-3)</f>
        <v>3210509000</v>
      </c>
    </row>
    <row r="264" spans="1:15" x14ac:dyDescent="0.25">
      <c r="A264" s="324"/>
      <c r="B264" s="324"/>
      <c r="C264" s="324"/>
      <c r="D264" s="325"/>
      <c r="E264" s="324"/>
      <c r="F264" s="326"/>
      <c r="G264" s="327"/>
      <c r="H264" s="324"/>
      <c r="I264" s="324"/>
      <c r="J264" s="324"/>
      <c r="K264" s="327"/>
      <c r="L264" s="324"/>
      <c r="M264" s="324"/>
      <c r="N264" s="324"/>
      <c r="O264" s="327"/>
    </row>
    <row r="265" spans="1:15" x14ac:dyDescent="0.25">
      <c r="A265" s="324"/>
      <c r="B265" s="326" t="s">
        <v>590</v>
      </c>
      <c r="C265" s="324"/>
      <c r="D265" s="325"/>
      <c r="E265" s="324"/>
      <c r="F265" s="326"/>
      <c r="G265" s="327"/>
      <c r="H265" s="324"/>
      <c r="I265" s="324"/>
      <c r="J265" s="324"/>
      <c r="K265" s="327"/>
      <c r="L265" s="324"/>
      <c r="M265" s="324"/>
      <c r="N265" s="324"/>
      <c r="O265" s="327"/>
    </row>
    <row r="266" spans="1:15" ht="15.6" customHeight="1" x14ac:dyDescent="0.25">
      <c r="A266" s="139"/>
      <c r="B266" s="423" t="str">
        <f>PROPER(IF(O263=0,"nol",IF(O263&lt;0,"minus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O263),"000000000000000"),1,3)=0,"",MID(TEXT(ABS(O263),"000000000000000"),1,1)&amp;" ratus "&amp;MID(TEXT(ABS(O263),"000000000000000"),2,1)&amp;" puluh "&amp;MID(TEXT(ABS(O263),"000000000000000"),3,1)&amp;" trilyun ")&amp;IF(--MID(TEXT(ABS(O263),"000000000000000"),4,3)=0,"",MID(TEXT(ABS(O263),"000000000000000"),4,1)&amp;" ratus "&amp;MID(TEXT(ABS(O263),"000000000000000"),5,1)&amp;" puluh "&amp;MID(TEXT(ABS(O263),"000000000000000"),6,1)&amp;" milyar ")&amp;IF(--MID(TEXT(ABS(O263),"000000000000000"),7,3)=0,"",MID(TEXT(ABS(O263),"000000000000000"),7,1)&amp;" ratus "&amp;MID(TEXT(ABS(O263),"000000000000000"),8,1)&amp;" puluh "&amp;MID(TEXT(ABS(O263),"000000000000000"),9,1)&amp;" juta ")&amp;IF(--MID(TEXT(ABS(O263),"000000000000000"),10,3)=0,"",IF(--MID(TEXT(ABS(O263),"000000000000000"),10,3)=1,"*",MID(TEXT(ABS(O263),"000000000000000"),10,1)&amp;" ratus "&amp;MID(TEXT(ABS(O263),"000000000000000"),11,1)&amp;" puluh ")&amp;MID(TEXT(ABS(O263),"000000000000000"),12,1)&amp;" ribu ")&amp;IF(--MID(TEXT(ABS(O263),"000000000000000"),13,3)=0,"",MID(TEXT(ABS(O263),"000000000000000"),13,1)&amp;" ratus "&amp;MID(TEXT(ABS(O263),"000000000000000"),14,1)&amp;" puluh "&amp;MID(TEXT(ABS(O263),"000000000000000"),15,1)),1,"satu"),2,"dua"),3,"tiga"),4,"empat"),5,"lima"),6,"enam"),7,"tujuh"),8,"delapan"),9,"sembilan"),"0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Tiga Milyar Dua Ratus Sepuluh Juta Lima Ratus Sembilan Ribu Rupiah</v>
      </c>
      <c r="C266" s="423"/>
      <c r="D266" s="423"/>
      <c r="E266" s="423"/>
      <c r="F266" s="423"/>
      <c r="G266" s="423"/>
      <c r="H266" s="423"/>
      <c r="I266" s="423"/>
      <c r="J266" s="423"/>
      <c r="K266" s="423"/>
      <c r="L266" s="423"/>
      <c r="M266" s="423"/>
      <c r="N266" s="423"/>
      <c r="O266" s="423"/>
    </row>
    <row r="267" spans="1:15" ht="15.75" customHeight="1" x14ac:dyDescent="0.25">
      <c r="A267" s="323"/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3"/>
      <c r="N267" s="423"/>
      <c r="O267" s="423"/>
    </row>
    <row r="268" spans="1:15" x14ac:dyDescent="0.25">
      <c r="A268" s="149"/>
      <c r="B268" s="149"/>
      <c r="C268" s="149"/>
      <c r="D268" s="149"/>
      <c r="E268" s="149"/>
      <c r="F268" s="149"/>
      <c r="G268" s="149"/>
    </row>
    <row r="269" spans="1:15" ht="17.25" x14ac:dyDescent="0.3">
      <c r="K269" s="425" t="s">
        <v>591</v>
      </c>
      <c r="L269" s="425"/>
      <c r="M269" s="425"/>
    </row>
    <row r="270" spans="1:15" ht="17.25" x14ac:dyDescent="0.3">
      <c r="F270" s="4"/>
      <c r="G270" s="4"/>
    </row>
    <row r="271" spans="1:15" ht="18" x14ac:dyDescent="0.25">
      <c r="B271" s="320" t="s">
        <v>575</v>
      </c>
      <c r="D271" s="310" t="s">
        <v>576</v>
      </c>
      <c r="E271" s="311"/>
      <c r="G271" s="312"/>
      <c r="H271" s="313"/>
      <c r="J271" s="6"/>
      <c r="K271" s="314" t="s">
        <v>577</v>
      </c>
      <c r="L271" s="315"/>
    </row>
    <row r="272" spans="1:15" x14ac:dyDescent="0.25">
      <c r="A272" s="5"/>
      <c r="B272" s="318" t="s">
        <v>578</v>
      </c>
      <c r="D272" s="316" t="s">
        <v>579</v>
      </c>
      <c r="E272" s="148"/>
      <c r="H272" s="6" t="s">
        <v>580</v>
      </c>
      <c r="J272" s="6"/>
      <c r="L272" s="137"/>
    </row>
    <row r="273" spans="1:21" x14ac:dyDescent="0.25">
      <c r="B273" s="318" t="s">
        <v>581</v>
      </c>
      <c r="D273" s="316"/>
      <c r="E273" s="148"/>
      <c r="J273" s="6"/>
      <c r="L273" s="137"/>
      <c r="O273" s="323"/>
      <c r="P273" s="323"/>
      <c r="Q273" s="323"/>
      <c r="R273" s="323"/>
      <c r="S273" s="323"/>
      <c r="T273" s="323"/>
      <c r="U273" s="323"/>
    </row>
    <row r="274" spans="1:21" x14ac:dyDescent="0.25">
      <c r="B274" s="147"/>
      <c r="D274" s="6" t="s">
        <v>582</v>
      </c>
      <c r="E274" s="148"/>
      <c r="G274" s="6" t="s">
        <v>580</v>
      </c>
      <c r="H274" s="317"/>
      <c r="J274" s="6"/>
      <c r="K274" s="6" t="s">
        <v>509</v>
      </c>
      <c r="L274" s="137" t="s">
        <v>589</v>
      </c>
      <c r="O274" s="323"/>
      <c r="P274" s="323"/>
      <c r="Q274" s="323"/>
      <c r="R274" s="323"/>
      <c r="S274" s="323"/>
      <c r="T274" s="323"/>
      <c r="U274" s="323"/>
    </row>
    <row r="275" spans="1:21" x14ac:dyDescent="0.25">
      <c r="B275" s="147"/>
      <c r="D275" s="6"/>
      <c r="E275" s="148"/>
      <c r="H275" s="317"/>
      <c r="I275" s="147"/>
      <c r="J275" s="6"/>
      <c r="L275" s="15"/>
    </row>
    <row r="276" spans="1:21" x14ac:dyDescent="0.25">
      <c r="B276" s="147"/>
      <c r="D276" s="6" t="s">
        <v>583</v>
      </c>
      <c r="E276" s="148"/>
      <c r="H276" s="6" t="s">
        <v>580</v>
      </c>
      <c r="I276" s="147"/>
      <c r="J276" s="6"/>
      <c r="K276" s="15"/>
    </row>
    <row r="277" spans="1:21" x14ac:dyDescent="0.25">
      <c r="B277" s="147"/>
      <c r="D277" s="6"/>
      <c r="E277" s="148"/>
      <c r="I277" s="147"/>
      <c r="J277" s="6"/>
      <c r="K277" s="15"/>
    </row>
    <row r="278" spans="1:21" x14ac:dyDescent="0.25">
      <c r="A278" s="307"/>
      <c r="B278" s="306" t="s">
        <v>588</v>
      </c>
      <c r="D278" s="6" t="s">
        <v>584</v>
      </c>
      <c r="E278" s="148"/>
      <c r="G278" s="6" t="s">
        <v>580</v>
      </c>
      <c r="H278" s="317"/>
      <c r="I278" s="147"/>
      <c r="J278" s="6"/>
      <c r="K278" s="15"/>
    </row>
    <row r="279" spans="1:21" x14ac:dyDescent="0.25">
      <c r="A279" s="307"/>
      <c r="B279" s="307"/>
      <c r="C279" s="147"/>
      <c r="D279" s="6"/>
      <c r="E279" s="148"/>
      <c r="H279" s="317"/>
      <c r="I279" s="147"/>
      <c r="J279" s="6"/>
      <c r="K279" s="15"/>
    </row>
    <row r="280" spans="1:21" x14ac:dyDescent="0.25">
      <c r="A280" s="18"/>
      <c r="B280" s="19"/>
      <c r="D280" s="6" t="s">
        <v>585</v>
      </c>
      <c r="E280" s="148"/>
      <c r="H280" s="6" t="s">
        <v>580</v>
      </c>
      <c r="I280" s="147"/>
      <c r="J280" s="6"/>
      <c r="K280" s="15"/>
    </row>
    <row r="281" spans="1:21" x14ac:dyDescent="0.25">
      <c r="A281" s="18"/>
      <c r="B281" s="19"/>
      <c r="C281" s="147"/>
      <c r="D281" s="6"/>
      <c r="E281" s="148"/>
      <c r="I281" s="147"/>
      <c r="J281" s="6"/>
      <c r="K281" s="15"/>
    </row>
    <row r="282" spans="1:21" x14ac:dyDescent="0.25">
      <c r="A282" s="18"/>
      <c r="B282" s="19"/>
      <c r="C282" s="147"/>
      <c r="D282" s="6" t="s">
        <v>586</v>
      </c>
      <c r="G282" s="6" t="s">
        <v>580</v>
      </c>
      <c r="H282" s="319"/>
      <c r="I282" s="147"/>
      <c r="J282" s="6"/>
      <c r="K282" s="15"/>
    </row>
    <row r="283" spans="1:21" x14ac:dyDescent="0.25">
      <c r="A283" s="307"/>
      <c r="B283" s="307"/>
      <c r="C283" s="147"/>
      <c r="D283" s="6"/>
      <c r="H283" s="319"/>
      <c r="I283" s="147"/>
      <c r="J283" s="6"/>
      <c r="K283" s="15"/>
    </row>
    <row r="284" spans="1:21" x14ac:dyDescent="0.25">
      <c r="C284" s="147"/>
      <c r="D284" s="6" t="s">
        <v>587</v>
      </c>
      <c r="H284" s="6" t="s">
        <v>580</v>
      </c>
      <c r="I284" s="147"/>
      <c r="J284" s="6"/>
      <c r="K284" s="15"/>
    </row>
    <row r="338" ht="18.75" customHeight="1" x14ac:dyDescent="0.25"/>
    <row r="357" spans="1:19" ht="9.75" customHeight="1" x14ac:dyDescent="0.25"/>
    <row r="359" spans="1:19" ht="9" customHeight="1" x14ac:dyDescent="0.25"/>
    <row r="360" spans="1:19" ht="14.25" customHeight="1" x14ac:dyDescent="0.25"/>
    <row r="361" spans="1:19" ht="11.25" customHeight="1" x14ac:dyDescent="0.25"/>
    <row r="363" spans="1:19" s="5" customFormat="1" ht="37.5" customHeight="1" x14ac:dyDescent="0.25">
      <c r="A363" s="6"/>
      <c r="B363" s="6"/>
      <c r="C363" s="6"/>
      <c r="D363" s="33"/>
      <c r="E363" s="6"/>
      <c r="F363" s="6"/>
      <c r="G363" s="6"/>
      <c r="J363" s="148"/>
      <c r="P363" s="279"/>
      <c r="Q363" s="279"/>
      <c r="R363" s="279"/>
      <c r="S363" s="279"/>
    </row>
    <row r="364" spans="1:19" ht="16.5" customHeight="1" x14ac:dyDescent="0.25"/>
    <row r="365" spans="1:19" ht="16.5" customHeight="1" x14ac:dyDescent="0.25"/>
    <row r="366" spans="1:19" ht="16.5" customHeight="1" x14ac:dyDescent="0.25"/>
    <row r="367" spans="1:19" ht="16.5" customHeight="1" x14ac:dyDescent="0.25"/>
  </sheetData>
  <mergeCells count="41">
    <mergeCell ref="B254:O254"/>
    <mergeCell ref="B266:O267"/>
    <mergeCell ref="B14:O14"/>
    <mergeCell ref="B15:O15"/>
    <mergeCell ref="K269:M269"/>
    <mergeCell ref="B51:O51"/>
    <mergeCell ref="B52:O52"/>
    <mergeCell ref="B155:O155"/>
    <mergeCell ref="B154:F154"/>
    <mergeCell ref="B198:F198"/>
    <mergeCell ref="B222:F222"/>
    <mergeCell ref="B223:F223"/>
    <mergeCell ref="B225:O225"/>
    <mergeCell ref="B199:O199"/>
    <mergeCell ref="B224:O224"/>
    <mergeCell ref="B238:F238"/>
    <mergeCell ref="A1:G1"/>
    <mergeCell ref="A2:G2"/>
    <mergeCell ref="A3:G3"/>
    <mergeCell ref="B25:O25"/>
    <mergeCell ref="B253:F253"/>
    <mergeCell ref="B239:G239"/>
    <mergeCell ref="A5:A6"/>
    <mergeCell ref="D5:G5"/>
    <mergeCell ref="H5:K5"/>
    <mergeCell ref="B258:F258"/>
    <mergeCell ref="B257:F257"/>
    <mergeCell ref="B259:F259"/>
    <mergeCell ref="B5:C6"/>
    <mergeCell ref="B12:F12"/>
    <mergeCell ref="B50:F50"/>
    <mergeCell ref="B10:C10"/>
    <mergeCell ref="B11:C11"/>
    <mergeCell ref="B24:F24"/>
    <mergeCell ref="B32:F32"/>
    <mergeCell ref="B49:F49"/>
    <mergeCell ref="B33:G33"/>
    <mergeCell ref="B7:C7"/>
    <mergeCell ref="B8:O8"/>
    <mergeCell ref="B13:O13"/>
    <mergeCell ref="L5:O5"/>
  </mergeCells>
  <printOptions horizontalCentered="1"/>
  <pageMargins left="0.35433070866141736" right="0" top="0.35433070866141736" bottom="0.12" header="0.27559055118110237" footer="0.13"/>
  <pageSetup paperSize="8" scale="77" fitToHeight="0" orientation="landscape" useFirstPageNumber="1" horizontalDpi="360" verticalDpi="360" r:id="rId1"/>
  <rowBreaks count="3" manualBreakCount="3">
    <brk id="50" max="14" man="1"/>
    <brk id="195" max="14" man="1"/>
    <brk id="25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T63"/>
  <sheetViews>
    <sheetView topLeftCell="A13" zoomScale="84" zoomScaleNormal="84" zoomScaleSheetLayoutView="100" workbookViewId="0">
      <selection activeCell="P57" sqref="P57"/>
    </sheetView>
  </sheetViews>
  <sheetFormatPr defaultColWidth="9" defaultRowHeight="15.75" x14ac:dyDescent="0.25"/>
  <cols>
    <col min="1" max="1" width="6" style="18" customWidth="1"/>
    <col min="2" max="2" width="29.625" style="19" customWidth="1"/>
    <col min="3" max="3" width="35.125" style="6" customWidth="1"/>
    <col min="4" max="4" width="6.625" style="6" customWidth="1"/>
    <col min="5" max="5" width="12.625" style="6" customWidth="1"/>
    <col min="6" max="6" width="14.125" style="20" customWidth="1"/>
    <col min="7" max="7" width="14.125" style="6" customWidth="1"/>
    <col min="8" max="8" width="6.625" style="6" customWidth="1"/>
    <col min="9" max="9" width="12.5" style="6" customWidth="1"/>
    <col min="10" max="10" width="13.625" style="6" customWidth="1"/>
    <col min="11" max="11" width="17.375" style="6" bestFit="1" customWidth="1"/>
    <col min="12" max="12" width="6.625" style="6" customWidth="1"/>
    <col min="13" max="13" width="12.125" style="6" customWidth="1"/>
    <col min="14" max="14" width="13.625" style="6" customWidth="1"/>
    <col min="15" max="16" width="14.125" style="6" customWidth="1"/>
    <col min="17" max="17" width="11.125" style="6" bestFit="1" customWidth="1"/>
    <col min="18" max="18" width="14.375" style="6" bestFit="1" customWidth="1"/>
    <col min="19" max="19" width="12.625" style="6" bestFit="1" customWidth="1"/>
    <col min="20" max="16384" width="9" style="6"/>
  </cols>
  <sheetData>
    <row r="1" spans="1:20" ht="18.75" x14ac:dyDescent="0.3">
      <c r="A1" s="428" t="s">
        <v>548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</row>
    <row r="2" spans="1:20" ht="18.75" customHeight="1" x14ac:dyDescent="0.3">
      <c r="A2" s="429" t="str">
        <f>'RAB print'!A2:G2</f>
        <v>PEKERJAAN KONTRAK PEMELIHARAAN ALAT BONGKAR MUAT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20" ht="18.75" x14ac:dyDescent="0.3">
      <c r="A3" s="428" t="str">
        <f>'RAB print'!A3:G3</f>
        <v>DI PT PRIMA TERMINAL PETIKEMAS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</row>
    <row r="4" spans="1:20" ht="18.75" x14ac:dyDescent="0.3">
      <c r="A4" s="158"/>
      <c r="B4" s="158"/>
      <c r="C4" s="158"/>
      <c r="D4" s="158"/>
      <c r="E4" s="158"/>
      <c r="F4" s="158"/>
      <c r="G4" s="158"/>
    </row>
    <row r="5" spans="1:20" x14ac:dyDescent="0.25">
      <c r="A5" s="432" t="s">
        <v>0</v>
      </c>
      <c r="B5" s="432" t="s">
        <v>1</v>
      </c>
      <c r="C5" s="432"/>
      <c r="D5" s="434" t="s">
        <v>549</v>
      </c>
      <c r="E5" s="435"/>
      <c r="F5" s="435"/>
      <c r="G5" s="435"/>
      <c r="H5" s="434" t="s">
        <v>551</v>
      </c>
      <c r="I5" s="434"/>
      <c r="J5" s="434"/>
      <c r="K5" s="434"/>
      <c r="L5" s="434" t="s">
        <v>548</v>
      </c>
      <c r="M5" s="434"/>
      <c r="N5" s="434"/>
      <c r="O5" s="434"/>
      <c r="P5" s="292"/>
    </row>
    <row r="6" spans="1:20" ht="44.85" customHeight="1" x14ac:dyDescent="0.25">
      <c r="A6" s="432"/>
      <c r="B6" s="432"/>
      <c r="C6" s="432"/>
      <c r="D6" s="432" t="s">
        <v>152</v>
      </c>
      <c r="E6" s="432" t="s">
        <v>6</v>
      </c>
      <c r="F6" s="240" t="s">
        <v>31</v>
      </c>
      <c r="G6" s="240" t="s">
        <v>32</v>
      </c>
      <c r="H6" s="432" t="s">
        <v>152</v>
      </c>
      <c r="I6" s="432" t="s">
        <v>6</v>
      </c>
      <c r="J6" s="240" t="s">
        <v>31</v>
      </c>
      <c r="K6" s="240" t="s">
        <v>32</v>
      </c>
      <c r="L6" s="432" t="s">
        <v>152</v>
      </c>
      <c r="M6" s="432" t="s">
        <v>6</v>
      </c>
      <c r="N6" s="240" t="s">
        <v>31</v>
      </c>
      <c r="O6" s="240" t="s">
        <v>32</v>
      </c>
      <c r="P6" s="293" t="s">
        <v>572</v>
      </c>
    </row>
    <row r="7" spans="1:20" x14ac:dyDescent="0.25">
      <c r="A7" s="432"/>
      <c r="B7" s="432"/>
      <c r="C7" s="432"/>
      <c r="D7" s="432"/>
      <c r="E7" s="432"/>
      <c r="F7" s="240" t="s">
        <v>33</v>
      </c>
      <c r="G7" s="240" t="s">
        <v>33</v>
      </c>
      <c r="H7" s="432"/>
      <c r="I7" s="432"/>
      <c r="J7" s="240" t="s">
        <v>33</v>
      </c>
      <c r="K7" s="240" t="s">
        <v>33</v>
      </c>
      <c r="L7" s="432"/>
      <c r="M7" s="432"/>
      <c r="N7" s="240" t="s">
        <v>33</v>
      </c>
      <c r="O7" s="240" t="s">
        <v>33</v>
      </c>
      <c r="P7" s="293"/>
      <c r="Q7" s="6" t="s">
        <v>557</v>
      </c>
      <c r="R7" s="6" t="s">
        <v>571</v>
      </c>
      <c r="S7" s="6">
        <v>1.1499999999999999</v>
      </c>
    </row>
    <row r="8" spans="1:20" s="5" customFormat="1" x14ac:dyDescent="0.25">
      <c r="A8" s="241" t="s">
        <v>24</v>
      </c>
      <c r="B8" s="433" t="s">
        <v>34</v>
      </c>
      <c r="C8" s="433"/>
      <c r="D8" s="433"/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294"/>
    </row>
    <row r="9" spans="1:20" s="5" customFormat="1" x14ac:dyDescent="0.25">
      <c r="A9" s="253">
        <v>1</v>
      </c>
      <c r="B9" s="254" t="s">
        <v>11</v>
      </c>
      <c r="C9" s="255" t="s">
        <v>534</v>
      </c>
      <c r="D9" s="23">
        <v>1</v>
      </c>
      <c r="E9" s="23" t="s">
        <v>35</v>
      </c>
      <c r="F9" s="183">
        <f>21360000*S7</f>
        <v>24563999.999999996</v>
      </c>
      <c r="G9" s="183">
        <f>F9*D9</f>
        <v>24563999.999999996</v>
      </c>
      <c r="H9" s="211">
        <v>1</v>
      </c>
      <c r="I9" s="211" t="s">
        <v>35</v>
      </c>
      <c r="J9" s="242">
        <f>ROUNDUP(17447000*1.25,-3)</f>
        <v>21809000</v>
      </c>
      <c r="K9" s="243">
        <f t="shared" ref="K9:K14" si="0">J9*H9</f>
        <v>21809000</v>
      </c>
      <c r="L9" s="211">
        <v>1</v>
      </c>
      <c r="M9" s="211" t="s">
        <v>35</v>
      </c>
      <c r="N9" s="242">
        <f>ROUNDDOWN(17447000*1.25,-5)</f>
        <v>21800000</v>
      </c>
      <c r="O9" s="243">
        <f t="shared" ref="O9:O14" si="1">N9*L9</f>
        <v>21800000</v>
      </c>
      <c r="P9" s="295">
        <v>21360000</v>
      </c>
      <c r="Q9" s="263">
        <f>N9-17447000</f>
        <v>4353000</v>
      </c>
      <c r="R9" s="35">
        <f t="shared" ref="R9:R16" si="2">Q9*L9</f>
        <v>4353000</v>
      </c>
      <c r="S9" s="5">
        <v>18680000</v>
      </c>
      <c r="T9" s="268">
        <f>N9/S9</f>
        <v>1.1670235546038543</v>
      </c>
    </row>
    <row r="10" spans="1:20" s="5" customFormat="1" x14ac:dyDescent="0.25">
      <c r="A10" s="253">
        <v>2</v>
      </c>
      <c r="B10" s="254" t="s">
        <v>12</v>
      </c>
      <c r="C10" s="255" t="s">
        <v>534</v>
      </c>
      <c r="D10" s="23">
        <v>1</v>
      </c>
      <c r="E10" s="23" t="s">
        <v>35</v>
      </c>
      <c r="F10" s="183">
        <f>21360000*S7</f>
        <v>24563999.999999996</v>
      </c>
      <c r="G10" s="183">
        <f t="shared" ref="G10:G16" si="3">F10*D10</f>
        <v>24563999.999999996</v>
      </c>
      <c r="H10" s="211">
        <v>1</v>
      </c>
      <c r="I10" s="211" t="s">
        <v>35</v>
      </c>
      <c r="J10" s="242">
        <f>J9</f>
        <v>21809000</v>
      </c>
      <c r="K10" s="243">
        <f t="shared" si="0"/>
        <v>21809000</v>
      </c>
      <c r="L10" s="211">
        <v>1</v>
      </c>
      <c r="M10" s="211" t="s">
        <v>35</v>
      </c>
      <c r="N10" s="242">
        <f>ROUNDDOWN(17447000*1.25,-5)</f>
        <v>21800000</v>
      </c>
      <c r="O10" s="243">
        <f t="shared" si="1"/>
        <v>21800000</v>
      </c>
      <c r="P10" s="295">
        <v>21360000</v>
      </c>
      <c r="Q10" s="264">
        <f>Q9</f>
        <v>4353000</v>
      </c>
      <c r="R10" s="35">
        <f t="shared" si="2"/>
        <v>4353000</v>
      </c>
    </row>
    <row r="11" spans="1:20" s="5" customFormat="1" ht="31.5" x14ac:dyDescent="0.25">
      <c r="A11" s="253">
        <v>3</v>
      </c>
      <c r="B11" s="254" t="s">
        <v>10</v>
      </c>
      <c r="C11" s="255" t="s">
        <v>493</v>
      </c>
      <c r="D11" s="23">
        <v>0</v>
      </c>
      <c r="E11" s="23" t="s">
        <v>35</v>
      </c>
      <c r="F11" s="183">
        <f>18720000*S7</f>
        <v>21528000</v>
      </c>
      <c r="G11" s="183">
        <f t="shared" si="3"/>
        <v>0</v>
      </c>
      <c r="H11" s="211">
        <v>0</v>
      </c>
      <c r="I11" s="211" t="s">
        <v>35</v>
      </c>
      <c r="J11" s="242">
        <f>ROUNDUP(15837000*1.25,-3)</f>
        <v>19797000</v>
      </c>
      <c r="K11" s="243">
        <f t="shared" si="0"/>
        <v>0</v>
      </c>
      <c r="L11" s="211">
        <v>0</v>
      </c>
      <c r="M11" s="211" t="s">
        <v>35</v>
      </c>
      <c r="N11" s="242">
        <f>ROUNDDOWN(15837000*1.2,-4)</f>
        <v>19000000</v>
      </c>
      <c r="O11" s="243">
        <f t="shared" si="1"/>
        <v>0</v>
      </c>
      <c r="P11" s="295">
        <v>18720000</v>
      </c>
      <c r="Q11" s="265">
        <f>N11-15837000</f>
        <v>3163000</v>
      </c>
      <c r="R11" s="35">
        <f t="shared" si="2"/>
        <v>0</v>
      </c>
    </row>
    <row r="12" spans="1:20" s="5" customFormat="1" x14ac:dyDescent="0.25">
      <c r="A12" s="253">
        <v>4</v>
      </c>
      <c r="B12" s="254" t="s">
        <v>13</v>
      </c>
      <c r="C12" s="255" t="s">
        <v>494</v>
      </c>
      <c r="D12" s="23">
        <v>3</v>
      </c>
      <c r="E12" s="23" t="s">
        <v>35</v>
      </c>
      <c r="F12" s="183">
        <f>11900000*1.15</f>
        <v>13684999.999999998</v>
      </c>
      <c r="G12" s="183">
        <f t="shared" si="3"/>
        <v>41054999.999999993</v>
      </c>
      <c r="H12" s="211">
        <v>3</v>
      </c>
      <c r="I12" s="211" t="s">
        <v>35</v>
      </c>
      <c r="J12" s="242">
        <f>ROUNDUP(14738630,-3)</f>
        <v>14739000</v>
      </c>
      <c r="K12" s="243">
        <f t="shared" si="0"/>
        <v>44217000</v>
      </c>
      <c r="L12" s="211">
        <v>3</v>
      </c>
      <c r="M12" s="211" t="s">
        <v>35</v>
      </c>
      <c r="N12" s="250">
        <f>F12</f>
        <v>13684999.999999998</v>
      </c>
      <c r="O12" s="243">
        <f t="shared" si="1"/>
        <v>41054999.999999993</v>
      </c>
      <c r="P12" s="295">
        <v>11900000</v>
      </c>
      <c r="Q12" s="265">
        <f>N12-14738630</f>
        <v>-1053630.0000000019</v>
      </c>
      <c r="R12" s="35">
        <f t="shared" si="2"/>
        <v>-3160890.0000000056</v>
      </c>
    </row>
    <row r="13" spans="1:20" s="5" customFormat="1" x14ac:dyDescent="0.25">
      <c r="A13" s="253">
        <v>5</v>
      </c>
      <c r="B13" s="254" t="s">
        <v>495</v>
      </c>
      <c r="C13" s="255" t="s">
        <v>533</v>
      </c>
      <c r="D13" s="23">
        <v>6</v>
      </c>
      <c r="E13" s="23" t="s">
        <v>35</v>
      </c>
      <c r="F13" s="183">
        <f>9930000*S7</f>
        <v>11419500</v>
      </c>
      <c r="G13" s="183">
        <f t="shared" si="3"/>
        <v>68517000</v>
      </c>
      <c r="H13" s="211">
        <v>6</v>
      </c>
      <c r="I13" s="211" t="s">
        <v>35</v>
      </c>
      <c r="J13" s="242">
        <f>ROUNDUP(9951000*1.1,-3)</f>
        <v>10947000</v>
      </c>
      <c r="K13" s="243">
        <f t="shared" si="0"/>
        <v>65682000</v>
      </c>
      <c r="L13" s="211">
        <v>6</v>
      </c>
      <c r="M13" s="211" t="s">
        <v>35</v>
      </c>
      <c r="N13" s="250">
        <f>9930000*1.05</f>
        <v>10426500</v>
      </c>
      <c r="O13" s="243">
        <f t="shared" si="1"/>
        <v>62559000</v>
      </c>
      <c r="P13" s="295">
        <v>9930000</v>
      </c>
      <c r="Q13" s="263">
        <f>N13-9951725</f>
        <v>474775</v>
      </c>
      <c r="R13" s="35">
        <f t="shared" si="2"/>
        <v>2848650</v>
      </c>
    </row>
    <row r="14" spans="1:20" s="5" customFormat="1" x14ac:dyDescent="0.25">
      <c r="A14" s="253">
        <v>6</v>
      </c>
      <c r="B14" s="254" t="s">
        <v>414</v>
      </c>
      <c r="C14" s="255" t="s">
        <v>14</v>
      </c>
      <c r="D14" s="23">
        <v>2</v>
      </c>
      <c r="E14" s="23" t="s">
        <v>35</v>
      </c>
      <c r="F14" s="183">
        <f>5670000*S7</f>
        <v>6520499.9999999991</v>
      </c>
      <c r="G14" s="183">
        <f t="shared" si="3"/>
        <v>13040999.999999998</v>
      </c>
      <c r="H14" s="211">
        <v>2</v>
      </c>
      <c r="I14" s="211" t="s">
        <v>35</v>
      </c>
      <c r="J14" s="242">
        <f>ROUNDUP(6928416,-3)</f>
        <v>6929000</v>
      </c>
      <c r="K14" s="243">
        <f t="shared" si="0"/>
        <v>13858000</v>
      </c>
      <c r="L14" s="211">
        <v>2</v>
      </c>
      <c r="M14" s="211" t="s">
        <v>35</v>
      </c>
      <c r="N14" s="250">
        <f>F14</f>
        <v>6520499.9999999991</v>
      </c>
      <c r="O14" s="243">
        <f t="shared" si="1"/>
        <v>13040999.999999998</v>
      </c>
      <c r="P14" s="295">
        <v>5670000</v>
      </c>
      <c r="Q14" s="265">
        <f>N14-6928416</f>
        <v>-407916.00000000093</v>
      </c>
      <c r="R14" s="35">
        <f t="shared" si="2"/>
        <v>-815832.00000000186</v>
      </c>
    </row>
    <row r="15" spans="1:20" s="5" customFormat="1" x14ac:dyDescent="0.25">
      <c r="A15" s="253">
        <v>7</v>
      </c>
      <c r="B15" s="254" t="s">
        <v>15</v>
      </c>
      <c r="C15" s="255" t="s">
        <v>567</v>
      </c>
      <c r="D15" s="23">
        <v>6</v>
      </c>
      <c r="E15" s="23" t="s">
        <v>35</v>
      </c>
      <c r="F15" s="183">
        <v>5212000</v>
      </c>
      <c r="G15" s="183">
        <f t="shared" si="3"/>
        <v>31272000</v>
      </c>
      <c r="H15" s="211">
        <v>6</v>
      </c>
      <c r="I15" s="211" t="s">
        <v>35</v>
      </c>
      <c r="J15" s="242">
        <f>5000000*1.05</f>
        <v>5250000</v>
      </c>
      <c r="K15" s="243">
        <f>J15*H15</f>
        <v>31500000</v>
      </c>
      <c r="L15" s="211">
        <v>6</v>
      </c>
      <c r="M15" s="211" t="s">
        <v>35</v>
      </c>
      <c r="N15" s="242">
        <v>5100000</v>
      </c>
      <c r="O15" s="243">
        <f>N15*L15</f>
        <v>30600000</v>
      </c>
      <c r="P15" s="295">
        <v>5250000</v>
      </c>
      <c r="Q15" s="264">
        <f>N15-5000000</f>
        <v>100000</v>
      </c>
      <c r="R15" s="35">
        <f t="shared" si="2"/>
        <v>600000</v>
      </c>
    </row>
    <row r="16" spans="1:20" s="5" customFormat="1" x14ac:dyDescent="0.25">
      <c r="A16" s="253">
        <v>8</v>
      </c>
      <c r="B16" s="254" t="s">
        <v>16</v>
      </c>
      <c r="C16" s="255" t="s">
        <v>567</v>
      </c>
      <c r="D16" s="23">
        <v>8</v>
      </c>
      <c r="E16" s="23" t="s">
        <v>35</v>
      </c>
      <c r="F16" s="183">
        <v>5212000</v>
      </c>
      <c r="G16" s="183">
        <f t="shared" si="3"/>
        <v>41696000</v>
      </c>
      <c r="H16" s="211">
        <v>8</v>
      </c>
      <c r="I16" s="211" t="s">
        <v>35</v>
      </c>
      <c r="J16" s="242">
        <f>J15</f>
        <v>5250000</v>
      </c>
      <c r="K16" s="243">
        <f>J16*H16</f>
        <v>42000000</v>
      </c>
      <c r="L16" s="211">
        <v>8</v>
      </c>
      <c r="M16" s="211" t="s">
        <v>35</v>
      </c>
      <c r="N16" s="242">
        <f>N15</f>
        <v>5100000</v>
      </c>
      <c r="O16" s="243">
        <f>N16*L16</f>
        <v>40800000</v>
      </c>
      <c r="P16" s="295">
        <v>5250000</v>
      </c>
      <c r="Q16" s="264">
        <f>N16-5000000</f>
        <v>100000</v>
      </c>
      <c r="R16" s="35">
        <f t="shared" si="2"/>
        <v>800000</v>
      </c>
    </row>
    <row r="17" spans="1:19" x14ac:dyDescent="0.25">
      <c r="A17" s="430" t="s">
        <v>36</v>
      </c>
      <c r="B17" s="430"/>
      <c r="C17" s="430"/>
      <c r="D17" s="214">
        <f>SUM(D9:D16)</f>
        <v>27</v>
      </c>
      <c r="E17" s="215"/>
      <c r="F17" s="216"/>
      <c r="G17" s="217">
        <f>SUM(G9:G16)</f>
        <v>244709000</v>
      </c>
      <c r="H17" s="152"/>
      <c r="I17" s="152"/>
      <c r="J17" s="152"/>
      <c r="K17" s="244">
        <f>SUM(K9:K16)</f>
        <v>240875000</v>
      </c>
      <c r="L17" s="203">
        <f>SUM(L9:L16)</f>
        <v>27</v>
      </c>
      <c r="M17" s="152"/>
      <c r="N17" s="152"/>
      <c r="O17" s="245">
        <f>SUM(O9:O16)</f>
        <v>231655000</v>
      </c>
      <c r="P17" s="296"/>
      <c r="Q17" s="269"/>
      <c r="R17" s="266">
        <f>SUM(R9:R16)</f>
        <v>8977927.9999999925</v>
      </c>
      <c r="S17" s="267"/>
    </row>
    <row r="18" spans="1:19" x14ac:dyDescent="0.25">
      <c r="A18" s="218"/>
      <c r="B18" s="228"/>
      <c r="C18" s="229"/>
      <c r="D18" s="230"/>
      <c r="E18" s="231"/>
      <c r="F18" s="232"/>
      <c r="G18" s="233"/>
      <c r="H18" s="234"/>
      <c r="I18" s="234"/>
      <c r="J18" s="234"/>
      <c r="K18" s="234"/>
      <c r="L18" s="234"/>
      <c r="M18" s="234"/>
      <c r="N18" s="234"/>
      <c r="O18" s="235"/>
      <c r="P18" s="139"/>
    </row>
    <row r="19" spans="1:19" x14ac:dyDescent="0.25">
      <c r="A19" s="219" t="s">
        <v>25</v>
      </c>
      <c r="B19" s="431" t="s">
        <v>37</v>
      </c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297"/>
    </row>
    <row r="20" spans="1:19" x14ac:dyDescent="0.25">
      <c r="A20" s="256">
        <v>1</v>
      </c>
      <c r="B20" s="257" t="s">
        <v>19</v>
      </c>
      <c r="C20" s="258"/>
      <c r="D20" s="259">
        <v>1</v>
      </c>
      <c r="E20" s="259" t="s">
        <v>503</v>
      </c>
      <c r="F20" s="260">
        <v>3312000</v>
      </c>
      <c r="G20" s="216">
        <f>F20/6</f>
        <v>552000</v>
      </c>
      <c r="H20" s="203">
        <v>1</v>
      </c>
      <c r="I20" s="203" t="s">
        <v>503</v>
      </c>
      <c r="J20" s="260">
        <v>3312000</v>
      </c>
      <c r="K20" s="216">
        <f>J20/6</f>
        <v>552000</v>
      </c>
      <c r="L20" s="203">
        <v>1</v>
      </c>
      <c r="M20" s="203" t="s">
        <v>503</v>
      </c>
      <c r="N20" s="246">
        <f>F20</f>
        <v>3312000</v>
      </c>
      <c r="O20" s="198">
        <f>N20*L20/6</f>
        <v>552000</v>
      </c>
      <c r="P20" s="298"/>
    </row>
    <row r="21" spans="1:19" x14ac:dyDescent="0.25">
      <c r="A21" s="256">
        <v>2</v>
      </c>
      <c r="B21" s="257" t="s">
        <v>38</v>
      </c>
      <c r="C21" s="258"/>
      <c r="D21" s="259">
        <v>1</v>
      </c>
      <c r="E21" s="259" t="s">
        <v>503</v>
      </c>
      <c r="F21" s="260">
        <v>13069980</v>
      </c>
      <c r="G21" s="216">
        <f t="shared" ref="G21:G27" si="4">F21/6</f>
        <v>2178330</v>
      </c>
      <c r="H21" s="203">
        <v>1</v>
      </c>
      <c r="I21" s="203" t="s">
        <v>503</v>
      </c>
      <c r="J21" s="260">
        <v>13000000</v>
      </c>
      <c r="K21" s="216">
        <f t="shared" ref="K21:K27" si="5">J21/6</f>
        <v>2166666.6666666665</v>
      </c>
      <c r="L21" s="203">
        <v>1</v>
      </c>
      <c r="M21" s="203" t="s">
        <v>503</v>
      </c>
      <c r="N21" s="246">
        <f>J21</f>
        <v>13000000</v>
      </c>
      <c r="O21" s="198">
        <f t="shared" ref="O21:O27" si="6">N21*L21/6</f>
        <v>2166666.6666666665</v>
      </c>
      <c r="P21" s="298"/>
    </row>
    <row r="22" spans="1:19" x14ac:dyDescent="0.25">
      <c r="A22" s="256">
        <v>3</v>
      </c>
      <c r="B22" s="257" t="s">
        <v>39</v>
      </c>
      <c r="C22" s="258"/>
      <c r="D22" s="259">
        <v>1</v>
      </c>
      <c r="E22" s="259" t="s">
        <v>503</v>
      </c>
      <c r="F22" s="260">
        <v>8832000</v>
      </c>
      <c r="G22" s="216">
        <f t="shared" si="4"/>
        <v>1472000</v>
      </c>
      <c r="H22" s="203">
        <v>1</v>
      </c>
      <c r="I22" s="203" t="s">
        <v>503</v>
      </c>
      <c r="J22" s="260">
        <v>8832000</v>
      </c>
      <c r="K22" s="216">
        <f t="shared" si="5"/>
        <v>1472000</v>
      </c>
      <c r="L22" s="203">
        <v>1</v>
      </c>
      <c r="M22" s="203" t="s">
        <v>503</v>
      </c>
      <c r="N22" s="246">
        <f t="shared" ref="N22:N28" si="7">F22</f>
        <v>8832000</v>
      </c>
      <c r="O22" s="198">
        <f t="shared" si="6"/>
        <v>1472000</v>
      </c>
      <c r="P22" s="298"/>
    </row>
    <row r="23" spans="1:19" x14ac:dyDescent="0.25">
      <c r="A23" s="256">
        <v>4</v>
      </c>
      <c r="B23" s="257" t="s">
        <v>40</v>
      </c>
      <c r="C23" s="258"/>
      <c r="D23" s="259">
        <v>1</v>
      </c>
      <c r="E23" s="259" t="s">
        <v>503</v>
      </c>
      <c r="F23" s="260">
        <v>8832000</v>
      </c>
      <c r="G23" s="216">
        <f t="shared" si="4"/>
        <v>1472000</v>
      </c>
      <c r="H23" s="203">
        <v>1</v>
      </c>
      <c r="I23" s="203" t="s">
        <v>503</v>
      </c>
      <c r="J23" s="260">
        <v>8832000</v>
      </c>
      <c r="K23" s="216">
        <f t="shared" si="5"/>
        <v>1472000</v>
      </c>
      <c r="L23" s="203">
        <v>1</v>
      </c>
      <c r="M23" s="203" t="s">
        <v>503</v>
      </c>
      <c r="N23" s="246">
        <f t="shared" si="7"/>
        <v>8832000</v>
      </c>
      <c r="O23" s="198">
        <f t="shared" si="6"/>
        <v>1472000</v>
      </c>
      <c r="P23" s="298"/>
    </row>
    <row r="24" spans="1:19" x14ac:dyDescent="0.25">
      <c r="A24" s="256">
        <v>5</v>
      </c>
      <c r="B24" s="257" t="s">
        <v>41</v>
      </c>
      <c r="C24" s="258"/>
      <c r="D24" s="259">
        <v>1</v>
      </c>
      <c r="E24" s="259" t="s">
        <v>503</v>
      </c>
      <c r="F24" s="260">
        <v>1656000</v>
      </c>
      <c r="G24" s="216">
        <f t="shared" si="4"/>
        <v>276000</v>
      </c>
      <c r="H24" s="203">
        <v>1</v>
      </c>
      <c r="I24" s="203" t="s">
        <v>503</v>
      </c>
      <c r="J24" s="260">
        <v>1656000</v>
      </c>
      <c r="K24" s="216">
        <f t="shared" si="5"/>
        <v>276000</v>
      </c>
      <c r="L24" s="203">
        <v>1</v>
      </c>
      <c r="M24" s="203" t="s">
        <v>503</v>
      </c>
      <c r="N24" s="246">
        <f t="shared" si="7"/>
        <v>1656000</v>
      </c>
      <c r="O24" s="198">
        <f t="shared" si="6"/>
        <v>276000</v>
      </c>
      <c r="P24" s="298"/>
    </row>
    <row r="25" spans="1:19" x14ac:dyDescent="0.25">
      <c r="A25" s="256">
        <v>6</v>
      </c>
      <c r="B25" s="257" t="s">
        <v>21</v>
      </c>
      <c r="C25" s="258"/>
      <c r="D25" s="259">
        <v>1</v>
      </c>
      <c r="E25" s="259" t="s">
        <v>503</v>
      </c>
      <c r="F25" s="260">
        <v>1656000</v>
      </c>
      <c r="G25" s="216">
        <f t="shared" si="4"/>
        <v>276000</v>
      </c>
      <c r="H25" s="203">
        <v>1</v>
      </c>
      <c r="I25" s="203" t="s">
        <v>503</v>
      </c>
      <c r="J25" s="260">
        <v>1656000</v>
      </c>
      <c r="K25" s="216">
        <f t="shared" si="5"/>
        <v>276000</v>
      </c>
      <c r="L25" s="203">
        <v>1</v>
      </c>
      <c r="M25" s="203" t="s">
        <v>503</v>
      </c>
      <c r="N25" s="246">
        <f t="shared" si="7"/>
        <v>1656000</v>
      </c>
      <c r="O25" s="198">
        <f t="shared" si="6"/>
        <v>276000</v>
      </c>
      <c r="P25" s="298"/>
    </row>
    <row r="26" spans="1:19" x14ac:dyDescent="0.25">
      <c r="A26" s="256">
        <v>7</v>
      </c>
      <c r="B26" s="257" t="s">
        <v>22</v>
      </c>
      <c r="C26" s="258"/>
      <c r="D26" s="259">
        <v>1</v>
      </c>
      <c r="E26" s="259" t="s">
        <v>503</v>
      </c>
      <c r="F26" s="260">
        <v>9935999.9999999981</v>
      </c>
      <c r="G26" s="216">
        <f t="shared" si="4"/>
        <v>1655999.9999999998</v>
      </c>
      <c r="H26" s="203">
        <v>1</v>
      </c>
      <c r="I26" s="203" t="s">
        <v>503</v>
      </c>
      <c r="J26" s="260">
        <v>9500000</v>
      </c>
      <c r="K26" s="216">
        <f t="shared" si="5"/>
        <v>1583333.3333333333</v>
      </c>
      <c r="L26" s="203">
        <v>1</v>
      </c>
      <c r="M26" s="203" t="s">
        <v>503</v>
      </c>
      <c r="N26" s="246">
        <f>J26</f>
        <v>9500000</v>
      </c>
      <c r="O26" s="198">
        <f t="shared" si="6"/>
        <v>1583333.3333333333</v>
      </c>
      <c r="P26" s="298"/>
    </row>
    <row r="27" spans="1:19" x14ac:dyDescent="0.25">
      <c r="A27" s="256">
        <v>8</v>
      </c>
      <c r="B27" s="257" t="s">
        <v>23</v>
      </c>
      <c r="C27" s="258"/>
      <c r="D27" s="259">
        <v>1</v>
      </c>
      <c r="E27" s="259" t="s">
        <v>503</v>
      </c>
      <c r="F27" s="260">
        <v>12143999.999999998</v>
      </c>
      <c r="G27" s="216">
        <f t="shared" si="4"/>
        <v>2023999.9999999998</v>
      </c>
      <c r="H27" s="203">
        <v>1</v>
      </c>
      <c r="I27" s="203" t="s">
        <v>503</v>
      </c>
      <c r="J27" s="260">
        <v>12000000</v>
      </c>
      <c r="K27" s="216">
        <f t="shared" si="5"/>
        <v>2000000</v>
      </c>
      <c r="L27" s="203">
        <v>1</v>
      </c>
      <c r="M27" s="203" t="s">
        <v>503</v>
      </c>
      <c r="N27" s="246">
        <f>J27</f>
        <v>12000000</v>
      </c>
      <c r="O27" s="198">
        <f t="shared" si="6"/>
        <v>2000000</v>
      </c>
      <c r="P27" s="298"/>
    </row>
    <row r="28" spans="1:19" hidden="1" x14ac:dyDescent="0.25">
      <c r="A28" s="220">
        <v>11</v>
      </c>
      <c r="B28" s="221" t="e">
        <f>#REF!</f>
        <v>#REF!</v>
      </c>
      <c r="C28" s="222"/>
      <c r="D28" s="215" t="e">
        <f>#REF!</f>
        <v>#REF!</v>
      </c>
      <c r="E28" s="215" t="e">
        <f>#REF!</f>
        <v>#REF!</v>
      </c>
      <c r="F28" s="216">
        <v>12143999.999999998</v>
      </c>
      <c r="G28" s="216" t="e">
        <f t="shared" ref="G28" si="8">F28*D28/12</f>
        <v>#REF!</v>
      </c>
      <c r="H28" s="152"/>
      <c r="I28" s="152"/>
      <c r="J28" s="152"/>
      <c r="K28" s="152"/>
      <c r="L28" s="152"/>
      <c r="M28" s="152"/>
      <c r="N28" s="246">
        <f t="shared" si="7"/>
        <v>12143999.999999998</v>
      </c>
      <c r="O28" s="152"/>
      <c r="P28" s="139"/>
    </row>
    <row r="29" spans="1:19" ht="15.75" customHeight="1" x14ac:dyDescent="0.25">
      <c r="A29" s="430" t="s">
        <v>42</v>
      </c>
      <c r="B29" s="430"/>
      <c r="C29" s="430"/>
      <c r="D29" s="223"/>
      <c r="E29" s="214"/>
      <c r="F29" s="217"/>
      <c r="G29" s="223">
        <f>SUM(G20:G27)</f>
        <v>9906330</v>
      </c>
      <c r="H29" s="152"/>
      <c r="I29" s="152"/>
      <c r="J29" s="152"/>
      <c r="K29" s="223">
        <f>SUM(K20:K27)</f>
        <v>9798000</v>
      </c>
      <c r="L29" s="152"/>
      <c r="M29" s="152"/>
      <c r="N29" s="152"/>
      <c r="O29" s="245">
        <f>SUM(O20:O27)</f>
        <v>9798000</v>
      </c>
      <c r="P29" s="296"/>
    </row>
    <row r="30" spans="1:19" s="15" customFormat="1" x14ac:dyDescent="0.25">
      <c r="A30" s="218"/>
      <c r="B30" s="228"/>
      <c r="C30" s="229"/>
      <c r="D30" s="230"/>
      <c r="E30" s="231"/>
      <c r="F30" s="232"/>
      <c r="G30" s="233"/>
      <c r="H30" s="236"/>
      <c r="I30" s="236"/>
      <c r="J30" s="236"/>
      <c r="K30" s="236"/>
      <c r="L30" s="236"/>
      <c r="M30" s="236"/>
      <c r="N30" s="236"/>
      <c r="O30" s="237"/>
      <c r="P30" s="299"/>
    </row>
    <row r="31" spans="1:19" x14ac:dyDescent="0.25">
      <c r="A31" s="219" t="s">
        <v>26</v>
      </c>
      <c r="B31" s="431" t="s">
        <v>43</v>
      </c>
      <c r="C31" s="431"/>
      <c r="D31" s="431"/>
      <c r="E31" s="431"/>
      <c r="F31" s="431"/>
      <c r="G31" s="431"/>
      <c r="H31" s="431"/>
      <c r="I31" s="431"/>
      <c r="J31" s="431"/>
      <c r="K31" s="431"/>
      <c r="L31" s="431"/>
      <c r="M31" s="431"/>
      <c r="N31" s="431"/>
      <c r="O31" s="431"/>
      <c r="P31" s="297"/>
    </row>
    <row r="32" spans="1:19" x14ac:dyDescent="0.25">
      <c r="A32" s="220">
        <v>1</v>
      </c>
      <c r="B32" s="224" t="s">
        <v>27</v>
      </c>
      <c r="C32" s="150"/>
      <c r="D32" s="225">
        <v>1</v>
      </c>
      <c r="E32" s="225" t="s">
        <v>503</v>
      </c>
      <c r="F32" s="226">
        <v>75360000</v>
      </c>
      <c r="G32" s="227">
        <f>F32/6</f>
        <v>12560000</v>
      </c>
      <c r="H32" s="203">
        <v>1</v>
      </c>
      <c r="I32" s="203" t="s">
        <v>503</v>
      </c>
      <c r="J32" s="226">
        <f>K32*6</f>
        <v>72000000</v>
      </c>
      <c r="K32" s="227">
        <v>12000000</v>
      </c>
      <c r="L32" s="203">
        <v>1</v>
      </c>
      <c r="M32" s="203" t="s">
        <v>503</v>
      </c>
      <c r="N32" s="198">
        <f>O32*6</f>
        <v>64680000</v>
      </c>
      <c r="O32" s="199">
        <v>10780000</v>
      </c>
      <c r="P32" s="300"/>
      <c r="Q32" s="137"/>
      <c r="R32" s="138"/>
      <c r="S32" s="138"/>
    </row>
    <row r="33" spans="1:16" x14ac:dyDescent="0.25">
      <c r="A33" s="220">
        <v>2</v>
      </c>
      <c r="B33" s="224" t="s">
        <v>28</v>
      </c>
      <c r="C33" s="150"/>
      <c r="D33" s="225">
        <v>1</v>
      </c>
      <c r="E33" s="225" t="s">
        <v>503</v>
      </c>
      <c r="F33" s="226">
        <v>900000</v>
      </c>
      <c r="G33" s="227">
        <f t="shared" ref="G33:G42" si="9">F33/6</f>
        <v>150000</v>
      </c>
      <c r="H33" s="203">
        <v>1</v>
      </c>
      <c r="I33" s="203" t="s">
        <v>503</v>
      </c>
      <c r="J33" s="226">
        <v>900000</v>
      </c>
      <c r="K33" s="227">
        <f t="shared" ref="K33:K38" si="10">J33/6</f>
        <v>150000</v>
      </c>
      <c r="L33" s="203">
        <v>1</v>
      </c>
      <c r="M33" s="203" t="s">
        <v>503</v>
      </c>
      <c r="N33" s="198">
        <f>F33</f>
        <v>900000</v>
      </c>
      <c r="O33" s="199">
        <f t="shared" ref="O33:O42" si="11">N33*L33/6</f>
        <v>150000</v>
      </c>
      <c r="P33" s="300"/>
    </row>
    <row r="34" spans="1:16" s="15" customFormat="1" x14ac:dyDescent="0.25">
      <c r="A34" s="220">
        <v>3</v>
      </c>
      <c r="B34" s="224" t="s">
        <v>492</v>
      </c>
      <c r="C34" s="150"/>
      <c r="D34" s="225">
        <v>1</v>
      </c>
      <c r="E34" s="225" t="s">
        <v>503</v>
      </c>
      <c r="F34" s="226">
        <v>34020000</v>
      </c>
      <c r="G34" s="227">
        <f t="shared" si="9"/>
        <v>5670000</v>
      </c>
      <c r="H34" s="176">
        <v>1</v>
      </c>
      <c r="I34" s="176" t="s">
        <v>503</v>
      </c>
      <c r="J34" s="226">
        <f>K34*6</f>
        <v>33000000</v>
      </c>
      <c r="K34" s="227">
        <v>5500000</v>
      </c>
      <c r="L34" s="176">
        <v>1</v>
      </c>
      <c r="M34" s="176" t="s">
        <v>503</v>
      </c>
      <c r="N34" s="247">
        <f>J34</f>
        <v>33000000</v>
      </c>
      <c r="O34" s="199">
        <f t="shared" si="11"/>
        <v>5500000</v>
      </c>
      <c r="P34" s="300"/>
    </row>
    <row r="35" spans="1:16" x14ac:dyDescent="0.25">
      <c r="A35" s="220">
        <v>4</v>
      </c>
      <c r="B35" s="224" t="s">
        <v>29</v>
      </c>
      <c r="C35" s="150"/>
      <c r="D35" s="225">
        <v>1</v>
      </c>
      <c r="E35" s="225" t="s">
        <v>503</v>
      </c>
      <c r="F35" s="226">
        <v>18900000</v>
      </c>
      <c r="G35" s="227">
        <f t="shared" si="9"/>
        <v>3150000</v>
      </c>
      <c r="H35" s="203">
        <v>1</v>
      </c>
      <c r="I35" s="203" t="s">
        <v>503</v>
      </c>
      <c r="J35" s="226">
        <f>F35</f>
        <v>18900000</v>
      </c>
      <c r="K35" s="227">
        <f t="shared" si="10"/>
        <v>3150000</v>
      </c>
      <c r="L35" s="203">
        <v>1</v>
      </c>
      <c r="M35" s="203" t="s">
        <v>503</v>
      </c>
      <c r="N35" s="198">
        <f>F35</f>
        <v>18900000</v>
      </c>
      <c r="O35" s="199">
        <f t="shared" si="11"/>
        <v>3150000</v>
      </c>
      <c r="P35" s="300">
        <f>N35/27/2</f>
        <v>350000</v>
      </c>
    </row>
    <row r="36" spans="1:16" s="16" customFormat="1" x14ac:dyDescent="0.25">
      <c r="A36" s="220">
        <v>5</v>
      </c>
      <c r="B36" s="224" t="s">
        <v>504</v>
      </c>
      <c r="C36" s="227"/>
      <c r="D36" s="225">
        <v>1</v>
      </c>
      <c r="E36" s="225" t="s">
        <v>503</v>
      </c>
      <c r="F36" s="226">
        <v>17550000</v>
      </c>
      <c r="G36" s="227">
        <f t="shared" si="9"/>
        <v>2925000</v>
      </c>
      <c r="H36" s="238">
        <v>1</v>
      </c>
      <c r="I36" s="238" t="s">
        <v>503</v>
      </c>
      <c r="J36" s="226">
        <f>F36</f>
        <v>17550000</v>
      </c>
      <c r="K36" s="227">
        <f t="shared" si="10"/>
        <v>2925000</v>
      </c>
      <c r="L36" s="238">
        <v>1</v>
      </c>
      <c r="M36" s="238" t="s">
        <v>503</v>
      </c>
      <c r="N36" s="248">
        <f>F36</f>
        <v>17550000</v>
      </c>
      <c r="O36" s="199">
        <f t="shared" si="11"/>
        <v>2925000</v>
      </c>
      <c r="P36" s="300">
        <f>N36/27</f>
        <v>650000</v>
      </c>
    </row>
    <row r="37" spans="1:16" x14ac:dyDescent="0.25">
      <c r="A37" s="220">
        <v>6</v>
      </c>
      <c r="B37" s="224" t="s">
        <v>30</v>
      </c>
      <c r="C37" s="150"/>
      <c r="D37" s="225">
        <v>1</v>
      </c>
      <c r="E37" s="225" t="s">
        <v>503</v>
      </c>
      <c r="F37" s="226">
        <v>102045000</v>
      </c>
      <c r="G37" s="227">
        <f t="shared" si="9"/>
        <v>17007500</v>
      </c>
      <c r="H37" s="203">
        <v>1</v>
      </c>
      <c r="I37" s="203" t="s">
        <v>503</v>
      </c>
      <c r="J37" s="226">
        <v>101000000</v>
      </c>
      <c r="K37" s="227">
        <f>J37/6</f>
        <v>16833333.333333332</v>
      </c>
      <c r="L37" s="203">
        <v>1</v>
      </c>
      <c r="M37" s="203" t="s">
        <v>503</v>
      </c>
      <c r="N37" s="198">
        <f>ROUNDDOWN(F37/1.02,-3)</f>
        <v>100044000</v>
      </c>
      <c r="O37" s="199">
        <f>N37/6</f>
        <v>16674000</v>
      </c>
      <c r="P37" s="300">
        <f>N37/27/6</f>
        <v>617555.55555555562</v>
      </c>
    </row>
    <row r="38" spans="1:16" s="15" customFormat="1" x14ac:dyDescent="0.25">
      <c r="A38" s="220">
        <v>7</v>
      </c>
      <c r="B38" s="224" t="s">
        <v>415</v>
      </c>
      <c r="C38" s="150"/>
      <c r="D38" s="225">
        <v>1</v>
      </c>
      <c r="E38" s="225" t="s">
        <v>503</v>
      </c>
      <c r="F38" s="226">
        <v>6600000</v>
      </c>
      <c r="G38" s="227">
        <f t="shared" si="9"/>
        <v>1100000</v>
      </c>
      <c r="H38" s="176">
        <v>1</v>
      </c>
      <c r="I38" s="176" t="s">
        <v>503</v>
      </c>
      <c r="J38" s="226">
        <v>6600000</v>
      </c>
      <c r="K38" s="227">
        <f t="shared" si="10"/>
        <v>1100000</v>
      </c>
      <c r="L38" s="176">
        <v>1</v>
      </c>
      <c r="M38" s="176" t="s">
        <v>503</v>
      </c>
      <c r="N38" s="247">
        <f>J38</f>
        <v>6600000</v>
      </c>
      <c r="O38" s="199">
        <f>N38*L38/6</f>
        <v>1100000</v>
      </c>
      <c r="P38" s="300"/>
    </row>
    <row r="39" spans="1:16" s="17" customFormat="1" x14ac:dyDescent="0.25">
      <c r="A39" s="220">
        <v>8</v>
      </c>
      <c r="B39" s="224" t="s">
        <v>505</v>
      </c>
      <c r="C39" s="227"/>
      <c r="D39" s="225">
        <v>1</v>
      </c>
      <c r="E39" s="225" t="s">
        <v>503</v>
      </c>
      <c r="F39" s="226">
        <v>32205000</v>
      </c>
      <c r="G39" s="227">
        <f t="shared" si="9"/>
        <v>5367500</v>
      </c>
      <c r="H39" s="239">
        <v>1</v>
      </c>
      <c r="I39" s="239" t="s">
        <v>503</v>
      </c>
      <c r="J39" s="226">
        <f>K39*6</f>
        <v>31800000</v>
      </c>
      <c r="K39" s="227">
        <v>5300000</v>
      </c>
      <c r="L39" s="239">
        <v>1</v>
      </c>
      <c r="M39" s="239" t="s">
        <v>503</v>
      </c>
      <c r="N39" s="249">
        <v>31500000</v>
      </c>
      <c r="O39" s="199">
        <f t="shared" si="11"/>
        <v>5250000</v>
      </c>
      <c r="P39" s="300"/>
    </row>
    <row r="40" spans="1:16" s="15" customFormat="1" x14ac:dyDescent="0.25">
      <c r="A40" s="220">
        <v>9</v>
      </c>
      <c r="B40" s="224" t="s">
        <v>7</v>
      </c>
      <c r="C40" s="150"/>
      <c r="D40" s="225">
        <v>1</v>
      </c>
      <c r="E40" s="225" t="s">
        <v>503</v>
      </c>
      <c r="F40" s="226">
        <v>11700000</v>
      </c>
      <c r="G40" s="227">
        <f t="shared" si="9"/>
        <v>1950000</v>
      </c>
      <c r="H40" s="176">
        <v>1</v>
      </c>
      <c r="I40" s="176" t="s">
        <v>503</v>
      </c>
      <c r="J40" s="226">
        <f>F40</f>
        <v>11700000</v>
      </c>
      <c r="K40" s="227">
        <v>2300000</v>
      </c>
      <c r="L40" s="176">
        <v>1</v>
      </c>
      <c r="M40" s="176" t="s">
        <v>503</v>
      </c>
      <c r="N40" s="247">
        <f>J40</f>
        <v>11700000</v>
      </c>
      <c r="O40" s="199">
        <f t="shared" si="11"/>
        <v>1950000</v>
      </c>
      <c r="P40" s="300"/>
    </row>
    <row r="41" spans="1:16" s="15" customFormat="1" x14ac:dyDescent="0.25">
      <c r="A41" s="220">
        <v>10</v>
      </c>
      <c r="B41" s="224" t="s">
        <v>502</v>
      </c>
      <c r="C41" s="150"/>
      <c r="D41" s="225">
        <v>1</v>
      </c>
      <c r="E41" s="225" t="s">
        <v>503</v>
      </c>
      <c r="F41" s="226">
        <v>7092000</v>
      </c>
      <c r="G41" s="227">
        <f t="shared" si="9"/>
        <v>1182000</v>
      </c>
      <c r="H41" s="176">
        <v>1</v>
      </c>
      <c r="I41" s="176" t="s">
        <v>503</v>
      </c>
      <c r="J41" s="226">
        <f>K41*6</f>
        <v>7080000</v>
      </c>
      <c r="K41" s="227">
        <v>1180000</v>
      </c>
      <c r="L41" s="176">
        <v>1</v>
      </c>
      <c r="M41" s="176" t="s">
        <v>503</v>
      </c>
      <c r="N41" s="247">
        <v>7050000</v>
      </c>
      <c r="O41" s="199">
        <f t="shared" si="11"/>
        <v>1175000</v>
      </c>
      <c r="P41" s="300"/>
    </row>
    <row r="42" spans="1:16" s="15" customFormat="1" x14ac:dyDescent="0.25">
      <c r="A42" s="220">
        <v>11</v>
      </c>
      <c r="B42" s="224" t="s">
        <v>507</v>
      </c>
      <c r="C42" s="150"/>
      <c r="D42" s="225">
        <v>1</v>
      </c>
      <c r="E42" s="225" t="s">
        <v>503</v>
      </c>
      <c r="F42" s="226">
        <v>11039999.999999998</v>
      </c>
      <c r="G42" s="227">
        <f t="shared" si="9"/>
        <v>1839999.9999999998</v>
      </c>
      <c r="H42" s="176">
        <v>1</v>
      </c>
      <c r="I42" s="176" t="s">
        <v>503</v>
      </c>
      <c r="J42" s="226">
        <f>K42*6</f>
        <v>10200000</v>
      </c>
      <c r="K42" s="227">
        <v>1700000</v>
      </c>
      <c r="L42" s="176">
        <v>1</v>
      </c>
      <c r="M42" s="176" t="s">
        <v>503</v>
      </c>
      <c r="N42" s="247">
        <f>J42</f>
        <v>10200000</v>
      </c>
      <c r="O42" s="199">
        <f t="shared" si="11"/>
        <v>1700000</v>
      </c>
      <c r="P42" s="300"/>
    </row>
    <row r="43" spans="1:16" x14ac:dyDescent="0.25">
      <c r="A43" s="430" t="s">
        <v>44</v>
      </c>
      <c r="B43" s="430"/>
      <c r="C43" s="430"/>
      <c r="D43" s="223"/>
      <c r="E43" s="223"/>
      <c r="F43" s="217"/>
      <c r="G43" s="223">
        <f>SUM(G32:G42)</f>
        <v>52902000</v>
      </c>
      <c r="H43" s="152"/>
      <c r="I43" s="152"/>
      <c r="J43" s="152"/>
      <c r="K43" s="223">
        <f>SUM(K32:K42)</f>
        <v>52138333.333333328</v>
      </c>
      <c r="L43" s="152"/>
      <c r="M43" s="152"/>
      <c r="N43" s="152"/>
      <c r="O43" s="245">
        <f>SUM(O32:O42)</f>
        <v>50354000</v>
      </c>
      <c r="P43" s="296"/>
    </row>
    <row r="44" spans="1:16" ht="7.35" customHeight="1" x14ac:dyDescent="0.25">
      <c r="A44" s="24"/>
      <c r="B44" s="25"/>
      <c r="C44" s="26"/>
      <c r="D44" s="27"/>
      <c r="E44" s="26"/>
      <c r="F44" s="28"/>
      <c r="G44" s="27"/>
    </row>
    <row r="45" spans="1:16" ht="17.25" x14ac:dyDescent="0.3">
      <c r="A45" s="24"/>
      <c r="B45" s="25"/>
      <c r="C45" s="29"/>
      <c r="D45" s="30"/>
      <c r="E45" s="329"/>
      <c r="F45" s="329"/>
      <c r="G45" s="329"/>
      <c r="O45" s="303"/>
      <c r="P45" s="138">
        <f>O45*6</f>
        <v>0</v>
      </c>
    </row>
    <row r="46" spans="1:16" x14ac:dyDescent="0.25">
      <c r="A46" s="24"/>
      <c r="B46" s="25"/>
      <c r="C46" s="29"/>
      <c r="D46" s="30"/>
      <c r="E46" s="29"/>
      <c r="F46" s="31"/>
      <c r="G46" s="32"/>
    </row>
    <row r="47" spans="1:16" ht="17.25" x14ac:dyDescent="0.3">
      <c r="B47" s="3"/>
      <c r="E47" s="437"/>
      <c r="F47" s="437"/>
      <c r="G47" s="437"/>
    </row>
    <row r="48" spans="1:16" ht="17.25" customHeight="1" x14ac:dyDescent="0.3">
      <c r="B48" s="6"/>
      <c r="D48" s="33"/>
      <c r="F48" s="6"/>
      <c r="J48" s="139"/>
      <c r="K48" s="425" t="s">
        <v>591</v>
      </c>
      <c r="L48" s="425"/>
      <c r="M48" s="425"/>
    </row>
    <row r="49" spans="1:12" ht="17.25" x14ac:dyDescent="0.3">
      <c r="B49" s="6"/>
      <c r="D49" s="33"/>
      <c r="F49" s="4"/>
      <c r="G49" s="4"/>
      <c r="J49" s="139"/>
    </row>
    <row r="50" spans="1:12" ht="18" x14ac:dyDescent="0.25">
      <c r="B50" s="320" t="s">
        <v>575</v>
      </c>
      <c r="D50" s="436" t="s">
        <v>576</v>
      </c>
      <c r="E50" s="436"/>
      <c r="F50" s="6"/>
      <c r="G50" s="312"/>
      <c r="H50" s="313"/>
      <c r="K50" s="314" t="s">
        <v>577</v>
      </c>
      <c r="L50" s="315"/>
    </row>
    <row r="51" spans="1:12" x14ac:dyDescent="0.25">
      <c r="B51" s="318" t="s">
        <v>578</v>
      </c>
      <c r="D51" s="316" t="s">
        <v>579</v>
      </c>
      <c r="E51" s="148"/>
      <c r="F51" s="6"/>
      <c r="H51" s="6" t="s">
        <v>580</v>
      </c>
      <c r="L51" s="137"/>
    </row>
    <row r="52" spans="1:12" x14ac:dyDescent="0.25">
      <c r="B52" s="318" t="s">
        <v>581</v>
      </c>
      <c r="D52" s="316"/>
      <c r="E52" s="148"/>
      <c r="F52" s="6"/>
      <c r="L52" s="137"/>
    </row>
    <row r="53" spans="1:12" x14ac:dyDescent="0.25">
      <c r="B53" s="147"/>
      <c r="D53" s="6" t="s">
        <v>582</v>
      </c>
      <c r="E53" s="148"/>
      <c r="F53" s="6"/>
      <c r="G53" s="6" t="s">
        <v>580</v>
      </c>
      <c r="H53" s="317"/>
      <c r="K53" s="6" t="s">
        <v>509</v>
      </c>
      <c r="L53" s="137" t="s">
        <v>589</v>
      </c>
    </row>
    <row r="54" spans="1:12" x14ac:dyDescent="0.25">
      <c r="B54" s="147"/>
      <c r="E54" s="148"/>
      <c r="F54" s="6"/>
      <c r="H54" s="317"/>
      <c r="I54" s="147"/>
      <c r="L54" s="15"/>
    </row>
    <row r="55" spans="1:12" x14ac:dyDescent="0.25">
      <c r="A55" s="328"/>
      <c r="B55" s="147"/>
      <c r="D55" s="6" t="s">
        <v>583</v>
      </c>
      <c r="E55" s="148"/>
      <c r="F55" s="6"/>
      <c r="H55" s="6" t="s">
        <v>580</v>
      </c>
      <c r="I55" s="147"/>
      <c r="K55" s="15"/>
    </row>
    <row r="56" spans="1:12" x14ac:dyDescent="0.25">
      <c r="A56" s="328"/>
      <c r="B56" s="147"/>
      <c r="E56" s="148"/>
      <c r="F56" s="6"/>
      <c r="I56" s="147"/>
      <c r="K56" s="15"/>
    </row>
    <row r="57" spans="1:12" x14ac:dyDescent="0.25">
      <c r="B57" s="306" t="s">
        <v>588</v>
      </c>
      <c r="D57" s="6" t="s">
        <v>584</v>
      </c>
      <c r="E57" s="148"/>
      <c r="F57" s="6"/>
      <c r="G57" s="6" t="s">
        <v>580</v>
      </c>
      <c r="H57" s="317"/>
      <c r="I57" s="147"/>
      <c r="K57" s="15"/>
    </row>
    <row r="58" spans="1:12" x14ac:dyDescent="0.25">
      <c r="B58" s="307"/>
      <c r="C58" s="147"/>
      <c r="E58" s="148"/>
      <c r="F58" s="6"/>
      <c r="H58" s="317"/>
      <c r="I58" s="147"/>
      <c r="K58" s="15"/>
    </row>
    <row r="59" spans="1:12" x14ac:dyDescent="0.25">
      <c r="D59" s="6" t="s">
        <v>585</v>
      </c>
      <c r="E59" s="148"/>
      <c r="F59" s="6"/>
      <c r="H59" s="6" t="s">
        <v>580</v>
      </c>
      <c r="I59" s="147"/>
      <c r="K59" s="15"/>
    </row>
    <row r="60" spans="1:12" x14ac:dyDescent="0.25">
      <c r="A60" s="328"/>
      <c r="C60" s="147"/>
      <c r="E60" s="148"/>
      <c r="F60" s="6"/>
      <c r="I60" s="147"/>
      <c r="K60" s="15"/>
    </row>
    <row r="61" spans="1:12" x14ac:dyDescent="0.25">
      <c r="C61" s="147"/>
      <c r="D61" s="6" t="s">
        <v>586</v>
      </c>
      <c r="F61" s="6"/>
      <c r="G61" s="6" t="s">
        <v>580</v>
      </c>
      <c r="H61" s="319"/>
      <c r="I61" s="147"/>
      <c r="K61" s="15"/>
    </row>
    <row r="62" spans="1:12" x14ac:dyDescent="0.25">
      <c r="B62" s="307"/>
      <c r="C62" s="147"/>
      <c r="F62" s="6"/>
      <c r="H62" s="319"/>
      <c r="I62" s="147"/>
      <c r="K62" s="15"/>
    </row>
    <row r="63" spans="1:12" x14ac:dyDescent="0.25">
      <c r="B63" s="6"/>
      <c r="C63" s="147"/>
      <c r="D63" s="6" t="s">
        <v>587</v>
      </c>
      <c r="F63" s="6"/>
      <c r="H63" s="6" t="s">
        <v>580</v>
      </c>
      <c r="I63" s="147"/>
      <c r="K63" s="15"/>
    </row>
  </sheetData>
  <mergeCells count="23">
    <mergeCell ref="K48:M48"/>
    <mergeCell ref="D50:E50"/>
    <mergeCell ref="D6:D7"/>
    <mergeCell ref="E6:E7"/>
    <mergeCell ref="A43:C43"/>
    <mergeCell ref="E47:G47"/>
    <mergeCell ref="B31:O31"/>
    <mergeCell ref="A1:O1"/>
    <mergeCell ref="A2:O2"/>
    <mergeCell ref="A3:O3"/>
    <mergeCell ref="A17:C17"/>
    <mergeCell ref="A29:C29"/>
    <mergeCell ref="B19:O19"/>
    <mergeCell ref="A5:A7"/>
    <mergeCell ref="H6:H7"/>
    <mergeCell ref="I6:I7"/>
    <mergeCell ref="L6:L7"/>
    <mergeCell ref="M6:M7"/>
    <mergeCell ref="B8:O8"/>
    <mergeCell ref="B5:C7"/>
    <mergeCell ref="D5:G5"/>
    <mergeCell ref="H5:K5"/>
    <mergeCell ref="L5:O5"/>
  </mergeCells>
  <printOptions horizontalCentered="1"/>
  <pageMargins left="0.35433070866141736" right="0" top="0.35433070866141736" bottom="0" header="0.27559055118110237" footer="0.15748031496062992"/>
  <pageSetup paperSize="8" scale="73" orientation="landscape" horizontalDpi="360" verticalDpi="360" r:id="rId1"/>
  <rowBreaks count="1" manualBreakCount="1">
    <brk id="39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M58"/>
  <sheetViews>
    <sheetView zoomScale="84" zoomScaleNormal="84" zoomScaleSheetLayoutView="100" workbookViewId="0">
      <selection activeCell="E26" sqref="E26"/>
    </sheetView>
  </sheetViews>
  <sheetFormatPr defaultColWidth="9" defaultRowHeight="15.75" x14ac:dyDescent="0.25"/>
  <cols>
    <col min="1" max="1" width="6" style="18" customWidth="1"/>
    <col min="2" max="2" width="29.625" style="19" customWidth="1"/>
    <col min="3" max="3" width="35.125" style="6" customWidth="1"/>
    <col min="4" max="4" width="6.625" style="6" customWidth="1"/>
    <col min="5" max="5" width="7.75" style="6" customWidth="1"/>
    <col min="6" max="6" width="13.625" style="6" customWidth="1"/>
    <col min="7" max="7" width="14.125" style="6" customWidth="1"/>
    <col min="8" max="8" width="13.625" style="6" customWidth="1"/>
    <col min="9" max="9" width="14.125" style="6" customWidth="1"/>
    <col min="10" max="10" width="12.5" style="6" bestFit="1" customWidth="1"/>
    <col min="11" max="11" width="9" style="6"/>
    <col min="12" max="12" width="12.5" style="6" bestFit="1" customWidth="1"/>
    <col min="13" max="13" width="11.375" style="6" bestFit="1" customWidth="1"/>
    <col min="14" max="16384" width="9" style="6"/>
  </cols>
  <sheetData>
    <row r="1" spans="1:12" ht="18.75" x14ac:dyDescent="0.3">
      <c r="A1" s="428" t="s">
        <v>548</v>
      </c>
      <c r="B1" s="428"/>
      <c r="C1" s="428"/>
      <c r="D1" s="428"/>
      <c r="E1" s="428"/>
      <c r="F1" s="428"/>
      <c r="G1" s="428"/>
      <c r="H1" s="428"/>
      <c r="I1" s="428"/>
    </row>
    <row r="2" spans="1:12" ht="18.75" customHeight="1" x14ac:dyDescent="0.3">
      <c r="A2" s="429" t="s">
        <v>593</v>
      </c>
      <c r="B2" s="429"/>
      <c r="C2" s="429"/>
      <c r="D2" s="429"/>
      <c r="E2" s="429"/>
      <c r="F2" s="429"/>
      <c r="G2" s="429"/>
      <c r="H2" s="429"/>
      <c r="I2" s="429"/>
    </row>
    <row r="3" spans="1:12" ht="18.75" x14ac:dyDescent="0.3">
      <c r="A3" s="428" t="s">
        <v>615</v>
      </c>
      <c r="B3" s="428"/>
      <c r="C3" s="428"/>
      <c r="D3" s="428"/>
      <c r="E3" s="428"/>
      <c r="F3" s="428"/>
      <c r="G3" s="428"/>
      <c r="H3" s="428"/>
      <c r="I3" s="428"/>
    </row>
    <row r="4" spans="1:12" ht="18.75" x14ac:dyDescent="0.3">
      <c r="A4" s="428" t="s">
        <v>497</v>
      </c>
      <c r="B4" s="438"/>
      <c r="C4" s="438"/>
      <c r="D4" s="438"/>
      <c r="E4" s="438"/>
      <c r="F4" s="438"/>
      <c r="G4" s="438"/>
      <c r="H4" s="438"/>
      <c r="I4" s="438"/>
    </row>
    <row r="5" spans="1:12" ht="18.75" x14ac:dyDescent="0.3">
      <c r="A5" s="309"/>
      <c r="B5" s="309"/>
      <c r="C5" s="309"/>
    </row>
    <row r="6" spans="1:12" x14ac:dyDescent="0.25">
      <c r="A6" s="432" t="s">
        <v>0</v>
      </c>
      <c r="B6" s="439" t="s">
        <v>596</v>
      </c>
      <c r="C6" s="439" t="s">
        <v>595</v>
      </c>
      <c r="D6" s="434" t="s">
        <v>551</v>
      </c>
      <c r="E6" s="434"/>
      <c r="F6" s="434"/>
      <c r="G6" s="434"/>
      <c r="H6" s="434" t="s">
        <v>548</v>
      </c>
      <c r="I6" s="434"/>
    </row>
    <row r="7" spans="1:12" ht="44.85" customHeight="1" x14ac:dyDescent="0.25">
      <c r="A7" s="432"/>
      <c r="B7" s="440"/>
      <c r="C7" s="440"/>
      <c r="D7" s="432" t="s">
        <v>152</v>
      </c>
      <c r="E7" s="432" t="s">
        <v>6</v>
      </c>
      <c r="F7" s="240" t="s">
        <v>31</v>
      </c>
      <c r="G7" s="240" t="s">
        <v>594</v>
      </c>
      <c r="H7" s="240" t="s">
        <v>31</v>
      </c>
      <c r="I7" s="240" t="s">
        <v>594</v>
      </c>
    </row>
    <row r="8" spans="1:12" x14ac:dyDescent="0.25">
      <c r="A8" s="432"/>
      <c r="B8" s="441"/>
      <c r="C8" s="441"/>
      <c r="D8" s="432"/>
      <c r="E8" s="432"/>
      <c r="F8" s="240" t="s">
        <v>33</v>
      </c>
      <c r="G8" s="240" t="s">
        <v>33</v>
      </c>
      <c r="H8" s="240" t="s">
        <v>33</v>
      </c>
      <c r="I8" s="240" t="s">
        <v>33</v>
      </c>
    </row>
    <row r="9" spans="1:12" s="5" customFormat="1" x14ac:dyDescent="0.25">
      <c r="A9" s="241" t="s">
        <v>24</v>
      </c>
      <c r="B9" s="433" t="s">
        <v>592</v>
      </c>
      <c r="C9" s="433"/>
      <c r="D9" s="433"/>
      <c r="E9" s="433"/>
      <c r="F9" s="433"/>
      <c r="G9" s="433"/>
      <c r="H9" s="433"/>
      <c r="I9" s="433"/>
    </row>
    <row r="10" spans="1:12" s="5" customFormat="1" x14ac:dyDescent="0.25">
      <c r="A10" s="253">
        <v>1</v>
      </c>
      <c r="B10" s="337" t="s">
        <v>617</v>
      </c>
      <c r="C10" s="338" t="s">
        <v>618</v>
      </c>
      <c r="D10" s="211">
        <v>1</v>
      </c>
      <c r="E10" s="211" t="s">
        <v>168</v>
      </c>
      <c r="F10" s="350">
        <v>80304000</v>
      </c>
      <c r="G10" s="351">
        <f>F10*D10</f>
        <v>80304000</v>
      </c>
      <c r="H10" s="242">
        <v>73913000</v>
      </c>
      <c r="I10" s="243">
        <f>H10*D10</f>
        <v>73913000</v>
      </c>
    </row>
    <row r="11" spans="1:12" x14ac:dyDescent="0.25">
      <c r="A11" s="430" t="s">
        <v>598</v>
      </c>
      <c r="B11" s="430"/>
      <c r="C11" s="430"/>
      <c r="D11" s="152"/>
      <c r="E11" s="152"/>
      <c r="F11" s="152"/>
      <c r="G11" s="244">
        <f>SUM(G10:G10)</f>
        <v>80304000</v>
      </c>
      <c r="H11" s="152"/>
      <c r="I11" s="245">
        <f>SUM(I10:I10)</f>
        <v>73913000</v>
      </c>
    </row>
    <row r="12" spans="1:12" x14ac:dyDescent="0.25">
      <c r="A12" s="447"/>
      <c r="B12" s="448"/>
      <c r="C12" s="448"/>
      <c r="D12" s="448"/>
      <c r="E12" s="448"/>
      <c r="F12" s="448"/>
      <c r="G12" s="448"/>
      <c r="H12" s="448"/>
      <c r="I12" s="449"/>
    </row>
    <row r="13" spans="1:12" x14ac:dyDescent="0.25">
      <c r="A13" s="219" t="s">
        <v>25</v>
      </c>
      <c r="B13" s="431" t="s">
        <v>597</v>
      </c>
      <c r="C13" s="431"/>
      <c r="D13" s="431"/>
      <c r="E13" s="431"/>
      <c r="F13" s="431"/>
      <c r="G13" s="431"/>
      <c r="H13" s="431"/>
      <c r="I13" s="431"/>
    </row>
    <row r="14" spans="1:12" x14ac:dyDescent="0.25">
      <c r="A14" s="256">
        <v>1</v>
      </c>
      <c r="B14" s="257" t="s">
        <v>599</v>
      </c>
      <c r="C14" s="339" t="s">
        <v>600</v>
      </c>
      <c r="D14" s="188">
        <v>2</v>
      </c>
      <c r="E14" s="188" t="s">
        <v>168</v>
      </c>
      <c r="F14" s="260">
        <v>2587500</v>
      </c>
      <c r="G14" s="216">
        <f t="shared" ref="G14:G30" si="0">F14*D14</f>
        <v>5175000</v>
      </c>
      <c r="H14" s="246">
        <f>F14</f>
        <v>2587500</v>
      </c>
      <c r="I14" s="198">
        <f t="shared" ref="I14:I19" si="1">H14*D14</f>
        <v>5175000</v>
      </c>
    </row>
    <row r="15" spans="1:12" x14ac:dyDescent="0.25">
      <c r="A15" s="256">
        <v>2</v>
      </c>
      <c r="B15" s="257" t="s">
        <v>601</v>
      </c>
      <c r="C15" s="339" t="s">
        <v>602</v>
      </c>
      <c r="D15" s="188">
        <v>2</v>
      </c>
      <c r="E15" s="188" t="s">
        <v>168</v>
      </c>
      <c r="F15" s="260">
        <v>1610000</v>
      </c>
      <c r="G15" s="216">
        <f t="shared" si="0"/>
        <v>3220000</v>
      </c>
      <c r="H15" s="246">
        <f>F15</f>
        <v>1610000</v>
      </c>
      <c r="I15" s="198">
        <f t="shared" si="1"/>
        <v>3220000</v>
      </c>
    </row>
    <row r="16" spans="1:12" x14ac:dyDescent="0.25">
      <c r="A16" s="256">
        <v>3</v>
      </c>
      <c r="B16" s="257" t="s">
        <v>603</v>
      </c>
      <c r="C16" s="339" t="s">
        <v>623</v>
      </c>
      <c r="D16" s="188">
        <v>1</v>
      </c>
      <c r="E16" s="188" t="s">
        <v>51</v>
      </c>
      <c r="F16" s="260">
        <v>348450000</v>
      </c>
      <c r="G16" s="216">
        <f t="shared" si="0"/>
        <v>348450000</v>
      </c>
      <c r="H16" s="246">
        <v>345000000</v>
      </c>
      <c r="I16" s="198">
        <f t="shared" si="1"/>
        <v>345000000</v>
      </c>
      <c r="J16" s="6">
        <f>303000000*1.13</f>
        <v>342389999.99999994</v>
      </c>
      <c r="L16" s="138">
        <f>I16+I17</f>
        <v>763380000</v>
      </c>
    </row>
    <row r="17" spans="1:13" x14ac:dyDescent="0.25">
      <c r="A17" s="256">
        <v>4</v>
      </c>
      <c r="B17" s="257" t="s">
        <v>604</v>
      </c>
      <c r="C17" s="339" t="s">
        <v>605</v>
      </c>
      <c r="D17" s="188">
        <v>1</v>
      </c>
      <c r="E17" s="188" t="s">
        <v>51</v>
      </c>
      <c r="F17" s="260">
        <v>422050000</v>
      </c>
      <c r="G17" s="216">
        <f t="shared" si="0"/>
        <v>422050000</v>
      </c>
      <c r="H17" s="246">
        <v>418380000</v>
      </c>
      <c r="I17" s="198">
        <f t="shared" si="1"/>
        <v>418380000</v>
      </c>
      <c r="J17" s="6">
        <f>367000000*1.14</f>
        <v>418379999.99999994</v>
      </c>
      <c r="L17" s="138">
        <f>L16*1.1</f>
        <v>839718000.00000012</v>
      </c>
    </row>
    <row r="18" spans="1:13" x14ac:dyDescent="0.25">
      <c r="A18" s="256">
        <v>5</v>
      </c>
      <c r="B18" s="257" t="s">
        <v>621</v>
      </c>
      <c r="C18" s="339"/>
      <c r="D18" s="188">
        <v>4</v>
      </c>
      <c r="E18" s="188" t="s">
        <v>168</v>
      </c>
      <c r="F18" s="260">
        <v>4600000</v>
      </c>
      <c r="G18" s="216">
        <f t="shared" si="0"/>
        <v>18400000</v>
      </c>
      <c r="H18" s="246">
        <f>F18</f>
        <v>4600000</v>
      </c>
      <c r="I18" s="198">
        <f t="shared" si="1"/>
        <v>18400000</v>
      </c>
    </row>
    <row r="19" spans="1:13" x14ac:dyDescent="0.25">
      <c r="A19" s="220">
        <v>6</v>
      </c>
      <c r="B19" s="257" t="s">
        <v>606</v>
      </c>
      <c r="C19" s="339" t="s">
        <v>612</v>
      </c>
      <c r="D19" s="188">
        <v>1</v>
      </c>
      <c r="E19" s="188" t="s">
        <v>168</v>
      </c>
      <c r="F19" s="198">
        <v>12075000</v>
      </c>
      <c r="G19" s="199">
        <f t="shared" si="0"/>
        <v>12075000</v>
      </c>
      <c r="H19" s="246">
        <f>F19</f>
        <v>12075000</v>
      </c>
      <c r="I19" s="198">
        <f t="shared" si="1"/>
        <v>12075000</v>
      </c>
      <c r="J19" s="138"/>
    </row>
    <row r="20" spans="1:13" x14ac:dyDescent="0.25">
      <c r="A20" s="256">
        <v>7</v>
      </c>
      <c r="B20" s="257" t="s">
        <v>606</v>
      </c>
      <c r="C20" s="339" t="s">
        <v>622</v>
      </c>
      <c r="D20" s="188">
        <v>2</v>
      </c>
      <c r="E20" s="188" t="s">
        <v>168</v>
      </c>
      <c r="F20" s="198">
        <v>6828049</v>
      </c>
      <c r="G20" s="199">
        <f t="shared" ref="G20" si="2">F20*D20</f>
        <v>13656098</v>
      </c>
      <c r="H20" s="246">
        <v>6711330</v>
      </c>
      <c r="I20" s="198">
        <f t="shared" ref="I20" si="3">H20*D20</f>
        <v>13422660</v>
      </c>
      <c r="J20" s="138">
        <f>F20*14/15</f>
        <v>6372845.7333333334</v>
      </c>
      <c r="M20" s="137"/>
    </row>
    <row r="21" spans="1:13" x14ac:dyDescent="0.25">
      <c r="A21" s="220">
        <v>8</v>
      </c>
      <c r="B21" s="257" t="s">
        <v>616</v>
      </c>
      <c r="C21" s="339"/>
      <c r="D21" s="349">
        <v>1</v>
      </c>
      <c r="E21" s="349" t="s">
        <v>168</v>
      </c>
      <c r="F21" s="260">
        <v>6750500</v>
      </c>
      <c r="G21" s="274">
        <f t="shared" si="0"/>
        <v>6750500</v>
      </c>
      <c r="H21" s="336">
        <f>F21</f>
        <v>6750500</v>
      </c>
      <c r="I21" s="274">
        <f>F21*D21</f>
        <v>6750500</v>
      </c>
    </row>
    <row r="22" spans="1:13" x14ac:dyDescent="0.25">
      <c r="A22" s="220">
        <v>9</v>
      </c>
      <c r="B22" s="257" t="s">
        <v>619</v>
      </c>
      <c r="C22" s="339" t="s">
        <v>620</v>
      </c>
      <c r="D22" s="349">
        <v>1</v>
      </c>
      <c r="E22" s="349" t="s">
        <v>168</v>
      </c>
      <c r="F22" s="260">
        <v>2040000</v>
      </c>
      <c r="G22" s="274">
        <f t="shared" si="0"/>
        <v>2040000</v>
      </c>
      <c r="H22" s="336">
        <v>2040000</v>
      </c>
      <c r="I22" s="274">
        <f>H22*D22</f>
        <v>2040000</v>
      </c>
    </row>
    <row r="23" spans="1:13" ht="31.5" x14ac:dyDescent="0.25">
      <c r="A23" s="256">
        <v>10</v>
      </c>
      <c r="B23" s="353" t="s">
        <v>626</v>
      </c>
      <c r="C23" s="352" t="s">
        <v>635</v>
      </c>
      <c r="D23" s="356">
        <v>124</v>
      </c>
      <c r="E23" s="356" t="s">
        <v>625</v>
      </c>
      <c r="F23" s="354">
        <v>79803</v>
      </c>
      <c r="G23" s="355">
        <f t="shared" si="0"/>
        <v>9895572</v>
      </c>
      <c r="H23" s="336">
        <v>79500</v>
      </c>
      <c r="I23" s="274">
        <f t="shared" ref="I23:I30" si="4">H23*D23</f>
        <v>9858000</v>
      </c>
    </row>
    <row r="24" spans="1:13" ht="31.5" x14ac:dyDescent="0.25">
      <c r="A24" s="256">
        <v>11</v>
      </c>
      <c r="B24" s="353" t="s">
        <v>626</v>
      </c>
      <c r="C24" s="352" t="s">
        <v>636</v>
      </c>
      <c r="D24" s="356">
        <v>124</v>
      </c>
      <c r="E24" s="356" t="s">
        <v>625</v>
      </c>
      <c r="F24" s="354">
        <v>79803</v>
      </c>
      <c r="G24" s="355">
        <f t="shared" si="0"/>
        <v>9895572</v>
      </c>
      <c r="H24" s="336">
        <f>H23</f>
        <v>79500</v>
      </c>
      <c r="I24" s="274">
        <f t="shared" si="4"/>
        <v>9858000</v>
      </c>
    </row>
    <row r="25" spans="1:13" ht="31.5" x14ac:dyDescent="0.25">
      <c r="A25" s="256">
        <v>12</v>
      </c>
      <c r="B25" s="353" t="s">
        <v>624</v>
      </c>
      <c r="C25" s="352" t="s">
        <v>638</v>
      </c>
      <c r="D25" s="356">
        <v>112</v>
      </c>
      <c r="E25" s="356" t="s">
        <v>625</v>
      </c>
      <c r="F25" s="354">
        <v>191891</v>
      </c>
      <c r="G25" s="355">
        <f t="shared" si="0"/>
        <v>21491792</v>
      </c>
      <c r="H25" s="336">
        <v>190000</v>
      </c>
      <c r="I25" s="274">
        <f t="shared" si="4"/>
        <v>21280000</v>
      </c>
    </row>
    <row r="26" spans="1:13" ht="31.5" x14ac:dyDescent="0.25">
      <c r="A26" s="256">
        <v>13</v>
      </c>
      <c r="B26" s="353" t="s">
        <v>624</v>
      </c>
      <c r="C26" s="352" t="s">
        <v>637</v>
      </c>
      <c r="D26" s="356">
        <v>112</v>
      </c>
      <c r="E26" s="356" t="s">
        <v>625</v>
      </c>
      <c r="F26" s="354">
        <v>191891</v>
      </c>
      <c r="G26" s="355">
        <f t="shared" si="0"/>
        <v>21491792</v>
      </c>
      <c r="H26" s="336">
        <f>H25</f>
        <v>190000</v>
      </c>
      <c r="I26" s="274">
        <f t="shared" si="4"/>
        <v>21280000</v>
      </c>
    </row>
    <row r="27" spans="1:13" x14ac:dyDescent="0.25">
      <c r="A27" s="256">
        <v>14</v>
      </c>
      <c r="B27" s="353" t="s">
        <v>627</v>
      </c>
      <c r="C27" s="352" t="s">
        <v>628</v>
      </c>
      <c r="D27" s="356">
        <v>3</v>
      </c>
      <c r="E27" s="356" t="s">
        <v>52</v>
      </c>
      <c r="F27" s="354">
        <v>23926500</v>
      </c>
      <c r="G27" s="355">
        <f t="shared" si="0"/>
        <v>71779500</v>
      </c>
      <c r="H27" s="336">
        <v>23517500</v>
      </c>
      <c r="I27" s="274">
        <f t="shared" si="4"/>
        <v>70552500</v>
      </c>
      <c r="J27" s="6">
        <f>F27*14/15</f>
        <v>22331400</v>
      </c>
    </row>
    <row r="28" spans="1:13" x14ac:dyDescent="0.25">
      <c r="A28" s="256">
        <v>15</v>
      </c>
      <c r="B28" s="353" t="s">
        <v>630</v>
      </c>
      <c r="C28" s="352" t="s">
        <v>629</v>
      </c>
      <c r="D28" s="356">
        <v>1</v>
      </c>
      <c r="E28" s="356" t="s">
        <v>61</v>
      </c>
      <c r="F28" s="354">
        <v>8112031</v>
      </c>
      <c r="G28" s="355">
        <f t="shared" si="0"/>
        <v>8112031</v>
      </c>
      <c r="H28" s="336">
        <v>7973364</v>
      </c>
      <c r="I28" s="274">
        <f t="shared" si="4"/>
        <v>7973364</v>
      </c>
    </row>
    <row r="29" spans="1:13" x14ac:dyDescent="0.25">
      <c r="A29" s="256">
        <v>16</v>
      </c>
      <c r="B29" s="353" t="s">
        <v>631</v>
      </c>
      <c r="C29" s="352" t="s">
        <v>632</v>
      </c>
      <c r="D29" s="356">
        <v>1</v>
      </c>
      <c r="E29" s="356" t="s">
        <v>168</v>
      </c>
      <c r="F29" s="354">
        <v>1579594</v>
      </c>
      <c r="G29" s="355">
        <f t="shared" si="0"/>
        <v>1579594</v>
      </c>
      <c r="H29" s="336">
        <v>1552592</v>
      </c>
      <c r="I29" s="274">
        <f t="shared" si="4"/>
        <v>1552592</v>
      </c>
    </row>
    <row r="30" spans="1:13" x14ac:dyDescent="0.25">
      <c r="A30" s="256">
        <v>17</v>
      </c>
      <c r="B30" s="353" t="s">
        <v>633</v>
      </c>
      <c r="C30" s="352" t="s">
        <v>634</v>
      </c>
      <c r="D30" s="356">
        <v>1</v>
      </c>
      <c r="E30" s="356" t="s">
        <v>168</v>
      </c>
      <c r="F30" s="354">
        <v>2937489</v>
      </c>
      <c r="G30" s="355">
        <f t="shared" si="0"/>
        <v>2937489</v>
      </c>
      <c r="H30" s="336">
        <v>2761741</v>
      </c>
      <c r="I30" s="274">
        <f t="shared" si="4"/>
        <v>2761741</v>
      </c>
    </row>
    <row r="31" spans="1:13" ht="15.75" customHeight="1" x14ac:dyDescent="0.25">
      <c r="A31" s="430" t="s">
        <v>120</v>
      </c>
      <c r="B31" s="430"/>
      <c r="C31" s="430"/>
      <c r="D31" s="152"/>
      <c r="E31" s="152"/>
      <c r="F31" s="152"/>
      <c r="G31" s="223">
        <f>SUM(G14:G30)</f>
        <v>978999940</v>
      </c>
      <c r="H31" s="152"/>
      <c r="I31" s="245">
        <f>SUM(I14:I30)</f>
        <v>969579357</v>
      </c>
    </row>
    <row r="32" spans="1:13" s="15" customFormat="1" x14ac:dyDescent="0.25">
      <c r="A32" s="447"/>
      <c r="B32" s="448"/>
      <c r="C32" s="448"/>
      <c r="D32" s="448"/>
      <c r="E32" s="448"/>
      <c r="F32" s="448"/>
      <c r="G32" s="448"/>
      <c r="H32" s="448"/>
      <c r="I32" s="449"/>
    </row>
    <row r="33" spans="1:10" x14ac:dyDescent="0.25">
      <c r="A33" s="219" t="s">
        <v>26</v>
      </c>
      <c r="B33" s="431" t="s">
        <v>607</v>
      </c>
      <c r="C33" s="431"/>
      <c r="D33" s="431"/>
      <c r="E33" s="431"/>
      <c r="F33" s="431"/>
      <c r="G33" s="431"/>
      <c r="H33" s="431"/>
      <c r="I33" s="431"/>
    </row>
    <row r="34" spans="1:10" x14ac:dyDescent="0.25">
      <c r="A34" s="220">
        <v>1</v>
      </c>
      <c r="B34" s="340" t="s">
        <v>611</v>
      </c>
      <c r="C34" s="341"/>
      <c r="D34" s="188">
        <v>4</v>
      </c>
      <c r="E34" s="188" t="s">
        <v>168</v>
      </c>
      <c r="F34" s="226">
        <v>96000</v>
      </c>
      <c r="G34" s="227">
        <f>F34*D34</f>
        <v>384000</v>
      </c>
      <c r="H34" s="198">
        <f>F34</f>
        <v>96000</v>
      </c>
      <c r="I34" s="199">
        <f>H34*D34</f>
        <v>384000</v>
      </c>
    </row>
    <row r="35" spans="1:10" x14ac:dyDescent="0.25">
      <c r="A35" s="220">
        <v>2</v>
      </c>
      <c r="B35" s="340" t="s">
        <v>610</v>
      </c>
      <c r="C35" s="341"/>
      <c r="D35" s="188">
        <v>1</v>
      </c>
      <c r="E35" s="188" t="s">
        <v>168</v>
      </c>
      <c r="F35" s="226">
        <v>25875000</v>
      </c>
      <c r="G35" s="227">
        <f>F35*D35</f>
        <v>25875000</v>
      </c>
      <c r="H35" s="198">
        <f>F35</f>
        <v>25875000</v>
      </c>
      <c r="I35" s="199">
        <f>H35*D35</f>
        <v>25875000</v>
      </c>
    </row>
    <row r="36" spans="1:10" x14ac:dyDescent="0.25">
      <c r="A36" s="430" t="s">
        <v>608</v>
      </c>
      <c r="B36" s="430"/>
      <c r="C36" s="430"/>
      <c r="D36" s="152"/>
      <c r="E36" s="152"/>
      <c r="F36" s="152"/>
      <c r="G36" s="223">
        <f>SUM(G34:G35)</f>
        <v>26259000</v>
      </c>
      <c r="H36" s="152"/>
      <c r="I36" s="245">
        <f>SUM(I34:I35)</f>
        <v>26259000</v>
      </c>
    </row>
    <row r="37" spans="1:10" ht="7.35" customHeight="1" x14ac:dyDescent="0.25">
      <c r="A37" s="442"/>
      <c r="B37" s="442"/>
      <c r="C37" s="442"/>
      <c r="D37" s="442"/>
      <c r="E37" s="442"/>
      <c r="F37" s="442"/>
      <c r="G37" s="442"/>
      <c r="H37" s="442"/>
      <c r="I37" s="442"/>
    </row>
    <row r="38" spans="1:10" ht="17.25" customHeight="1" x14ac:dyDescent="0.25">
      <c r="A38" s="444" t="s">
        <v>613</v>
      </c>
      <c r="B38" s="445"/>
      <c r="C38" s="446"/>
      <c r="G38" s="346">
        <f>SUM(G11,G31,G36)</f>
        <v>1085562940</v>
      </c>
      <c r="I38" s="346">
        <f>SUM(I11,I31,I36)</f>
        <v>1069751357</v>
      </c>
    </row>
    <row r="39" spans="1:10" x14ac:dyDescent="0.25">
      <c r="A39" s="444" t="s">
        <v>45</v>
      </c>
      <c r="B39" s="445"/>
      <c r="C39" s="446"/>
      <c r="G39" s="347">
        <f>G38*0.1</f>
        <v>108556294</v>
      </c>
      <c r="I39" s="347">
        <f>I38*0.1</f>
        <v>106975135.7</v>
      </c>
    </row>
    <row r="40" spans="1:10" ht="17.25" customHeight="1" x14ac:dyDescent="0.25">
      <c r="A40" s="444" t="s">
        <v>50</v>
      </c>
      <c r="B40" s="445"/>
      <c r="C40" s="446"/>
      <c r="G40" s="346">
        <f>SUM(G38:G39)</f>
        <v>1194119234</v>
      </c>
      <c r="I40" s="346">
        <f>SUM(I38:I39)</f>
        <v>1176726492.7</v>
      </c>
    </row>
    <row r="41" spans="1:10" ht="17.25" customHeight="1" x14ac:dyDescent="0.25">
      <c r="A41" s="444" t="s">
        <v>614</v>
      </c>
      <c r="B41" s="445"/>
      <c r="C41" s="446"/>
      <c r="G41" s="348">
        <f>ROUNDUP(G40,-3)</f>
        <v>1194120000</v>
      </c>
      <c r="I41" s="348">
        <f>ROUNDUP(I40,-3)</f>
        <v>1176727000</v>
      </c>
      <c r="J41" s="138">
        <f>I41-L17</f>
        <v>337008999.99999988</v>
      </c>
    </row>
    <row r="42" spans="1:10" ht="17.25" customHeight="1" x14ac:dyDescent="0.25">
      <c r="A42" s="344"/>
      <c r="B42" s="345"/>
      <c r="C42" s="345"/>
    </row>
    <row r="43" spans="1:10" ht="17.25" x14ac:dyDescent="0.3">
      <c r="B43" s="6"/>
      <c r="F43" s="437" t="s">
        <v>591</v>
      </c>
      <c r="G43" s="437"/>
      <c r="H43" s="437"/>
      <c r="I43" s="437"/>
    </row>
    <row r="44" spans="1:10" ht="18" customHeight="1" x14ac:dyDescent="0.25">
      <c r="A44" s="443" t="s">
        <v>609</v>
      </c>
      <c r="B44" s="443"/>
      <c r="C44" s="443"/>
      <c r="D44" s="443"/>
      <c r="E44" s="443"/>
      <c r="F44" s="443"/>
      <c r="G44" s="443"/>
      <c r="H44" s="443"/>
      <c r="I44" s="443"/>
    </row>
    <row r="45" spans="1:10" ht="18" customHeight="1" x14ac:dyDescent="0.25">
      <c r="B45" s="320"/>
      <c r="C45" s="320"/>
      <c r="D45" s="342"/>
      <c r="E45" s="342"/>
      <c r="F45" s="342"/>
      <c r="G45" s="342"/>
    </row>
    <row r="46" spans="1:10" x14ac:dyDescent="0.25">
      <c r="B46" s="318"/>
      <c r="C46" s="308"/>
      <c r="E46" s="396"/>
      <c r="F46" s="396"/>
      <c r="G46" s="396"/>
    </row>
    <row r="47" spans="1:10" x14ac:dyDescent="0.25">
      <c r="B47" s="6"/>
    </row>
    <row r="48" spans="1:10" x14ac:dyDescent="0.25">
      <c r="B48" s="147"/>
      <c r="D48" s="317"/>
    </row>
    <row r="49" spans="1:7" x14ac:dyDescent="0.25">
      <c r="B49" s="147"/>
      <c r="D49" s="317"/>
      <c r="E49" s="147"/>
    </row>
    <row r="50" spans="1:7" x14ac:dyDescent="0.25">
      <c r="A50" s="328"/>
      <c r="B50" s="147"/>
      <c r="E50" s="147"/>
      <c r="G50" s="15"/>
    </row>
    <row r="51" spans="1:7" x14ac:dyDescent="0.25">
      <c r="A51" s="328"/>
      <c r="B51" s="147"/>
      <c r="E51" s="147"/>
      <c r="G51" s="15"/>
    </row>
    <row r="52" spans="1:7" x14ac:dyDescent="0.25">
      <c r="B52" s="343"/>
      <c r="C52" s="343"/>
      <c r="D52" s="317"/>
      <c r="E52" s="147"/>
      <c r="G52" s="15"/>
    </row>
    <row r="53" spans="1:7" x14ac:dyDescent="0.25">
      <c r="B53" s="318"/>
      <c r="C53" s="308"/>
      <c r="D53" s="317"/>
      <c r="E53" s="147"/>
      <c r="G53" s="15"/>
    </row>
    <row r="54" spans="1:7" x14ac:dyDescent="0.25">
      <c r="E54" s="147"/>
      <c r="G54" s="15"/>
    </row>
    <row r="55" spans="1:7" x14ac:dyDescent="0.25">
      <c r="A55" s="328"/>
      <c r="C55" s="147"/>
      <c r="E55" s="147"/>
      <c r="G55" s="15"/>
    </row>
    <row r="56" spans="1:7" x14ac:dyDescent="0.25">
      <c r="C56" s="147"/>
      <c r="D56" s="319"/>
      <c r="E56" s="147"/>
      <c r="G56" s="15"/>
    </row>
    <row r="57" spans="1:7" x14ac:dyDescent="0.25">
      <c r="B57" s="307"/>
      <c r="C57" s="147"/>
      <c r="D57" s="319"/>
      <c r="E57" s="147"/>
      <c r="G57" s="15"/>
    </row>
    <row r="58" spans="1:7" x14ac:dyDescent="0.25">
      <c r="B58" s="6"/>
      <c r="C58" s="147"/>
      <c r="E58" s="147"/>
      <c r="G58" s="15"/>
    </row>
  </sheetData>
  <mergeCells count="27">
    <mergeCell ref="A31:C31"/>
    <mergeCell ref="B33:I33"/>
    <mergeCell ref="A36:C36"/>
    <mergeCell ref="D7:D8"/>
    <mergeCell ref="E7:E8"/>
    <mergeCell ref="B9:I9"/>
    <mergeCell ref="A12:I12"/>
    <mergeCell ref="A32:I32"/>
    <mergeCell ref="A11:C11"/>
    <mergeCell ref="B13:I13"/>
    <mergeCell ref="E46:G46"/>
    <mergeCell ref="A37:I37"/>
    <mergeCell ref="A44:I44"/>
    <mergeCell ref="F43:I43"/>
    <mergeCell ref="A38:C38"/>
    <mergeCell ref="A39:C39"/>
    <mergeCell ref="A40:C40"/>
    <mergeCell ref="A41:C41"/>
    <mergeCell ref="A1:I1"/>
    <mergeCell ref="A2:I2"/>
    <mergeCell ref="A3:I3"/>
    <mergeCell ref="A6:A8"/>
    <mergeCell ref="D6:G6"/>
    <mergeCell ref="H6:I6"/>
    <mergeCell ref="A4:I4"/>
    <mergeCell ref="B6:B8"/>
    <mergeCell ref="C6:C8"/>
  </mergeCells>
  <printOptions horizontalCentered="1"/>
  <pageMargins left="0.15748031496062992" right="0.19685039370078741" top="0.35433070866141736" bottom="0" header="0.27559055118110237" footer="0.15748031496062992"/>
  <pageSetup paperSize="9" scale="6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REKAP</vt:lpstr>
      <vt:lpstr>Sheet5</vt:lpstr>
      <vt:lpstr>REKAP BARU print</vt:lpstr>
      <vt:lpstr>RAB print</vt:lpstr>
      <vt:lpstr>Lumpsum+CG+Penunjang print</vt:lpstr>
      <vt:lpstr>Nego Spareparts</vt:lpstr>
      <vt:lpstr>'Lumpsum+CG+Penunjang print'!Print_Area</vt:lpstr>
      <vt:lpstr>'Nego Spareparts'!Print_Area</vt:lpstr>
      <vt:lpstr>'RAB print'!Print_Area</vt:lpstr>
      <vt:lpstr>REKAP!Print_Area</vt:lpstr>
      <vt:lpstr>'REKAP BARU print'!Print_Area</vt:lpstr>
      <vt:lpstr>'Lumpsum+CG+Penunjang print'!Print_Titles</vt:lpstr>
      <vt:lpstr>'Nego Spareparts'!Print_Titles</vt:lpstr>
      <vt:lpstr>'RAB print'!Print_Titles</vt:lpstr>
    </vt:vector>
  </TitlesOfParts>
  <Company>ASUSTek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Qurthubi Ashshiddieqy</dc:creator>
  <cp:lastModifiedBy>User</cp:lastModifiedBy>
  <cp:lastPrinted>2021-11-05T09:00:18Z</cp:lastPrinted>
  <dcterms:created xsi:type="dcterms:W3CDTF">2011-06-13T03:07:00Z</dcterms:created>
  <dcterms:modified xsi:type="dcterms:W3CDTF">2021-11-05T23:16:26Z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2057-11.2.0.9396</vt:lpwstr>
  </property>
</Properties>
</file>