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2) GAJI\GAJI 2021\"/>
    </mc:Choice>
  </mc:AlternateContent>
  <xr:revisionPtr revIDLastSave="0" documentId="13_ncr:1_{D04F3F91-9A39-4336-8AD3-80BD547B1611}" xr6:coauthVersionLast="36" xr6:coauthVersionMax="36" xr10:uidLastSave="{00000000-0000-0000-0000-000000000000}"/>
  <bookViews>
    <workbookView xWindow="32760" yWindow="32760" windowWidth="28800" windowHeight="12440" tabRatio="661" firstSheet="4" activeTab="8" xr2:uid="{00000000-000D-0000-FFFF-FFFF00000000}"/>
  </bookViews>
  <sheets>
    <sheet name="0000" sheetId="37" state="veryHidden" r:id="rId1"/>
    <sheet name="REK KOMISARIS" sheetId="67" r:id="rId2"/>
    <sheet name="REK DIREKSI" sheetId="65" r:id="rId3"/>
    <sheet name="REK BNI" sheetId="61" r:id="rId4"/>
    <sheet name="REK MANDIRI" sheetId="58" r:id="rId5"/>
    <sheet name="NET PEG PELINDO DIPERBANTUKAN" sheetId="68" r:id="rId6"/>
    <sheet name="NET PEGAWAI PTP" sheetId="59" r:id="rId7"/>
    <sheet name="NET DIREKSI " sheetId="63" r:id="rId8"/>
    <sheet name="NET KOMISARIS" sheetId="64" r:id="rId9"/>
  </sheets>
  <externalReferences>
    <externalReference r:id="rId10"/>
    <externalReference r:id="rId11"/>
    <externalReference r:id="rId12"/>
    <externalReference r:id="rId13"/>
  </externalReferences>
  <definedNames>
    <definedName name="_xlnm.Print_Area" localSheetId="7">'NET DIREKSI '!$B$1:$V$24</definedName>
    <definedName name="_xlnm.Print_Area" localSheetId="8">'NET KOMISARIS'!$B$1:$R$21</definedName>
    <definedName name="_xlnm.Print_Area" localSheetId="5">'NET PEG PELINDO DIPERBANTUKAN'!$A$1:$Y$34</definedName>
    <definedName name="_xlnm.Print_Area" localSheetId="6">'NET PEGAWAI PTP'!$B$1:$X$30</definedName>
    <definedName name="_xlnm.Print_Area" localSheetId="3">'REK BNI'!$A$1:$X$29</definedName>
    <definedName name="_xlnm.Print_Area" localSheetId="2">'REK DIREKSI'!$A$1:$X$21</definedName>
    <definedName name="_xlnm.Print_Area" localSheetId="1">'REK KOMISARIS'!$A$1:$X$23</definedName>
    <definedName name="_xlnm.Print_Area" localSheetId="4">'REK MANDIRI'!$A$1:$X$32</definedName>
  </definedNames>
  <calcPr calcId="191029"/>
  <fileRecoveryPr autoRecover="0"/>
</workbook>
</file>

<file path=xl/calcChain.xml><?xml version="1.0" encoding="utf-8"?>
<calcChain xmlns="http://schemas.openxmlformats.org/spreadsheetml/2006/main">
  <c r="J13" i="63" l="1"/>
  <c r="K9" i="64"/>
  <c r="N9" i="64" s="1"/>
  <c r="R9" i="64" l="1"/>
  <c r="U16" i="59"/>
  <c r="U14" i="59"/>
  <c r="U13" i="59"/>
  <c r="V8" i="59"/>
  <c r="Q19" i="59"/>
  <c r="W12" i="68"/>
  <c r="W10" i="68"/>
  <c r="J11" i="67" l="1"/>
  <c r="U20" i="59"/>
  <c r="W8" i="59" l="1"/>
  <c r="X12" i="68" l="1"/>
  <c r="X10" i="68"/>
  <c r="I13" i="64" l="1"/>
  <c r="R12" i="64"/>
  <c r="J14" i="67" s="1"/>
  <c r="K12" i="64"/>
  <c r="F58" i="68" l="1"/>
  <c r="X12" i="63" l="1"/>
  <c r="X11" i="63"/>
  <c r="Q13" i="63"/>
  <c r="P13" i="63"/>
  <c r="O13" i="63"/>
  <c r="X10" i="63"/>
  <c r="U24" i="68"/>
  <c r="S24" i="68"/>
  <c r="R24" i="68"/>
  <c r="X14" i="63" l="1"/>
  <c r="O10" i="68" l="1"/>
  <c r="N24" i="68"/>
  <c r="M24" i="68"/>
  <c r="L24" i="68"/>
  <c r="N11" i="63" l="1"/>
  <c r="V11" i="63" l="1"/>
  <c r="J12" i="65" s="1"/>
  <c r="Y11" i="63"/>
  <c r="M10" i="59"/>
  <c r="M11" i="59" l="1"/>
  <c r="W23" i="68"/>
  <c r="X23" i="68" s="1"/>
  <c r="W22" i="68"/>
  <c r="X22" i="68" s="1"/>
  <c r="M12" i="59" l="1"/>
  <c r="AA10" i="68"/>
  <c r="Y10" i="68"/>
  <c r="J10" i="58" s="1"/>
  <c r="M13" i="59" l="1"/>
  <c r="N10" i="63"/>
  <c r="Y10" i="63" l="1"/>
  <c r="V10" i="63"/>
  <c r="M14" i="59"/>
  <c r="J11" i="65"/>
  <c r="P24" i="68"/>
  <c r="M15" i="59" l="1"/>
  <c r="W21" i="68"/>
  <c r="T21" i="68"/>
  <c r="M16" i="59" l="1"/>
  <c r="P21" i="68"/>
  <c r="G9" i="63"/>
  <c r="H9" i="63"/>
  <c r="N9" i="63"/>
  <c r="V9" i="63" s="1"/>
  <c r="X9" i="63"/>
  <c r="Z9" i="63"/>
  <c r="M18" i="59" l="1"/>
  <c r="M17" i="59"/>
  <c r="Y9" i="63"/>
  <c r="M20" i="59" l="1"/>
  <c r="P20" i="59"/>
  <c r="O20" i="59" l="1"/>
  <c r="K18" i="68"/>
  <c r="W18" i="68" s="1"/>
  <c r="K20" i="68"/>
  <c r="K16" i="68"/>
  <c r="K17" i="68"/>
  <c r="K15" i="68"/>
  <c r="K11" i="68"/>
  <c r="J16" i="68"/>
  <c r="J17" i="68"/>
  <c r="J11" i="68"/>
  <c r="I23" i="68"/>
  <c r="I19" i="68"/>
  <c r="Q24" i="68"/>
  <c r="K9" i="68"/>
  <c r="O9" i="68" s="1"/>
  <c r="Y9" i="68" s="1"/>
  <c r="K10" i="59"/>
  <c r="J10" i="59"/>
  <c r="I11" i="59"/>
  <c r="I9" i="59"/>
  <c r="M13" i="67"/>
  <c r="M15" i="67" s="1"/>
  <c r="F15" i="67"/>
  <c r="G15" i="67"/>
  <c r="H15" i="67"/>
  <c r="I15" i="67"/>
  <c r="K15" i="67"/>
  <c r="L15" i="67"/>
  <c r="P15" i="67"/>
  <c r="T15" i="67"/>
  <c r="U15" i="67"/>
  <c r="V15" i="67"/>
  <c r="Y10" i="65"/>
  <c r="Z10" i="65"/>
  <c r="F14" i="65"/>
  <c r="G14" i="65"/>
  <c r="H14" i="65"/>
  <c r="I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G8" i="64"/>
  <c r="H13" i="64"/>
  <c r="M13" i="64"/>
  <c r="N13" i="64"/>
  <c r="O13" i="64"/>
  <c r="P13" i="64"/>
  <c r="Q13" i="64"/>
  <c r="T13" i="64"/>
  <c r="H12" i="63"/>
  <c r="H13" i="63" s="1"/>
  <c r="AA12" i="63"/>
  <c r="I13" i="63"/>
  <c r="K13" i="63"/>
  <c r="L13" i="63"/>
  <c r="M13" i="63"/>
  <c r="R13" i="63"/>
  <c r="S13" i="63"/>
  <c r="T13" i="63"/>
  <c r="U13" i="63"/>
  <c r="X18" i="63"/>
  <c r="F22" i="61"/>
  <c r="G22" i="61"/>
  <c r="H22" i="61"/>
  <c r="I22" i="61"/>
  <c r="K22" i="61"/>
  <c r="L22" i="61"/>
  <c r="M22" i="61"/>
  <c r="N22" i="61"/>
  <c r="O22" i="61"/>
  <c r="P22" i="61"/>
  <c r="Q22" i="61"/>
  <c r="R22" i="61"/>
  <c r="S22" i="61"/>
  <c r="T22" i="61"/>
  <c r="U22" i="61"/>
  <c r="V22" i="61"/>
  <c r="W22" i="61"/>
  <c r="Y16" i="58"/>
  <c r="Z16" i="58"/>
  <c r="AA16" i="58"/>
  <c r="F24" i="58"/>
  <c r="G24" i="58"/>
  <c r="H24" i="58"/>
  <c r="I24" i="58"/>
  <c r="K24" i="58"/>
  <c r="L24" i="58"/>
  <c r="M24" i="58"/>
  <c r="N24" i="58"/>
  <c r="O24" i="58"/>
  <c r="P24" i="58"/>
  <c r="Q24" i="58"/>
  <c r="R24" i="58"/>
  <c r="S24" i="58"/>
  <c r="T24" i="58"/>
  <c r="U24" i="58"/>
  <c r="V24" i="58"/>
  <c r="W24" i="58"/>
  <c r="W11" i="68" l="1"/>
  <c r="AA10" i="65"/>
  <c r="K24" i="68"/>
  <c r="W15" i="68"/>
  <c r="X15" i="68" s="1"/>
  <c r="W20" i="68"/>
  <c r="X20" i="68" s="1"/>
  <c r="W17" i="68"/>
  <c r="X17" i="68" s="1"/>
  <c r="X18" i="68"/>
  <c r="I14" i="68"/>
  <c r="J19" i="68"/>
  <c r="W19" i="68" s="1"/>
  <c r="X19" i="68" s="1"/>
  <c r="W16" i="68"/>
  <c r="X16" i="68" s="1"/>
  <c r="J13" i="68"/>
  <c r="Z8" i="59"/>
  <c r="K11" i="59"/>
  <c r="J11" i="59"/>
  <c r="J16" i="59" s="1"/>
  <c r="V10" i="59"/>
  <c r="G12" i="63"/>
  <c r="G13" i="63" s="1"/>
  <c r="T14" i="64"/>
  <c r="G11" i="64"/>
  <c r="G10" i="64"/>
  <c r="G13" i="64" s="1"/>
  <c r="K8" i="64"/>
  <c r="O16" i="68"/>
  <c r="O20" i="68"/>
  <c r="O17" i="68"/>
  <c r="O11" i="68"/>
  <c r="O12" i="68"/>
  <c r="O21" i="68"/>
  <c r="Y21" i="68" s="1"/>
  <c r="J10" i="65"/>
  <c r="L10" i="59"/>
  <c r="N16" i="59"/>
  <c r="I17" i="59"/>
  <c r="I14" i="59"/>
  <c r="I12" i="59"/>
  <c r="I15" i="59"/>
  <c r="I13" i="59"/>
  <c r="L8" i="59"/>
  <c r="Z10" i="59" l="1"/>
  <c r="AA10" i="59" s="1"/>
  <c r="O18" i="68"/>
  <c r="AA18" i="68" s="1"/>
  <c r="X8" i="59"/>
  <c r="N17" i="59"/>
  <c r="K13" i="59"/>
  <c r="W10" i="59"/>
  <c r="AA17" i="68"/>
  <c r="AA20" i="68"/>
  <c r="AA16" i="68"/>
  <c r="Y12" i="68"/>
  <c r="J12" i="61" s="1"/>
  <c r="AA12" i="68"/>
  <c r="X11" i="68"/>
  <c r="I24" i="68"/>
  <c r="O13" i="68"/>
  <c r="AA8" i="59"/>
  <c r="J14" i="68"/>
  <c r="W13" i="68"/>
  <c r="X13" i="68" s="1"/>
  <c r="O19" i="68"/>
  <c r="Y20" i="68"/>
  <c r="J17" i="61" s="1"/>
  <c r="Y11" i="68"/>
  <c r="Y17" i="68"/>
  <c r="J14" i="61" s="1"/>
  <c r="K15" i="59"/>
  <c r="Y16" i="68"/>
  <c r="J11" i="58" s="1"/>
  <c r="V9" i="59"/>
  <c r="Z9" i="59" s="1"/>
  <c r="K17" i="59"/>
  <c r="K12" i="59"/>
  <c r="L9" i="59"/>
  <c r="K14" i="59"/>
  <c r="R14" i="59" s="1"/>
  <c r="R20" i="59" s="1"/>
  <c r="X10" i="59"/>
  <c r="J15" i="58" s="1"/>
  <c r="K16" i="59"/>
  <c r="L11" i="59"/>
  <c r="J12" i="59"/>
  <c r="J14" i="59"/>
  <c r="J15" i="59"/>
  <c r="J17" i="59"/>
  <c r="J18" i="59" s="1"/>
  <c r="J19" i="59" s="1"/>
  <c r="V19" i="59" s="1"/>
  <c r="V11" i="59"/>
  <c r="J13" i="59"/>
  <c r="N12" i="63"/>
  <c r="V12" i="63" s="1"/>
  <c r="R8" i="64"/>
  <c r="J11" i="64"/>
  <c r="K11" i="64" s="1"/>
  <c r="U8" i="64"/>
  <c r="J10" i="64"/>
  <c r="O15" i="68"/>
  <c r="O23" i="68"/>
  <c r="O22" i="68"/>
  <c r="Y15" i="58"/>
  <c r="I18" i="59"/>
  <c r="Y12" i="58"/>
  <c r="J13" i="64" l="1"/>
  <c r="W19" i="59"/>
  <c r="L19" i="59"/>
  <c r="V24" i="68"/>
  <c r="Q16" i="59"/>
  <c r="Y18" i="68"/>
  <c r="J14" i="58" s="1"/>
  <c r="W9" i="59"/>
  <c r="V13" i="59"/>
  <c r="Z11" i="59"/>
  <c r="AA11" i="59" s="1"/>
  <c r="W11" i="59"/>
  <c r="N13" i="63"/>
  <c r="Y14" i="63" s="1"/>
  <c r="Y12" i="63"/>
  <c r="K18" i="59"/>
  <c r="Q13" i="59"/>
  <c r="Q14" i="59"/>
  <c r="N18" i="59"/>
  <c r="N20" i="59" s="1"/>
  <c r="Y15" i="68"/>
  <c r="AA15" i="68"/>
  <c r="Y23" i="68"/>
  <c r="J16" i="58" s="1"/>
  <c r="AA23" i="68"/>
  <c r="Y22" i="68"/>
  <c r="J15" i="61" s="1"/>
  <c r="AA22" i="68"/>
  <c r="J11" i="61"/>
  <c r="Y19" i="68"/>
  <c r="J18" i="61" s="1"/>
  <c r="AA19" i="68"/>
  <c r="Y13" i="68"/>
  <c r="J10" i="61" s="1"/>
  <c r="AA13" i="68"/>
  <c r="AA11" i="68"/>
  <c r="W14" i="68"/>
  <c r="X14" i="68" s="1"/>
  <c r="J24" i="68"/>
  <c r="K43" i="68" s="1"/>
  <c r="V15" i="59"/>
  <c r="Z15" i="59" s="1"/>
  <c r="X9" i="59"/>
  <c r="AA9" i="59"/>
  <c r="O14" i="68"/>
  <c r="V12" i="59"/>
  <c r="Y13" i="58"/>
  <c r="X11" i="59"/>
  <c r="J17" i="58" s="1"/>
  <c r="L15" i="59"/>
  <c r="V14" i="59"/>
  <c r="V16" i="59"/>
  <c r="W16" i="59" s="1"/>
  <c r="L17" i="59"/>
  <c r="L12" i="59"/>
  <c r="L14" i="59"/>
  <c r="L13" i="59"/>
  <c r="V17" i="59"/>
  <c r="AA18" i="63"/>
  <c r="L16" i="59"/>
  <c r="J10" i="67"/>
  <c r="R11" i="64"/>
  <c r="J13" i="67" s="1"/>
  <c r="U11" i="64"/>
  <c r="U13" i="64" s="1"/>
  <c r="K10" i="64"/>
  <c r="K13" i="64" s="1"/>
  <c r="J20" i="59"/>
  <c r="I20" i="59"/>
  <c r="Z15" i="58"/>
  <c r="AA15" i="58" s="1"/>
  <c r="Z12" i="58"/>
  <c r="AA12" i="58" s="1"/>
  <c r="J12" i="58"/>
  <c r="Z13" i="58"/>
  <c r="Q20" i="59" l="1"/>
  <c r="X19" i="59"/>
  <c r="J19" i="58" s="1"/>
  <c r="K20" i="59"/>
  <c r="J32" i="59" s="1"/>
  <c r="K44" i="68" s="1"/>
  <c r="W13" i="59"/>
  <c r="Y14" i="68"/>
  <c r="Y24" i="68" s="1"/>
  <c r="AA21" i="68"/>
  <c r="V18" i="59"/>
  <c r="Z18" i="59" s="1"/>
  <c r="Z13" i="59"/>
  <c r="AA13" i="59" s="1"/>
  <c r="L18" i="59"/>
  <c r="L20" i="59" s="1"/>
  <c r="S20" i="59"/>
  <c r="Z17" i="59"/>
  <c r="AA17" i="59" s="1"/>
  <c r="W14" i="59"/>
  <c r="W12" i="59"/>
  <c r="J13" i="58"/>
  <c r="Z14" i="59"/>
  <c r="AA14" i="59" s="1"/>
  <c r="W15" i="59"/>
  <c r="W17" i="59"/>
  <c r="Z12" i="59"/>
  <c r="AA12" i="59" s="1"/>
  <c r="X24" i="68"/>
  <c r="AA14" i="68"/>
  <c r="W24" i="68"/>
  <c r="AA25" i="68" s="1"/>
  <c r="F59" i="68"/>
  <c r="Z16" i="59"/>
  <c r="AA16" i="59" s="1"/>
  <c r="O24" i="68"/>
  <c r="X17" i="59"/>
  <c r="J20" i="61" s="1"/>
  <c r="X12" i="59"/>
  <c r="J21" i="58" s="1"/>
  <c r="X15" i="59"/>
  <c r="J19" i="61" s="1"/>
  <c r="AA15" i="59"/>
  <c r="J13" i="65"/>
  <c r="V13" i="63"/>
  <c r="AA13" i="58"/>
  <c r="X14" i="59"/>
  <c r="J20" i="58" s="1"/>
  <c r="X13" i="59"/>
  <c r="J18" i="58" s="1"/>
  <c r="X16" i="59"/>
  <c r="J22" i="58" s="1"/>
  <c r="J13" i="61"/>
  <c r="R10" i="64"/>
  <c r="R13" i="64" s="1"/>
  <c r="U14" i="64"/>
  <c r="N13" i="67"/>
  <c r="N15" i="67" s="1"/>
  <c r="O13" i="67"/>
  <c r="V20" i="59" l="1"/>
  <c r="Z21" i="59"/>
  <c r="AA28" i="68"/>
  <c r="Y18" i="59"/>
  <c r="W18" i="59"/>
  <c r="W20" i="59" s="1"/>
  <c r="AA18" i="59"/>
  <c r="X18" i="59"/>
  <c r="J23" i="58" s="1"/>
  <c r="J24" i="58" s="1"/>
  <c r="AA26" i="68"/>
  <c r="J16" i="61"/>
  <c r="J22" i="61" s="1"/>
  <c r="J14" i="65"/>
  <c r="O15" i="67"/>
  <c r="Q13" i="67"/>
  <c r="Q15" i="67" s="1"/>
  <c r="J12" i="67"/>
  <c r="J15" i="67" s="1"/>
  <c r="X20" i="59" l="1"/>
  <c r="R13" i="67"/>
  <c r="R15" i="67" l="1"/>
  <c r="S13" i="67"/>
  <c r="W13" i="67" l="1"/>
  <c r="W15" i="67" s="1"/>
  <c r="S15" i="67"/>
</calcChain>
</file>

<file path=xl/sharedStrings.xml><?xml version="1.0" encoding="utf-8"?>
<sst xmlns="http://schemas.openxmlformats.org/spreadsheetml/2006/main" count="537" uniqueCount="243">
  <si>
    <t>NPWP</t>
  </si>
  <si>
    <t>K/0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</si>
  <si>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</si>
  <si>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</si>
  <si>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</si>
  <si>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</si>
  <si>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</si>
  <si>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</si>
  <si>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</si>
  <si>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</si>
  <si>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</si>
  <si>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</si>
  <si>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</si>
  <si>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</si>
  <si>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DIREKTUR UTAMA</t>
  </si>
  <si>
    <t>PT PRIMA TERMINAL PETIKEMAS</t>
  </si>
  <si>
    <t>GAJI</t>
  </si>
  <si>
    <t>TUNJANGAN PERUMAHAN</t>
  </si>
  <si>
    <t>TUNJANGAN KOMUNIKASI</t>
  </si>
  <si>
    <t>JUMLAH PENGHASILAN TIDAK TERATUR</t>
  </si>
  <si>
    <t>01.061.009.5-093.000</t>
  </si>
  <si>
    <t>JABATAN</t>
  </si>
  <si>
    <t>DIREKTUR OPERASI &amp; TEKNIK</t>
  </si>
  <si>
    <t>JUMLAH PENGHASILAN</t>
  </si>
  <si>
    <t>NO REKENING</t>
  </si>
  <si>
    <t xml:space="preserve"> PT PRIMA TERMINAL PETIKEMAS</t>
  </si>
  <si>
    <t>ADINDA SURYA PUTRI</t>
  </si>
  <si>
    <t>ADE HASDINA</t>
  </si>
  <si>
    <t>Bank Mandiri AC. 106-001-0837790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</si>
  <si>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</si>
  <si>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</si>
  <si>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</si>
  <si>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</si>
  <si>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</si>
  <si>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</si>
  <si>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</si>
  <si>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</si>
  <si>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</si>
  <si>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</si>
  <si>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</si>
  <si>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</si>
  <si>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>Bank Mandiri AC. 006-000-4009597</t>
  </si>
  <si>
    <t>LAMPIRAN I</t>
  </si>
  <si>
    <t xml:space="preserve"> </t>
  </si>
  <si>
    <t>SEKRETARIS DEWAN KOMISARIS</t>
  </si>
  <si>
    <t>K/3</t>
  </si>
  <si>
    <t>PPh Pasal 21 Ditanggung Perusahaan</t>
  </si>
  <si>
    <t>TUNJANGAN KENDARAAN</t>
  </si>
  <si>
    <t>DIREKTUR OPERASI DAN TEKNIK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</si>
  <si>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</si>
  <si>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</si>
  <si>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</si>
  <si>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</si>
  <si>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</si>
  <si>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</si>
  <si>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</si>
  <si>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</si>
  <si>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MANAJER PROYEK/TEKNIK</t>
  </si>
  <si>
    <t>47.338.117.5-121.000</t>
  </si>
  <si>
    <t>KOMISARIS I</t>
  </si>
  <si>
    <t xml:space="preserve">KOMISARIS II </t>
  </si>
  <si>
    <r>
      <t>CATATAN</t>
    </r>
    <r>
      <rPr>
        <b/>
        <i/>
        <sz val="10"/>
        <rFont val="Calibri"/>
        <family val="2"/>
      </rPr>
      <t xml:space="preserve"> :</t>
    </r>
  </si>
  <si>
    <t>KOMISARIS II</t>
  </si>
  <si>
    <t>POTONGAN IURAN BPJS (Tenaker, Kesehatan dan Pensiun)</t>
  </si>
  <si>
    <t>SURYA DARMA</t>
  </si>
  <si>
    <t>75.024.501.1-113.000</t>
  </si>
  <si>
    <t xml:space="preserve">SURYA DARMA </t>
  </si>
  <si>
    <t>Bank Mandiri AC. 106-001-1782235</t>
  </si>
  <si>
    <t>KOMISARIS UTAMA</t>
  </si>
  <si>
    <t xml:space="preserve">NAMA </t>
  </si>
  <si>
    <t>GAJI POKOK</t>
  </si>
  <si>
    <t>JUMLAH TAKE HOME PAY</t>
  </si>
  <si>
    <t>-</t>
  </si>
  <si>
    <t>GRADE</t>
  </si>
  <si>
    <t>MARIHOT P. SIMARMATA</t>
  </si>
  <si>
    <t>Madya Grade 2</t>
  </si>
  <si>
    <t>77.426.148.1-002.000</t>
  </si>
  <si>
    <t>Bank Mandiri AC. 006-000-6270734</t>
  </si>
  <si>
    <t>IFSAN ROSADY</t>
  </si>
  <si>
    <t>ASISTEN MANAJER PERALATAN</t>
  </si>
  <si>
    <t>FARIS HILMAN</t>
  </si>
  <si>
    <t>81.728.964.8-403.000</t>
  </si>
  <si>
    <t>58.288.608.1-112.000</t>
  </si>
  <si>
    <t>Bank Mandiri AC. 106-001-2338060</t>
  </si>
  <si>
    <t>Bank Mandiri AC. 106-001-2338078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</si>
  <si>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</si>
  <si>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</si>
  <si>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</si>
  <si>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</si>
  <si>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</si>
  <si>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SINDY NOVITA HARYATI</t>
  </si>
  <si>
    <t>STAF DIVISI PENGEMBANGAN</t>
  </si>
  <si>
    <t>72.958.762.6-125.000</t>
  </si>
  <si>
    <t>AUGUSTO DWIFA DANIEL</t>
  </si>
  <si>
    <t>75.250.341.7-008.000</t>
  </si>
  <si>
    <t>Bank BNI AC. 055-2214-640</t>
  </si>
  <si>
    <t>07.781.854.0-503.001</t>
  </si>
  <si>
    <t>ANDAREAS SIAGIAN</t>
  </si>
  <si>
    <t>98.429.797.8-117.000</t>
  </si>
  <si>
    <t>AGUS WILARSO</t>
  </si>
  <si>
    <t>07.286.118.0-008.000</t>
  </si>
  <si>
    <t>Bank Mandiri AC. 006-009-704-9005</t>
  </si>
  <si>
    <t>DANA PENSIUN WIJAYA KARYA</t>
  </si>
  <si>
    <t>YOLANDA EVANS SIMORANGKIR</t>
  </si>
  <si>
    <t>Bank Mandiri AC. 106-001-3135606</t>
  </si>
  <si>
    <t>FRIDOLIN SIAHAAN</t>
  </si>
  <si>
    <t>MANAJER OPERASI</t>
  </si>
  <si>
    <t>49.419.115.8-121.000</t>
  </si>
  <si>
    <t>91.107.451.6-113.000</t>
  </si>
  <si>
    <t>Bank BNI AC. 021-9724-028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</si>
  <si>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</si>
  <si>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</si>
  <si>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</si>
  <si>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</si>
  <si>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</si>
  <si>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</si>
  <si>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BILLY AZ-ZAHRY</t>
  </si>
  <si>
    <t>Bank Mandiri AC. 106-001-3218907</t>
  </si>
  <si>
    <t>Bank Mandiri AC. 106-001-3215887</t>
  </si>
  <si>
    <t>ASISTEN MANAJER TI</t>
  </si>
  <si>
    <t>M. RIDHO FAKHROZI</t>
  </si>
  <si>
    <t>71.564.573.5-112.000</t>
  </si>
  <si>
    <t>Bank Mandiri AC. 106-002-22-19904</t>
  </si>
  <si>
    <t>MUHAMMAD RIDHO FAKHROZI</t>
  </si>
  <si>
    <t>24.004.037.8-411.000</t>
  </si>
  <si>
    <t>RIDWAN SANI SIREGAR</t>
  </si>
  <si>
    <t>Bank BNI AC. 005-8782-955</t>
  </si>
  <si>
    <t>Bank Mandiri AC. 106-005587-0003</t>
  </si>
  <si>
    <t>MANAJER PENGEMBANGAN</t>
  </si>
  <si>
    <t>07.980.856.4-112.000</t>
  </si>
  <si>
    <t>Bank BNI AC. 250-4197-002</t>
  </si>
  <si>
    <t xml:space="preserve">LAMPIRAN </t>
  </si>
  <si>
    <t>SYAIFUL</t>
  </si>
  <si>
    <t>14.085.292.2-113.000</t>
  </si>
  <si>
    <t>HANDY FAJAR RIYANTO</t>
  </si>
  <si>
    <t>08.811.868.2-503.000</t>
  </si>
  <si>
    <t>Bank BNI AC. 028-7701-735</t>
  </si>
  <si>
    <t>FAHMI IDRIS SITOMPUL</t>
  </si>
  <si>
    <t>83.170.341.8-124.000</t>
  </si>
  <si>
    <t>Bank BNI AC. 086-5006-338</t>
  </si>
  <si>
    <t>20=15-(15+…19)</t>
  </si>
  <si>
    <t>15=8+…+14</t>
  </si>
  <si>
    <t>DAFTAR GAJI PEGAWAI</t>
  </si>
  <si>
    <t>DEFI RAKHMAWATI</t>
  </si>
  <si>
    <t>ASMEN PEMASARAN &amp; PLY PELANGGAN</t>
  </si>
  <si>
    <t>54.467.582.0-513.000</t>
  </si>
  <si>
    <t>77.105.585.2-124.000</t>
  </si>
  <si>
    <t>ASMEN PELAYANAN OPERASI</t>
  </si>
  <si>
    <t>ASMEN RENDALOP</t>
  </si>
  <si>
    <t>ASMEN PEMASARAN &amp; PELY PELANGGAN</t>
  </si>
  <si>
    <t>Bank Mandiri AC. 106-000-7681748</t>
  </si>
  <si>
    <t xml:space="preserve">   </t>
  </si>
  <si>
    <t>DAFTAR GAJI KOMISARIS</t>
  </si>
  <si>
    <t>DAFTAR GAJI DIREKSI</t>
  </si>
  <si>
    <t>TUNJANGAN POSISI</t>
  </si>
  <si>
    <t>TUNJANGAN KINERJA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</si>
  <si>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</si>
  <si>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</si>
  <si>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</si>
  <si>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</si>
  <si>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UANG PENGGANTI FASILITAS KENDARAAN</t>
  </si>
  <si>
    <t>TUNJANGAN TELEPON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</si>
  <si>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</si>
  <si>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</si>
  <si>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</si>
  <si>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</si>
  <si>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</si>
  <si>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</si>
  <si>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</si>
  <si>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</si>
  <si>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Potongan 10% keterlambatan</t>
  </si>
  <si>
    <t>Potongan 20% tidak mencapai target PKM</t>
  </si>
  <si>
    <t>Potongan 50% tidak mencapai target efisiensi perusahaan</t>
  </si>
  <si>
    <t>Pot 10% Keterlambatan</t>
  </si>
  <si>
    <t>Pot 20% tidak mencapai target PKM</t>
  </si>
  <si>
    <t xml:space="preserve">Pot 50% tidak mencapai efisiensi </t>
  </si>
  <si>
    <t>20=15(15+…19)</t>
  </si>
  <si>
    <t>SANDHY WIJAYA</t>
  </si>
  <si>
    <t>48.763.262.2-112.000</t>
  </si>
  <si>
    <t>IR. YULIANDI MM</t>
  </si>
  <si>
    <t>Bank BNI AC. 064-5687-114</t>
  </si>
  <si>
    <t>kewajiban pelindo</t>
  </si>
  <si>
    <t xml:space="preserve">total </t>
  </si>
  <si>
    <t>Bank BNI AC. 004-2015-677</t>
  </si>
  <si>
    <t>Bank BNI AC . 267-3800-00</t>
  </si>
  <si>
    <t xml:space="preserve">DAFTAR GAJI PEGAWAI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</si>
  <si>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</si>
  <si>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</si>
  <si>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</si>
  <si>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</si>
  <si>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</si>
  <si>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</si>
  <si>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</si>
  <si>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</si>
  <si>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</si>
  <si>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</si>
  <si>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</si>
  <si>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Bank BNI AC. 005-884-9810</t>
  </si>
  <si>
    <t>Bank BNI AC. 030-520-8685</t>
  </si>
  <si>
    <t>Bank BNI AC. 018-623-8340</t>
  </si>
  <si>
    <t>total potongan</t>
  </si>
  <si>
    <t>KA. SATUAN PENGAWAS INTERN</t>
  </si>
  <si>
    <t>Bank Mandiri AC.  106-000-7774113</t>
  </si>
  <si>
    <t>Bank Syariah Mandiri AC. 7080-212-601</t>
  </si>
  <si>
    <t>Bank Syariah Mandiri AC.  714-0524-071</t>
  </si>
  <si>
    <t>Bank BNI AC. 005-879-8829</t>
  </si>
  <si>
    <t>RAFDINAL</t>
  </si>
  <si>
    <t>DIREKTUR KEUANGAN &amp; UMUM</t>
  </si>
  <si>
    <t>48.718.362.6-211.000</t>
  </si>
  <si>
    <t>3.</t>
  </si>
  <si>
    <t>Pot 20% tidak mengumpulkan RKB (mendapatkan kategori Baik (C))</t>
  </si>
  <si>
    <t>Potongan 20% tidak mengumpulkan RKB ( tidak mendapatkan kategori Baik)</t>
  </si>
  <si>
    <t>Bank BNI AC. 0077-683-351</t>
  </si>
  <si>
    <t>Total Potongan Keseluruhan</t>
  </si>
  <si>
    <t>POTONGAN IURAN PERISPINDO</t>
  </si>
  <si>
    <t>BASUKI SOLEH</t>
  </si>
  <si>
    <t>07.983.025.3-112.000</t>
  </si>
  <si>
    <t>K/-</t>
  </si>
  <si>
    <t>Bank Syariah Indonesia AC. 7128-491419</t>
  </si>
  <si>
    <t>Menyetujui,</t>
  </si>
  <si>
    <t>JOKO NOERHUDHA</t>
  </si>
  <si>
    <t>CATATAN :</t>
  </si>
  <si>
    <t>BULAN JULI 2021</t>
  </si>
  <si>
    <t>Senior Grade 3</t>
  </si>
  <si>
    <t>10:08:00</t>
  </si>
  <si>
    <t>40:08:00</t>
  </si>
  <si>
    <t>KARINA CITA LESTARI</t>
  </si>
  <si>
    <t>PKWT - STAF SISTEM MANAJEMEN</t>
  </si>
  <si>
    <t>95.266.277.3-119.000</t>
  </si>
  <si>
    <t>00:05</t>
  </si>
  <si>
    <t>Medan,           Juli 2021</t>
  </si>
  <si>
    <t>Medan,      Juli 2021</t>
  </si>
  <si>
    <t>Adanya kenaikan gaji pokok secara periodik atas nama Pandapotan, Ifsan Rosady, Handy Fajar Riyanto, Faris Hilman dan Augusto Dwifa Daniel berdasarkan SK Nomor : KP.30/60/8/PI-21 tgl 23 Juni 2021;</t>
  </si>
  <si>
    <t>Pegawai atas nama Defi Rakhmawati hanya dibayarkan tunjangan kinerja saja karena ybs sudah ditarik ke Induk tmt 02 Juli 2021 berdasarkan SK Nomor : KP.32/18/19/PI-21 tgl 02 Juli 2021.</t>
  </si>
  <si>
    <t xml:space="preserve">Adanya penyesuaian remunerasi atas nama pegawai Karina Cita Lestari berdasarkan Perjanjian Kerja Waktu Tertentu Nomor : 26/PKWT/PTP/VI/2021 tanggal 30 Juni 2021. </t>
  </si>
  <si>
    <t>Adanya kenaikan kelas pegawai atas nama Adinda Surya Putri dan Ade Hasdina dari Madya Grade 1 ke Senior Grade 3 berdasarkan SK Nomor : KEP-07/PTP/2021 tgl 08 Februari 2021;</t>
  </si>
  <si>
    <t>Medan,         Juli 2021</t>
  </si>
  <si>
    <t>48.017.041.4-614.000</t>
  </si>
  <si>
    <t>Medan,            Juli 2021</t>
  </si>
  <si>
    <t>ASISTEN MANAJER RENDALOPS</t>
  </si>
  <si>
    <t>Bank BNI AC. 581-858-217</t>
  </si>
  <si>
    <t>Bank Mandiri AC. 105-001-2068510</t>
  </si>
  <si>
    <t>Bank BNI AC. 020-5748-545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</si>
</sst>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_-* #,##0_-;\-* #,##0_-;_-* &quot;-&quot;??_-;_-@_-"/>
    <numFmt numFmtId="179" formatCode="[$-13809]hh:mm;@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176" fontId="4" fillId="0" borderId="0" applyFill="0" applyBorder="0" applyAlignment="0"/>
    <xf numFmtId="169" fontId="2" fillId="0" borderId="0" applyFill="0" applyBorder="0" applyAlignment="0"/>
    <xf numFmtId="170" fontId="2" fillId="0" borderId="0" applyFill="0" applyBorder="0" applyAlignment="0"/>
    <xf numFmtId="171" fontId="2" fillId="0" borderId="0" applyFill="0" applyBorder="0" applyAlignment="0"/>
    <xf numFmtId="172" fontId="2" fillId="0" borderId="0" applyFill="0" applyBorder="0" applyAlignment="0"/>
    <xf numFmtId="176" fontId="4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6" fillId="0" borderId="1"/>
    <xf numFmtId="169" fontId="2" fillId="0" borderId="0" applyFont="0" applyFill="0" applyBorder="0" applyAlignment="0" applyProtection="0"/>
    <xf numFmtId="14" fontId="4" fillId="0" borderId="0" applyFill="0" applyBorder="0" applyAlignment="0"/>
    <xf numFmtId="176" fontId="7" fillId="0" borderId="0" applyFill="0" applyBorder="0" applyAlignment="0"/>
    <xf numFmtId="169" fontId="2" fillId="0" borderId="0" applyFill="0" applyBorder="0" applyAlignment="0"/>
    <xf numFmtId="176" fontId="7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38" fontId="3" fillId="2" borderId="0" applyNumberFormat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10" fontId="3" fillId="3" borderId="1" applyNumberFormat="0" applyBorder="0" applyAlignment="0" applyProtection="0"/>
    <xf numFmtId="176" fontId="9" fillId="0" borderId="0" applyFill="0" applyBorder="0" applyAlignment="0"/>
    <xf numFmtId="169" fontId="2" fillId="0" borderId="0" applyFill="0" applyBorder="0" applyAlignment="0"/>
    <xf numFmtId="176" fontId="9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8" fontId="2" fillId="0" borderId="0"/>
    <xf numFmtId="9" fontId="13" fillId="0" borderId="0" applyFont="0" applyFill="0" applyBorder="0" applyAlignment="0" applyProtection="0"/>
    <xf numFmtId="172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176" fontId="10" fillId="0" borderId="0" applyFill="0" applyBorder="0" applyAlignment="0"/>
    <xf numFmtId="169" fontId="2" fillId="0" borderId="0" applyFill="0" applyBorder="0" applyAlignment="0"/>
    <xf numFmtId="176" fontId="10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0" fontId="11" fillId="0" borderId="4"/>
    <xf numFmtId="0" fontId="12" fillId="0" borderId="5"/>
    <xf numFmtId="49" fontId="4" fillId="0" borderId="0" applyFill="0" applyBorder="0" applyAlignment="0"/>
    <xf numFmtId="174" fontId="2" fillId="0" borderId="0" applyFill="0" applyBorder="0" applyAlignment="0"/>
    <xf numFmtId="175" fontId="2" fillId="0" borderId="0" applyFill="0" applyBorder="0" applyAlignment="0"/>
  </cellStyleXfs>
  <cellXfs count="425">
    <xf numFmtId="0" fontId="0" fillId="0" borderId="0" xfId="0"/>
    <xf numFmtId="0" fontId="21" fillId="0" borderId="0" xfId="0" applyFont="1" applyAlignment="1" applyProtection="1">
      <alignment horizontal="left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165" fontId="21" fillId="0" borderId="0" xfId="0" applyNumberFormat="1" applyFont="1" applyProtection="1"/>
    <xf numFmtId="167" fontId="21" fillId="0" borderId="0" xfId="0" applyNumberFormat="1" applyFont="1" applyProtection="1"/>
    <xf numFmtId="0" fontId="21" fillId="0" borderId="0" xfId="0" applyFont="1"/>
    <xf numFmtId="167" fontId="21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 applyProtection="1">
      <alignment horizontal="centerContinuous"/>
    </xf>
    <xf numFmtId="0" fontId="22" fillId="0" borderId="0" xfId="0" applyFont="1" applyAlignment="1">
      <alignment horizontal="centerContinuous"/>
    </xf>
    <xf numFmtId="177" fontId="22" fillId="0" borderId="0" xfId="0" applyNumberFormat="1" applyFont="1" applyFill="1" applyBorder="1" applyAlignment="1" applyProtection="1">
      <alignment horizontal="centerContinuous" vertical="center"/>
    </xf>
    <xf numFmtId="0" fontId="22" fillId="0" borderId="0" xfId="0" applyFont="1" applyAlignment="1" applyProtection="1">
      <alignment horizontal="left"/>
    </xf>
    <xf numFmtId="0" fontId="22" fillId="0" borderId="0" xfId="0" applyFont="1" applyProtection="1"/>
    <xf numFmtId="0" fontId="22" fillId="0" borderId="0" xfId="0" applyFont="1" applyAlignment="1" applyProtection="1">
      <alignment horizontal="center"/>
    </xf>
    <xf numFmtId="165" fontId="22" fillId="0" borderId="0" xfId="0" applyNumberFormat="1" applyFont="1" applyProtection="1"/>
    <xf numFmtId="167" fontId="22" fillId="0" borderId="0" xfId="0" applyNumberFormat="1" applyFont="1" applyProtection="1"/>
    <xf numFmtId="0" fontId="22" fillId="0" borderId="0" xfId="0" applyFont="1" applyAlignment="1"/>
    <xf numFmtId="167" fontId="0" fillId="0" borderId="0" xfId="0" applyNumberFormat="1"/>
    <xf numFmtId="0" fontId="21" fillId="5" borderId="6" xfId="0" applyFont="1" applyFill="1" applyBorder="1" applyAlignment="1" applyProtection="1"/>
    <xf numFmtId="0" fontId="22" fillId="6" borderId="1" xfId="0" applyFont="1" applyFill="1" applyBorder="1" applyAlignment="1" applyProtection="1">
      <alignment horizontal="centerContinuous" vertical="center"/>
    </xf>
    <xf numFmtId="9" fontId="22" fillId="6" borderId="1" xfId="31" applyFont="1" applyFill="1" applyBorder="1" applyAlignment="1" applyProtection="1">
      <alignment horizontal="center" vertical="center"/>
    </xf>
    <xf numFmtId="9" fontId="22" fillId="6" borderId="1" xfId="31" applyFont="1" applyFill="1" applyBorder="1" applyAlignment="1" applyProtection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quotePrefix="1" applyFont="1" applyAlignment="1">
      <alignment horizontal="center"/>
    </xf>
    <xf numFmtId="167" fontId="23" fillId="0" borderId="0" xfId="0" applyNumberFormat="1" applyFont="1"/>
    <xf numFmtId="0" fontId="23" fillId="0" borderId="0" xfId="0" quotePrefix="1" applyFont="1"/>
    <xf numFmtId="165" fontId="0" fillId="0" borderId="0" xfId="9" applyFont="1"/>
    <xf numFmtId="0" fontId="24" fillId="0" borderId="0" xfId="0" applyFont="1"/>
    <xf numFmtId="0" fontId="25" fillId="0" borderId="1" xfId="0" quotePrefix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65" fontId="21" fillId="5" borderId="8" xfId="9" applyFont="1" applyFill="1" applyBorder="1" applyProtection="1"/>
    <xf numFmtId="165" fontId="21" fillId="5" borderId="8" xfId="9" applyFont="1" applyFill="1" applyBorder="1" applyAlignment="1" applyProtection="1">
      <alignment horizontal="center"/>
    </xf>
    <xf numFmtId="0" fontId="21" fillId="5" borderId="8" xfId="0" applyFont="1" applyFill="1" applyBorder="1" applyAlignment="1" applyProtection="1">
      <alignment horizontal="center"/>
    </xf>
    <xf numFmtId="167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/>
      <protection hidden="1"/>
    </xf>
    <xf numFmtId="167" fontId="22" fillId="5" borderId="8" xfId="9" applyNumberFormat="1" applyFont="1" applyFill="1" applyBorder="1" applyProtection="1"/>
    <xf numFmtId="165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 shrinkToFit="1"/>
    </xf>
    <xf numFmtId="165" fontId="21" fillId="5" borderId="9" xfId="9" applyFont="1" applyFill="1" applyBorder="1" applyProtection="1"/>
    <xf numFmtId="0" fontId="2" fillId="0" borderId="0" xfId="0" quotePrefix="1" applyFont="1"/>
    <xf numFmtId="165" fontId="21" fillId="5" borderId="8" xfId="9" applyFont="1" applyFill="1" applyBorder="1" applyAlignment="1" applyProtection="1">
      <alignment vertical="center"/>
    </xf>
    <xf numFmtId="167" fontId="21" fillId="5" borderId="10" xfId="9" applyNumberFormat="1" applyFont="1" applyFill="1" applyBorder="1" applyAlignment="1" applyProtection="1">
      <alignment vertical="center" shrinkToFit="1"/>
    </xf>
    <xf numFmtId="178" fontId="0" fillId="0" borderId="0" xfId="0" applyNumberFormat="1"/>
    <xf numFmtId="167" fontId="21" fillId="5" borderId="11" xfId="9" applyNumberFormat="1" applyFont="1" applyFill="1" applyBorder="1" applyAlignment="1" applyProtection="1">
      <alignment vertical="center"/>
      <protection hidden="1"/>
    </xf>
    <xf numFmtId="167" fontId="21" fillId="4" borderId="6" xfId="9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7" fontId="22" fillId="0" borderId="12" xfId="9" applyNumberFormat="1" applyFont="1" applyBorder="1" applyAlignment="1">
      <alignment horizontal="center"/>
    </xf>
    <xf numFmtId="0" fontId="21" fillId="5" borderId="13" xfId="0" quotePrefix="1" applyFont="1" applyFill="1" applyBorder="1" applyAlignment="1" applyProtection="1">
      <alignment horizontal="center"/>
    </xf>
    <xf numFmtId="165" fontId="21" fillId="5" borderId="13" xfId="9" applyFont="1" applyFill="1" applyBorder="1" applyProtection="1"/>
    <xf numFmtId="165" fontId="21" fillId="5" borderId="13" xfId="9" applyFont="1" applyFill="1" applyBorder="1" applyAlignment="1" applyProtection="1">
      <alignment horizontal="center"/>
    </xf>
    <xf numFmtId="0" fontId="21" fillId="5" borderId="13" xfId="0" applyFont="1" applyFill="1" applyBorder="1" applyAlignment="1" applyProtection="1">
      <alignment horizontal="center"/>
    </xf>
    <xf numFmtId="0" fontId="21" fillId="5" borderId="14" xfId="0" quotePrefix="1" applyFont="1" applyFill="1" applyBorder="1" applyAlignment="1" applyProtection="1">
      <alignment horizontal="center"/>
    </xf>
    <xf numFmtId="165" fontId="21" fillId="5" borderId="14" xfId="9" applyFont="1" applyFill="1" applyBorder="1" applyProtection="1"/>
    <xf numFmtId="165" fontId="21" fillId="5" borderId="14" xfId="9" quotePrefix="1" applyFont="1" applyFill="1" applyBorder="1" applyAlignment="1" applyProtection="1">
      <alignment horizontal="center"/>
    </xf>
    <xf numFmtId="0" fontId="21" fillId="5" borderId="14" xfId="0" applyFont="1" applyFill="1" applyBorder="1" applyAlignment="1" applyProtection="1">
      <alignment horizontal="center"/>
    </xf>
    <xf numFmtId="165" fontId="21" fillId="5" borderId="15" xfId="9" applyFont="1" applyFill="1" applyBorder="1" applyAlignment="1" applyProtection="1">
      <alignment horizontal="center"/>
    </xf>
    <xf numFmtId="0" fontId="21" fillId="5" borderId="15" xfId="0" applyFont="1" applyFill="1" applyBorder="1" applyAlignment="1" applyProtection="1">
      <alignment horizontal="center"/>
    </xf>
    <xf numFmtId="167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/>
      <protection hidden="1"/>
    </xf>
    <xf numFmtId="165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 shrinkToFit="1"/>
    </xf>
    <xf numFmtId="165" fontId="21" fillId="5" borderId="16" xfId="9" applyFont="1" applyFill="1" applyBorder="1" applyAlignment="1" applyProtection="1">
      <alignment horizontal="center"/>
    </xf>
    <xf numFmtId="0" fontId="21" fillId="5" borderId="16" xfId="0" applyFont="1" applyFill="1" applyBorder="1" applyAlignment="1" applyProtection="1">
      <alignment horizontal="center"/>
    </xf>
    <xf numFmtId="167" fontId="21" fillId="5" borderId="16" xfId="9" applyNumberFormat="1" applyFont="1" applyFill="1" applyBorder="1" applyProtection="1"/>
    <xf numFmtId="167" fontId="21" fillId="5" borderId="16" xfId="9" applyNumberFormat="1" applyFont="1" applyFill="1" applyBorder="1" applyAlignment="1" applyProtection="1">
      <alignment vertical="center"/>
      <protection hidden="1"/>
    </xf>
    <xf numFmtId="165" fontId="21" fillId="5" borderId="16" xfId="9" applyNumberFormat="1" applyFont="1" applyFill="1" applyBorder="1" applyProtection="1"/>
    <xf numFmtId="167" fontId="21" fillId="5" borderId="16" xfId="9" applyNumberFormat="1" applyFont="1" applyFill="1" applyBorder="1" applyAlignment="1" applyProtection="1">
      <alignment vertical="center" shrinkToFit="1"/>
    </xf>
    <xf numFmtId="167" fontId="22" fillId="5" borderId="10" xfId="9" applyNumberFormat="1" applyFont="1" applyFill="1" applyBorder="1" applyProtection="1"/>
    <xf numFmtId="167" fontId="22" fillId="5" borderId="17" xfId="9" applyNumberFormat="1" applyFont="1" applyFill="1" applyBorder="1" applyProtection="1"/>
    <xf numFmtId="167" fontId="21" fillId="5" borderId="17" xfId="9" applyNumberFormat="1" applyFont="1" applyFill="1" applyBorder="1" applyAlignment="1" applyProtection="1">
      <alignment vertical="center" shrinkToFit="1"/>
    </xf>
    <xf numFmtId="0" fontId="21" fillId="5" borderId="12" xfId="0" quotePrefix="1" applyFont="1" applyFill="1" applyBorder="1" applyAlignment="1" applyProtection="1"/>
    <xf numFmtId="0" fontId="21" fillId="5" borderId="6" xfId="0" quotePrefix="1" applyFont="1" applyFill="1" applyBorder="1" applyAlignment="1" applyProtection="1"/>
    <xf numFmtId="0" fontId="21" fillId="5" borderId="14" xfId="0" quotePrefix="1" applyFont="1" applyFill="1" applyBorder="1" applyAlignment="1" applyProtection="1"/>
    <xf numFmtId="0" fontId="21" fillId="5" borderId="18" xfId="0" quotePrefix="1" applyFont="1" applyFill="1" applyBorder="1" applyAlignment="1" applyProtection="1"/>
    <xf numFmtId="0" fontId="21" fillId="5" borderId="14" xfId="0" applyFont="1" applyFill="1" applyBorder="1" applyAlignment="1" applyProtection="1"/>
    <xf numFmtId="165" fontId="21" fillId="5" borderId="9" xfId="9" applyFont="1" applyFill="1" applyBorder="1" applyAlignment="1" applyProtection="1">
      <alignment vertical="center"/>
    </xf>
    <xf numFmtId="165" fontId="18" fillId="0" borderId="8" xfId="9" applyFont="1" applyFill="1" applyBorder="1" applyAlignment="1" applyProtection="1">
      <alignment horizontal="left" vertical="center"/>
    </xf>
    <xf numFmtId="165" fontId="21" fillId="0" borderId="8" xfId="9" applyFont="1" applyFill="1" applyBorder="1" applyAlignment="1" applyProtection="1">
      <alignment vertical="center"/>
    </xf>
    <xf numFmtId="165" fontId="21" fillId="0" borderId="8" xfId="9" applyFont="1" applyFill="1" applyBorder="1" applyAlignment="1" applyProtection="1">
      <alignment horizontal="center" vertical="center"/>
    </xf>
    <xf numFmtId="165" fontId="18" fillId="0" borderId="10" xfId="9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167" fontId="18" fillId="0" borderId="8" xfId="9" applyNumberFormat="1" applyFont="1" applyFill="1" applyBorder="1" applyAlignment="1" applyProtection="1">
      <alignment vertical="center"/>
    </xf>
    <xf numFmtId="167" fontId="18" fillId="0" borderId="8" xfId="9" applyNumberFormat="1" applyFont="1" applyFill="1" applyBorder="1" applyAlignment="1" applyProtection="1">
      <alignment vertical="center"/>
      <protection hidden="1"/>
    </xf>
    <xf numFmtId="167" fontId="19" fillId="0" borderId="19" xfId="9" applyNumberFormat="1" applyFont="1" applyFill="1" applyBorder="1" applyAlignment="1" applyProtection="1">
      <alignment vertical="center"/>
    </xf>
    <xf numFmtId="167" fontId="20" fillId="0" borderId="8" xfId="9" applyNumberFormat="1" applyFont="1" applyFill="1" applyBorder="1" applyAlignment="1" applyProtection="1"/>
    <xf numFmtId="167" fontId="20" fillId="0" borderId="8" xfId="9" applyNumberFormat="1" applyFont="1" applyFill="1" applyBorder="1" applyAlignment="1" applyProtection="1">
      <alignment vertical="center" shrinkToFit="1"/>
    </xf>
    <xf numFmtId="3" fontId="23" fillId="0" borderId="0" xfId="0" applyNumberFormat="1" applyFont="1"/>
    <xf numFmtId="0" fontId="26" fillId="0" borderId="0" xfId="0" applyFont="1"/>
    <xf numFmtId="167" fontId="26" fillId="0" borderId="0" xfId="0" applyNumberFormat="1" applyFont="1"/>
    <xf numFmtId="165" fontId="23" fillId="4" borderId="6" xfId="9" applyFont="1" applyFill="1" applyBorder="1" applyAlignment="1" applyProtection="1">
      <alignment horizontal="left" vertical="center" wrapText="1"/>
    </xf>
    <xf numFmtId="167" fontId="17" fillId="0" borderId="0" xfId="0" applyNumberFormat="1" applyFont="1"/>
    <xf numFmtId="0" fontId="22" fillId="0" borderId="0" xfId="0" applyFont="1" applyAlignment="1">
      <alignment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0" borderId="8" xfId="9" applyNumberFormat="1" applyFont="1" applyFill="1" applyBorder="1" applyAlignment="1" applyProtection="1">
      <alignment vertical="center"/>
    </xf>
    <xf numFmtId="167" fontId="21" fillId="0" borderId="8" xfId="9" applyNumberFormat="1" applyFont="1" applyFill="1" applyBorder="1" applyAlignment="1" applyProtection="1">
      <alignment vertical="center"/>
      <protection hidden="1"/>
    </xf>
    <xf numFmtId="167" fontId="22" fillId="0" borderId="19" xfId="9" applyNumberFormat="1" applyFont="1" applyFill="1" applyBorder="1" applyAlignment="1" applyProtection="1">
      <alignment vertical="center"/>
    </xf>
    <xf numFmtId="167" fontId="20" fillId="0" borderId="10" xfId="9" applyNumberFormat="1" applyFont="1" applyFill="1" applyBorder="1" applyAlignment="1" applyProtection="1">
      <alignment vertical="center" shrinkToFit="1"/>
    </xf>
    <xf numFmtId="167" fontId="21" fillId="0" borderId="8" xfId="9" applyNumberFormat="1" applyFont="1" applyFill="1" applyBorder="1" applyAlignment="1" applyProtection="1">
      <alignment vertical="center" shrinkToFit="1"/>
    </xf>
    <xf numFmtId="0" fontId="27" fillId="4" borderId="0" xfId="0" applyFont="1" applyFill="1" applyBorder="1" applyAlignment="1" applyProtection="1">
      <alignment horizontal="center" vertical="center"/>
    </xf>
    <xf numFmtId="167" fontId="22" fillId="4" borderId="0" xfId="9" applyNumberFormat="1" applyFont="1" applyFill="1" applyBorder="1" applyAlignment="1" applyProtection="1">
      <alignment horizontal="center" vertical="center"/>
    </xf>
    <xf numFmtId="167" fontId="22" fillId="5" borderId="0" xfId="9" applyNumberFormat="1" applyFont="1" applyFill="1" applyBorder="1" applyAlignment="1" applyProtection="1">
      <alignment vertical="center" shrinkToFit="1"/>
    </xf>
    <xf numFmtId="167" fontId="19" fillId="5" borderId="0" xfId="9" applyNumberFormat="1" applyFont="1" applyFill="1" applyBorder="1" applyAlignment="1" applyProtection="1">
      <alignment vertical="center" shrinkToFit="1"/>
    </xf>
    <xf numFmtId="167" fontId="22" fillId="5" borderId="0" xfId="9" applyNumberFormat="1" applyFont="1" applyFill="1" applyBorder="1" applyAlignment="1" applyProtection="1">
      <alignment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65" fontId="23" fillId="4" borderId="20" xfId="9" applyFont="1" applyFill="1" applyBorder="1" applyAlignment="1" applyProtection="1">
      <alignment horizontal="left" vertical="center" wrapText="1"/>
    </xf>
    <xf numFmtId="167" fontId="22" fillId="4" borderId="21" xfId="9" applyNumberFormat="1" applyFont="1" applyFill="1" applyBorder="1" applyAlignment="1" applyProtection="1">
      <alignment horizontal="center" vertical="center"/>
    </xf>
    <xf numFmtId="167" fontId="22" fillId="0" borderId="22" xfId="9" applyNumberFormat="1" applyFont="1" applyBorder="1" applyAlignment="1">
      <alignment horizontal="center"/>
    </xf>
    <xf numFmtId="167" fontId="21" fillId="5" borderId="20" xfId="9" applyNumberFormat="1" applyFont="1" applyFill="1" applyBorder="1" applyProtection="1"/>
    <xf numFmtId="0" fontId="23" fillId="4" borderId="20" xfId="0" applyFont="1" applyFill="1" applyBorder="1" applyAlignment="1" applyProtection="1">
      <alignment horizontal="center" vertical="center"/>
    </xf>
    <xf numFmtId="0" fontId="23" fillId="4" borderId="8" xfId="0" applyFont="1" applyFill="1" applyBorder="1" applyAlignment="1" applyProtection="1">
      <alignment horizontal="center" vertical="center"/>
    </xf>
    <xf numFmtId="0" fontId="28" fillId="4" borderId="23" xfId="0" applyFont="1" applyFill="1" applyBorder="1" applyAlignment="1" applyProtection="1">
      <alignment horizontal="center" vertical="center" wrapText="1"/>
    </xf>
    <xf numFmtId="0" fontId="28" fillId="4" borderId="23" xfId="0" applyFont="1" applyFill="1" applyBorder="1" applyAlignment="1" applyProtection="1">
      <alignment horizontal="center" vertical="center"/>
    </xf>
    <xf numFmtId="0" fontId="28" fillId="4" borderId="24" xfId="0" applyFont="1" applyFill="1" applyBorder="1" applyAlignment="1" applyProtection="1">
      <alignment horizontal="center" vertical="center"/>
    </xf>
    <xf numFmtId="0" fontId="28" fillId="4" borderId="25" xfId="0" applyFont="1" applyFill="1" applyBorder="1" applyAlignment="1" applyProtection="1">
      <alignment horizontal="center" vertical="center"/>
    </xf>
    <xf numFmtId="0" fontId="29" fillId="0" borderId="0" xfId="0" applyFont="1"/>
    <xf numFmtId="0" fontId="21" fillId="0" borderId="20" xfId="0" quotePrefix="1" applyFont="1" applyBorder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7" fontId="21" fillId="5" borderId="11" xfId="9" applyNumberFormat="1" applyFont="1" applyFill="1" applyBorder="1" applyAlignment="1" applyProtection="1">
      <alignment vertical="center"/>
    </xf>
    <xf numFmtId="167" fontId="22" fillId="5" borderId="27" xfId="9" applyNumberFormat="1" applyFont="1" applyFill="1" applyBorder="1" applyAlignment="1" applyProtection="1">
      <alignment vertical="center"/>
    </xf>
    <xf numFmtId="0" fontId="21" fillId="0" borderId="11" xfId="0" quotePrefix="1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8" xfId="0" applyFont="1" applyFill="1" applyBorder="1" applyAlignment="1" applyProtection="1">
      <alignment horizontal="center" vertical="center"/>
    </xf>
    <xf numFmtId="0" fontId="21" fillId="0" borderId="8" xfId="0" applyFont="1" applyFill="1" applyBorder="1" applyAlignment="1" applyProtection="1">
      <alignment horizontal="center" vertical="center"/>
    </xf>
    <xf numFmtId="0" fontId="21" fillId="0" borderId="10" xfId="0" applyFont="1" applyFill="1" applyBorder="1" applyAlignment="1" applyProtection="1">
      <alignment horizontal="center" vertical="center"/>
    </xf>
    <xf numFmtId="165" fontId="18" fillId="0" borderId="6" xfId="9" applyFont="1" applyFill="1" applyBorder="1" applyAlignment="1" applyProtection="1">
      <alignment horizontal="left" vertical="center"/>
    </xf>
    <xf numFmtId="165" fontId="21" fillId="0" borderId="6" xfId="9" applyFont="1" applyFill="1" applyBorder="1" applyAlignment="1" applyProtection="1">
      <alignment vertical="center"/>
    </xf>
    <xf numFmtId="165" fontId="21" fillId="0" borderId="6" xfId="9" applyFont="1" applyFill="1" applyBorder="1" applyAlignment="1" applyProtection="1">
      <alignment horizontal="center" vertical="center"/>
    </xf>
    <xf numFmtId="165" fontId="18" fillId="0" borderId="12" xfId="9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167" fontId="18" fillId="0" borderId="28" xfId="9" applyNumberFormat="1" applyFont="1" applyFill="1" applyBorder="1" applyAlignment="1" applyProtection="1">
      <alignment vertical="center"/>
    </xf>
    <xf numFmtId="167" fontId="18" fillId="0" borderId="28" xfId="9" applyNumberFormat="1" applyFont="1" applyFill="1" applyBorder="1" applyAlignment="1" applyProtection="1">
      <alignment vertical="center"/>
      <protection hidden="1"/>
    </xf>
    <xf numFmtId="167" fontId="19" fillId="0" borderId="29" xfId="9" applyNumberFormat="1" applyFont="1" applyFill="1" applyBorder="1" applyAlignment="1" applyProtection="1">
      <alignment vertical="center"/>
    </xf>
    <xf numFmtId="167" fontId="20" fillId="0" borderId="6" xfId="9" applyNumberFormat="1" applyFont="1" applyFill="1" applyBorder="1" applyAlignment="1" applyProtection="1"/>
    <xf numFmtId="165" fontId="20" fillId="0" borderId="8" xfId="9" applyNumberFormat="1" applyFont="1" applyFill="1" applyBorder="1" applyAlignment="1" applyProtection="1">
      <alignment horizontal="center" vertical="center"/>
    </xf>
    <xf numFmtId="167" fontId="20" fillId="0" borderId="6" xfId="9" applyNumberFormat="1" applyFont="1" applyFill="1" applyBorder="1" applyAlignment="1" applyProtection="1">
      <alignment vertical="center" shrinkToFit="1"/>
    </xf>
    <xf numFmtId="165" fontId="18" fillId="0" borderId="11" xfId="9" applyFont="1" applyFill="1" applyBorder="1" applyAlignment="1" applyProtection="1">
      <alignment horizontal="left" vertical="center"/>
    </xf>
    <xf numFmtId="165" fontId="21" fillId="0" borderId="11" xfId="9" applyFont="1" applyFill="1" applyBorder="1" applyAlignment="1" applyProtection="1">
      <alignment vertical="center"/>
    </xf>
    <xf numFmtId="165" fontId="21" fillId="0" borderId="11" xfId="9" applyFont="1" applyFill="1" applyBorder="1" applyAlignment="1" applyProtection="1">
      <alignment horizontal="center" vertical="center"/>
    </xf>
    <xf numFmtId="165" fontId="18" fillId="0" borderId="30" xfId="9" applyFont="1" applyFill="1" applyBorder="1" applyAlignment="1" applyProtection="1">
      <alignment horizontal="center" vertical="center"/>
    </xf>
    <xf numFmtId="0" fontId="18" fillId="0" borderId="11" xfId="0" applyFont="1" applyFill="1" applyBorder="1" applyAlignment="1" applyProtection="1">
      <alignment horizontal="center" vertical="center"/>
    </xf>
    <xf numFmtId="167" fontId="19" fillId="0" borderId="27" xfId="9" applyNumberFormat="1" applyFont="1" applyFill="1" applyBorder="1" applyAlignment="1" applyProtection="1">
      <alignment vertical="center"/>
    </xf>
    <xf numFmtId="165" fontId="20" fillId="0" borderId="11" xfId="9" applyNumberFormat="1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vertical="center" shrinkToFit="1"/>
    </xf>
    <xf numFmtId="0" fontId="23" fillId="0" borderId="9" xfId="0" applyFont="1" applyFill="1" applyBorder="1" applyAlignment="1" applyProtection="1">
      <alignment horizontal="center" vertical="center"/>
    </xf>
    <xf numFmtId="0" fontId="2" fillId="0" borderId="0" xfId="0" applyFont="1"/>
    <xf numFmtId="167" fontId="20" fillId="5" borderId="10" xfId="9" applyNumberFormat="1" applyFont="1" applyFill="1" applyBorder="1" applyAlignment="1" applyProtection="1">
      <alignment horizontal="center" vertical="center" shrinkToFit="1"/>
    </xf>
    <xf numFmtId="167" fontId="22" fillId="4" borderId="13" xfId="9" applyNumberFormat="1" applyFont="1" applyFill="1" applyBorder="1" applyAlignment="1" applyProtection="1">
      <alignment horizontal="center" vertical="center"/>
    </xf>
    <xf numFmtId="167" fontId="22" fillId="4" borderId="8" xfId="9" applyNumberFormat="1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horizontal="center" vertical="center" shrinkToFit="1"/>
    </xf>
    <xf numFmtId="167" fontId="20" fillId="0" borderId="11" xfId="9" applyNumberFormat="1" applyFont="1" applyFill="1" applyBorder="1" applyAlignment="1" applyProtection="1"/>
    <xf numFmtId="3" fontId="23" fillId="0" borderId="0" xfId="0" applyNumberFormat="1" applyFont="1" applyAlignment="1">
      <alignment horizontal="left"/>
    </xf>
    <xf numFmtId="167" fontId="20" fillId="5" borderId="10" xfId="9" applyNumberFormat="1" applyFont="1" applyFill="1" applyBorder="1" applyAlignment="1" applyProtection="1">
      <alignment vertical="center" shrinkToFit="1"/>
    </xf>
    <xf numFmtId="167" fontId="20" fillId="5" borderId="30" xfId="9" applyNumberFormat="1" applyFont="1" applyFill="1" applyBorder="1" applyAlignment="1" applyProtection="1">
      <alignment vertical="center" shrinkToFi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 applyProtection="1">
      <alignment horizontal="center"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5" borderId="9" xfId="9" applyNumberFormat="1" applyFont="1" applyFill="1" applyBorder="1" applyAlignment="1" applyProtection="1">
      <alignment vertical="center"/>
      <protection hidden="1"/>
    </xf>
    <xf numFmtId="167" fontId="22" fillId="4" borderId="9" xfId="9" applyNumberFormat="1" applyFont="1" applyFill="1" applyBorder="1" applyAlignment="1" applyProtection="1">
      <alignment horizontal="center" vertical="center"/>
    </xf>
    <xf numFmtId="165" fontId="21" fillId="0" borderId="9" xfId="9" applyFont="1" applyFill="1" applyBorder="1" applyAlignment="1" applyProtection="1">
      <alignment vertical="center"/>
    </xf>
    <xf numFmtId="165" fontId="21" fillId="0" borderId="9" xfId="9" applyFont="1" applyFill="1" applyBorder="1" applyAlignment="1" applyProtection="1">
      <alignment horizontal="center" vertical="center"/>
    </xf>
    <xf numFmtId="0" fontId="21" fillId="0" borderId="9" xfId="0" applyFont="1" applyFill="1" applyBorder="1" applyAlignment="1" applyProtection="1">
      <alignment horizontal="center" vertical="center"/>
    </xf>
    <xf numFmtId="167" fontId="21" fillId="0" borderId="9" xfId="9" applyNumberFormat="1" applyFont="1" applyFill="1" applyBorder="1" applyAlignment="1" applyProtection="1">
      <alignment vertical="center"/>
    </xf>
    <xf numFmtId="167" fontId="21" fillId="0" borderId="9" xfId="9" applyNumberFormat="1" applyFont="1" applyFill="1" applyBorder="1" applyAlignment="1" applyProtection="1">
      <alignment vertical="center"/>
      <protection hidden="1"/>
    </xf>
    <xf numFmtId="167" fontId="20" fillId="0" borderId="9" xfId="9" applyNumberFormat="1" applyFont="1" applyFill="1" applyBorder="1" applyAlignment="1" applyProtection="1">
      <alignment vertical="center" shrinkToFit="1"/>
    </xf>
    <xf numFmtId="167" fontId="20" fillId="0" borderId="9" xfId="9" applyNumberFormat="1" applyFont="1" applyFill="1" applyBorder="1" applyAlignment="1" applyProtection="1">
      <alignment horizontal="center" vertical="center" shrinkToFit="1"/>
    </xf>
    <xf numFmtId="167" fontId="21" fillId="0" borderId="9" xfId="9" applyNumberFormat="1" applyFont="1" applyFill="1" applyBorder="1" applyAlignment="1" applyProtection="1">
      <alignment vertical="center" shrinkToFit="1"/>
    </xf>
    <xf numFmtId="0" fontId="23" fillId="0" borderId="8" xfId="0" quotePrefix="1" applyFont="1" applyFill="1" applyBorder="1" applyAlignment="1" applyProtection="1">
      <alignment horizontal="center" vertical="center"/>
    </xf>
    <xf numFmtId="0" fontId="23" fillId="0" borderId="9" xfId="0" quotePrefix="1" applyFont="1" applyFill="1" applyBorder="1" applyAlignment="1" applyProtection="1">
      <alignment horizontal="center" vertical="center"/>
    </xf>
    <xf numFmtId="164" fontId="0" fillId="0" borderId="0" xfId="10" applyFont="1"/>
    <xf numFmtId="167" fontId="22" fillId="5" borderId="9" xfId="9" applyNumberFormat="1" applyFont="1" applyFill="1" applyBorder="1" applyProtection="1"/>
    <xf numFmtId="165" fontId="23" fillId="5" borderId="8" xfId="9" applyFont="1" applyFill="1" applyBorder="1" applyAlignment="1" applyProtection="1">
      <alignment vertical="center"/>
    </xf>
    <xf numFmtId="165" fontId="23" fillId="5" borderId="8" xfId="9" applyFont="1" applyFill="1" applyBorder="1" applyAlignment="1" applyProtection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Protection="1"/>
    <xf numFmtId="167" fontId="23" fillId="5" borderId="8" xfId="9" applyNumberFormat="1" applyFont="1" applyFill="1" applyBorder="1" applyAlignment="1" applyProtection="1">
      <alignment vertical="center"/>
      <protection hidden="1"/>
    </xf>
    <xf numFmtId="167" fontId="29" fillId="5" borderId="19" xfId="9" applyNumberFormat="1" applyFont="1" applyFill="1" applyBorder="1" applyAlignment="1" applyProtection="1">
      <alignment vertical="center"/>
    </xf>
    <xf numFmtId="167" fontId="30" fillId="5" borderId="10" xfId="9" applyNumberFormat="1" applyFont="1" applyFill="1" applyBorder="1" applyAlignment="1" applyProtection="1">
      <alignment vertical="center" shrinkToFit="1"/>
    </xf>
    <xf numFmtId="167" fontId="30" fillId="5" borderId="8" xfId="9" applyNumberFormat="1" applyFont="1" applyFill="1" applyBorder="1" applyAlignment="1" applyProtection="1">
      <alignment vertical="center" shrinkToFit="1"/>
    </xf>
    <xf numFmtId="165" fontId="23" fillId="0" borderId="8" xfId="9" applyFont="1" applyFill="1" applyBorder="1" applyAlignment="1" applyProtection="1">
      <alignment vertical="center"/>
    </xf>
    <xf numFmtId="165" fontId="23" fillId="0" borderId="8" xfId="9" applyFont="1" applyFill="1" applyBorder="1" applyAlignment="1" applyProtection="1">
      <alignment horizontal="center" vertical="center"/>
    </xf>
    <xf numFmtId="167" fontId="23" fillId="0" borderId="8" xfId="9" applyNumberFormat="1" applyFont="1" applyFill="1" applyBorder="1" applyAlignment="1" applyProtection="1">
      <alignment vertical="center"/>
    </xf>
    <xf numFmtId="167" fontId="23" fillId="0" borderId="8" xfId="9" applyNumberFormat="1" applyFont="1" applyFill="1" applyBorder="1" applyAlignment="1" applyProtection="1">
      <alignment vertical="center"/>
      <protection hidden="1"/>
    </xf>
    <xf numFmtId="167" fontId="29" fillId="0" borderId="19" xfId="9" applyNumberFormat="1" applyFont="1" applyFill="1" applyBorder="1" applyAlignment="1" applyProtection="1">
      <alignment vertical="center"/>
    </xf>
    <xf numFmtId="167" fontId="30" fillId="0" borderId="10" xfId="9" applyNumberFormat="1" applyFont="1" applyFill="1" applyBorder="1" applyAlignment="1" applyProtection="1">
      <alignment vertical="center" shrinkToFit="1"/>
    </xf>
    <xf numFmtId="167" fontId="30" fillId="0" borderId="8" xfId="9" applyNumberFormat="1" applyFont="1" applyFill="1" applyBorder="1" applyAlignment="1" applyProtection="1">
      <alignment vertical="center" shrinkToFit="1"/>
    </xf>
    <xf numFmtId="165" fontId="23" fillId="0" borderId="10" xfId="9" applyFont="1" applyFill="1" applyBorder="1" applyAlignment="1" applyProtection="1">
      <alignment horizontal="center" vertical="center"/>
    </xf>
    <xf numFmtId="165" fontId="23" fillId="0" borderId="12" xfId="9" applyFont="1" applyFill="1" applyBorder="1" applyAlignment="1" applyProtection="1">
      <alignment horizontal="center" vertical="center"/>
    </xf>
    <xf numFmtId="165" fontId="31" fillId="0" borderId="8" xfId="9" applyFont="1" applyFill="1" applyBorder="1" applyAlignment="1" applyProtection="1">
      <alignment horizontal="left" vertical="center"/>
    </xf>
    <xf numFmtId="165" fontId="31" fillId="0" borderId="10" xfId="9" applyFont="1" applyFill="1" applyBorder="1" applyAlignment="1" applyProtection="1">
      <alignment horizontal="center" vertical="center"/>
    </xf>
    <xf numFmtId="0" fontId="31" fillId="0" borderId="8" xfId="0" applyFont="1" applyFill="1" applyBorder="1" applyAlignment="1" applyProtection="1">
      <alignment horizontal="center" vertical="center"/>
    </xf>
    <xf numFmtId="167" fontId="31" fillId="0" borderId="8" xfId="9" applyNumberFormat="1" applyFont="1" applyFill="1" applyBorder="1" applyAlignment="1" applyProtection="1">
      <alignment vertical="center"/>
    </xf>
    <xf numFmtId="167" fontId="31" fillId="0" borderId="8" xfId="9" applyNumberFormat="1" applyFont="1" applyFill="1" applyBorder="1" applyAlignment="1" applyProtection="1">
      <alignment vertical="center"/>
      <protection hidden="1"/>
    </xf>
    <xf numFmtId="167" fontId="32" fillId="0" borderId="19" xfId="9" applyNumberFormat="1" applyFont="1" applyFill="1" applyBorder="1" applyAlignment="1" applyProtection="1">
      <alignment vertical="center"/>
    </xf>
    <xf numFmtId="167" fontId="30" fillId="0" borderId="8" xfId="9" applyNumberFormat="1" applyFont="1" applyFill="1" applyBorder="1" applyAlignment="1" applyProtection="1"/>
    <xf numFmtId="165" fontId="31" fillId="0" borderId="9" xfId="9" applyFont="1" applyFill="1" applyBorder="1" applyAlignment="1" applyProtection="1">
      <alignment horizontal="left" vertical="center"/>
    </xf>
    <xf numFmtId="165" fontId="23" fillId="0" borderId="9" xfId="9" applyFont="1" applyFill="1" applyBorder="1" applyAlignment="1" applyProtection="1">
      <alignment vertical="center"/>
    </xf>
    <xf numFmtId="165" fontId="31" fillId="0" borderId="17" xfId="9" applyFont="1" applyFill="1" applyBorder="1" applyAlignment="1" applyProtection="1">
      <alignment horizontal="center" vertical="center"/>
    </xf>
    <xf numFmtId="0" fontId="31" fillId="0" borderId="9" xfId="0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vertical="center"/>
    </xf>
    <xf numFmtId="167" fontId="23" fillId="0" borderId="9" xfId="9" applyNumberFormat="1" applyFont="1" applyFill="1" applyBorder="1" applyAlignment="1" applyProtection="1">
      <alignment vertical="center"/>
      <protection hidden="1"/>
    </xf>
    <xf numFmtId="167" fontId="32" fillId="0" borderId="32" xfId="9" applyNumberFormat="1" applyFont="1" applyFill="1" applyBorder="1" applyAlignment="1" applyProtection="1">
      <alignment vertical="center"/>
    </xf>
    <xf numFmtId="167" fontId="30" fillId="0" borderId="9" xfId="9" applyNumberFormat="1" applyFont="1" applyFill="1" applyBorder="1" applyAlignment="1" applyProtection="1"/>
    <xf numFmtId="0" fontId="25" fillId="4" borderId="23" xfId="0" applyFont="1" applyFill="1" applyBorder="1" applyAlignment="1" applyProtection="1">
      <alignment horizontal="center" vertical="center" wrapText="1"/>
    </xf>
    <xf numFmtId="0" fontId="25" fillId="4" borderId="23" xfId="0" applyFont="1" applyFill="1" applyBorder="1" applyAlignment="1" applyProtection="1">
      <alignment horizontal="center" vertical="center"/>
    </xf>
    <xf numFmtId="0" fontId="25" fillId="4" borderId="24" xfId="0" applyFont="1" applyFill="1" applyBorder="1" applyAlignment="1" applyProtection="1">
      <alignment horizontal="center" vertical="center"/>
    </xf>
    <xf numFmtId="0" fontId="25" fillId="4" borderId="25" xfId="0" applyFont="1" applyFill="1" applyBorder="1" applyAlignment="1" applyProtection="1">
      <alignment horizontal="center" vertical="center"/>
    </xf>
    <xf numFmtId="0" fontId="25" fillId="0" borderId="33" xfId="0" applyFont="1" applyBorder="1" applyAlignment="1">
      <alignment horizontal="center"/>
    </xf>
    <xf numFmtId="167" fontId="23" fillId="0" borderId="20" xfId="0" applyNumberFormat="1" applyFont="1" applyBorder="1"/>
    <xf numFmtId="167" fontId="20" fillId="0" borderId="10" xfId="9" applyNumberFormat="1" applyFont="1" applyFill="1" applyBorder="1" applyAlignment="1" applyProtection="1"/>
    <xf numFmtId="167" fontId="20" fillId="0" borderId="12" xfId="9" applyNumberFormat="1" applyFont="1" applyFill="1" applyBorder="1" applyAlignment="1" applyProtection="1"/>
    <xf numFmtId="167" fontId="20" fillId="0" borderId="30" xfId="9" applyNumberFormat="1" applyFont="1" applyFill="1" applyBorder="1" applyAlignment="1" applyProtection="1"/>
    <xf numFmtId="0" fontId="23" fillId="0" borderId="28" xfId="0" quotePrefix="1" applyFont="1" applyFill="1" applyBorder="1" applyAlignment="1" applyProtection="1">
      <alignment horizontal="center" vertical="center"/>
    </xf>
    <xf numFmtId="165" fontId="21" fillId="0" borderId="28" xfId="9" applyFont="1" applyFill="1" applyBorder="1" applyAlignment="1" applyProtection="1">
      <alignment vertical="center"/>
    </xf>
    <xf numFmtId="165" fontId="21" fillId="0" borderId="28" xfId="9" applyFont="1" applyFill="1" applyBorder="1" applyAlignment="1" applyProtection="1">
      <alignment horizontal="center" vertical="center"/>
    </xf>
    <xf numFmtId="0" fontId="21" fillId="0" borderId="28" xfId="0" applyFont="1" applyFill="1" applyBorder="1" applyAlignment="1" applyProtection="1">
      <alignment horizontal="center" vertical="center"/>
    </xf>
    <xf numFmtId="167" fontId="21" fillId="0" borderId="28" xfId="9" applyNumberFormat="1" applyFont="1" applyFill="1" applyBorder="1" applyAlignment="1" applyProtection="1">
      <alignment vertical="center"/>
    </xf>
    <xf numFmtId="167" fontId="21" fillId="0" borderId="28" xfId="9" applyNumberFormat="1" applyFont="1" applyFill="1" applyBorder="1" applyAlignment="1" applyProtection="1">
      <alignment vertical="center"/>
      <protection hidden="1"/>
    </xf>
    <xf numFmtId="167" fontId="22" fillId="0" borderId="29" xfId="9" applyNumberFormat="1" applyFont="1" applyFill="1" applyBorder="1" applyAlignment="1" applyProtection="1">
      <alignment vertical="center"/>
    </xf>
    <xf numFmtId="167" fontId="20" fillId="0" borderId="31" xfId="9" applyNumberFormat="1" applyFont="1" applyFill="1" applyBorder="1" applyAlignment="1" applyProtection="1">
      <alignment vertical="center" shrinkToFit="1"/>
    </xf>
    <xf numFmtId="167" fontId="20" fillId="0" borderId="28" xfId="9" applyNumberFormat="1" applyFont="1" applyFill="1" applyBorder="1" applyAlignment="1" applyProtection="1">
      <alignment vertical="center" shrinkToFit="1"/>
    </xf>
    <xf numFmtId="167" fontId="20" fillId="5" borderId="31" xfId="9" applyNumberFormat="1" applyFont="1" applyFill="1" applyBorder="1" applyAlignment="1" applyProtection="1">
      <alignment horizontal="center" vertical="center" shrinkToFit="1"/>
    </xf>
    <xf numFmtId="167" fontId="21" fillId="0" borderId="28" xfId="9" applyNumberFormat="1" applyFont="1" applyFill="1" applyBorder="1" applyAlignment="1" applyProtection="1">
      <alignment vertical="center" shrinkToFit="1"/>
    </xf>
    <xf numFmtId="167" fontId="22" fillId="4" borderId="28" xfId="9" applyNumberFormat="1" applyFont="1" applyFill="1" applyBorder="1" applyAlignment="1" applyProtection="1">
      <alignment horizontal="center" vertical="center"/>
    </xf>
    <xf numFmtId="0" fontId="25" fillId="4" borderId="44" xfId="0" applyFont="1" applyFill="1" applyBorder="1" applyAlignment="1" applyProtection="1">
      <alignment horizontal="center" vertical="center" wrapText="1"/>
    </xf>
    <xf numFmtId="167" fontId="23" fillId="5" borderId="45" xfId="9" applyNumberFormat="1" applyFont="1" applyFill="1" applyBorder="1" applyAlignment="1" applyProtection="1">
      <alignment vertical="center"/>
      <protection hidden="1"/>
    </xf>
    <xf numFmtId="167" fontId="23" fillId="0" borderId="45" xfId="9" applyNumberFormat="1" applyFont="1" applyFill="1" applyBorder="1" applyAlignment="1" applyProtection="1">
      <alignment vertical="center"/>
      <protection hidden="1"/>
    </xf>
    <xf numFmtId="167" fontId="31" fillId="0" borderId="45" xfId="9" applyNumberFormat="1" applyFont="1" applyFill="1" applyBorder="1" applyAlignment="1" applyProtection="1">
      <alignment vertical="center"/>
      <protection hidden="1"/>
    </xf>
    <xf numFmtId="167" fontId="23" fillId="0" borderId="46" xfId="9" applyNumberFormat="1" applyFont="1" applyFill="1" applyBorder="1" applyAlignment="1" applyProtection="1">
      <alignment vertical="center"/>
      <protection hidden="1"/>
    </xf>
    <xf numFmtId="167" fontId="23" fillId="0" borderId="8" xfId="9" applyNumberFormat="1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horizontal="center" vertical="center"/>
    </xf>
    <xf numFmtId="167" fontId="30" fillId="0" borderId="9" xfId="9" applyNumberFormat="1" applyFont="1" applyFill="1" applyBorder="1" applyAlignment="1" applyProtection="1">
      <alignment vertical="center" shrinkToFit="1"/>
    </xf>
    <xf numFmtId="167" fontId="30" fillId="0" borderId="10" xfId="9" applyNumberFormat="1" applyFont="1" applyFill="1" applyBorder="1" applyAlignment="1" applyProtection="1">
      <alignment vertical="center"/>
    </xf>
    <xf numFmtId="167" fontId="30" fillId="0" borderId="17" xfId="9" applyNumberFormat="1" applyFont="1" applyFill="1" applyBorder="1" applyAlignment="1" applyProtection="1">
      <alignment vertical="center"/>
    </xf>
    <xf numFmtId="0" fontId="22" fillId="7" borderId="34" xfId="0" applyFont="1" applyFill="1" applyBorder="1" applyAlignment="1" applyProtection="1">
      <alignment horizontal="center" vertical="center" wrapText="1"/>
    </xf>
    <xf numFmtId="0" fontId="23" fillId="0" borderId="0" xfId="0" applyFont="1" applyFill="1"/>
    <xf numFmtId="167" fontId="30" fillId="0" borderId="8" xfId="9" applyNumberFormat="1" applyFont="1" applyFill="1" applyBorder="1" applyAlignment="1" applyProtection="1">
      <alignment vertical="center"/>
    </xf>
    <xf numFmtId="0" fontId="29" fillId="7" borderId="34" xfId="0" applyFont="1" applyFill="1" applyBorder="1" applyAlignment="1" applyProtection="1">
      <alignment horizontal="center" vertical="center" wrapText="1"/>
    </xf>
    <xf numFmtId="167" fontId="23" fillId="0" borderId="8" xfId="9" applyNumberFormat="1" applyFont="1" applyFill="1" applyBorder="1" applyAlignment="1" applyProtection="1">
      <alignment horizontal="center" vertical="center"/>
      <protection hidden="1"/>
    </xf>
    <xf numFmtId="165" fontId="21" fillId="5" borderId="11" xfId="9" applyFont="1" applyFill="1" applyBorder="1" applyAlignment="1" applyProtection="1">
      <alignment vertical="center"/>
    </xf>
    <xf numFmtId="165" fontId="21" fillId="5" borderId="11" xfId="9" applyFont="1" applyFill="1" applyBorder="1" applyProtection="1"/>
    <xf numFmtId="165" fontId="21" fillId="5" borderId="26" xfId="9" applyFont="1" applyFill="1" applyBorder="1" applyAlignment="1" applyProtection="1">
      <alignment horizontal="center"/>
    </xf>
    <xf numFmtId="0" fontId="21" fillId="5" borderId="26" xfId="0" applyFont="1" applyFill="1" applyBorder="1" applyAlignment="1" applyProtection="1">
      <alignment horizontal="center"/>
    </xf>
    <xf numFmtId="167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/>
      <protection hidden="1"/>
    </xf>
    <xf numFmtId="167" fontId="22" fillId="5" borderId="30" xfId="9" applyNumberFormat="1" applyFont="1" applyFill="1" applyBorder="1" applyProtection="1"/>
    <xf numFmtId="165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 shrinkToFit="1"/>
    </xf>
    <xf numFmtId="167" fontId="21" fillId="5" borderId="30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horizontal="left" vertical="center" shrinkToFit="1"/>
    </xf>
    <xf numFmtId="0" fontId="21" fillId="5" borderId="10" xfId="9" applyNumberFormat="1" applyFont="1" applyFill="1" applyBorder="1" applyAlignment="1" applyProtection="1">
      <alignment horizontal="left" vertical="center" shrinkToFit="1"/>
    </xf>
    <xf numFmtId="0" fontId="21" fillId="5" borderId="31" xfId="9" applyNumberFormat="1" applyFont="1" applyFill="1" applyBorder="1" applyAlignment="1" applyProtection="1">
      <alignment horizontal="left" vertical="center" shrinkToFit="1"/>
    </xf>
    <xf numFmtId="167" fontId="2" fillId="0" borderId="0" xfId="0" applyNumberFormat="1" applyFont="1"/>
    <xf numFmtId="164" fontId="0" fillId="0" borderId="0" xfId="0" applyNumberFormat="1"/>
    <xf numFmtId="0" fontId="29" fillId="0" borderId="0" xfId="0" applyFont="1" applyAlignment="1"/>
    <xf numFmtId="0" fontId="29" fillId="0" borderId="0" xfId="0" applyFont="1" applyAlignment="1">
      <alignment wrapText="1"/>
    </xf>
    <xf numFmtId="20" fontId="21" fillId="0" borderId="8" xfId="9" applyNumberFormat="1" applyFont="1" applyFill="1" applyBorder="1" applyAlignment="1" applyProtection="1">
      <alignment horizontal="center" vertical="center"/>
    </xf>
    <xf numFmtId="20" fontId="21" fillId="0" borderId="20" xfId="9" applyNumberFormat="1" applyFont="1" applyFill="1" applyBorder="1" applyAlignment="1" applyProtection="1">
      <alignment horizontal="center" vertical="center"/>
    </xf>
    <xf numFmtId="20" fontId="21" fillId="0" borderId="9" xfId="9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horizontal="center" vertical="center"/>
    </xf>
    <xf numFmtId="20" fontId="23" fillId="0" borderId="8" xfId="0" applyNumberFormat="1" applyFont="1" applyFill="1" applyBorder="1" applyAlignment="1" applyProtection="1">
      <alignment horizontal="center" vertical="center"/>
    </xf>
    <xf numFmtId="20" fontId="31" fillId="0" borderId="8" xfId="0" applyNumberFormat="1" applyFont="1" applyFill="1" applyBorder="1" applyAlignment="1" applyProtection="1">
      <alignment horizontal="center" vertical="center"/>
    </xf>
    <xf numFmtId="20" fontId="31" fillId="0" borderId="9" xfId="0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vertical="center"/>
    </xf>
    <xf numFmtId="167" fontId="30" fillId="0" borderId="28" xfId="9" applyNumberFormat="1" applyFont="1" applyFill="1" applyBorder="1" applyAlignment="1" applyProtection="1"/>
    <xf numFmtId="167" fontId="30" fillId="0" borderId="11" xfId="9" applyNumberFormat="1" applyFont="1" applyFill="1" applyBorder="1" applyAlignment="1" applyProtection="1">
      <alignment vertical="center" shrinkToFit="1"/>
    </xf>
    <xf numFmtId="20" fontId="23" fillId="5" borderId="8" xfId="0" applyNumberFormat="1" applyFont="1" applyFill="1" applyBorder="1" applyAlignment="1" applyProtection="1">
      <alignment horizontal="center" vertical="center"/>
    </xf>
    <xf numFmtId="167" fontId="20" fillId="5" borderId="17" xfId="9" applyNumberFormat="1" applyFont="1" applyFill="1" applyBorder="1" applyAlignment="1" applyProtection="1">
      <alignment vertical="center" shrinkToFit="1"/>
    </xf>
    <xf numFmtId="167" fontId="20" fillId="5" borderId="9" xfId="9" applyNumberFormat="1" applyFont="1" applyFill="1" applyBorder="1" applyAlignment="1" applyProtection="1">
      <alignment vertical="center" shrinkToFit="1"/>
    </xf>
    <xf numFmtId="167" fontId="20" fillId="5" borderId="8" xfId="9" applyNumberFormat="1" applyFont="1" applyFill="1" applyBorder="1" applyAlignment="1" applyProtection="1">
      <alignment horizontal="center" vertical="center" shrinkToFit="1"/>
    </xf>
    <xf numFmtId="167" fontId="30" fillId="5" borderId="11" xfId="9" applyNumberFormat="1" applyFont="1" applyFill="1" applyBorder="1" applyAlignment="1" applyProtection="1">
      <alignment vertical="center" shrinkToFit="1"/>
    </xf>
    <xf numFmtId="20" fontId="23" fillId="0" borderId="28" xfId="0" applyNumberFormat="1" applyFont="1" applyFill="1" applyBorder="1" applyAlignment="1" applyProtection="1">
      <alignment horizontal="center" vertical="center"/>
    </xf>
    <xf numFmtId="20" fontId="23" fillId="0" borderId="11" xfId="0" applyNumberFormat="1" applyFont="1" applyFill="1" applyBorder="1" applyAlignment="1" applyProtection="1">
      <alignment horizontal="center" vertical="center"/>
    </xf>
    <xf numFmtId="20" fontId="23" fillId="0" borderId="8" xfId="9" quotePrefix="1" applyNumberFormat="1" applyFont="1" applyFill="1" applyBorder="1" applyAlignment="1" applyProtection="1">
      <alignment horizontal="center" vertical="center"/>
    </xf>
    <xf numFmtId="20" fontId="31" fillId="0" borderId="28" xfId="0" applyNumberFormat="1" applyFont="1" applyFill="1" applyBorder="1" applyAlignment="1" applyProtection="1">
      <alignment horizontal="center" vertical="center"/>
    </xf>
    <xf numFmtId="20" fontId="31" fillId="0" borderId="11" xfId="0" applyNumberFormat="1" applyFont="1" applyFill="1" applyBorder="1" applyAlignment="1" applyProtection="1">
      <alignment horizontal="center" vertical="center"/>
    </xf>
    <xf numFmtId="20" fontId="23" fillId="0" borderId="8" xfId="9" applyNumberFormat="1" applyFont="1" applyFill="1" applyBorder="1" applyAlignment="1" applyProtection="1">
      <alignment horizontal="center" vertical="center"/>
    </xf>
    <xf numFmtId="0" fontId="23" fillId="0" borderId="11" xfId="0" applyFont="1" applyFill="1" applyBorder="1" applyAlignment="1" applyProtection="1">
      <alignment horizontal="center" vertical="center"/>
    </xf>
    <xf numFmtId="179" fontId="23" fillId="0" borderId="8" xfId="9" applyNumberFormat="1" applyFont="1" applyFill="1" applyBorder="1" applyAlignment="1" applyProtection="1">
      <alignment horizontal="center" vertical="center"/>
    </xf>
    <xf numFmtId="167" fontId="21" fillId="5" borderId="6" xfId="9" applyNumberFormat="1" applyFont="1" applyFill="1" applyBorder="1" applyAlignment="1" applyProtection="1">
      <alignment vertical="center"/>
      <protection hidden="1"/>
    </xf>
    <xf numFmtId="165" fontId="21" fillId="5" borderId="6" xfId="9" applyFont="1" applyFill="1" applyBorder="1" applyAlignment="1" applyProtection="1">
      <alignment vertical="center"/>
    </xf>
    <xf numFmtId="167" fontId="21" fillId="5" borderId="6" xfId="9" applyNumberFormat="1" applyFont="1" applyFill="1" applyBorder="1" applyAlignment="1" applyProtection="1">
      <alignment vertical="center" shrinkToFit="1"/>
    </xf>
    <xf numFmtId="167" fontId="22" fillId="4" borderId="10" xfId="9" applyNumberFormat="1" applyFont="1" applyFill="1" applyBorder="1" applyAlignment="1" applyProtection="1">
      <alignment horizontal="center" vertical="center"/>
    </xf>
    <xf numFmtId="167" fontId="20" fillId="5" borderId="8" xfId="9" applyNumberFormat="1" applyFont="1" applyFill="1" applyBorder="1" applyAlignment="1" applyProtection="1">
      <alignment vertical="center" shrinkToFit="1"/>
    </xf>
    <xf numFmtId="167" fontId="22" fillId="4" borderId="17" xfId="9" applyNumberFormat="1" applyFont="1" applyFill="1" applyBorder="1" applyAlignment="1" applyProtection="1">
      <alignment horizontal="center" vertical="center"/>
    </xf>
    <xf numFmtId="0" fontId="23" fillId="4" borderId="9" xfId="0" quotePrefix="1" applyFont="1" applyFill="1" applyBorder="1" applyAlignment="1" applyProtection="1">
      <alignment horizontal="center" vertical="center"/>
    </xf>
    <xf numFmtId="0" fontId="21" fillId="0" borderId="6" xfId="0" quotePrefix="1" applyFont="1" applyBorder="1" applyAlignment="1">
      <alignment horizontal="center" vertical="center"/>
    </xf>
    <xf numFmtId="165" fontId="21" fillId="5" borderId="6" xfId="9" applyFont="1" applyFill="1" applyBorder="1" applyProtection="1"/>
    <xf numFmtId="165" fontId="21" fillId="5" borderId="6" xfId="9" applyFont="1" applyFill="1" applyBorder="1" applyAlignment="1" applyProtection="1">
      <alignment horizontal="center"/>
    </xf>
    <xf numFmtId="0" fontId="21" fillId="5" borderId="6" xfId="0" applyFont="1" applyFill="1" applyBorder="1" applyAlignment="1" applyProtection="1">
      <alignment horizontal="center"/>
    </xf>
    <xf numFmtId="167" fontId="21" fillId="5" borderId="6" xfId="9" applyNumberFormat="1" applyFont="1" applyFill="1" applyBorder="1" applyProtection="1"/>
    <xf numFmtId="165" fontId="21" fillId="5" borderId="6" xfId="9" applyNumberFormat="1" applyFont="1" applyFill="1" applyBorder="1" applyProtection="1"/>
    <xf numFmtId="167" fontId="23" fillId="0" borderId="8" xfId="0" applyNumberFormat="1" applyFont="1" applyBorder="1" applyAlignment="1">
      <alignment vertical="center"/>
    </xf>
    <xf numFmtId="0" fontId="22" fillId="0" borderId="0" xfId="0" applyFont="1" applyAlignment="1">
      <alignment horizontal="center"/>
    </xf>
    <xf numFmtId="165" fontId="23" fillId="5" borderId="9" xfId="9" applyFont="1" applyFill="1" applyBorder="1" applyAlignment="1" applyProtection="1">
      <alignment vertical="center"/>
    </xf>
    <xf numFmtId="0" fontId="23" fillId="5" borderId="9" xfId="0" applyFont="1" applyFill="1" applyBorder="1" applyAlignment="1" applyProtection="1">
      <alignment horizontal="center" vertical="center"/>
    </xf>
    <xf numFmtId="167" fontId="23" fillId="5" borderId="9" xfId="9" applyNumberFormat="1" applyFont="1" applyFill="1" applyBorder="1" applyAlignment="1" applyProtection="1">
      <alignment vertical="center"/>
      <protection hidden="1"/>
    </xf>
    <xf numFmtId="167" fontId="29" fillId="0" borderId="0" xfId="0" applyNumberFormat="1" applyFont="1"/>
    <xf numFmtId="20" fontId="21" fillId="0" borderId="6" xfId="9" quotePrefix="1" applyNumberFormat="1" applyFont="1" applyFill="1" applyBorder="1" applyAlignment="1" applyProtection="1">
      <alignment horizontal="center" vertical="center"/>
    </xf>
    <xf numFmtId="20" fontId="21" fillId="0" borderId="8" xfId="9" quotePrefix="1" applyNumberFormat="1" applyFont="1" applyFill="1" applyBorder="1" applyAlignment="1" applyProtection="1">
      <alignment horizontal="center" vertical="center"/>
    </xf>
    <xf numFmtId="167" fontId="21" fillId="5" borderId="8" xfId="9" applyNumberFormat="1" applyFont="1" applyFill="1" applyBorder="1" applyAlignment="1" applyProtection="1">
      <alignment vertical="center"/>
    </xf>
    <xf numFmtId="167" fontId="21" fillId="5" borderId="9" xfId="9" applyNumberFormat="1" applyFont="1" applyFill="1" applyBorder="1" applyAlignment="1" applyProtection="1">
      <alignment vertical="center"/>
    </xf>
    <xf numFmtId="167" fontId="22" fillId="5" borderId="19" xfId="9" applyNumberFormat="1" applyFont="1" applyFill="1" applyBorder="1" applyAlignment="1" applyProtection="1">
      <alignment vertical="center"/>
    </xf>
    <xf numFmtId="167" fontId="22" fillId="5" borderId="32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  <protection hidden="1"/>
    </xf>
    <xf numFmtId="167" fontId="19" fillId="0" borderId="32" xfId="9" applyNumberFormat="1" applyFont="1" applyFill="1" applyBorder="1" applyAlignment="1" applyProtection="1">
      <alignment vertical="center"/>
    </xf>
    <xf numFmtId="167" fontId="20" fillId="0" borderId="17" xfId="9" applyNumberFormat="1" applyFont="1" applyFill="1" applyBorder="1" applyAlignment="1" applyProtection="1"/>
    <xf numFmtId="167" fontId="20" fillId="0" borderId="9" xfId="9" applyNumberFormat="1" applyFont="1" applyFill="1" applyBorder="1" applyAlignment="1" applyProtection="1"/>
    <xf numFmtId="165" fontId="1" fillId="0" borderId="9" xfId="9" applyFont="1" applyFill="1" applyBorder="1" applyAlignment="1" applyProtection="1">
      <alignment horizontal="left" vertical="center"/>
    </xf>
    <xf numFmtId="165" fontId="1" fillId="0" borderId="17" xfId="9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shrinkToFit="1"/>
    </xf>
    <xf numFmtId="167" fontId="20" fillId="0" borderId="8" xfId="9" applyNumberFormat="1" applyFont="1" applyFill="1" applyBorder="1" applyAlignment="1" applyProtection="1">
      <alignment shrinkToFit="1"/>
    </xf>
    <xf numFmtId="167" fontId="20" fillId="0" borderId="9" xfId="9" applyNumberFormat="1" applyFont="1" applyFill="1" applyBorder="1" applyAlignment="1" applyProtection="1">
      <alignment shrinkToFit="1"/>
    </xf>
    <xf numFmtId="0" fontId="23" fillId="4" borderId="11" xfId="0" applyFont="1" applyFill="1" applyBorder="1" applyAlignment="1" applyProtection="1">
      <alignment horizontal="center" vertical="center"/>
    </xf>
    <xf numFmtId="0" fontId="21" fillId="0" borderId="11" xfId="0" applyFont="1" applyBorder="1" applyAlignment="1">
      <alignment horizontal="center" vertical="center"/>
    </xf>
    <xf numFmtId="167" fontId="20" fillId="5" borderId="30" xfId="9" applyNumberFormat="1" applyFont="1" applyFill="1" applyBorder="1" applyAlignment="1" applyProtection="1">
      <alignment horizontal="center" vertical="center" shrinkToFit="1"/>
    </xf>
    <xf numFmtId="167" fontId="22" fillId="4" borderId="11" xfId="9" applyNumberFormat="1" applyFont="1" applyFill="1" applyBorder="1" applyAlignment="1" applyProtection="1">
      <alignment horizontal="center" vertical="center"/>
    </xf>
    <xf numFmtId="165" fontId="21" fillId="0" borderId="20" xfId="9" applyFont="1" applyFill="1" applyBorder="1" applyAlignment="1" applyProtection="1">
      <alignment horizontal="center" vertical="center"/>
    </xf>
    <xf numFmtId="167" fontId="21" fillId="0" borderId="20" xfId="9" applyNumberFormat="1" applyFont="1" applyFill="1" applyBorder="1" applyAlignment="1" applyProtection="1">
      <alignment vertical="center"/>
    </xf>
    <xf numFmtId="165" fontId="23" fillId="0" borderId="20" xfId="9" applyFont="1" applyFill="1" applyBorder="1" applyAlignment="1" applyProtection="1">
      <alignment vertical="center"/>
    </xf>
    <xf numFmtId="0" fontId="23" fillId="0" borderId="20" xfId="0" applyFont="1" applyFill="1" applyBorder="1" applyAlignment="1" applyProtection="1">
      <alignment horizontal="center" vertical="center"/>
    </xf>
    <xf numFmtId="167" fontId="23" fillId="0" borderId="20" xfId="9" applyNumberFormat="1" applyFont="1" applyFill="1" applyBorder="1" applyAlignment="1" applyProtection="1">
      <alignment vertical="center"/>
      <protection hidden="1"/>
    </xf>
    <xf numFmtId="167" fontId="29" fillId="0" borderId="21" xfId="9" applyNumberFormat="1" applyFont="1" applyFill="1" applyBorder="1" applyAlignment="1" applyProtection="1">
      <alignment vertical="center"/>
    </xf>
    <xf numFmtId="167" fontId="30" fillId="0" borderId="22" xfId="9" applyNumberFormat="1" applyFont="1" applyFill="1" applyBorder="1" applyAlignment="1" applyProtection="1">
      <alignment vertical="center" shrinkToFit="1"/>
    </xf>
    <xf numFmtId="167" fontId="30" fillId="0" borderId="20" xfId="9" applyNumberFormat="1" applyFont="1" applyFill="1" applyBorder="1" applyAlignment="1" applyProtection="1">
      <alignment vertical="center" shrinkToFit="1"/>
    </xf>
    <xf numFmtId="167" fontId="30" fillId="5" borderId="22" xfId="9" applyNumberFormat="1" applyFont="1" applyFill="1" applyBorder="1" applyAlignment="1" applyProtection="1">
      <alignment horizontal="center" vertical="center" shrinkToFit="1"/>
    </xf>
    <xf numFmtId="167" fontId="20" fillId="0" borderId="0" xfId="9" applyNumberFormat="1" applyFont="1" applyFill="1" applyBorder="1" applyAlignment="1" applyProtection="1">
      <alignment vertical="center" shrinkToFit="1"/>
    </xf>
    <xf numFmtId="167" fontId="21" fillId="0" borderId="0" xfId="9" applyNumberFormat="1" applyFont="1" applyFill="1" applyBorder="1" applyAlignment="1" applyProtection="1">
      <alignment vertical="center" shrinkToFit="1"/>
    </xf>
    <xf numFmtId="167" fontId="19" fillId="0" borderId="20" xfId="9" applyNumberFormat="1" applyFont="1" applyFill="1" applyBorder="1" applyAlignment="1" applyProtection="1">
      <alignment vertical="center" shrinkToFit="1"/>
    </xf>
    <xf numFmtId="167" fontId="23" fillId="0" borderId="22" xfId="9" applyNumberFormat="1" applyFont="1" applyFill="1" applyBorder="1" applyAlignment="1" applyProtection="1">
      <alignment vertical="center"/>
      <protection hidden="1"/>
    </xf>
    <xf numFmtId="167" fontId="22" fillId="0" borderId="21" xfId="9" applyNumberFormat="1" applyFont="1" applyFill="1" applyBorder="1" applyAlignment="1" applyProtection="1">
      <alignment vertical="center"/>
      <protection hidden="1"/>
    </xf>
    <xf numFmtId="165" fontId="21" fillId="5" borderId="8" xfId="9" applyFont="1" applyFill="1" applyBorder="1" applyAlignment="1" applyProtection="1">
      <alignment horizontal="center" vertical="center"/>
    </xf>
    <xf numFmtId="165" fontId="21" fillId="5" borderId="9" xfId="9" applyFont="1" applyFill="1" applyBorder="1" applyAlignment="1" applyProtection="1">
      <alignment horizontal="center" vertical="center"/>
    </xf>
    <xf numFmtId="0" fontId="23" fillId="0" borderId="8" xfId="0" applyFont="1" applyBorder="1"/>
    <xf numFmtId="0" fontId="23" fillId="0" borderId="9" xfId="0" applyFont="1" applyBorder="1"/>
    <xf numFmtId="167" fontId="20" fillId="0" borderId="17" xfId="9" applyNumberFormat="1" applyFont="1" applyFill="1" applyBorder="1" applyAlignment="1" applyProtection="1">
      <alignment vertical="center" shrinkToFit="1"/>
    </xf>
    <xf numFmtId="0" fontId="28" fillId="4" borderId="49" xfId="0" applyFont="1" applyFill="1" applyBorder="1" applyAlignment="1" applyProtection="1">
      <alignment horizontal="center" vertical="center"/>
    </xf>
    <xf numFmtId="167" fontId="22" fillId="0" borderId="32" xfId="9" applyNumberFormat="1" applyFont="1" applyFill="1" applyBorder="1" applyAlignment="1" applyProtection="1">
      <alignment vertical="center"/>
    </xf>
    <xf numFmtId="0" fontId="17" fillId="0" borderId="0" xfId="0" applyFont="1" applyAlignment="1"/>
    <xf numFmtId="165" fontId="21" fillId="0" borderId="10" xfId="9" applyFont="1" applyBorder="1" applyAlignment="1">
      <alignment horizontal="left" vertical="center"/>
    </xf>
    <xf numFmtId="167" fontId="22" fillId="0" borderId="10" xfId="9" applyNumberFormat="1" applyFont="1" applyBorder="1" applyAlignment="1">
      <alignment horizontal="center"/>
    </xf>
    <xf numFmtId="0" fontId="22" fillId="6" borderId="1" xfId="0" applyFont="1" applyFill="1" applyBorder="1" applyAlignment="1" applyProtection="1">
      <alignment horizontal="center" vertical="center" wrapText="1"/>
    </xf>
    <xf numFmtId="167" fontId="21" fillId="5" borderId="13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167" fontId="22" fillId="5" borderId="6" xfId="9" applyNumberFormat="1" applyFont="1" applyFill="1" applyBorder="1" applyAlignment="1" applyProtection="1">
      <alignment horizontal="center" vertical="center" wrapText="1"/>
    </xf>
    <xf numFmtId="167" fontId="22" fillId="5" borderId="14" xfId="9" applyNumberFormat="1" applyFont="1" applyFill="1" applyBorder="1" applyAlignment="1" applyProtection="1">
      <alignment horizontal="center" vertical="center" wrapText="1"/>
    </xf>
    <xf numFmtId="0" fontId="22" fillId="6" borderId="1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left"/>
    </xf>
    <xf numFmtId="177" fontId="19" fillId="0" borderId="0" xfId="0" applyNumberFormat="1" applyFont="1" applyFill="1" applyBorder="1" applyAlignment="1" applyProtection="1">
      <alignment horizontal="center" vertical="center"/>
    </xf>
    <xf numFmtId="0" fontId="22" fillId="6" borderId="23" xfId="0" applyFont="1" applyFill="1" applyBorder="1" applyAlignment="1" applyProtection="1">
      <alignment vertical="center" wrapText="1"/>
    </xf>
    <xf numFmtId="177" fontId="22" fillId="0" borderId="0" xfId="0" applyNumberFormat="1" applyFont="1" applyFill="1" applyBorder="1" applyAlignment="1" applyProtection="1">
      <alignment horizontal="center" vertical="center"/>
    </xf>
    <xf numFmtId="17" fontId="22" fillId="0" borderId="0" xfId="0" applyNumberFormat="1" applyFont="1" applyFill="1" applyBorder="1" applyAlignment="1" applyProtection="1">
      <alignment horizontal="center" vertical="center"/>
    </xf>
    <xf numFmtId="0" fontId="29" fillId="7" borderId="13" xfId="0" applyFont="1" applyFill="1" applyBorder="1" applyAlignment="1">
      <alignment horizontal="center" vertical="center" wrapText="1"/>
    </xf>
    <xf numFmtId="0" fontId="29" fillId="7" borderId="34" xfId="0" applyFont="1" applyFill="1" applyBorder="1" applyAlignment="1">
      <alignment horizontal="center" vertical="center" wrapText="1"/>
    </xf>
    <xf numFmtId="167" fontId="29" fillId="0" borderId="13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67" fontId="29" fillId="5" borderId="40" xfId="9" applyNumberFormat="1" applyFont="1" applyFill="1" applyBorder="1" applyAlignment="1" applyProtection="1">
      <alignment vertical="center" wrapText="1"/>
    </xf>
    <xf numFmtId="167" fontId="29" fillId="5" borderId="39" xfId="9" applyNumberFormat="1" applyFont="1" applyFill="1" applyBorder="1" applyAlignment="1" applyProtection="1">
      <alignment vertical="center" wrapText="1"/>
    </xf>
    <xf numFmtId="167" fontId="30" fillId="5" borderId="12" xfId="9" applyNumberFormat="1" applyFont="1" applyFill="1" applyBorder="1" applyAlignment="1" applyProtection="1">
      <alignment vertical="center" wrapText="1"/>
    </xf>
    <xf numFmtId="167" fontId="30" fillId="5" borderId="18" xfId="9" applyNumberFormat="1" applyFont="1" applyFill="1" applyBorder="1" applyAlignment="1" applyProtection="1">
      <alignment vertical="center" wrapText="1"/>
    </xf>
    <xf numFmtId="167" fontId="30" fillId="5" borderId="6" xfId="9" applyNumberFormat="1" applyFont="1" applyFill="1" applyBorder="1" applyAlignment="1" applyProtection="1">
      <alignment vertical="center" wrapText="1"/>
    </xf>
    <xf numFmtId="167" fontId="30" fillId="5" borderId="14" xfId="9" applyNumberFormat="1" applyFont="1" applyFill="1" applyBorder="1" applyAlignment="1" applyProtection="1">
      <alignment vertical="center" wrapText="1"/>
    </xf>
    <xf numFmtId="167" fontId="30" fillId="5" borderId="6" xfId="9" quotePrefix="1" applyNumberFormat="1" applyFont="1" applyFill="1" applyBorder="1" applyAlignment="1" applyProtection="1">
      <alignment vertical="center" wrapText="1"/>
    </xf>
    <xf numFmtId="0" fontId="22" fillId="7" borderId="13" xfId="0" applyFont="1" applyFill="1" applyBorder="1" applyAlignment="1" applyProtection="1">
      <alignment horizontal="center" vertical="center" wrapText="1"/>
    </xf>
    <xf numFmtId="0" fontId="22" fillId="7" borderId="34" xfId="0" applyFont="1" applyFill="1" applyBorder="1" applyAlignment="1" applyProtection="1">
      <alignment horizontal="center" vertical="center" wrapText="1"/>
    </xf>
    <xf numFmtId="0" fontId="22" fillId="7" borderId="34" xfId="0" applyFont="1" applyFill="1" applyBorder="1" applyAlignment="1" applyProtection="1">
      <alignment vertical="center" wrapText="1"/>
    </xf>
    <xf numFmtId="167" fontId="23" fillId="5" borderId="6" xfId="9" applyNumberFormat="1" applyFont="1" applyFill="1" applyBorder="1" applyAlignment="1" applyProtection="1">
      <alignment vertical="center" wrapText="1"/>
    </xf>
    <xf numFmtId="167" fontId="23" fillId="5" borderId="14" xfId="9" applyNumberFormat="1" applyFont="1" applyFill="1" applyBorder="1" applyAlignment="1" applyProtection="1">
      <alignment vertical="center" wrapText="1"/>
    </xf>
    <xf numFmtId="0" fontId="29" fillId="0" borderId="0" xfId="0" applyFont="1" applyAlignment="1">
      <alignment horizontal="center"/>
    </xf>
    <xf numFmtId="0" fontId="22" fillId="7" borderId="35" xfId="0" applyFont="1" applyFill="1" applyBorder="1" applyAlignment="1" applyProtection="1">
      <alignment horizontal="center" vertical="center" wrapText="1"/>
    </xf>
    <xf numFmtId="0" fontId="22" fillId="7" borderId="36" xfId="0" applyFont="1" applyFill="1" applyBorder="1" applyAlignment="1" applyProtection="1">
      <alignment horizontal="center" vertical="center" wrapText="1"/>
    </xf>
    <xf numFmtId="0" fontId="22" fillId="7" borderId="41" xfId="0" applyFont="1" applyFill="1" applyBorder="1" applyAlignment="1" applyProtection="1">
      <alignment horizontal="center" vertical="center" wrapText="1"/>
    </xf>
    <xf numFmtId="0" fontId="22" fillId="7" borderId="43" xfId="0" applyFont="1" applyFill="1" applyBorder="1" applyAlignment="1" applyProtection="1">
      <alignment horizontal="center" vertical="center" wrapText="1"/>
    </xf>
    <xf numFmtId="167" fontId="23" fillId="5" borderId="13" xfId="9" applyNumberFormat="1" applyFont="1" applyFill="1" applyBorder="1" applyAlignment="1" applyProtection="1">
      <alignment horizontal="center" vertical="center" wrapText="1"/>
    </xf>
    <xf numFmtId="167" fontId="23" fillId="5" borderId="14" xfId="9" applyNumberFormat="1" applyFont="1" applyFill="1" applyBorder="1" applyAlignment="1" applyProtection="1">
      <alignment horizontal="center" vertical="center" wrapText="1"/>
    </xf>
    <xf numFmtId="167" fontId="30" fillId="5" borderId="13" xfId="9" applyNumberFormat="1" applyFont="1" applyFill="1" applyBorder="1" applyAlignment="1" applyProtection="1">
      <alignment horizontal="center" vertical="center" wrapText="1"/>
    </xf>
    <xf numFmtId="167" fontId="30" fillId="5" borderId="14" xfId="9" applyNumberFormat="1" applyFont="1" applyFill="1" applyBorder="1" applyAlignment="1" applyProtection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2" fillId="7" borderId="48" xfId="0" applyFont="1" applyFill="1" applyBorder="1" applyAlignment="1" applyProtection="1">
      <alignment horizontal="center" vertical="center" wrapText="1"/>
    </xf>
    <xf numFmtId="0" fontId="22" fillId="7" borderId="3" xfId="0" applyFont="1" applyFill="1" applyBorder="1" applyAlignment="1" applyProtection="1">
      <alignment horizontal="center" vertical="center" wrapText="1"/>
    </xf>
    <xf numFmtId="0" fontId="22" fillId="7" borderId="7" xfId="0" applyFont="1" applyFill="1" applyBorder="1" applyAlignment="1" applyProtection="1">
      <alignment horizontal="center" vertical="center" wrapText="1"/>
    </xf>
    <xf numFmtId="167" fontId="30" fillId="5" borderId="13" xfId="9" quotePrefix="1" applyNumberFormat="1" applyFont="1" applyFill="1" applyBorder="1" applyAlignment="1" applyProtection="1">
      <alignment horizontal="center" vertical="center" wrapText="1"/>
    </xf>
    <xf numFmtId="167" fontId="30" fillId="5" borderId="14" xfId="9" quotePrefix="1" applyNumberFormat="1" applyFont="1" applyFill="1" applyBorder="1" applyAlignment="1" applyProtection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7" fontId="22" fillId="5" borderId="6" xfId="9" applyNumberFormat="1" applyFont="1" applyFill="1" applyBorder="1" applyAlignment="1" applyProtection="1">
      <alignment vertical="center" wrapText="1"/>
    </xf>
    <xf numFmtId="167" fontId="22" fillId="5" borderId="14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horizontal="center" vertical="center" wrapText="1"/>
    </xf>
    <xf numFmtId="167" fontId="20" fillId="5" borderId="14" xfId="9" applyNumberFormat="1" applyFont="1" applyFill="1" applyBorder="1" applyAlignment="1" applyProtection="1">
      <alignment horizontal="center" vertical="center" wrapText="1"/>
    </xf>
    <xf numFmtId="167" fontId="20" fillId="5" borderId="12" xfId="9" applyNumberFormat="1" applyFont="1" applyFill="1" applyBorder="1" applyAlignment="1" applyProtection="1">
      <alignment vertical="center" wrapText="1"/>
    </xf>
    <xf numFmtId="167" fontId="20" fillId="5" borderId="18" xfId="9" applyNumberFormat="1" applyFont="1" applyFill="1" applyBorder="1" applyAlignment="1" applyProtection="1">
      <alignment vertical="center" wrapText="1"/>
    </xf>
    <xf numFmtId="167" fontId="20" fillId="5" borderId="6" xfId="9" quotePrefix="1" applyNumberFormat="1" applyFont="1" applyFill="1" applyBorder="1" applyAlignment="1" applyProtection="1">
      <alignment vertical="center" wrapText="1"/>
    </xf>
    <xf numFmtId="167" fontId="20" fillId="5" borderId="6" xfId="9" quotePrefix="1" applyNumberFormat="1" applyFont="1" applyFill="1" applyBorder="1" applyAlignment="1" applyProtection="1">
      <alignment horizontal="center" vertical="center" wrapText="1"/>
    </xf>
    <xf numFmtId="167" fontId="20" fillId="5" borderId="14" xfId="9" quotePrefix="1" applyNumberFormat="1" applyFont="1" applyFill="1" applyBorder="1" applyAlignment="1" applyProtection="1">
      <alignment horizontal="center" vertical="center" wrapText="1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0" fontId="22" fillId="7" borderId="37" xfId="0" applyFont="1" applyFill="1" applyBorder="1" applyAlignment="1" applyProtection="1">
      <alignment horizontal="center" vertical="center" wrapText="1"/>
    </xf>
    <xf numFmtId="0" fontId="22" fillId="7" borderId="38" xfId="0" applyFont="1" applyFill="1" applyBorder="1" applyAlignment="1" applyProtection="1">
      <alignment horizontal="center" vertical="center" wrapText="1"/>
    </xf>
    <xf numFmtId="167" fontId="22" fillId="5" borderId="40" xfId="9" applyNumberFormat="1" applyFont="1" applyFill="1" applyBorder="1" applyAlignment="1" applyProtection="1">
      <alignment vertical="center" wrapText="1"/>
    </xf>
    <xf numFmtId="167" fontId="22" fillId="5" borderId="39" xfId="9" applyNumberFormat="1" applyFont="1" applyFill="1" applyBorder="1" applyAlignment="1" applyProtection="1">
      <alignment vertical="center" wrapText="1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0" fillId="5" borderId="13" xfId="9" applyNumberFormat="1" applyFont="1" applyFill="1" applyBorder="1" applyAlignment="1" applyProtection="1">
      <alignment horizontal="center" vertical="center" wrapText="1"/>
    </xf>
    <xf numFmtId="167" fontId="21" fillId="5" borderId="13" xfId="9" applyNumberFormat="1" applyFont="1" applyFill="1" applyBorder="1" applyAlignment="1" applyProtection="1">
      <alignment vertical="center" wrapText="1"/>
    </xf>
    <xf numFmtId="0" fontId="22" fillId="0" borderId="0" xfId="0" applyFont="1" applyAlignment="1" applyProtection="1">
      <alignment horizontal="center" vertical="center"/>
    </xf>
    <xf numFmtId="167" fontId="20" fillId="5" borderId="47" xfId="9" applyNumberFormat="1" applyFont="1" applyFill="1" applyBorder="1" applyAlignment="1" applyProtection="1">
      <alignment vertical="center" wrapText="1"/>
    </xf>
    <xf numFmtId="167" fontId="20" fillId="5" borderId="42" xfId="9" applyNumberFormat="1" applyFont="1" applyFill="1" applyBorder="1" applyAlignment="1" applyProtection="1">
      <alignment vertical="center" wrapText="1"/>
    </xf>
    <xf numFmtId="167" fontId="20" fillId="5" borderId="14" xfId="9" quotePrefix="1" applyNumberFormat="1" applyFont="1" applyFill="1" applyBorder="1" applyAlignment="1" applyProtection="1">
      <alignment vertical="center" wrapText="1"/>
    </xf>
  </cellXfs>
  <cellStyles count="45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" xfId="31" builtinId="5"/>
    <cellStyle name="Percent [0]" xfId="32" xr:uid="{00000000-0005-0000-0000-000020000000}"/>
    <cellStyle name="Percent [00]" xfId="33" xr:uid="{00000000-0005-0000-0000-000021000000}"/>
    <cellStyle name="Percent [2]" xfId="34" xr:uid="{00000000-0005-0000-0000-000022000000}"/>
    <cellStyle name="PrePop Currency (0)" xfId="35" xr:uid="{00000000-0005-0000-0000-000023000000}"/>
    <cellStyle name="PrePop Currency (2)" xfId="36" xr:uid="{00000000-0005-0000-0000-000024000000}"/>
    <cellStyle name="PrePop Units (0)" xfId="37" xr:uid="{00000000-0005-0000-0000-000025000000}"/>
    <cellStyle name="PrePop Units (1)" xfId="38" xr:uid="{00000000-0005-0000-0000-000026000000}"/>
    <cellStyle name="PrePop Units (2)" xfId="39" xr:uid="{00000000-0005-0000-0000-000027000000}"/>
    <cellStyle name="sbt2" xfId="40" xr:uid="{00000000-0005-0000-0000-000028000000}"/>
    <cellStyle name="subt1" xfId="41" xr:uid="{00000000-0005-0000-0000-000029000000}"/>
    <cellStyle name="Text Indent A" xfId="42" xr:uid="{00000000-0005-0000-0000-00002A000000}"/>
    <cellStyle name="Text Indent B" xfId="43" xr:uid="{00000000-0005-0000-0000-00002B000000}"/>
    <cellStyle name="Text Indent C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6408" name="Picture 1">
          <a:extLst>
            <a:ext uri="{FF2B5EF4-FFF2-40B4-BE49-F238E27FC236}">
              <a16:creationId xmlns:a16="http://schemas.microsoft.com/office/drawing/2014/main" id="{00000000-0008-0000-0100-000018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4364" name="Picture 1">
          <a:extLst>
            <a:ext uri="{FF2B5EF4-FFF2-40B4-BE49-F238E27FC236}">
              <a16:creationId xmlns:a16="http://schemas.microsoft.com/office/drawing/2014/main" id="{00000000-0008-0000-0200-00001C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1143000</xdr:colOff>
      <xdr:row>0</xdr:row>
      <xdr:rowOff>38100</xdr:rowOff>
    </xdr:from>
    <xdr:to>
      <xdr:col>9</xdr:col>
      <xdr:colOff>628650</xdr:colOff>
      <xdr:row>2</xdr:row>
      <xdr:rowOff>9525</xdr:rowOff>
    </xdr:to>
    <xdr:pic>
      <xdr:nvPicPr>
        <xdr:cNvPr id="9374" name="Picture 1">
          <a:extLst>
            <a:ext uri="{FF2B5EF4-FFF2-40B4-BE49-F238E27FC236}">
              <a16:creationId xmlns:a16="http://schemas.microsoft.com/office/drawing/2014/main" id="{00000000-0008-0000-0300-00009E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38100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8364" name="Picture 1">
          <a:extLst>
            <a:ext uri="{FF2B5EF4-FFF2-40B4-BE49-F238E27FC236}">
              <a16:creationId xmlns:a16="http://schemas.microsoft.com/office/drawing/2014/main" id="{00000000-0008-0000-0400-0000AC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400051</xdr:colOff>
      <xdr:row>0</xdr:row>
      <xdr:rowOff>66675</xdr:rowOff>
    </xdr:from>
    <xdr:to>
      <xdr:col>12</xdr:col>
      <xdr:colOff>428625</xdr:colOff>
      <xdr:row>1</xdr:row>
      <xdr:rowOff>257175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5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1" y="66675"/>
          <a:ext cx="183832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169333</xdr:colOff>
      <xdr:row>0</xdr:row>
      <xdr:rowOff>21167</xdr:rowOff>
    </xdr:from>
    <xdr:to>
      <xdr:col>11</xdr:col>
      <xdr:colOff>646640</xdr:colOff>
      <xdr:row>0</xdr:row>
      <xdr:rowOff>571499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6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00" y="21167"/>
          <a:ext cx="2149474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243419</xdr:colOff>
      <xdr:row>0</xdr:row>
      <xdr:rowOff>0</xdr:rowOff>
    </xdr:from>
    <xdr:to>
      <xdr:col>10</xdr:col>
      <xdr:colOff>571502</xdr:colOff>
      <xdr:row>0</xdr:row>
      <xdr:rowOff>478367</xdr:rowOff>
    </xdr:to>
    <xdr:pic>
      <xdr:nvPicPr>
        <xdr:cNvPr id="12318" name="Picture 1">
          <a:extLst>
            <a:ext uri="{FF2B5EF4-FFF2-40B4-BE49-F238E27FC236}">
              <a16:creationId xmlns:a16="http://schemas.microsoft.com/office/drawing/2014/main" id="{00000000-0008-0000-0700-00001E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9169" y="0"/>
          <a:ext cx="2000250" cy="478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1501775</xdr:colOff>
      <xdr:row>0</xdr:row>
      <xdr:rowOff>21167</xdr:rowOff>
    </xdr:from>
    <xdr:to>
      <xdr:col>7</xdr:col>
      <xdr:colOff>102658</xdr:colOff>
      <xdr:row>1</xdr:row>
      <xdr:rowOff>0</xdr:rowOff>
    </xdr:to>
    <xdr:pic>
      <xdr:nvPicPr>
        <xdr:cNvPr id="13342" name="Picture 1">
          <a:extLst>
            <a:ext uri="{FF2B5EF4-FFF2-40B4-BE49-F238E27FC236}">
              <a16:creationId xmlns:a16="http://schemas.microsoft.com/office/drawing/2014/main" id="{00000000-0008-0000-0800-00001E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858" y="21167"/>
          <a:ext cx="1691217" cy="497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KEUANGAN\GAJI\Pegawai%20Organik\KEWAJIBAN%20PEG%20ALIH%20TUGAS\IURAN%20ANAK%20PERUSAHAAN_PTP%20-%20BARU%20MEI%202020%20-%20baru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wnloads\POTONGAN%20TUNJANGAN%20KINERJA%20DAN%20POSISI%20GAJI%20BULAN%20JULI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G13">
            <v>4114000</v>
          </cell>
        </row>
        <row r="14">
          <cell r="G14">
            <v>3919000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EI"/>
      <sheetName val="JUNI"/>
      <sheetName val="JULI"/>
      <sheetName val="AGUS"/>
      <sheetName val="SEPT"/>
      <sheetName val="OKT"/>
      <sheetName val="DES"/>
      <sheetName val="JAN_16"/>
      <sheetName val="Sheet2"/>
      <sheetName val="Sheet3"/>
      <sheetName val="TMT MEI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1">
          <cell r="O31">
            <v>466761</v>
          </cell>
          <cell r="AE31">
            <v>374445</v>
          </cell>
        </row>
        <row r="32">
          <cell r="AE32">
            <v>175120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NET PEG PELINDO DIPERBANTUKAN"/>
      <sheetName val="NET PEGAWAI PTP"/>
    </sheetNames>
    <sheetDataSet>
      <sheetData sheetId="0" refreshError="1"/>
      <sheetData sheetId="1" refreshError="1"/>
      <sheetData sheetId="2">
        <row r="12">
          <cell r="Q12">
            <v>91593</v>
          </cell>
        </row>
        <row r="13">
          <cell r="Q13">
            <v>362843</v>
          </cell>
        </row>
        <row r="15">
          <cell r="Q15">
            <v>52985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5" x14ac:dyDescent="0.25"/>
  <sheetData/>
  <phoneticPr fontId="1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3"/>
  <sheetViews>
    <sheetView zoomScaleNormal="100" workbookViewId="0">
      <selection activeCell="AA32" sqref="AA32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7" ht="18.75" customHeight="1" x14ac:dyDescent="0.35">
      <c r="A1" s="363" t="s">
        <v>42</v>
      </c>
      <c r="B1" s="363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64"/>
      <c r="B2" s="16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64" t="s">
        <v>152</v>
      </c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</row>
    <row r="5" spans="1:27" ht="16.5" customHeight="1" x14ac:dyDescent="0.25">
      <c r="A5" s="13"/>
      <c r="B5" s="364" t="s">
        <v>222</v>
      </c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4"/>
      <c r="P5" s="364"/>
      <c r="Q5" s="364"/>
      <c r="R5" s="364"/>
      <c r="S5" s="364"/>
      <c r="T5" s="364"/>
      <c r="U5" s="364"/>
      <c r="V5" s="364"/>
      <c r="W5" s="364"/>
      <c r="X5" s="364"/>
      <c r="Y5" s="155" t="s">
        <v>43</v>
      </c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61" t="s">
        <v>7</v>
      </c>
      <c r="B7" s="361" t="s">
        <v>69</v>
      </c>
      <c r="C7" s="361" t="s">
        <v>21</v>
      </c>
      <c r="D7" s="361" t="s">
        <v>0</v>
      </c>
      <c r="E7" s="361" t="s">
        <v>2</v>
      </c>
      <c r="F7" s="361" t="s">
        <v>16</v>
      </c>
      <c r="G7" s="361" t="s">
        <v>17</v>
      </c>
      <c r="H7" s="361" t="s">
        <v>18</v>
      </c>
      <c r="I7" s="361" t="s">
        <v>6</v>
      </c>
      <c r="J7" s="361" t="s">
        <v>23</v>
      </c>
      <c r="K7" s="361" t="s">
        <v>4</v>
      </c>
      <c r="L7" s="361" t="s">
        <v>3</v>
      </c>
      <c r="M7" s="361" t="s">
        <v>19</v>
      </c>
      <c r="N7" s="361" t="s">
        <v>9</v>
      </c>
      <c r="O7" s="361" t="s">
        <v>8</v>
      </c>
      <c r="P7" s="361" t="s">
        <v>5</v>
      </c>
      <c r="Q7" s="361" t="s">
        <v>11</v>
      </c>
      <c r="R7" s="361" t="s">
        <v>10</v>
      </c>
      <c r="S7" s="22" t="s">
        <v>12</v>
      </c>
      <c r="T7" s="22"/>
      <c r="U7" s="22"/>
      <c r="V7" s="22"/>
      <c r="W7" s="22"/>
      <c r="X7" s="356" t="s">
        <v>24</v>
      </c>
    </row>
    <row r="8" spans="1:27" ht="20.149999999999999" customHeight="1" x14ac:dyDescent="0.25">
      <c r="A8" s="362"/>
      <c r="B8" s="365"/>
      <c r="C8" s="365"/>
      <c r="D8" s="365"/>
      <c r="E8" s="365"/>
      <c r="F8" s="365"/>
      <c r="G8" s="362"/>
      <c r="H8" s="362"/>
      <c r="I8" s="362"/>
      <c r="J8" s="362"/>
      <c r="K8" s="362"/>
      <c r="L8" s="362"/>
      <c r="M8" s="362"/>
      <c r="N8" s="362"/>
      <c r="O8" s="362"/>
      <c r="P8" s="362"/>
      <c r="Q8" s="362"/>
      <c r="R8" s="362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6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19.5" hidden="1" customHeight="1" x14ac:dyDescent="0.35">
      <c r="A10" s="124">
        <v>1</v>
      </c>
      <c r="B10" s="46" t="s">
        <v>220</v>
      </c>
      <c r="C10" s="36" t="s">
        <v>68</v>
      </c>
      <c r="D10" s="51"/>
      <c r="E10" s="51"/>
      <c r="F10" s="51"/>
      <c r="G10" s="51"/>
      <c r="H10" s="51"/>
      <c r="I10" s="51"/>
      <c r="J10" s="115">
        <f>'NET KOMISARIS'!$R$8</f>
        <v>27000000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43" t="s">
        <v>183</v>
      </c>
    </row>
    <row r="11" spans="1:27" ht="19.5" customHeight="1" x14ac:dyDescent="0.35">
      <c r="A11" s="129">
        <v>1</v>
      </c>
      <c r="B11" s="46" t="s">
        <v>220</v>
      </c>
      <c r="C11" s="36" t="s">
        <v>68</v>
      </c>
      <c r="D11" s="51"/>
      <c r="E11" s="51"/>
      <c r="F11" s="51"/>
      <c r="G11" s="51"/>
      <c r="H11" s="51"/>
      <c r="I11" s="51"/>
      <c r="J11" s="355">
        <f>'NET KOMISARIS'!R9</f>
        <v>27000000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43" t="s">
        <v>242</v>
      </c>
    </row>
    <row r="12" spans="1:27" ht="19.5" customHeight="1" x14ac:dyDescent="0.35">
      <c r="A12" s="125">
        <v>2</v>
      </c>
      <c r="B12" s="46" t="s">
        <v>179</v>
      </c>
      <c r="C12" s="36" t="s">
        <v>59</v>
      </c>
      <c r="D12" s="51"/>
      <c r="E12" s="51"/>
      <c r="F12" s="51"/>
      <c r="G12" s="51"/>
      <c r="H12" s="51"/>
      <c r="I12" s="51"/>
      <c r="J12" s="52">
        <f>'NET KOMISARIS'!$R$10</f>
        <v>29160000</v>
      </c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43" t="s">
        <v>180</v>
      </c>
    </row>
    <row r="13" spans="1:27" ht="20.149999999999999" customHeight="1" x14ac:dyDescent="0.35">
      <c r="A13" s="129">
        <v>3</v>
      </c>
      <c r="B13" s="46" t="s">
        <v>39</v>
      </c>
      <c r="C13" s="36" t="s">
        <v>62</v>
      </c>
      <c r="D13" s="37" t="s">
        <v>20</v>
      </c>
      <c r="E13" s="38" t="s">
        <v>1</v>
      </c>
      <c r="F13" s="39">
        <v>18000000</v>
      </c>
      <c r="G13" s="40">
        <v>0</v>
      </c>
      <c r="H13" s="40">
        <v>1000000</v>
      </c>
      <c r="I13" s="40">
        <v>0</v>
      </c>
      <c r="J13" s="41">
        <f>'NET KOMISARIS'!$R$11</f>
        <v>29160000</v>
      </c>
      <c r="K13" s="42"/>
      <c r="L13" s="42"/>
      <c r="M13" s="42">
        <f>SUM(K13:L13)</f>
        <v>0</v>
      </c>
      <c r="N13" s="39">
        <f>J13+M13</f>
        <v>29160000</v>
      </c>
      <c r="O13" s="43">
        <f>(IF(J13*0.05&lt;500000,J13*0.05,500000))</f>
        <v>500000</v>
      </c>
      <c r="P13" s="42">
        <v>0</v>
      </c>
      <c r="Q13" s="39">
        <f>O13+P13</f>
        <v>500000</v>
      </c>
      <c r="R13" s="39">
        <f>N13-Q13</f>
        <v>28660000</v>
      </c>
      <c r="S13" s="43">
        <f>R13*5%</f>
        <v>1433000</v>
      </c>
      <c r="T13" s="43">
        <v>0</v>
      </c>
      <c r="U13" s="43">
        <v>0</v>
      </c>
      <c r="V13" s="43">
        <v>0</v>
      </c>
      <c r="W13" s="43">
        <f>IF(D13="NA",0,IF(D13="",1/0,SUM(S13:V13)))</f>
        <v>1433000</v>
      </c>
      <c r="X13" s="43" t="s">
        <v>41</v>
      </c>
    </row>
    <row r="14" spans="1:27" ht="20.149999999999999" customHeight="1" x14ac:dyDescent="0.35">
      <c r="A14" s="299">
        <v>4</v>
      </c>
      <c r="B14" s="293" t="s">
        <v>215</v>
      </c>
      <c r="C14" s="300" t="s">
        <v>44</v>
      </c>
      <c r="D14" s="301"/>
      <c r="E14" s="302"/>
      <c r="F14" s="303"/>
      <c r="G14" s="292"/>
      <c r="H14" s="292"/>
      <c r="I14" s="292"/>
      <c r="J14" s="183">
        <f>'NET KOMISARIS'!R12</f>
        <v>9450000</v>
      </c>
      <c r="K14" s="304"/>
      <c r="L14" s="304"/>
      <c r="M14" s="304"/>
      <c r="N14" s="303"/>
      <c r="O14" s="294"/>
      <c r="P14" s="304"/>
      <c r="Q14" s="303"/>
      <c r="R14" s="303"/>
      <c r="S14" s="294"/>
      <c r="T14" s="294"/>
      <c r="U14" s="294"/>
      <c r="V14" s="294"/>
      <c r="W14" s="294"/>
      <c r="X14" s="294" t="s">
        <v>218</v>
      </c>
    </row>
    <row r="15" spans="1:27" ht="15" customHeight="1" x14ac:dyDescent="0.35">
      <c r="A15" s="53"/>
      <c r="B15" s="54"/>
      <c r="C15" s="54"/>
      <c r="D15" s="55"/>
      <c r="E15" s="56"/>
      <c r="F15" s="357">
        <f>SUM(F9:F13)</f>
        <v>18000000</v>
      </c>
      <c r="G15" s="357">
        <f>SUM(G9:G13)</f>
        <v>0</v>
      </c>
      <c r="H15" s="357">
        <f>SUM(H9:H13)</f>
        <v>1000000</v>
      </c>
      <c r="I15" s="357">
        <f>SUM(I9:I13)</f>
        <v>0</v>
      </c>
      <c r="J15" s="359">
        <f>SUM(J11:J14)</f>
        <v>94770000</v>
      </c>
      <c r="K15" s="357">
        <f t="shared" ref="K15:W15" si="0">SUM(K9:K13)</f>
        <v>0</v>
      </c>
      <c r="L15" s="357">
        <f t="shared" si="0"/>
        <v>0</v>
      </c>
      <c r="M15" s="357">
        <f t="shared" si="0"/>
        <v>0</v>
      </c>
      <c r="N15" s="357">
        <f t="shared" si="0"/>
        <v>29160000</v>
      </c>
      <c r="O15" s="357">
        <f t="shared" si="0"/>
        <v>500000</v>
      </c>
      <c r="P15" s="357">
        <f t="shared" si="0"/>
        <v>0</v>
      </c>
      <c r="Q15" s="357">
        <f t="shared" si="0"/>
        <v>500000</v>
      </c>
      <c r="R15" s="357">
        <f t="shared" si="0"/>
        <v>28660000</v>
      </c>
      <c r="S15" s="357">
        <f t="shared" si="0"/>
        <v>1433000</v>
      </c>
      <c r="T15" s="357">
        <f t="shared" si="0"/>
        <v>0</v>
      </c>
      <c r="U15" s="357">
        <f t="shared" si="0"/>
        <v>0</v>
      </c>
      <c r="V15" s="357">
        <f t="shared" si="0"/>
        <v>0</v>
      </c>
      <c r="W15" s="357">
        <f t="shared" si="0"/>
        <v>1433000</v>
      </c>
      <c r="X15" s="357"/>
      <c r="AA15" s="20"/>
    </row>
    <row r="16" spans="1:27" ht="15" customHeight="1" thickBot="1" x14ac:dyDescent="0.4">
      <c r="A16" s="57"/>
      <c r="B16" s="58"/>
      <c r="C16" s="58"/>
      <c r="D16" s="59"/>
      <c r="E16" s="60"/>
      <c r="F16" s="358"/>
      <c r="G16" s="358"/>
      <c r="H16" s="358"/>
      <c r="I16" s="358"/>
      <c r="J16" s="360"/>
      <c r="K16" s="358"/>
      <c r="L16" s="358"/>
      <c r="M16" s="358"/>
      <c r="N16" s="358"/>
      <c r="O16" s="358"/>
      <c r="P16" s="358"/>
      <c r="Q16" s="358"/>
      <c r="R16" s="358"/>
      <c r="S16" s="358"/>
      <c r="T16" s="358"/>
      <c r="U16" s="358"/>
      <c r="V16" s="358"/>
      <c r="W16" s="358"/>
      <c r="X16" s="358"/>
      <c r="Z16" s="20"/>
    </row>
    <row r="17" spans="1:24" ht="11.25" customHeight="1" thickTop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4.5" x14ac:dyDescent="0.35">
      <c r="A18" s="6"/>
      <c r="B18" s="165" t="s">
        <v>219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5" t="s">
        <v>238</v>
      </c>
    </row>
    <row r="19" spans="1:24" ht="14.5" x14ac:dyDescent="0.35">
      <c r="A19" s="6"/>
      <c r="B19" s="165" t="s">
        <v>207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65" t="s">
        <v>36</v>
      </c>
    </row>
    <row r="20" spans="1:24" ht="16.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6.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6.5" customHeight="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4.5" x14ac:dyDescent="0.35">
      <c r="A23" s="6"/>
      <c r="B23" s="165" t="s">
        <v>206</v>
      </c>
      <c r="C23" s="6" t="s">
        <v>43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165" t="s">
        <v>187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15:T16"/>
    <mergeCell ref="U15:U16"/>
    <mergeCell ref="V15:V16"/>
    <mergeCell ref="W15:W16"/>
    <mergeCell ref="N7:N8"/>
    <mergeCell ref="O7:O8"/>
    <mergeCell ref="P7:P8"/>
    <mergeCell ref="Q7:Q8"/>
    <mergeCell ref="R7:R8"/>
    <mergeCell ref="X7:X8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X15:X16"/>
    <mergeCell ref="R15:R16"/>
    <mergeCell ref="S15:S16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1"/>
  <sheetViews>
    <sheetView zoomScaleNormal="100" workbookViewId="0">
      <selection activeCell="Y17" sqref="Y17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8" ht="18.75" customHeight="1" x14ac:dyDescent="0.35">
      <c r="A1" s="363" t="s">
        <v>42</v>
      </c>
      <c r="B1" s="363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ht="21" customHeight="1" x14ac:dyDescent="0.35">
      <c r="A2" s="164"/>
      <c r="B2" s="16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6.5" customHeight="1" x14ac:dyDescent="0.25">
      <c r="A4" s="13"/>
      <c r="B4" s="364" t="s">
        <v>153</v>
      </c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</row>
    <row r="5" spans="1:28" ht="16.5" customHeight="1" x14ac:dyDescent="0.25">
      <c r="A5" s="13"/>
      <c r="B5" s="364" t="s">
        <v>222</v>
      </c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4"/>
      <c r="P5" s="364"/>
      <c r="Q5" s="364"/>
      <c r="R5" s="364"/>
      <c r="S5" s="364"/>
      <c r="T5" s="364"/>
      <c r="U5" s="364"/>
      <c r="V5" s="364"/>
      <c r="W5" s="364"/>
      <c r="X5" s="364"/>
    </row>
    <row r="6" spans="1:28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8" ht="20.149999999999999" customHeight="1" x14ac:dyDescent="0.25">
      <c r="A7" s="361" t="s">
        <v>7</v>
      </c>
      <c r="B7" s="361" t="s">
        <v>69</v>
      </c>
      <c r="C7" s="361" t="s">
        <v>21</v>
      </c>
      <c r="D7" s="361" t="s">
        <v>0</v>
      </c>
      <c r="E7" s="361" t="s">
        <v>2</v>
      </c>
      <c r="F7" s="361" t="s">
        <v>16</v>
      </c>
      <c r="G7" s="361" t="s">
        <v>17</v>
      </c>
      <c r="H7" s="361" t="s">
        <v>18</v>
      </c>
      <c r="I7" s="361" t="s">
        <v>6</v>
      </c>
      <c r="J7" s="361" t="s">
        <v>23</v>
      </c>
      <c r="K7" s="361" t="s">
        <v>4</v>
      </c>
      <c r="L7" s="361" t="s">
        <v>3</v>
      </c>
      <c r="M7" s="361" t="s">
        <v>19</v>
      </c>
      <c r="N7" s="361" t="s">
        <v>9</v>
      </c>
      <c r="O7" s="361" t="s">
        <v>8</v>
      </c>
      <c r="P7" s="361" t="s">
        <v>5</v>
      </c>
      <c r="Q7" s="361" t="s">
        <v>11</v>
      </c>
      <c r="R7" s="361" t="s">
        <v>10</v>
      </c>
      <c r="S7" s="22" t="s">
        <v>12</v>
      </c>
      <c r="T7" s="22"/>
      <c r="U7" s="22"/>
      <c r="V7" s="22"/>
      <c r="W7" s="22"/>
      <c r="X7" s="356" t="s">
        <v>24</v>
      </c>
    </row>
    <row r="8" spans="1:28" ht="20.149999999999999" customHeight="1" x14ac:dyDescent="0.25">
      <c r="A8" s="362"/>
      <c r="B8" s="365"/>
      <c r="C8" s="365"/>
      <c r="D8" s="365"/>
      <c r="E8" s="365"/>
      <c r="F8" s="365"/>
      <c r="G8" s="362"/>
      <c r="H8" s="362"/>
      <c r="I8" s="362"/>
      <c r="J8" s="362"/>
      <c r="K8" s="362"/>
      <c r="L8" s="362"/>
      <c r="M8" s="362"/>
      <c r="N8" s="362"/>
      <c r="O8" s="362"/>
      <c r="P8" s="362"/>
      <c r="Q8" s="362"/>
      <c r="R8" s="362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6"/>
    </row>
    <row r="9" spans="1:28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8" ht="20.149999999999999" hidden="1" customHeight="1" x14ac:dyDescent="0.35">
      <c r="A10" s="129">
        <v>1</v>
      </c>
      <c r="B10" s="46" t="s">
        <v>125</v>
      </c>
      <c r="C10" s="36" t="s">
        <v>14</v>
      </c>
      <c r="D10" s="37"/>
      <c r="E10" s="38"/>
      <c r="F10" s="39"/>
      <c r="G10" s="40"/>
      <c r="H10" s="40"/>
      <c r="I10" s="40"/>
      <c r="J10" s="41">
        <f>'NET DIREKSI '!V9</f>
        <v>73794437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43" t="s">
        <v>126</v>
      </c>
      <c r="Y10" t="e">
        <f>'NET PEGAWAI PTP'!#REF!</f>
        <v>#REF!</v>
      </c>
      <c r="Z10" s="30" t="e">
        <f>'NET PEGAWAI PTP'!#REF!+'NET PEGAWAI PTP'!#REF!</f>
        <v>#REF!</v>
      </c>
      <c r="AA10" s="48" t="e">
        <f>Y10-Z10</f>
        <v>#REF!</v>
      </c>
      <c r="AB10" s="45"/>
    </row>
    <row r="11" spans="1:28" ht="20.149999999999999" customHeight="1" x14ac:dyDescent="0.35">
      <c r="A11" s="129">
        <v>1</v>
      </c>
      <c r="B11" s="46" t="s">
        <v>177</v>
      </c>
      <c r="C11" s="36" t="s">
        <v>14</v>
      </c>
      <c r="D11" s="37"/>
      <c r="E11" s="38"/>
      <c r="F11" s="39"/>
      <c r="G11" s="40"/>
      <c r="H11" s="40"/>
      <c r="I11" s="40"/>
      <c r="J11" s="41">
        <f>'NET DIREKSI '!V10</f>
        <v>73669308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43" t="s">
        <v>184</v>
      </c>
      <c r="Z11" s="30"/>
      <c r="AA11" s="48"/>
      <c r="AB11" s="45"/>
    </row>
    <row r="12" spans="1:28" ht="20.149999999999999" customHeight="1" x14ac:dyDescent="0.35">
      <c r="A12" s="129">
        <v>2</v>
      </c>
      <c r="B12" s="46" t="s">
        <v>206</v>
      </c>
      <c r="C12" s="36" t="s">
        <v>207</v>
      </c>
      <c r="D12" s="37"/>
      <c r="E12" s="38"/>
      <c r="F12" s="39"/>
      <c r="G12" s="40"/>
      <c r="H12" s="40"/>
      <c r="I12" s="40"/>
      <c r="J12" s="41">
        <f>'NET DIREKSI '!V11</f>
        <v>66000000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212</v>
      </c>
      <c r="Z12" s="30"/>
      <c r="AA12" s="48"/>
      <c r="AB12" s="45"/>
    </row>
    <row r="13" spans="1:28" ht="20.149999999999999" customHeight="1" x14ac:dyDescent="0.35">
      <c r="A13" s="129">
        <v>3</v>
      </c>
      <c r="B13" s="46" t="s">
        <v>99</v>
      </c>
      <c r="C13" s="36" t="s">
        <v>48</v>
      </c>
      <c r="D13" s="37"/>
      <c r="E13" s="38"/>
      <c r="F13" s="39"/>
      <c r="G13" s="40"/>
      <c r="H13" s="40"/>
      <c r="I13" s="40"/>
      <c r="J13" s="183">
        <f>'NET DIREKSI '!V12</f>
        <v>59742205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101</v>
      </c>
      <c r="AB13" s="45"/>
    </row>
    <row r="14" spans="1:28" ht="15" customHeight="1" x14ac:dyDescent="0.35">
      <c r="A14" s="53"/>
      <c r="B14" s="54"/>
      <c r="C14" s="54"/>
      <c r="D14" s="55"/>
      <c r="E14" s="56"/>
      <c r="F14" s="357">
        <f>SUM(F9:F13)</f>
        <v>0</v>
      </c>
      <c r="G14" s="357">
        <f>SUM(G9:G13)</f>
        <v>0</v>
      </c>
      <c r="H14" s="357">
        <f>SUM(H9:H13)</f>
        <v>0</v>
      </c>
      <c r="I14" s="357">
        <f>SUM(I9:I13)</f>
        <v>0</v>
      </c>
      <c r="J14" s="359">
        <f>SUM(J11:J13)</f>
        <v>199411513</v>
      </c>
      <c r="K14" s="357">
        <f t="shared" ref="K14:W14" si="0">SUM(K9:K13)</f>
        <v>0</v>
      </c>
      <c r="L14" s="357">
        <f t="shared" si="0"/>
        <v>0</v>
      </c>
      <c r="M14" s="357">
        <f t="shared" si="0"/>
        <v>0</v>
      </c>
      <c r="N14" s="357">
        <f t="shared" si="0"/>
        <v>0</v>
      </c>
      <c r="O14" s="357">
        <f t="shared" si="0"/>
        <v>0</v>
      </c>
      <c r="P14" s="357">
        <f t="shared" si="0"/>
        <v>0</v>
      </c>
      <c r="Q14" s="357">
        <f t="shared" si="0"/>
        <v>0</v>
      </c>
      <c r="R14" s="357">
        <f t="shared" si="0"/>
        <v>0</v>
      </c>
      <c r="S14" s="357">
        <f t="shared" si="0"/>
        <v>0</v>
      </c>
      <c r="T14" s="357">
        <f t="shared" si="0"/>
        <v>0</v>
      </c>
      <c r="U14" s="357">
        <f t="shared" si="0"/>
        <v>0</v>
      </c>
      <c r="V14" s="357">
        <f t="shared" si="0"/>
        <v>0</v>
      </c>
      <c r="W14" s="357">
        <f t="shared" si="0"/>
        <v>0</v>
      </c>
      <c r="X14" s="357"/>
      <c r="AA14" s="20"/>
    </row>
    <row r="15" spans="1:28" ht="15" customHeight="1" thickBot="1" x14ac:dyDescent="0.4">
      <c r="A15" s="57"/>
      <c r="B15" s="58"/>
      <c r="C15" s="58"/>
      <c r="D15" s="59"/>
      <c r="E15" s="60"/>
      <c r="F15" s="358"/>
      <c r="G15" s="358"/>
      <c r="H15" s="358"/>
      <c r="I15" s="358"/>
      <c r="J15" s="360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  <c r="X15" s="358"/>
      <c r="Z15" s="20"/>
    </row>
    <row r="16" spans="1:28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5" x14ac:dyDescent="0.35">
      <c r="A17" s="6"/>
      <c r="B17" s="306" t="s">
        <v>219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65" t="s">
        <v>230</v>
      </c>
    </row>
    <row r="18" spans="1:24" ht="14.5" x14ac:dyDescent="0.35">
      <c r="A18" s="6"/>
      <c r="B18" s="306" t="s">
        <v>207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5" t="s">
        <v>36</v>
      </c>
    </row>
    <row r="19" spans="1:24" ht="24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4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4.5" x14ac:dyDescent="0.35">
      <c r="A21" s="6"/>
      <c r="B21" s="306" t="s">
        <v>206</v>
      </c>
      <c r="C21" s="6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65" t="s">
        <v>187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29"/>
  <sheetViews>
    <sheetView zoomScaleNormal="100" workbookViewId="0">
      <selection activeCell="Y25" sqref="Y25"/>
    </sheetView>
  </sheetViews>
  <sheetFormatPr defaultRowHeight="12.5" x14ac:dyDescent="0.25"/>
  <cols>
    <col min="1" max="1" width="4.26953125" customWidth="1"/>
    <col min="2" max="2" width="36" customWidth="1"/>
    <col min="3" max="3" width="34.5429687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38.81640625" customWidth="1"/>
    <col min="25" max="25" width="10" customWidth="1"/>
    <col min="26" max="26" width="14.81640625" customWidth="1"/>
    <col min="27" max="27" width="14" bestFit="1" customWidth="1"/>
    <col min="28" max="30" width="12.26953125" bestFit="1" customWidth="1"/>
  </cols>
  <sheetData>
    <row r="1" spans="1:27" ht="18.75" customHeight="1" x14ac:dyDescent="0.35">
      <c r="A1" s="363" t="s">
        <v>131</v>
      </c>
      <c r="B1" s="363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30"/>
      <c r="B2" s="13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64" t="s">
        <v>142</v>
      </c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</row>
    <row r="5" spans="1:27" ht="16.5" customHeight="1" x14ac:dyDescent="0.25">
      <c r="A5" s="13"/>
      <c r="B5" s="364" t="s">
        <v>222</v>
      </c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4"/>
      <c r="P5" s="364"/>
      <c r="Q5" s="364"/>
      <c r="R5" s="364"/>
      <c r="S5" s="364"/>
      <c r="T5" s="364"/>
      <c r="U5" s="364"/>
      <c r="V5" s="364"/>
      <c r="W5" s="364"/>
      <c r="X5" s="364"/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61" t="s">
        <v>7</v>
      </c>
      <c r="B7" s="361" t="s">
        <v>69</v>
      </c>
      <c r="C7" s="361" t="s">
        <v>21</v>
      </c>
      <c r="D7" s="361" t="s">
        <v>0</v>
      </c>
      <c r="E7" s="361" t="s">
        <v>2</v>
      </c>
      <c r="F7" s="361" t="s">
        <v>16</v>
      </c>
      <c r="G7" s="361" t="s">
        <v>17</v>
      </c>
      <c r="H7" s="361" t="s">
        <v>18</v>
      </c>
      <c r="I7" s="361" t="s">
        <v>6</v>
      </c>
      <c r="J7" s="361" t="s">
        <v>23</v>
      </c>
      <c r="K7" s="361" t="s">
        <v>4</v>
      </c>
      <c r="L7" s="361" t="s">
        <v>3</v>
      </c>
      <c r="M7" s="361" t="s">
        <v>19</v>
      </c>
      <c r="N7" s="361" t="s">
        <v>9</v>
      </c>
      <c r="O7" s="361" t="s">
        <v>8</v>
      </c>
      <c r="P7" s="361" t="s">
        <v>5</v>
      </c>
      <c r="Q7" s="361" t="s">
        <v>11</v>
      </c>
      <c r="R7" s="361" t="s">
        <v>10</v>
      </c>
      <c r="S7" s="22" t="s">
        <v>12</v>
      </c>
      <c r="T7" s="22"/>
      <c r="U7" s="22"/>
      <c r="V7" s="22"/>
      <c r="W7" s="22"/>
      <c r="X7" s="356" t="s">
        <v>24</v>
      </c>
    </row>
    <row r="8" spans="1:27" ht="20.149999999999999" customHeight="1" x14ac:dyDescent="0.25">
      <c r="A8" s="362"/>
      <c r="B8" s="365"/>
      <c r="C8" s="365"/>
      <c r="D8" s="365"/>
      <c r="E8" s="365"/>
      <c r="F8" s="365"/>
      <c r="G8" s="362"/>
      <c r="H8" s="362"/>
      <c r="I8" s="362"/>
      <c r="J8" s="362"/>
      <c r="K8" s="362"/>
      <c r="L8" s="362"/>
      <c r="M8" s="362"/>
      <c r="N8" s="362"/>
      <c r="O8" s="362"/>
      <c r="P8" s="362"/>
      <c r="Q8" s="362"/>
      <c r="R8" s="362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6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20.149999999999999" customHeight="1" x14ac:dyDescent="0.35">
      <c r="A10" s="125">
        <v>1</v>
      </c>
      <c r="B10" s="46" t="s">
        <v>190</v>
      </c>
      <c r="C10" s="36" t="s">
        <v>57</v>
      </c>
      <c r="D10" s="37"/>
      <c r="E10" s="38"/>
      <c r="F10" s="39"/>
      <c r="G10" s="40"/>
      <c r="H10" s="40"/>
      <c r="I10" s="40"/>
      <c r="J10" s="41">
        <f>'NET PEG PELINDO DIPERBANTUKAN'!Y13</f>
        <v>33580667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262" t="s">
        <v>197</v>
      </c>
      <c r="Z10" s="30"/>
      <c r="AA10" s="48"/>
    </row>
    <row r="11" spans="1:27" ht="20.149999999999999" customHeight="1" x14ac:dyDescent="0.35">
      <c r="A11" s="129">
        <v>2</v>
      </c>
      <c r="B11" s="46" t="s">
        <v>53</v>
      </c>
      <c r="C11" s="36" t="s">
        <v>54</v>
      </c>
      <c r="D11" s="61"/>
      <c r="E11" s="62"/>
      <c r="F11" s="63"/>
      <c r="G11" s="64"/>
      <c r="H11" s="64"/>
      <c r="I11" s="64"/>
      <c r="J11" s="73">
        <f>'NET PEG PELINDO DIPERBANTUKAN'!Y11</f>
        <v>34057698</v>
      </c>
      <c r="K11" s="65"/>
      <c r="L11" s="65"/>
      <c r="M11" s="65"/>
      <c r="N11" s="63"/>
      <c r="O11" s="66"/>
      <c r="P11" s="65"/>
      <c r="Q11" s="63"/>
      <c r="R11" s="63"/>
      <c r="S11" s="66"/>
      <c r="T11" s="66"/>
      <c r="U11" s="66"/>
      <c r="V11" s="66"/>
      <c r="W11" s="66"/>
      <c r="X11" s="263" t="s">
        <v>130</v>
      </c>
      <c r="Z11" s="30"/>
      <c r="AA11" s="48"/>
    </row>
    <row r="12" spans="1:27" ht="20.149999999999999" customHeight="1" x14ac:dyDescent="0.35">
      <c r="A12" s="129">
        <v>3</v>
      </c>
      <c r="B12" s="46" t="s">
        <v>187</v>
      </c>
      <c r="C12" s="36" t="s">
        <v>36</v>
      </c>
      <c r="D12" s="61"/>
      <c r="E12" s="62"/>
      <c r="F12" s="63"/>
      <c r="G12" s="64"/>
      <c r="H12" s="64"/>
      <c r="I12" s="64"/>
      <c r="J12" s="73">
        <f>'NET PEG PELINDO DIPERBANTUKAN'!Y12</f>
        <v>31820324</v>
      </c>
      <c r="K12" s="65"/>
      <c r="L12" s="65"/>
      <c r="M12" s="65"/>
      <c r="N12" s="63"/>
      <c r="O12" s="66"/>
      <c r="P12" s="65"/>
      <c r="Q12" s="63"/>
      <c r="R12" s="63"/>
      <c r="S12" s="66"/>
      <c r="T12" s="66"/>
      <c r="U12" s="66"/>
      <c r="V12" s="66"/>
      <c r="W12" s="66"/>
      <c r="X12" s="264" t="s">
        <v>198</v>
      </c>
      <c r="Z12" s="30"/>
      <c r="AA12" s="48"/>
    </row>
    <row r="13" spans="1:27" ht="20.149999999999999" customHeight="1" x14ac:dyDescent="0.35">
      <c r="A13" s="129">
        <v>4</v>
      </c>
      <c r="B13" s="46" t="s">
        <v>105</v>
      </c>
      <c r="C13" s="36" t="s">
        <v>106</v>
      </c>
      <c r="D13" s="37"/>
      <c r="E13" s="38"/>
      <c r="F13" s="39"/>
      <c r="G13" s="40"/>
      <c r="H13" s="40"/>
      <c r="I13" s="40"/>
      <c r="J13" s="41">
        <f>'NET PEG PELINDO DIPERBANTUKAN'!Y15</f>
        <v>30067306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262" t="s">
        <v>109</v>
      </c>
      <c r="Z13" s="30"/>
      <c r="AA13" s="48"/>
    </row>
    <row r="14" spans="1:27" ht="20.149999999999999" customHeight="1" x14ac:dyDescent="0.35">
      <c r="A14" s="125">
        <v>5</v>
      </c>
      <c r="B14" s="46" t="s">
        <v>88</v>
      </c>
      <c r="C14" s="36" t="s">
        <v>119</v>
      </c>
      <c r="D14" s="37"/>
      <c r="E14" s="38"/>
      <c r="F14" s="39"/>
      <c r="G14" s="40"/>
      <c r="H14" s="40"/>
      <c r="I14" s="40"/>
      <c r="J14" s="41">
        <f>'NET PEG PELINDO DIPERBANTUKAN'!Y17</f>
        <v>21171062</v>
      </c>
      <c r="K14" s="42"/>
      <c r="L14" s="42"/>
      <c r="M14" s="42"/>
      <c r="N14" s="39"/>
      <c r="O14" s="43"/>
      <c r="P14" s="42"/>
      <c r="Q14" s="39"/>
      <c r="R14" s="39"/>
      <c r="S14" s="43"/>
      <c r="T14" s="43"/>
      <c r="U14" s="43"/>
      <c r="V14" s="43"/>
      <c r="W14" s="43"/>
      <c r="X14" s="262" t="s">
        <v>203</v>
      </c>
      <c r="Z14" s="30"/>
      <c r="AA14" s="48"/>
    </row>
    <row r="15" spans="1:27" ht="20.149999999999999" customHeight="1" x14ac:dyDescent="0.35">
      <c r="A15" s="129">
        <v>6</v>
      </c>
      <c r="B15" s="46" t="s">
        <v>93</v>
      </c>
      <c r="C15" s="36" t="s">
        <v>52</v>
      </c>
      <c r="D15" s="61"/>
      <c r="E15" s="62"/>
      <c r="F15" s="63"/>
      <c r="G15" s="64"/>
      <c r="H15" s="64"/>
      <c r="I15" s="64"/>
      <c r="J15" s="73">
        <f>'NET PEG PELINDO DIPERBANTUKAN'!Y22</f>
        <v>12918699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263" t="s">
        <v>95</v>
      </c>
      <c r="Z15" s="30"/>
      <c r="AA15" s="48"/>
    </row>
    <row r="16" spans="1:27" ht="20.149999999999999" customHeight="1" x14ac:dyDescent="0.35">
      <c r="A16" s="129">
        <v>7</v>
      </c>
      <c r="B16" s="46" t="s">
        <v>191</v>
      </c>
      <c r="C16" s="36" t="s">
        <v>106</v>
      </c>
      <c r="D16" s="61"/>
      <c r="E16" s="62"/>
      <c r="F16" s="63"/>
      <c r="G16" s="64"/>
      <c r="H16" s="64"/>
      <c r="I16" s="64"/>
      <c r="J16" s="73">
        <f>'NET PEG PELINDO DIPERBANTUKAN'!Y14</f>
        <v>33550591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264" t="s">
        <v>205</v>
      </c>
      <c r="Z16" s="30"/>
      <c r="AA16" s="48"/>
    </row>
    <row r="17" spans="1:27" ht="20.149999999999999" customHeight="1" x14ac:dyDescent="0.35">
      <c r="A17" s="129">
        <v>8</v>
      </c>
      <c r="B17" s="46" t="s">
        <v>134</v>
      </c>
      <c r="C17" s="36" t="s">
        <v>148</v>
      </c>
      <c r="D17" s="61"/>
      <c r="E17" s="62"/>
      <c r="F17" s="63"/>
      <c r="G17" s="64"/>
      <c r="H17" s="64"/>
      <c r="I17" s="64"/>
      <c r="J17" s="73">
        <f>'NET PEG PELINDO DIPERBANTUKAN'!Y20</f>
        <v>19882153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264" t="s">
        <v>136</v>
      </c>
      <c r="Z17" s="30"/>
      <c r="AA17" s="48"/>
    </row>
    <row r="18" spans="1:27" ht="20.149999999999999" customHeight="1" x14ac:dyDescent="0.35">
      <c r="A18" s="129">
        <v>9</v>
      </c>
      <c r="B18" s="46" t="s">
        <v>192</v>
      </c>
      <c r="C18" s="36" t="s">
        <v>147</v>
      </c>
      <c r="D18" s="61"/>
      <c r="E18" s="62"/>
      <c r="F18" s="63"/>
      <c r="G18" s="64"/>
      <c r="H18" s="64"/>
      <c r="I18" s="64"/>
      <c r="J18" s="73">
        <f>'NET PEG PELINDO DIPERBANTUKAN'!Y19</f>
        <v>22284912</v>
      </c>
      <c r="K18" s="65"/>
      <c r="L18" s="65"/>
      <c r="M18" s="65"/>
      <c r="N18" s="63"/>
      <c r="O18" s="66"/>
      <c r="P18" s="65"/>
      <c r="Q18" s="63"/>
      <c r="R18" s="63"/>
      <c r="S18" s="66"/>
      <c r="T18" s="66"/>
      <c r="U18" s="66"/>
      <c r="V18" s="66"/>
      <c r="W18" s="66"/>
      <c r="X18" s="264" t="s">
        <v>199</v>
      </c>
      <c r="Z18" s="30"/>
      <c r="AA18" s="48"/>
    </row>
    <row r="19" spans="1:27" ht="20.149999999999999" customHeight="1" x14ac:dyDescent="0.35">
      <c r="A19" s="129">
        <v>10</v>
      </c>
      <c r="B19" s="46" t="s">
        <v>112</v>
      </c>
      <c r="C19" s="36" t="s">
        <v>52</v>
      </c>
      <c r="D19" s="61"/>
      <c r="E19" s="62"/>
      <c r="F19" s="63"/>
      <c r="G19" s="64"/>
      <c r="H19" s="64"/>
      <c r="I19" s="64"/>
      <c r="J19" s="73">
        <f>'NET PEGAWAI PTP'!X15</f>
        <v>6103800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264" t="s">
        <v>240</v>
      </c>
      <c r="Z19" s="30"/>
      <c r="AA19" s="48"/>
    </row>
    <row r="20" spans="1:27" ht="20.149999999999999" customHeight="1" x14ac:dyDescent="0.35">
      <c r="A20" s="129">
        <v>11</v>
      </c>
      <c r="B20" s="46" t="s">
        <v>137</v>
      </c>
      <c r="C20" s="36" t="s">
        <v>50</v>
      </c>
      <c r="D20" s="61"/>
      <c r="E20" s="62"/>
      <c r="F20" s="63"/>
      <c r="G20" s="64"/>
      <c r="H20" s="64"/>
      <c r="I20" s="64"/>
      <c r="J20" s="73">
        <f>'NET PEGAWAI PTP'!X17</f>
        <v>6103800</v>
      </c>
      <c r="K20" s="65"/>
      <c r="L20" s="65"/>
      <c r="M20" s="65"/>
      <c r="N20" s="63"/>
      <c r="O20" s="66"/>
      <c r="P20" s="65"/>
      <c r="Q20" s="63"/>
      <c r="R20" s="63"/>
      <c r="S20" s="66"/>
      <c r="T20" s="66"/>
      <c r="U20" s="66"/>
      <c r="V20" s="66"/>
      <c r="W20" s="66"/>
      <c r="X20" s="264" t="s">
        <v>139</v>
      </c>
      <c r="Z20" s="30"/>
      <c r="AA20" s="48"/>
    </row>
    <row r="21" spans="1:27" ht="7.5" customHeight="1" x14ac:dyDescent="0.35">
      <c r="A21" s="129"/>
      <c r="B21" s="81"/>
      <c r="C21" s="44"/>
      <c r="D21" s="67"/>
      <c r="E21" s="68"/>
      <c r="F21" s="69"/>
      <c r="G21" s="70"/>
      <c r="H21" s="70"/>
      <c r="I21" s="70"/>
      <c r="J21" s="74"/>
      <c r="K21" s="71"/>
      <c r="L21" s="71"/>
      <c r="M21" s="71"/>
      <c r="N21" s="69"/>
      <c r="O21" s="72"/>
      <c r="P21" s="71"/>
      <c r="Q21" s="69"/>
      <c r="R21" s="69"/>
      <c r="S21" s="72"/>
      <c r="T21" s="72"/>
      <c r="U21" s="72"/>
      <c r="V21" s="72"/>
      <c r="W21" s="72"/>
      <c r="X21" s="75"/>
      <c r="Z21" s="30"/>
      <c r="AA21" s="48"/>
    </row>
    <row r="22" spans="1:27" ht="15" customHeight="1" x14ac:dyDescent="0.35">
      <c r="A22" s="53"/>
      <c r="B22" s="54"/>
      <c r="C22" s="54"/>
      <c r="D22" s="55"/>
      <c r="E22" s="56"/>
      <c r="F22" s="357">
        <f>SUM(F9:F14)</f>
        <v>0</v>
      </c>
      <c r="G22" s="357">
        <f>SUM(G9:G14)</f>
        <v>0</v>
      </c>
      <c r="H22" s="357">
        <f>SUM(H9:H14)</f>
        <v>0</v>
      </c>
      <c r="I22" s="357">
        <f>SUM(I9:I14)</f>
        <v>0</v>
      </c>
      <c r="J22" s="359">
        <f>SUM(J10:J21)</f>
        <v>251541012</v>
      </c>
      <c r="K22" s="357">
        <f t="shared" ref="K22:W22" si="0">SUM(K9:K14)</f>
        <v>0</v>
      </c>
      <c r="L22" s="357">
        <f t="shared" si="0"/>
        <v>0</v>
      </c>
      <c r="M22" s="357">
        <f t="shared" si="0"/>
        <v>0</v>
      </c>
      <c r="N22" s="357">
        <f t="shared" si="0"/>
        <v>0</v>
      </c>
      <c r="O22" s="357">
        <f t="shared" si="0"/>
        <v>0</v>
      </c>
      <c r="P22" s="357">
        <f t="shared" si="0"/>
        <v>0</v>
      </c>
      <c r="Q22" s="357">
        <f t="shared" si="0"/>
        <v>0</v>
      </c>
      <c r="R22" s="357">
        <f t="shared" si="0"/>
        <v>0</v>
      </c>
      <c r="S22" s="357">
        <f t="shared" si="0"/>
        <v>0</v>
      </c>
      <c r="T22" s="357">
        <f t="shared" si="0"/>
        <v>0</v>
      </c>
      <c r="U22" s="357">
        <f t="shared" si="0"/>
        <v>0</v>
      </c>
      <c r="V22" s="357">
        <f t="shared" si="0"/>
        <v>0</v>
      </c>
      <c r="W22" s="357">
        <f t="shared" si="0"/>
        <v>0</v>
      </c>
      <c r="X22" s="357"/>
    </row>
    <row r="23" spans="1:27" ht="15" customHeight="1" thickBot="1" x14ac:dyDescent="0.4">
      <c r="A23" s="57"/>
      <c r="B23" s="58"/>
      <c r="C23" s="58"/>
      <c r="D23" s="59"/>
      <c r="E23" s="60"/>
      <c r="F23" s="358"/>
      <c r="G23" s="358"/>
      <c r="H23" s="358"/>
      <c r="I23" s="358"/>
      <c r="J23" s="360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358"/>
      <c r="X23" s="358"/>
    </row>
    <row r="24" spans="1:27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7" ht="14.5" x14ac:dyDescent="0.35">
      <c r="A25" s="6"/>
      <c r="B25" s="306" t="s">
        <v>219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131" t="s">
        <v>230</v>
      </c>
    </row>
    <row r="26" spans="1:27" ht="14.5" x14ac:dyDescent="0.35">
      <c r="A26" s="6"/>
      <c r="B26" s="306" t="s">
        <v>207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131" t="s">
        <v>36</v>
      </c>
    </row>
    <row r="27" spans="1:27" ht="24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7" ht="24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7" ht="14.5" x14ac:dyDescent="0.35">
      <c r="A29" s="6"/>
      <c r="B29" s="306" t="s">
        <v>206</v>
      </c>
      <c r="C29" s="6" t="s">
        <v>43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131" t="s">
        <v>187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22:T23"/>
    <mergeCell ref="U22:U23"/>
    <mergeCell ref="V22:V23"/>
    <mergeCell ref="W22:W23"/>
    <mergeCell ref="N7:N8"/>
    <mergeCell ref="O7:O8"/>
    <mergeCell ref="P7:P8"/>
    <mergeCell ref="Q7:Q8"/>
    <mergeCell ref="R7:R8"/>
    <mergeCell ref="X7:X8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X22:X23"/>
    <mergeCell ref="R22:R23"/>
    <mergeCell ref="S22:S23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AF32"/>
  <sheetViews>
    <sheetView topLeftCell="A5" zoomScaleNormal="100" workbookViewId="0">
      <selection activeCell="J20" sqref="J20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27" ht="18.75" customHeight="1" x14ac:dyDescent="0.35">
      <c r="A1" s="363" t="s">
        <v>42</v>
      </c>
      <c r="B1" s="363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0"/>
      <c r="B2" s="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64" t="s">
        <v>185</v>
      </c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</row>
    <row r="5" spans="1:27" ht="16.5" customHeight="1" x14ac:dyDescent="0.25">
      <c r="A5" s="13"/>
      <c r="B5" s="364" t="s">
        <v>222</v>
      </c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4"/>
      <c r="P5" s="364"/>
      <c r="Q5" s="364"/>
      <c r="R5" s="364"/>
      <c r="S5" s="364"/>
      <c r="T5" s="364"/>
      <c r="U5" s="364"/>
      <c r="V5" s="364"/>
      <c r="W5" s="364"/>
      <c r="X5" s="364"/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61" t="s">
        <v>7</v>
      </c>
      <c r="B7" s="361" t="s">
        <v>69</v>
      </c>
      <c r="C7" s="361" t="s">
        <v>21</v>
      </c>
      <c r="D7" s="361" t="s">
        <v>0</v>
      </c>
      <c r="E7" s="361" t="s">
        <v>2</v>
      </c>
      <c r="F7" s="361" t="s">
        <v>16</v>
      </c>
      <c r="G7" s="361" t="s">
        <v>17</v>
      </c>
      <c r="H7" s="361" t="s">
        <v>18</v>
      </c>
      <c r="I7" s="361" t="s">
        <v>6</v>
      </c>
      <c r="J7" s="361" t="s">
        <v>23</v>
      </c>
      <c r="K7" s="361" t="s">
        <v>4</v>
      </c>
      <c r="L7" s="361" t="s">
        <v>3</v>
      </c>
      <c r="M7" s="361" t="s">
        <v>19</v>
      </c>
      <c r="N7" s="361" t="s">
        <v>9</v>
      </c>
      <c r="O7" s="361" t="s">
        <v>8</v>
      </c>
      <c r="P7" s="361" t="s">
        <v>5</v>
      </c>
      <c r="Q7" s="361" t="s">
        <v>11</v>
      </c>
      <c r="R7" s="361" t="s">
        <v>10</v>
      </c>
      <c r="S7" s="22" t="s">
        <v>12</v>
      </c>
      <c r="T7" s="22"/>
      <c r="U7" s="22"/>
      <c r="V7" s="22"/>
      <c r="W7" s="22"/>
      <c r="X7" s="356" t="s">
        <v>24</v>
      </c>
    </row>
    <row r="8" spans="1:27" ht="20.149999999999999" customHeight="1" x14ac:dyDescent="0.25">
      <c r="A8" s="362"/>
      <c r="B8" s="365"/>
      <c r="C8" s="365"/>
      <c r="D8" s="365"/>
      <c r="E8" s="365"/>
      <c r="F8" s="365"/>
      <c r="G8" s="362"/>
      <c r="H8" s="362"/>
      <c r="I8" s="362"/>
      <c r="J8" s="362"/>
      <c r="K8" s="362"/>
      <c r="L8" s="362"/>
      <c r="M8" s="362"/>
      <c r="N8" s="362"/>
      <c r="O8" s="362"/>
      <c r="P8" s="362"/>
      <c r="Q8" s="362"/>
      <c r="R8" s="362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6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20.149999999999999" customHeight="1" x14ac:dyDescent="0.35">
      <c r="A10" s="125">
        <v>1</v>
      </c>
      <c r="B10" s="46" t="s">
        <v>188</v>
      </c>
      <c r="C10" s="36" t="s">
        <v>201</v>
      </c>
      <c r="D10" s="61"/>
      <c r="E10" s="62"/>
      <c r="F10" s="63"/>
      <c r="G10" s="64"/>
      <c r="H10" s="64"/>
      <c r="I10" s="64"/>
      <c r="J10" s="73">
        <f>'NET PEG PELINDO DIPERBANTUKAN'!Y10</f>
        <v>33433205</v>
      </c>
      <c r="K10" s="65"/>
      <c r="L10" s="65"/>
      <c r="M10" s="65"/>
      <c r="N10" s="63"/>
      <c r="O10" s="66"/>
      <c r="P10" s="65"/>
      <c r="Q10" s="63"/>
      <c r="R10" s="63"/>
      <c r="S10" s="66"/>
      <c r="T10" s="66"/>
      <c r="U10" s="66"/>
      <c r="V10" s="66"/>
      <c r="W10" s="66"/>
      <c r="X10" s="47" t="s">
        <v>202</v>
      </c>
    </row>
    <row r="11" spans="1:27" ht="20.149999999999999" customHeight="1" x14ac:dyDescent="0.35">
      <c r="A11" s="125">
        <v>2</v>
      </c>
      <c r="B11" s="46" t="s">
        <v>78</v>
      </c>
      <c r="C11" s="36" t="s">
        <v>79</v>
      </c>
      <c r="D11" s="61"/>
      <c r="E11" s="62"/>
      <c r="F11" s="63"/>
      <c r="G11" s="64"/>
      <c r="H11" s="64"/>
      <c r="I11" s="64"/>
      <c r="J11" s="73">
        <f>'NET PEG PELINDO DIPERBANTUKAN'!Y16</f>
        <v>22328372</v>
      </c>
      <c r="K11" s="65"/>
      <c r="L11" s="65"/>
      <c r="M11" s="65"/>
      <c r="N11" s="63"/>
      <c r="O11" s="66"/>
      <c r="P11" s="65"/>
      <c r="Q11" s="63"/>
      <c r="R11" s="63"/>
      <c r="S11" s="66"/>
      <c r="T11" s="66"/>
      <c r="U11" s="66"/>
      <c r="V11" s="66"/>
      <c r="W11" s="66"/>
      <c r="X11" s="47" t="s">
        <v>83</v>
      </c>
      <c r="Z11" s="30"/>
      <c r="AA11" s="48"/>
    </row>
    <row r="12" spans="1:27" ht="20.149999999999999" customHeight="1" x14ac:dyDescent="0.35">
      <c r="A12" s="129">
        <v>3</v>
      </c>
      <c r="B12" s="46" t="s">
        <v>26</v>
      </c>
      <c r="C12" s="36" t="s">
        <v>50</v>
      </c>
      <c r="D12" s="37"/>
      <c r="E12" s="38"/>
      <c r="F12" s="39"/>
      <c r="G12" s="40"/>
      <c r="H12" s="40"/>
      <c r="I12" s="40"/>
      <c r="J12" s="41">
        <f>'NET PEGAWAI PTP'!X8</f>
        <v>10284750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127</v>
      </c>
      <c r="Y12">
        <f>'NET PEGAWAI PTP'!L8</f>
        <v>10791000</v>
      </c>
      <c r="Z12" s="30">
        <f>'NET PEGAWAI PTP'!N8+'NET PEGAWAI PTP'!P8+'NET PEGAWAI PTP'!V8</f>
        <v>472950</v>
      </c>
      <c r="AA12" s="48">
        <f>Y12-Z12</f>
        <v>10318050</v>
      </c>
    </row>
    <row r="13" spans="1:27" ht="20.149999999999999" customHeight="1" x14ac:dyDescent="0.35">
      <c r="A13" s="125">
        <v>4</v>
      </c>
      <c r="B13" s="46" t="s">
        <v>27</v>
      </c>
      <c r="C13" s="36" t="s">
        <v>51</v>
      </c>
      <c r="D13" s="37"/>
      <c r="E13" s="38"/>
      <c r="F13" s="39"/>
      <c r="G13" s="40"/>
      <c r="H13" s="40"/>
      <c r="I13" s="40"/>
      <c r="J13" s="41">
        <f>'NET PEGAWAI PTP'!X9</f>
        <v>10284750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28</v>
      </c>
      <c r="Y13">
        <f>'NET PEGAWAI PTP'!L9</f>
        <v>10791000</v>
      </c>
      <c r="Z13" s="30">
        <f>'NET PEGAWAI PTP'!N9+'NET PEGAWAI PTP'!P9+'NET PEGAWAI PTP'!V9</f>
        <v>472950</v>
      </c>
      <c r="AA13" s="48">
        <f>Y13-Z13</f>
        <v>10318050</v>
      </c>
    </row>
    <row r="14" spans="1:27" ht="20.149999999999999" customHeight="1" x14ac:dyDescent="0.35">
      <c r="A14" s="125">
        <v>5</v>
      </c>
      <c r="B14" s="46" t="s">
        <v>143</v>
      </c>
      <c r="C14" s="36" t="s">
        <v>149</v>
      </c>
      <c r="D14" s="37"/>
      <c r="E14" s="38"/>
      <c r="F14" s="39"/>
      <c r="G14" s="40"/>
      <c r="H14" s="40"/>
      <c r="I14" s="40"/>
      <c r="J14" s="41">
        <f>'NET PEG PELINDO DIPERBANTUKAN'!Y18</f>
        <v>7410000</v>
      </c>
      <c r="K14" s="42"/>
      <c r="L14" s="42"/>
      <c r="M14" s="42"/>
      <c r="N14" s="39"/>
      <c r="O14" s="43"/>
      <c r="P14" s="42"/>
      <c r="Q14" s="39"/>
      <c r="R14" s="39"/>
      <c r="S14" s="43"/>
      <c r="T14" s="43"/>
      <c r="U14" s="43"/>
      <c r="V14" s="43"/>
      <c r="W14" s="43"/>
      <c r="X14" s="43" t="s">
        <v>150</v>
      </c>
      <c r="Z14" s="30"/>
      <c r="AA14" s="48"/>
    </row>
    <row r="15" spans="1:27" ht="20.149999999999999" customHeight="1" x14ac:dyDescent="0.35">
      <c r="A15" s="129">
        <v>6</v>
      </c>
      <c r="B15" s="46" t="s">
        <v>66</v>
      </c>
      <c r="C15" s="36" t="s">
        <v>52</v>
      </c>
      <c r="D15" s="61"/>
      <c r="E15" s="62"/>
      <c r="F15" s="63"/>
      <c r="G15" s="64"/>
      <c r="H15" s="64"/>
      <c r="I15" s="64"/>
      <c r="J15" s="73">
        <f>'NET PEGAWAI PTP'!X10</f>
        <v>6103800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47" t="s">
        <v>67</v>
      </c>
      <c r="Y15">
        <f>'NET PEGAWAI PTP'!L10</f>
        <v>6390000</v>
      </c>
      <c r="Z15" s="30">
        <f>'NET PEGAWAI PTP'!V10</f>
        <v>153000</v>
      </c>
      <c r="AA15" s="48">
        <f>Y15-Z15</f>
        <v>6237000</v>
      </c>
    </row>
    <row r="16" spans="1:27" ht="20.149999999999999" customHeight="1" x14ac:dyDescent="0.35">
      <c r="A16" s="125">
        <v>7</v>
      </c>
      <c r="B16" s="46" t="s">
        <v>80</v>
      </c>
      <c r="C16" s="36" t="s">
        <v>52</v>
      </c>
      <c r="D16" s="61"/>
      <c r="E16" s="62"/>
      <c r="F16" s="63"/>
      <c r="G16" s="64"/>
      <c r="H16" s="64"/>
      <c r="I16" s="64"/>
      <c r="J16" s="73">
        <f>'NET PEG PELINDO DIPERBANTUKAN'!Y23</f>
        <v>12918699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47" t="s">
        <v>84</v>
      </c>
      <c r="Y16" t="e">
        <f>#REF!</f>
        <v>#REF!</v>
      </c>
      <c r="Z16" s="30" t="e">
        <f>#REF!</f>
        <v>#REF!</v>
      </c>
      <c r="AA16" s="48" t="e">
        <f>#REF!</f>
        <v>#REF!</v>
      </c>
    </row>
    <row r="17" spans="1:32" ht="20.149999999999999" customHeight="1" x14ac:dyDescent="0.35">
      <c r="A17" s="125">
        <v>8</v>
      </c>
      <c r="B17" s="46" t="s">
        <v>74</v>
      </c>
      <c r="C17" s="36" t="s">
        <v>51</v>
      </c>
      <c r="D17" s="61"/>
      <c r="E17" s="62"/>
      <c r="F17" s="63"/>
      <c r="G17" s="64"/>
      <c r="H17" s="64"/>
      <c r="I17" s="64"/>
      <c r="J17" s="73">
        <f>'NET PEGAWAI PTP'!X11</f>
        <v>6103800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47" t="s">
        <v>77</v>
      </c>
      <c r="Z17" s="30"/>
      <c r="AA17" s="48"/>
    </row>
    <row r="18" spans="1:32" ht="20.149999999999999" customHeight="1" x14ac:dyDescent="0.35">
      <c r="A18" s="129">
        <v>9</v>
      </c>
      <c r="B18" s="46" t="s">
        <v>110</v>
      </c>
      <c r="C18" s="36" t="s">
        <v>52</v>
      </c>
      <c r="D18" s="61"/>
      <c r="E18" s="62"/>
      <c r="F18" s="63"/>
      <c r="G18" s="64"/>
      <c r="H18" s="64"/>
      <c r="I18" s="64"/>
      <c r="J18" s="73">
        <f>'NET PEGAWAI PTP'!X13</f>
        <v>5959507</v>
      </c>
      <c r="K18" s="65"/>
      <c r="L18" s="65"/>
      <c r="M18" s="65"/>
      <c r="N18" s="63"/>
      <c r="O18" s="66"/>
      <c r="P18" s="65"/>
      <c r="Q18" s="63"/>
      <c r="R18" s="63"/>
      <c r="S18" s="66"/>
      <c r="T18" s="66"/>
      <c r="U18" s="66"/>
      <c r="V18" s="66"/>
      <c r="W18" s="66"/>
      <c r="X18" s="47" t="s">
        <v>117</v>
      </c>
      <c r="Z18" s="30"/>
      <c r="AA18" s="48"/>
      <c r="AD18" s="155"/>
      <c r="AE18" s="182"/>
      <c r="AF18" s="20"/>
    </row>
    <row r="19" spans="1:32" ht="20.149999999999999" customHeight="1" x14ac:dyDescent="0.35">
      <c r="A19" s="125">
        <v>10</v>
      </c>
      <c r="B19" s="46" t="s">
        <v>226</v>
      </c>
      <c r="C19" s="36" t="s">
        <v>91</v>
      </c>
      <c r="D19" s="61"/>
      <c r="E19" s="62"/>
      <c r="F19" s="63"/>
      <c r="G19" s="64"/>
      <c r="H19" s="64"/>
      <c r="I19" s="64"/>
      <c r="J19" s="73">
        <f>'NET PEGAWAI PTP'!X19</f>
        <v>4126020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354" t="s">
        <v>241</v>
      </c>
      <c r="Z19" s="30"/>
      <c r="AA19" s="48"/>
      <c r="AD19" s="155"/>
      <c r="AE19" s="20"/>
    </row>
    <row r="20" spans="1:32" ht="20.149999999999999" customHeight="1" x14ac:dyDescent="0.35">
      <c r="A20" s="125">
        <v>11</v>
      </c>
      <c r="B20" s="46" t="s">
        <v>116</v>
      </c>
      <c r="C20" s="36" t="s">
        <v>91</v>
      </c>
      <c r="D20" s="61"/>
      <c r="E20" s="62"/>
      <c r="F20" s="63"/>
      <c r="G20" s="64"/>
      <c r="H20" s="64"/>
      <c r="I20" s="64"/>
      <c r="J20" s="73">
        <f>'NET PEGAWAI PTP'!X14</f>
        <v>5582857</v>
      </c>
      <c r="K20" s="65"/>
      <c r="L20" s="65"/>
      <c r="M20" s="65"/>
      <c r="N20" s="63"/>
      <c r="O20" s="66"/>
      <c r="P20" s="65"/>
      <c r="Q20" s="63"/>
      <c r="R20" s="63"/>
      <c r="S20" s="66"/>
      <c r="T20" s="66"/>
      <c r="U20" s="66"/>
      <c r="V20" s="66"/>
      <c r="W20" s="66"/>
      <c r="X20" s="47" t="s">
        <v>118</v>
      </c>
      <c r="Z20" s="30"/>
      <c r="AA20" s="48"/>
      <c r="AD20" s="155"/>
      <c r="AE20" s="182"/>
      <c r="AF20" s="20"/>
    </row>
    <row r="21" spans="1:32" ht="20.149999999999999" customHeight="1" x14ac:dyDescent="0.35">
      <c r="A21" s="129">
        <v>12</v>
      </c>
      <c r="B21" s="46" t="s">
        <v>103</v>
      </c>
      <c r="C21" s="36" t="s">
        <v>50</v>
      </c>
      <c r="D21" s="61"/>
      <c r="E21" s="62"/>
      <c r="F21" s="63"/>
      <c r="G21" s="64"/>
      <c r="H21" s="64"/>
      <c r="I21" s="64"/>
      <c r="J21" s="73">
        <f>'NET PEGAWAI PTP'!X12</f>
        <v>6103800</v>
      </c>
      <c r="K21" s="65"/>
      <c r="L21" s="65"/>
      <c r="M21" s="65"/>
      <c r="N21" s="63"/>
      <c r="O21" s="66"/>
      <c r="P21" s="65"/>
      <c r="Q21" s="63"/>
      <c r="R21" s="63"/>
      <c r="S21" s="66"/>
      <c r="T21" s="66"/>
      <c r="U21" s="66"/>
      <c r="V21" s="66"/>
      <c r="W21" s="66"/>
      <c r="X21" s="47" t="s">
        <v>104</v>
      </c>
      <c r="Z21" s="30"/>
      <c r="AA21" s="48"/>
      <c r="AD21" s="265"/>
      <c r="AE21" s="266"/>
    </row>
    <row r="22" spans="1:32" ht="20.149999999999999" customHeight="1" x14ac:dyDescent="0.35">
      <c r="A22" s="125">
        <v>13</v>
      </c>
      <c r="B22" s="252" t="s">
        <v>123</v>
      </c>
      <c r="C22" s="253" t="s">
        <v>91</v>
      </c>
      <c r="D22" s="254"/>
      <c r="E22" s="255"/>
      <c r="F22" s="256"/>
      <c r="G22" s="257"/>
      <c r="H22" s="257"/>
      <c r="I22" s="257"/>
      <c r="J22" s="258">
        <f>'NET PEGAWAI PTP'!X16</f>
        <v>5998115</v>
      </c>
      <c r="K22" s="259"/>
      <c r="L22" s="259"/>
      <c r="M22" s="259"/>
      <c r="N22" s="256"/>
      <c r="O22" s="260"/>
      <c r="P22" s="259"/>
      <c r="Q22" s="256"/>
      <c r="R22" s="256"/>
      <c r="S22" s="260"/>
      <c r="T22" s="260"/>
      <c r="U22" s="260"/>
      <c r="V22" s="260"/>
      <c r="W22" s="260"/>
      <c r="X22" s="261" t="s">
        <v>122</v>
      </c>
      <c r="Z22" s="30"/>
      <c r="AA22" s="48"/>
    </row>
    <row r="23" spans="1:32" ht="20.149999999999999" customHeight="1" x14ac:dyDescent="0.35">
      <c r="A23" s="125">
        <v>14</v>
      </c>
      <c r="B23" s="81" t="s">
        <v>97</v>
      </c>
      <c r="C23" s="44" t="s">
        <v>51</v>
      </c>
      <c r="D23" s="67"/>
      <c r="E23" s="68"/>
      <c r="F23" s="69"/>
      <c r="G23" s="70"/>
      <c r="H23" s="70"/>
      <c r="I23" s="70"/>
      <c r="J23" s="74">
        <f>'NET PEGAWAI PTP'!X18</f>
        <v>6103800</v>
      </c>
      <c r="K23" s="71"/>
      <c r="L23" s="71"/>
      <c r="M23" s="71"/>
      <c r="N23" s="69"/>
      <c r="O23" s="72"/>
      <c r="P23" s="71"/>
      <c r="Q23" s="69"/>
      <c r="R23" s="69"/>
      <c r="S23" s="72"/>
      <c r="T23" s="72"/>
      <c r="U23" s="72"/>
      <c r="V23" s="72"/>
      <c r="W23" s="72"/>
      <c r="X23" s="75" t="s">
        <v>204</v>
      </c>
      <c r="Z23" s="30"/>
      <c r="AA23" s="48"/>
    </row>
    <row r="24" spans="1:32" ht="15" customHeight="1" x14ac:dyDescent="0.35">
      <c r="A24" s="53"/>
      <c r="B24" s="54"/>
      <c r="C24" s="54"/>
      <c r="D24" s="55"/>
      <c r="E24" s="56"/>
      <c r="F24" s="357">
        <f>SUM(F9:F14)</f>
        <v>0</v>
      </c>
      <c r="G24" s="357">
        <f>SUM(G9:G14)</f>
        <v>0</v>
      </c>
      <c r="H24" s="357">
        <f>SUM(H9:H14)</f>
        <v>0</v>
      </c>
      <c r="I24" s="357">
        <f>SUM(I9:I14)</f>
        <v>0</v>
      </c>
      <c r="J24" s="359">
        <f>SUM(J10:J23)</f>
        <v>142741475</v>
      </c>
      <c r="K24" s="357">
        <f t="shared" ref="K24:W24" si="0">SUM(K9:K14)</f>
        <v>0</v>
      </c>
      <c r="L24" s="357">
        <f t="shared" si="0"/>
        <v>0</v>
      </c>
      <c r="M24" s="357">
        <f t="shared" si="0"/>
        <v>0</v>
      </c>
      <c r="N24" s="357">
        <f t="shared" si="0"/>
        <v>0</v>
      </c>
      <c r="O24" s="357">
        <f t="shared" si="0"/>
        <v>0</v>
      </c>
      <c r="P24" s="357">
        <f t="shared" si="0"/>
        <v>0</v>
      </c>
      <c r="Q24" s="357">
        <f t="shared" si="0"/>
        <v>0</v>
      </c>
      <c r="R24" s="357">
        <f t="shared" si="0"/>
        <v>0</v>
      </c>
      <c r="S24" s="357">
        <f t="shared" si="0"/>
        <v>0</v>
      </c>
      <c r="T24" s="357">
        <f t="shared" si="0"/>
        <v>0</v>
      </c>
      <c r="U24" s="357">
        <f t="shared" si="0"/>
        <v>0</v>
      </c>
      <c r="V24" s="357">
        <f t="shared" si="0"/>
        <v>0</v>
      </c>
      <c r="W24" s="357">
        <f t="shared" si="0"/>
        <v>0</v>
      </c>
      <c r="X24" s="357"/>
      <c r="AA24" s="20"/>
    </row>
    <row r="25" spans="1:32" ht="15" customHeight="1" thickBot="1" x14ac:dyDescent="0.4">
      <c r="A25" s="57"/>
      <c r="B25" s="58"/>
      <c r="C25" s="58"/>
      <c r="D25" s="59"/>
      <c r="E25" s="60"/>
      <c r="F25" s="358"/>
      <c r="G25" s="358"/>
      <c r="H25" s="358"/>
      <c r="I25" s="358"/>
      <c r="J25" s="360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Z25" s="20"/>
    </row>
    <row r="26" spans="1:32" ht="11.25" customHeight="1" thickTop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32" ht="14.5" x14ac:dyDescent="0.35">
      <c r="A27" s="6"/>
      <c r="B27" s="306" t="s">
        <v>219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9" t="s">
        <v>236</v>
      </c>
    </row>
    <row r="28" spans="1:32" ht="14.5" x14ac:dyDescent="0.35">
      <c r="A28" s="6"/>
      <c r="B28" s="306" t="s">
        <v>207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9" t="s">
        <v>36</v>
      </c>
    </row>
    <row r="29" spans="1:32" ht="17.2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32" ht="17.25" customHeigh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32" ht="17.25" customHeigh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32" ht="14.5" x14ac:dyDescent="0.35">
      <c r="A32" s="6"/>
      <c r="B32" s="306" t="s">
        <v>206</v>
      </c>
      <c r="C32" s="6" t="s">
        <v>43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9" t="s">
        <v>187</v>
      </c>
    </row>
  </sheetData>
  <mergeCells count="41">
    <mergeCell ref="N7:N8"/>
    <mergeCell ref="B5:X5"/>
    <mergeCell ref="A1:B1"/>
    <mergeCell ref="A7:A8"/>
    <mergeCell ref="B7:B8"/>
    <mergeCell ref="C7:C8"/>
    <mergeCell ref="D7:D8"/>
    <mergeCell ref="J7:J8"/>
    <mergeCell ref="B4:X4"/>
    <mergeCell ref="I7:I8"/>
    <mergeCell ref="L7:L8"/>
    <mergeCell ref="R7:R8"/>
    <mergeCell ref="X7:X8"/>
    <mergeCell ref="Q7:Q8"/>
    <mergeCell ref="H7:H8"/>
    <mergeCell ref="F7:F8"/>
    <mergeCell ref="G7:G8"/>
    <mergeCell ref="F24:F25"/>
    <mergeCell ref="E7:E8"/>
    <mergeCell ref="P24:P25"/>
    <mergeCell ref="G24:G25"/>
    <mergeCell ref="N24:N25"/>
    <mergeCell ref="O24:O25"/>
    <mergeCell ref="L24:L25"/>
    <mergeCell ref="M24:M25"/>
    <mergeCell ref="J24:J25"/>
    <mergeCell ref="H24:H25"/>
    <mergeCell ref="I24:I25"/>
    <mergeCell ref="K24:K25"/>
    <mergeCell ref="M7:M8"/>
    <mergeCell ref="K7:K8"/>
    <mergeCell ref="P7:P8"/>
    <mergeCell ref="O7:O8"/>
    <mergeCell ref="X24:X25"/>
    <mergeCell ref="W24:W25"/>
    <mergeCell ref="U24:U25"/>
    <mergeCell ref="Q24:Q25"/>
    <mergeCell ref="R24:R25"/>
    <mergeCell ref="T24:T25"/>
    <mergeCell ref="V24:V25"/>
    <mergeCell ref="S24:S25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61"/>
  <sheetViews>
    <sheetView topLeftCell="D13" zoomScaleNormal="100" workbookViewId="0">
      <selection activeCell="L43" sqref="L43"/>
    </sheetView>
  </sheetViews>
  <sheetFormatPr defaultRowHeight="12.5" x14ac:dyDescent="0.25"/>
  <cols>
    <col min="1" max="1" width="1.1796875" customWidth="1"/>
    <col min="2" max="2" width="4.1796875" customWidth="1"/>
    <col min="3" max="3" width="22" customWidth="1"/>
    <col min="4" max="4" width="31.1796875" customWidth="1"/>
    <col min="5" max="5" width="10.453125" customWidth="1"/>
    <col min="6" max="6" width="22.1796875" customWidth="1"/>
    <col min="7" max="7" width="9.1796875" customWidth="1"/>
    <col min="8" max="8" width="13.26953125" customWidth="1"/>
    <col min="9" max="9" width="12.453125" customWidth="1"/>
    <col min="10" max="10" width="13.453125" customWidth="1"/>
    <col min="11" max="12" width="13.54296875" customWidth="1"/>
    <col min="13" max="13" width="13.1796875" customWidth="1"/>
    <col min="14" max="14" width="13.54296875" customWidth="1"/>
    <col min="15" max="15" width="14.81640625" customWidth="1"/>
    <col min="16" max="16" width="13.54296875" customWidth="1"/>
    <col min="17" max="17" width="11.7265625" hidden="1" customWidth="1"/>
    <col min="18" max="18" width="10.1796875" customWidth="1"/>
    <col min="19" max="19" width="11.7265625" customWidth="1"/>
    <col min="20" max="20" width="10.54296875" customWidth="1"/>
    <col min="21" max="21" width="12.26953125" customWidth="1"/>
    <col min="22" max="22" width="14.453125" customWidth="1"/>
    <col min="23" max="24" width="12.26953125" customWidth="1"/>
    <col min="25" max="25" width="13.453125" customWidth="1"/>
    <col min="26" max="26" width="12" bestFit="1" customWidth="1"/>
    <col min="27" max="27" width="12.26953125" bestFit="1" customWidth="1"/>
  </cols>
  <sheetData>
    <row r="1" spans="1:27" ht="24.75" customHeight="1" x14ac:dyDescent="0.25"/>
    <row r="2" spans="1:27" ht="24.75" customHeight="1" x14ac:dyDescent="0.35">
      <c r="A2" s="6"/>
      <c r="B2" s="6"/>
      <c r="C2" s="6"/>
      <c r="D2" s="6"/>
      <c r="E2" s="6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2.75" customHeight="1" x14ac:dyDescent="0.25">
      <c r="A3" s="366" t="s">
        <v>164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</row>
    <row r="4" spans="1:27" ht="13.5" customHeight="1" x14ac:dyDescent="0.25">
      <c r="A4" s="367" t="s">
        <v>222</v>
      </c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367"/>
    </row>
    <row r="5" spans="1:27" ht="10.5" customHeight="1" x14ac:dyDescent="0.25"/>
    <row r="6" spans="1:27" ht="38.25" customHeight="1" x14ac:dyDescent="0.25">
      <c r="B6" s="379" t="s">
        <v>7</v>
      </c>
      <c r="C6" s="379" t="s">
        <v>69</v>
      </c>
      <c r="D6" s="379" t="s">
        <v>21</v>
      </c>
      <c r="E6" s="379" t="s">
        <v>163</v>
      </c>
      <c r="F6" s="379" t="s">
        <v>0</v>
      </c>
      <c r="G6" s="379" t="s">
        <v>2</v>
      </c>
      <c r="H6" s="379" t="s">
        <v>196</v>
      </c>
      <c r="I6" s="379" t="s">
        <v>70</v>
      </c>
      <c r="J6" s="379" t="s">
        <v>154</v>
      </c>
      <c r="K6" s="379" t="s">
        <v>155</v>
      </c>
      <c r="L6" s="379" t="s">
        <v>161</v>
      </c>
      <c r="M6" s="379" t="s">
        <v>29</v>
      </c>
      <c r="N6" s="379" t="s">
        <v>160</v>
      </c>
      <c r="O6" s="385" t="s">
        <v>71</v>
      </c>
      <c r="P6" s="387" t="s">
        <v>162</v>
      </c>
      <c r="Q6" s="379" t="s">
        <v>63</v>
      </c>
      <c r="R6" s="394" t="s">
        <v>167</v>
      </c>
      <c r="S6" s="395"/>
      <c r="T6" s="395"/>
      <c r="U6" s="396"/>
      <c r="V6" s="379" t="s">
        <v>168</v>
      </c>
      <c r="W6" s="379" t="s">
        <v>49</v>
      </c>
      <c r="X6" s="379" t="s">
        <v>213</v>
      </c>
      <c r="Y6" s="368" t="s">
        <v>86</v>
      </c>
    </row>
    <row r="7" spans="1:27" ht="78" customHeight="1" thickBot="1" x14ac:dyDescent="0.3">
      <c r="B7" s="380"/>
      <c r="C7" s="381"/>
      <c r="D7" s="381"/>
      <c r="E7" s="380"/>
      <c r="F7" s="380"/>
      <c r="G7" s="380"/>
      <c r="H7" s="380"/>
      <c r="I7" s="380"/>
      <c r="J7" s="380"/>
      <c r="K7" s="380"/>
      <c r="L7" s="380"/>
      <c r="M7" s="380"/>
      <c r="N7" s="380"/>
      <c r="O7" s="386"/>
      <c r="P7" s="388"/>
      <c r="Q7" s="380"/>
      <c r="R7" s="250" t="s">
        <v>170</v>
      </c>
      <c r="S7" s="250" t="s">
        <v>211</v>
      </c>
      <c r="T7" s="250" t="s">
        <v>171</v>
      </c>
      <c r="U7" s="250" t="s">
        <v>172</v>
      </c>
      <c r="V7" s="380"/>
      <c r="W7" s="380"/>
      <c r="X7" s="380"/>
      <c r="Y7" s="369"/>
    </row>
    <row r="8" spans="1:27" ht="9.75" customHeight="1" x14ac:dyDescent="0.25">
      <c r="B8" s="216">
        <v>1</v>
      </c>
      <c r="C8" s="216">
        <v>2</v>
      </c>
      <c r="D8" s="216">
        <v>3</v>
      </c>
      <c r="E8" s="216">
        <v>5</v>
      </c>
      <c r="F8" s="217">
        <v>6</v>
      </c>
      <c r="G8" s="217">
        <v>7</v>
      </c>
      <c r="H8" s="217"/>
      <c r="I8" s="216">
        <v>8</v>
      </c>
      <c r="J8" s="216">
        <v>9</v>
      </c>
      <c r="K8" s="216">
        <v>10</v>
      </c>
      <c r="L8" s="237"/>
      <c r="M8" s="237"/>
      <c r="N8" s="237"/>
      <c r="O8" s="218" t="s">
        <v>141</v>
      </c>
      <c r="P8" s="219">
        <v>15</v>
      </c>
      <c r="Q8" s="217">
        <v>16</v>
      </c>
      <c r="R8" s="217"/>
      <c r="S8" s="217"/>
      <c r="T8" s="217"/>
      <c r="U8" s="217"/>
      <c r="V8" s="217"/>
      <c r="W8" s="217">
        <v>19</v>
      </c>
      <c r="X8" s="217"/>
      <c r="Y8" s="220">
        <v>20</v>
      </c>
    </row>
    <row r="9" spans="1:27" ht="18.75" hidden="1" customHeight="1" x14ac:dyDescent="0.3">
      <c r="B9" s="118">
        <v>1</v>
      </c>
      <c r="C9" s="184" t="s">
        <v>132</v>
      </c>
      <c r="D9" s="184" t="s">
        <v>44</v>
      </c>
      <c r="E9" s="185" t="s">
        <v>72</v>
      </c>
      <c r="F9" s="185" t="s">
        <v>133</v>
      </c>
      <c r="G9" s="186" t="s">
        <v>45</v>
      </c>
      <c r="H9" s="186"/>
      <c r="I9" s="187">
        <v>9000000</v>
      </c>
      <c r="J9" s="188">
        <v>0</v>
      </c>
      <c r="K9" s="188">
        <f>5%*I9</f>
        <v>450000</v>
      </c>
      <c r="L9" s="238">
        <v>0</v>
      </c>
      <c r="M9" s="238"/>
      <c r="N9" s="238">
        <v>0</v>
      </c>
      <c r="O9" s="189">
        <f>SUM(I9:K9)</f>
        <v>9450000</v>
      </c>
      <c r="P9" s="190">
        <v>0</v>
      </c>
      <c r="Q9" s="191">
        <v>0</v>
      </c>
      <c r="R9" s="191"/>
      <c r="S9" s="191"/>
      <c r="T9" s="191"/>
      <c r="U9" s="191"/>
      <c r="V9" s="191"/>
      <c r="W9" s="191">
        <v>0</v>
      </c>
      <c r="X9" s="283"/>
      <c r="Y9" s="221">
        <f>O9</f>
        <v>9450000</v>
      </c>
    </row>
    <row r="10" spans="1:27" ht="18.75" customHeight="1" x14ac:dyDescent="0.25">
      <c r="B10" s="118">
        <v>1</v>
      </c>
      <c r="C10" s="184" t="s">
        <v>188</v>
      </c>
      <c r="D10" s="184" t="s">
        <v>189</v>
      </c>
      <c r="E10" s="272">
        <v>6</v>
      </c>
      <c r="F10" s="185" t="s">
        <v>194</v>
      </c>
      <c r="G10" s="186" t="s">
        <v>35</v>
      </c>
      <c r="H10" s="279">
        <v>1.0416666666666666E-2</v>
      </c>
      <c r="I10" s="276">
        <v>9739000</v>
      </c>
      <c r="J10" s="188">
        <v>4612000</v>
      </c>
      <c r="K10" s="188">
        <v>12300000</v>
      </c>
      <c r="L10" s="238">
        <v>600000</v>
      </c>
      <c r="M10" s="238">
        <v>4000000</v>
      </c>
      <c r="N10" s="238">
        <v>4500000</v>
      </c>
      <c r="O10" s="189">
        <f>SUM(I10:N10)</f>
        <v>35751000</v>
      </c>
      <c r="P10" s="190">
        <v>1017195</v>
      </c>
      <c r="Q10" s="191"/>
      <c r="R10" s="191">
        <v>0</v>
      </c>
      <c r="S10" s="191">
        <v>0</v>
      </c>
      <c r="T10" s="191">
        <v>0</v>
      </c>
      <c r="U10" s="191">
        <v>0</v>
      </c>
      <c r="V10" s="191">
        <v>0</v>
      </c>
      <c r="W10" s="198">
        <f>0.05*(J10+K10+L10+M10+N10)</f>
        <v>1300600</v>
      </c>
      <c r="X10" s="198">
        <f>P10+R10+S10+T10+U10+V10+W10</f>
        <v>2317795</v>
      </c>
      <c r="Y10" s="305">
        <f>O10-(P10+R10+S10+T10+U10+V10+W10)</f>
        <v>33433205</v>
      </c>
      <c r="AA10" s="20">
        <f t="shared" ref="AA10:AA20" si="0">O10-X10</f>
        <v>33433205</v>
      </c>
    </row>
    <row r="11" spans="1:27" ht="18.75" customHeight="1" x14ac:dyDescent="0.25">
      <c r="B11" s="132">
        <v>2</v>
      </c>
      <c r="C11" s="192" t="s">
        <v>53</v>
      </c>
      <c r="D11" s="192" t="s">
        <v>54</v>
      </c>
      <c r="E11" s="242">
        <v>6</v>
      </c>
      <c r="F11" s="193" t="s">
        <v>55</v>
      </c>
      <c r="G11" s="132" t="s">
        <v>45</v>
      </c>
      <c r="H11" s="273">
        <v>8.3333333333333332E-3</v>
      </c>
      <c r="I11" s="194">
        <v>10454000</v>
      </c>
      <c r="J11" s="195">
        <f>'[1]THR PEG PELINDO'!$G$8</f>
        <v>4612000</v>
      </c>
      <c r="K11" s="195">
        <f>12300000</f>
        <v>12300000</v>
      </c>
      <c r="L11" s="239">
        <v>600000</v>
      </c>
      <c r="M11" s="239">
        <v>4000000</v>
      </c>
      <c r="N11" s="239">
        <v>4500000</v>
      </c>
      <c r="O11" s="196">
        <f t="shared" ref="O11:O20" si="1">SUM(I11:N11)</f>
        <v>36466000</v>
      </c>
      <c r="P11" s="197">
        <v>1107702</v>
      </c>
      <c r="Q11" s="198">
        <v>381567</v>
      </c>
      <c r="R11" s="198">
        <v>0</v>
      </c>
      <c r="S11" s="198">
        <v>0</v>
      </c>
      <c r="T11" s="191">
        <v>0</v>
      </c>
      <c r="U11" s="198">
        <v>0</v>
      </c>
      <c r="V11" s="198">
        <v>0</v>
      </c>
      <c r="W11" s="198">
        <f>0.05*(J11+K11+L11+M11+N11)</f>
        <v>1300600</v>
      </c>
      <c r="X11" s="198">
        <f t="shared" ref="X11:X16" si="2">P11+R11+S11+T11+U11+V11+W11</f>
        <v>2408302</v>
      </c>
      <c r="Y11" s="305">
        <f t="shared" ref="Y11:Y23" si="3">O11-(P11+R11+S11+T11+U11+V11+W11)</f>
        <v>34057698</v>
      </c>
      <c r="AA11" s="20">
        <f t="shared" si="0"/>
        <v>34057698</v>
      </c>
    </row>
    <row r="12" spans="1:27" ht="18.75" customHeight="1" x14ac:dyDescent="0.25">
      <c r="B12" s="118">
        <v>3</v>
      </c>
      <c r="C12" s="192" t="s">
        <v>187</v>
      </c>
      <c r="D12" s="192" t="s">
        <v>36</v>
      </c>
      <c r="E12" s="242">
        <v>7</v>
      </c>
      <c r="F12" s="199" t="s">
        <v>195</v>
      </c>
      <c r="G12" s="132" t="s">
        <v>45</v>
      </c>
      <c r="H12" s="273">
        <v>0</v>
      </c>
      <c r="I12" s="194">
        <v>8203000</v>
      </c>
      <c r="J12" s="195">
        <v>4342000</v>
      </c>
      <c r="K12" s="195">
        <v>12300000</v>
      </c>
      <c r="L12" s="239">
        <v>600000</v>
      </c>
      <c r="M12" s="239">
        <v>4000000</v>
      </c>
      <c r="N12" s="239">
        <v>4500000</v>
      </c>
      <c r="O12" s="196">
        <f t="shared" si="1"/>
        <v>33945000</v>
      </c>
      <c r="P12" s="197">
        <v>837576</v>
      </c>
      <c r="Q12" s="198">
        <v>359907</v>
      </c>
      <c r="R12" s="198">
        <v>0</v>
      </c>
      <c r="S12" s="198">
        <v>0</v>
      </c>
      <c r="T12" s="191">
        <v>0</v>
      </c>
      <c r="U12" s="198">
        <v>0</v>
      </c>
      <c r="V12" s="198">
        <v>0</v>
      </c>
      <c r="W12" s="198">
        <f>0.05*(J12+K12+L12+M12+N12)</f>
        <v>1287100</v>
      </c>
      <c r="X12" s="198">
        <f>P12+R12+S12+T12+U12+V12+W12</f>
        <v>2124676</v>
      </c>
      <c r="Y12" s="305">
        <f t="shared" si="3"/>
        <v>31820324</v>
      </c>
      <c r="AA12" s="20">
        <f t="shared" si="0"/>
        <v>31820324</v>
      </c>
    </row>
    <row r="13" spans="1:27" ht="18.75" customHeight="1" x14ac:dyDescent="0.25">
      <c r="B13" s="132">
        <v>4</v>
      </c>
      <c r="C13" s="192" t="s">
        <v>190</v>
      </c>
      <c r="D13" s="192" t="s">
        <v>193</v>
      </c>
      <c r="E13" s="242">
        <v>6</v>
      </c>
      <c r="F13" s="199" t="s">
        <v>58</v>
      </c>
      <c r="G13" s="132" t="s">
        <v>31</v>
      </c>
      <c r="H13" s="284">
        <v>3.472222222222222E-3</v>
      </c>
      <c r="I13" s="194">
        <v>9739000</v>
      </c>
      <c r="J13" s="195">
        <f>J11</f>
        <v>4612000</v>
      </c>
      <c r="K13" s="195">
        <v>12300000</v>
      </c>
      <c r="L13" s="239">
        <v>600000</v>
      </c>
      <c r="M13" s="239">
        <v>4000000</v>
      </c>
      <c r="N13" s="239">
        <v>4500000</v>
      </c>
      <c r="O13" s="196">
        <f t="shared" si="1"/>
        <v>35751000</v>
      </c>
      <c r="P13" s="197">
        <v>869733</v>
      </c>
      <c r="Q13" s="198">
        <v>312920</v>
      </c>
      <c r="R13" s="198">
        <v>0</v>
      </c>
      <c r="S13" s="198">
        <v>0</v>
      </c>
      <c r="T13" s="191">
        <v>0</v>
      </c>
      <c r="U13" s="198">
        <v>0</v>
      </c>
      <c r="V13" s="198">
        <v>0</v>
      </c>
      <c r="W13" s="198">
        <f t="shared" ref="W13:W23" si="4">0.05*(J13+K13+L13+M13+N13)</f>
        <v>1300600</v>
      </c>
      <c r="X13" s="198">
        <f>P13+R13+S13+T13+U13+V13+W13</f>
        <v>2170333</v>
      </c>
      <c r="Y13" s="305">
        <f t="shared" si="3"/>
        <v>33580667</v>
      </c>
      <c r="AA13" s="20">
        <f t="shared" si="0"/>
        <v>33580667</v>
      </c>
    </row>
    <row r="14" spans="1:27" ht="18.75" customHeight="1" x14ac:dyDescent="0.25">
      <c r="B14" s="132">
        <v>5</v>
      </c>
      <c r="C14" s="192" t="s">
        <v>191</v>
      </c>
      <c r="D14" s="192" t="s">
        <v>106</v>
      </c>
      <c r="E14" s="242">
        <v>6</v>
      </c>
      <c r="F14" s="193" t="s">
        <v>129</v>
      </c>
      <c r="G14" s="132" t="s">
        <v>45</v>
      </c>
      <c r="H14" s="286" t="s">
        <v>229</v>
      </c>
      <c r="I14" s="194">
        <f>I13</f>
        <v>9739000</v>
      </c>
      <c r="J14" s="195">
        <f>J13</f>
        <v>4612000</v>
      </c>
      <c r="K14" s="195">
        <v>12300000</v>
      </c>
      <c r="L14" s="239">
        <v>600000</v>
      </c>
      <c r="M14" s="239">
        <v>4000000</v>
      </c>
      <c r="N14" s="239">
        <v>4500000</v>
      </c>
      <c r="O14" s="196">
        <f>SUM(I14:N14)</f>
        <v>35751000</v>
      </c>
      <c r="P14" s="197">
        <v>899809</v>
      </c>
      <c r="Q14" s="198">
        <v>312920</v>
      </c>
      <c r="R14" s="198">
        <v>0</v>
      </c>
      <c r="S14" s="198">
        <v>0</v>
      </c>
      <c r="T14" s="191">
        <v>0</v>
      </c>
      <c r="U14" s="198">
        <v>0</v>
      </c>
      <c r="V14" s="198">
        <v>0</v>
      </c>
      <c r="W14" s="198">
        <f t="shared" si="4"/>
        <v>1300600</v>
      </c>
      <c r="X14" s="198">
        <f>P14+R14+S14+T14+U14+V14+W14</f>
        <v>2200409</v>
      </c>
      <c r="Y14" s="305">
        <f>O14-(P14+R14+S14+T14+U14+V14+W14)</f>
        <v>33550591</v>
      </c>
      <c r="AA14" s="20">
        <f t="shared" si="0"/>
        <v>33550591</v>
      </c>
    </row>
    <row r="15" spans="1:27" ht="18.75" customHeight="1" x14ac:dyDescent="0.25">
      <c r="B15" s="118">
        <v>6</v>
      </c>
      <c r="C15" s="192" t="s">
        <v>105</v>
      </c>
      <c r="D15" s="192" t="s">
        <v>128</v>
      </c>
      <c r="E15" s="242">
        <v>8</v>
      </c>
      <c r="F15" s="193" t="s">
        <v>107</v>
      </c>
      <c r="G15" s="132" t="s">
        <v>1</v>
      </c>
      <c r="H15" s="285">
        <v>6.2499999999999995E-3</v>
      </c>
      <c r="I15" s="194">
        <v>6604000</v>
      </c>
      <c r="J15" s="195">
        <v>4114000</v>
      </c>
      <c r="K15" s="195">
        <f>12300000</f>
        <v>12300000</v>
      </c>
      <c r="L15" s="239">
        <v>600000</v>
      </c>
      <c r="M15" s="239">
        <v>4000000</v>
      </c>
      <c r="N15" s="239">
        <v>4500000</v>
      </c>
      <c r="O15" s="196">
        <f t="shared" si="1"/>
        <v>32118000</v>
      </c>
      <c r="P15" s="197">
        <v>774994</v>
      </c>
      <c r="Q15" s="198">
        <v>255080</v>
      </c>
      <c r="R15" s="198">
        <v>0</v>
      </c>
      <c r="S15" s="198">
        <v>0</v>
      </c>
      <c r="T15" s="191">
        <v>0</v>
      </c>
      <c r="U15" s="198">
        <v>0</v>
      </c>
      <c r="V15" s="198">
        <v>0</v>
      </c>
      <c r="W15" s="198">
        <f t="shared" si="4"/>
        <v>1275700</v>
      </c>
      <c r="X15" s="198">
        <f>P15+R15+S15+T15+U15+V15+W15</f>
        <v>2050694</v>
      </c>
      <c r="Y15" s="305">
        <f t="shared" si="3"/>
        <v>30067306</v>
      </c>
      <c r="AA15" s="20">
        <f t="shared" si="0"/>
        <v>30067306</v>
      </c>
    </row>
    <row r="16" spans="1:27" ht="19.5" customHeight="1" x14ac:dyDescent="0.3">
      <c r="B16" s="132">
        <v>7</v>
      </c>
      <c r="C16" s="201" t="s">
        <v>78</v>
      </c>
      <c r="D16" s="192" t="s">
        <v>79</v>
      </c>
      <c r="E16" s="242">
        <v>8</v>
      </c>
      <c r="F16" s="202" t="s">
        <v>82</v>
      </c>
      <c r="G16" s="203" t="s">
        <v>31</v>
      </c>
      <c r="H16" s="287">
        <v>1.1111111111111112E-2</v>
      </c>
      <c r="I16" s="204">
        <v>6918000</v>
      </c>
      <c r="J16" s="205">
        <f>'[1]THR PEG PELINDO'!$G$13</f>
        <v>4114000</v>
      </c>
      <c r="K16" s="205">
        <f>7800000</f>
        <v>7800000</v>
      </c>
      <c r="L16" s="240">
        <v>350000</v>
      </c>
      <c r="M16" s="240">
        <v>2800000</v>
      </c>
      <c r="N16" s="240">
        <v>2000000</v>
      </c>
      <c r="O16" s="206">
        <f>SUM(I16:N16)</f>
        <v>23982000</v>
      </c>
      <c r="P16" s="245">
        <v>800428</v>
      </c>
      <c r="Q16" s="207">
        <v>264160</v>
      </c>
      <c r="R16" s="207">
        <v>0</v>
      </c>
      <c r="S16" s="207">
        <v>0</v>
      </c>
      <c r="T16" s="191">
        <v>0</v>
      </c>
      <c r="U16" s="207">
        <v>0</v>
      </c>
      <c r="V16" s="207">
        <v>0</v>
      </c>
      <c r="W16" s="198">
        <f t="shared" si="4"/>
        <v>853200</v>
      </c>
      <c r="X16" s="198">
        <f t="shared" si="2"/>
        <v>1653628</v>
      </c>
      <c r="Y16" s="305">
        <f t="shared" si="3"/>
        <v>22328372</v>
      </c>
      <c r="AA16" s="20">
        <f t="shared" si="0"/>
        <v>22328372</v>
      </c>
    </row>
    <row r="17" spans="2:27" ht="18.75" customHeight="1" x14ac:dyDescent="0.25">
      <c r="B17" s="118">
        <v>8</v>
      </c>
      <c r="C17" s="192" t="s">
        <v>88</v>
      </c>
      <c r="D17" s="192" t="s">
        <v>119</v>
      </c>
      <c r="E17" s="242">
        <v>9</v>
      </c>
      <c r="F17" s="200" t="s">
        <v>89</v>
      </c>
      <c r="G17" s="132" t="s">
        <v>45</v>
      </c>
      <c r="H17" s="289">
        <v>1.9444444444444445E-2</v>
      </c>
      <c r="I17" s="194">
        <v>5867000</v>
      </c>
      <c r="J17" s="195">
        <f>'[1]THR PEG PELINDO'!$G$14</f>
        <v>3919000</v>
      </c>
      <c r="K17" s="195">
        <f>7800000</f>
        <v>7800000</v>
      </c>
      <c r="L17" s="239">
        <v>350000</v>
      </c>
      <c r="M17" s="239">
        <v>2800000</v>
      </c>
      <c r="N17" s="239">
        <v>2000000</v>
      </c>
      <c r="O17" s="196">
        <f t="shared" si="1"/>
        <v>22736000</v>
      </c>
      <c r="P17" s="197">
        <v>721488</v>
      </c>
      <c r="Q17" s="198">
        <v>224360</v>
      </c>
      <c r="R17" s="198">
        <v>0</v>
      </c>
      <c r="S17" s="198">
        <v>0</v>
      </c>
      <c r="T17" s="191">
        <v>0</v>
      </c>
      <c r="U17" s="198">
        <v>0</v>
      </c>
      <c r="V17" s="198">
        <v>0</v>
      </c>
      <c r="W17" s="198">
        <f t="shared" si="4"/>
        <v>843450</v>
      </c>
      <c r="X17" s="198">
        <f>P17+R17+S17+T17+U17+V17+W17</f>
        <v>1564938</v>
      </c>
      <c r="Y17" s="305">
        <f t="shared" si="3"/>
        <v>21171062</v>
      </c>
      <c r="AA17" s="20">
        <f t="shared" si="0"/>
        <v>21171062</v>
      </c>
    </row>
    <row r="18" spans="2:27" ht="18.75" customHeight="1" x14ac:dyDescent="0.3">
      <c r="B18" s="132">
        <v>9</v>
      </c>
      <c r="C18" s="201" t="s">
        <v>143</v>
      </c>
      <c r="D18" s="192" t="s">
        <v>144</v>
      </c>
      <c r="E18" s="242">
        <v>9</v>
      </c>
      <c r="F18" s="202" t="s">
        <v>146</v>
      </c>
      <c r="G18" s="203" t="s">
        <v>35</v>
      </c>
      <c r="H18" s="288">
        <v>1.6666666666666666E-2</v>
      </c>
      <c r="I18" s="204">
        <v>0</v>
      </c>
      <c r="J18" s="205">
        <v>0</v>
      </c>
      <c r="K18" s="205">
        <f>7800000</f>
        <v>7800000</v>
      </c>
      <c r="L18" s="240">
        <v>0</v>
      </c>
      <c r="M18" s="240">
        <v>0</v>
      </c>
      <c r="N18" s="240">
        <v>0</v>
      </c>
      <c r="O18" s="206">
        <f>SUM(I18:N18)</f>
        <v>7800000</v>
      </c>
      <c r="P18" s="245">
        <v>0</v>
      </c>
      <c r="Q18" s="207">
        <v>216000</v>
      </c>
      <c r="R18" s="207">
        <v>0</v>
      </c>
      <c r="S18" s="207">
        <v>0</v>
      </c>
      <c r="T18" s="191">
        <v>0</v>
      </c>
      <c r="U18" s="207">
        <v>0</v>
      </c>
      <c r="V18" s="207">
        <v>0</v>
      </c>
      <c r="W18" s="198">
        <f>0.05*(J18+K18+L18+M18+N18)</f>
        <v>390000</v>
      </c>
      <c r="X18" s="198">
        <f>P18+R18+S18+T18+U18+V18+W18</f>
        <v>390000</v>
      </c>
      <c r="Y18" s="305">
        <f t="shared" si="3"/>
        <v>7410000</v>
      </c>
      <c r="AA18" s="20">
        <f t="shared" si="0"/>
        <v>7410000</v>
      </c>
    </row>
    <row r="19" spans="2:27" ht="18.75" customHeight="1" x14ac:dyDescent="0.3">
      <c r="B19" s="118">
        <v>10</v>
      </c>
      <c r="C19" s="201" t="s">
        <v>192</v>
      </c>
      <c r="D19" s="192" t="s">
        <v>147</v>
      </c>
      <c r="E19" s="242">
        <v>8</v>
      </c>
      <c r="F19" s="202" t="s">
        <v>145</v>
      </c>
      <c r="G19" s="203" t="s">
        <v>34</v>
      </c>
      <c r="H19" s="287">
        <v>4.8611111111111112E-3</v>
      </c>
      <c r="I19" s="204">
        <f>I16</f>
        <v>6918000</v>
      </c>
      <c r="J19" s="205">
        <f>J16</f>
        <v>4114000</v>
      </c>
      <c r="K19" s="205">
        <v>7800000</v>
      </c>
      <c r="L19" s="240">
        <v>350000</v>
      </c>
      <c r="M19" s="240">
        <v>2800000</v>
      </c>
      <c r="N19" s="240">
        <v>2000000</v>
      </c>
      <c r="O19" s="206">
        <f>SUM(I19:N19)</f>
        <v>23982000</v>
      </c>
      <c r="P19" s="245">
        <v>843888</v>
      </c>
      <c r="Q19" s="207">
        <v>208320</v>
      </c>
      <c r="R19" s="207">
        <v>0</v>
      </c>
      <c r="S19" s="207">
        <v>0</v>
      </c>
      <c r="T19" s="191">
        <v>0</v>
      </c>
      <c r="U19" s="207">
        <v>0</v>
      </c>
      <c r="V19" s="277">
        <v>0</v>
      </c>
      <c r="W19" s="198">
        <f t="shared" si="4"/>
        <v>853200</v>
      </c>
      <c r="X19" s="198">
        <f>P19+R19+S19+T19+U19+V19+W19</f>
        <v>1697088</v>
      </c>
      <c r="Y19" s="305">
        <f t="shared" si="3"/>
        <v>22284912</v>
      </c>
      <c r="AA19" s="20">
        <f t="shared" si="0"/>
        <v>22284912</v>
      </c>
    </row>
    <row r="20" spans="2:27" ht="18.75" customHeight="1" x14ac:dyDescent="0.3">
      <c r="B20" s="132">
        <v>11</v>
      </c>
      <c r="C20" s="201" t="s">
        <v>134</v>
      </c>
      <c r="D20" s="192" t="s">
        <v>239</v>
      </c>
      <c r="E20" s="242">
        <v>11</v>
      </c>
      <c r="F20" s="202" t="s">
        <v>135</v>
      </c>
      <c r="G20" s="203" t="s">
        <v>34</v>
      </c>
      <c r="H20" s="291">
        <v>2.013888888888889E-2</v>
      </c>
      <c r="I20" s="204">
        <v>4879000</v>
      </c>
      <c r="J20" s="205">
        <v>3435000</v>
      </c>
      <c r="K20" s="205">
        <f>7800000</f>
        <v>7800000</v>
      </c>
      <c r="L20" s="240">
        <v>350000</v>
      </c>
      <c r="M20" s="240">
        <v>2800000</v>
      </c>
      <c r="N20" s="240">
        <v>2000000</v>
      </c>
      <c r="O20" s="206">
        <f t="shared" si="1"/>
        <v>21264000</v>
      </c>
      <c r="P20" s="245">
        <v>562597</v>
      </c>
      <c r="Q20" s="207">
        <v>171480</v>
      </c>
      <c r="R20" s="249">
        <v>0</v>
      </c>
      <c r="S20" s="249">
        <v>0</v>
      </c>
      <c r="T20" s="191">
        <v>0</v>
      </c>
      <c r="U20" s="249">
        <v>0</v>
      </c>
      <c r="V20" s="277">
        <v>0</v>
      </c>
      <c r="W20" s="198">
        <f t="shared" si="4"/>
        <v>819250</v>
      </c>
      <c r="X20" s="198">
        <f>P20+R20+S20+T20+U20+V20+W20</f>
        <v>1381847</v>
      </c>
      <c r="Y20" s="305">
        <f t="shared" si="3"/>
        <v>19882153</v>
      </c>
      <c r="AA20" s="20">
        <f t="shared" si="0"/>
        <v>19882153</v>
      </c>
    </row>
    <row r="21" spans="2:27" ht="18.75" hidden="1" customHeight="1" x14ac:dyDescent="0.25">
      <c r="B21" s="132">
        <v>11</v>
      </c>
      <c r="C21" s="192" t="s">
        <v>90</v>
      </c>
      <c r="D21" s="192" t="s">
        <v>91</v>
      </c>
      <c r="E21" s="242">
        <v>11</v>
      </c>
      <c r="F21" s="199" t="s">
        <v>92</v>
      </c>
      <c r="G21" s="132" t="s">
        <v>35</v>
      </c>
      <c r="H21" s="290"/>
      <c r="I21" s="242" t="s">
        <v>72</v>
      </c>
      <c r="J21" s="251">
        <v>0</v>
      </c>
      <c r="K21" s="195">
        <v>6000000</v>
      </c>
      <c r="L21" s="239">
        <v>0</v>
      </c>
      <c r="M21" s="239">
        <v>0</v>
      </c>
      <c r="N21" s="239">
        <v>0</v>
      </c>
      <c r="O21" s="196">
        <f t="shared" ref="O21:O23" si="5">SUM(I21:K21)</f>
        <v>6000000</v>
      </c>
      <c r="P21" s="197">
        <f>'[2]TMT MEI 20'!$AE$31+'[2]TMT MEI 20'!$AE$32</f>
        <v>549565</v>
      </c>
      <c r="Q21" s="198">
        <v>175120</v>
      </c>
      <c r="R21" s="198">
        <v>0</v>
      </c>
      <c r="S21" s="198">
        <v>0</v>
      </c>
      <c r="T21" s="198">
        <f t="shared" ref="T21" si="6">20%*K21</f>
        <v>1200000</v>
      </c>
      <c r="U21" s="198">
        <v>0</v>
      </c>
      <c r="V21" s="278">
        <v>0</v>
      </c>
      <c r="W21" s="198">
        <f t="shared" si="4"/>
        <v>300000</v>
      </c>
      <c r="X21" s="198"/>
      <c r="Y21" s="305">
        <f t="shared" si="3"/>
        <v>3950435</v>
      </c>
      <c r="AA21" s="20">
        <f>J24+K24+L24+M24+N24+33269000+8076000</f>
        <v>290701000</v>
      </c>
    </row>
    <row r="22" spans="2:27" ht="18.75" customHeight="1" x14ac:dyDescent="0.3">
      <c r="B22" s="118">
        <v>12</v>
      </c>
      <c r="C22" s="201" t="s">
        <v>93</v>
      </c>
      <c r="D22" s="192" t="s">
        <v>52</v>
      </c>
      <c r="E22" s="242">
        <v>11</v>
      </c>
      <c r="F22" s="202" t="s">
        <v>94</v>
      </c>
      <c r="G22" s="203" t="s">
        <v>34</v>
      </c>
      <c r="H22" s="274">
        <v>4.8611111111111112E-3</v>
      </c>
      <c r="I22" s="194">
        <v>4543000</v>
      </c>
      <c r="J22" s="195">
        <v>3435000</v>
      </c>
      <c r="K22" s="195">
        <v>6000000</v>
      </c>
      <c r="L22" s="239">
        <v>0</v>
      </c>
      <c r="M22" s="239">
        <v>0</v>
      </c>
      <c r="N22" s="239">
        <v>0</v>
      </c>
      <c r="O22" s="206">
        <f t="shared" si="5"/>
        <v>13978000</v>
      </c>
      <c r="P22" s="245">
        <v>587551</v>
      </c>
      <c r="Q22" s="207">
        <v>175120</v>
      </c>
      <c r="R22" s="207">
        <v>0</v>
      </c>
      <c r="S22" s="207">
        <v>0</v>
      </c>
      <c r="T22" s="191">
        <v>0</v>
      </c>
      <c r="U22" s="207">
        <v>0</v>
      </c>
      <c r="V22" s="207">
        <v>0</v>
      </c>
      <c r="W22" s="198">
        <f t="shared" si="4"/>
        <v>471750</v>
      </c>
      <c r="X22" s="198">
        <f>P22+R22+S22+T22+U22+V22+W22</f>
        <v>1059301</v>
      </c>
      <c r="Y22" s="305">
        <f t="shared" si="3"/>
        <v>12918699</v>
      </c>
      <c r="AA22" s="20">
        <f>O22-X22</f>
        <v>12918699</v>
      </c>
    </row>
    <row r="23" spans="2:27" ht="18.75" customHeight="1" x14ac:dyDescent="0.3">
      <c r="B23" s="154">
        <v>13</v>
      </c>
      <c r="C23" s="208" t="s">
        <v>80</v>
      </c>
      <c r="D23" s="209" t="s">
        <v>52</v>
      </c>
      <c r="E23" s="243">
        <v>11</v>
      </c>
      <c r="F23" s="210" t="s">
        <v>81</v>
      </c>
      <c r="G23" s="211" t="s">
        <v>1</v>
      </c>
      <c r="H23" s="275">
        <v>6.9444444444444447E-4</v>
      </c>
      <c r="I23" s="212">
        <f>I22</f>
        <v>4543000</v>
      </c>
      <c r="J23" s="213">
        <v>3435000</v>
      </c>
      <c r="K23" s="213">
        <v>6000000</v>
      </c>
      <c r="L23" s="241">
        <v>0</v>
      </c>
      <c r="M23" s="241">
        <v>0</v>
      </c>
      <c r="N23" s="241">
        <v>0</v>
      </c>
      <c r="O23" s="214">
        <f t="shared" si="5"/>
        <v>13978000</v>
      </c>
      <c r="P23" s="246">
        <v>587551</v>
      </c>
      <c r="Q23" s="215">
        <v>175120</v>
      </c>
      <c r="R23" s="215">
        <v>0</v>
      </c>
      <c r="S23" s="215">
        <v>0</v>
      </c>
      <c r="T23" s="191">
        <v>0</v>
      </c>
      <c r="U23" s="215">
        <v>0</v>
      </c>
      <c r="V23" s="215">
        <v>0</v>
      </c>
      <c r="W23" s="244">
        <f t="shared" si="4"/>
        <v>471750</v>
      </c>
      <c r="X23" s="244">
        <f>P23+R23+S23+T23+U23+V23+W23</f>
        <v>1059301</v>
      </c>
      <c r="Y23" s="305">
        <f t="shared" si="3"/>
        <v>12918699</v>
      </c>
      <c r="AA23" s="20">
        <f>O23-X23</f>
        <v>12918699</v>
      </c>
    </row>
    <row r="24" spans="2:27" ht="14.5" x14ac:dyDescent="0.35">
      <c r="B24" s="77"/>
      <c r="C24" s="77"/>
      <c r="D24" s="77"/>
      <c r="E24" s="77"/>
      <c r="F24" s="76"/>
      <c r="G24" s="21"/>
      <c r="H24" s="21"/>
      <c r="I24" s="382">
        <f>SUM(I10:I23)</f>
        <v>88146000</v>
      </c>
      <c r="J24" s="382">
        <f>SUM(J10:J23)</f>
        <v>49356000</v>
      </c>
      <c r="K24" s="382">
        <f>K10+K11+K12+K13+K14+K15+K16+K17+K18+K19+K20+K22+K23</f>
        <v>124800000</v>
      </c>
      <c r="L24" s="389">
        <f>SUM(L10:L23)</f>
        <v>5000000</v>
      </c>
      <c r="M24" s="389">
        <f>SUM(M10:M23)</f>
        <v>35200000</v>
      </c>
      <c r="N24" s="389">
        <f>SUM(N9:N23)</f>
        <v>35000000</v>
      </c>
      <c r="O24" s="372">
        <f>O10+O11+O12+O13+O14+O15+O16+O17+O18+O19+O20+O22+O23</f>
        <v>337502000</v>
      </c>
      <c r="P24" s="374">
        <f>P10+P11+P12+P13+P14+P15+P16+P17+P18+P19+P20+P22+P23</f>
        <v>9610512</v>
      </c>
      <c r="Q24" s="376">
        <f>SUM(Q9:Q23)</f>
        <v>3232074</v>
      </c>
      <c r="R24" s="391">
        <f>R10+R11+R12+R13+R14+R15+R16+R17+R18+R19+R20+R22+R23</f>
        <v>0</v>
      </c>
      <c r="S24" s="391">
        <f>S10+S11+S12+S13+S14+S15+S16+S17+S18+S19+S20+S22+S23</f>
        <v>0</v>
      </c>
      <c r="T24" s="391">
        <v>0</v>
      </c>
      <c r="U24" s="391">
        <f>U10+U11+U12+U13+U14+U15+U16+U17+U18+U19+U20+U22+U23</f>
        <v>0</v>
      </c>
      <c r="V24" s="391">
        <f>V10+V11+V12+V13+V14+V15+V16+V17+V18+V19+V20+V22+V23</f>
        <v>0</v>
      </c>
      <c r="W24" s="378">
        <f>W10+W11+W12+W13+W14+W15+W16+W17+W18+W19+W20+W22+W23</f>
        <v>12467800</v>
      </c>
      <c r="X24" s="397">
        <f>X10+X11+X12+X13+X14+X15+X16+X17+X18+X19+X20+X22+X23</f>
        <v>22078312</v>
      </c>
      <c r="Y24" s="370">
        <f>Y10+Y11+Y12+Y13+Y14+Y15+Y16+Y17+Y18+Y19+Y20+Y22+Y23</f>
        <v>315423688</v>
      </c>
      <c r="AA24" s="20"/>
    </row>
    <row r="25" spans="2:27" ht="15" thickBot="1" x14ac:dyDescent="0.4">
      <c r="B25" s="78"/>
      <c r="C25" s="78"/>
      <c r="D25" s="78"/>
      <c r="E25" s="78"/>
      <c r="F25" s="79"/>
      <c r="G25" s="80"/>
      <c r="H25" s="80"/>
      <c r="I25" s="383"/>
      <c r="J25" s="383"/>
      <c r="K25" s="383"/>
      <c r="L25" s="390"/>
      <c r="M25" s="390"/>
      <c r="N25" s="390"/>
      <c r="O25" s="373"/>
      <c r="P25" s="375"/>
      <c r="Q25" s="377"/>
      <c r="R25" s="392"/>
      <c r="S25" s="392"/>
      <c r="T25" s="392"/>
      <c r="U25" s="392"/>
      <c r="V25" s="392"/>
      <c r="W25" s="377"/>
      <c r="X25" s="398"/>
      <c r="Y25" s="371"/>
      <c r="AA25" s="96">
        <f>P24+R24+S24+T24+U24+V24+W24</f>
        <v>22078312</v>
      </c>
    </row>
    <row r="26" spans="2:27" ht="13" thickTop="1" x14ac:dyDescent="0.25">
      <c r="AA26" s="20">
        <f>O24-AA25</f>
        <v>315423688</v>
      </c>
    </row>
    <row r="27" spans="2:27" ht="13" x14ac:dyDescent="0.3">
      <c r="B27" s="31" t="s">
        <v>221</v>
      </c>
      <c r="C27" s="26"/>
      <c r="D27" s="26"/>
      <c r="E27" s="26"/>
      <c r="F27" s="26"/>
      <c r="G27" s="26"/>
      <c r="H27" s="26"/>
      <c r="I27" s="28"/>
      <c r="J27" s="28"/>
      <c r="K27" s="20"/>
      <c r="L27" s="20"/>
      <c r="M27" s="20"/>
      <c r="N27" s="20"/>
      <c r="O27" s="20"/>
    </row>
    <row r="28" spans="2:27" ht="13" x14ac:dyDescent="0.3">
      <c r="B28" s="27" t="s">
        <v>32</v>
      </c>
      <c r="C28" s="26" t="s">
        <v>232</v>
      </c>
      <c r="D28" s="26"/>
      <c r="E28" s="26"/>
      <c r="F28" s="26"/>
      <c r="G28" s="26"/>
      <c r="H28" s="26"/>
      <c r="I28" s="26"/>
      <c r="J28" s="28"/>
      <c r="Q28" s="26"/>
      <c r="R28" s="26"/>
      <c r="S28" s="26"/>
      <c r="T28" s="26"/>
      <c r="U28" s="26"/>
      <c r="V28" s="384" t="s">
        <v>230</v>
      </c>
      <c r="W28" s="384"/>
      <c r="X28" s="384"/>
      <c r="Y28" s="384"/>
      <c r="Z28" s="384"/>
      <c r="AA28" s="20">
        <f>O24-AA25</f>
        <v>315423688</v>
      </c>
    </row>
    <row r="29" spans="2:27" ht="13" x14ac:dyDescent="0.3">
      <c r="B29" s="27" t="s">
        <v>38</v>
      </c>
      <c r="C29" s="26" t="s">
        <v>233</v>
      </c>
      <c r="D29" s="26"/>
      <c r="E29" s="26"/>
      <c r="F29" s="26"/>
      <c r="G29" s="26"/>
      <c r="H29" s="26"/>
      <c r="I29" s="26"/>
      <c r="J29" s="26"/>
      <c r="Q29" s="267"/>
      <c r="R29" s="267"/>
      <c r="S29" s="267"/>
      <c r="T29" s="267"/>
      <c r="U29" s="267"/>
      <c r="V29" s="384" t="s">
        <v>36</v>
      </c>
      <c r="W29" s="384"/>
      <c r="X29" s="384"/>
      <c r="Y29" s="384"/>
      <c r="Z29" s="384"/>
    </row>
    <row r="30" spans="2:27" ht="13" x14ac:dyDescent="0.3">
      <c r="B30" s="26"/>
      <c r="C30" s="26"/>
      <c r="D30" s="26"/>
      <c r="E30" s="26"/>
      <c r="F30" s="26"/>
      <c r="G30" s="26"/>
      <c r="H30" s="26"/>
      <c r="I30" s="26"/>
      <c r="J30" s="28"/>
      <c r="Q30" s="267"/>
      <c r="R30" s="267"/>
      <c r="S30" s="267"/>
      <c r="T30" s="267"/>
      <c r="U30" s="267"/>
      <c r="V30" s="123"/>
      <c r="W30" s="123"/>
      <c r="X30" s="123"/>
      <c r="Y30" s="123"/>
      <c r="Z30" s="123"/>
      <c r="AA30" s="20"/>
    </row>
    <row r="31" spans="2:27" ht="13" x14ac:dyDescent="0.3">
      <c r="B31" s="26"/>
      <c r="C31" s="26"/>
      <c r="D31" s="26"/>
      <c r="E31" s="26"/>
      <c r="F31" s="26"/>
      <c r="G31" s="26"/>
      <c r="H31" s="26"/>
      <c r="I31" s="26"/>
      <c r="J31" s="28"/>
      <c r="Q31" s="267"/>
      <c r="R31" s="267"/>
      <c r="S31" s="267"/>
      <c r="T31" s="267"/>
      <c r="U31" s="267"/>
      <c r="V31" s="123"/>
      <c r="W31" s="123"/>
      <c r="X31" s="123"/>
      <c r="Y31" s="123"/>
      <c r="Z31" s="310"/>
    </row>
    <row r="32" spans="2:27" ht="13" x14ac:dyDescent="0.3">
      <c r="B32" s="26"/>
      <c r="C32" s="26"/>
      <c r="D32" s="92"/>
      <c r="E32" s="26"/>
      <c r="F32" s="26"/>
      <c r="G32" s="26"/>
      <c r="H32" s="26"/>
      <c r="I32" s="26"/>
      <c r="J32" s="28"/>
      <c r="Q32" s="123"/>
      <c r="R32" s="123"/>
      <c r="S32" s="123"/>
      <c r="T32" s="123"/>
      <c r="U32" s="123"/>
      <c r="V32" s="123"/>
      <c r="W32" s="123"/>
      <c r="X32" s="123"/>
      <c r="Y32" s="123"/>
      <c r="Z32" s="310"/>
    </row>
    <row r="33" spans="2:26" ht="13" x14ac:dyDescent="0.3">
      <c r="B33" s="26"/>
      <c r="C33" s="26"/>
      <c r="D33" s="26"/>
      <c r="E33" s="26"/>
      <c r="F33" s="26"/>
      <c r="G33" s="26"/>
      <c r="H33" s="26"/>
      <c r="I33" s="26"/>
      <c r="J33" s="26"/>
      <c r="Q33" s="123"/>
      <c r="R33" s="123"/>
      <c r="S33" s="123"/>
      <c r="T33" s="123"/>
      <c r="U33" s="123"/>
      <c r="V33" s="393" t="s">
        <v>187</v>
      </c>
      <c r="W33" s="393"/>
      <c r="X33" s="393"/>
      <c r="Y33" s="393"/>
      <c r="Z33" s="393"/>
    </row>
    <row r="34" spans="2:26" ht="13" x14ac:dyDescent="0.3">
      <c r="B34" s="26"/>
      <c r="C34" s="26"/>
      <c r="D34" s="26"/>
      <c r="E34" s="26"/>
      <c r="F34" s="26"/>
      <c r="G34" s="26"/>
      <c r="H34" s="26"/>
      <c r="I34" s="26"/>
      <c r="J34" s="26"/>
      <c r="Q34" s="123"/>
      <c r="R34" s="123"/>
      <c r="S34" s="123"/>
      <c r="T34" s="123"/>
      <c r="U34" s="123"/>
      <c r="V34" s="123"/>
      <c r="W34" s="123"/>
      <c r="X34" s="123"/>
      <c r="Y34" s="123"/>
    </row>
    <row r="35" spans="2:26" ht="13" x14ac:dyDescent="0.3">
      <c r="B35" s="26"/>
      <c r="C35" s="26"/>
      <c r="D35" s="26"/>
      <c r="E35" s="26"/>
      <c r="F35" s="26"/>
      <c r="G35" s="26"/>
      <c r="H35" s="26"/>
      <c r="I35" s="28"/>
      <c r="J35" s="26"/>
      <c r="Q35" s="123"/>
      <c r="R35" s="123"/>
      <c r="S35" s="123"/>
      <c r="T35" s="123"/>
      <c r="U35" s="123"/>
      <c r="V35" s="384"/>
      <c r="W35" s="384"/>
      <c r="X35" s="384"/>
      <c r="Y35" s="384"/>
    </row>
    <row r="36" spans="2:26" ht="13" x14ac:dyDescent="0.3">
      <c r="Q36" s="268"/>
      <c r="R36" s="268"/>
      <c r="S36" s="268"/>
      <c r="T36" s="268"/>
      <c r="U36" s="268" t="s">
        <v>43</v>
      </c>
      <c r="V36" s="268"/>
      <c r="W36" s="268"/>
      <c r="X36" s="268"/>
      <c r="Y36" s="268"/>
    </row>
    <row r="37" spans="2:26" ht="13" x14ac:dyDescent="0.3">
      <c r="B37" s="27"/>
      <c r="C37" s="26"/>
      <c r="D37" s="26"/>
      <c r="E37" s="26"/>
      <c r="F37" s="26"/>
      <c r="G37" s="26"/>
      <c r="H37" s="26"/>
      <c r="I37" s="26"/>
      <c r="J37" s="26"/>
    </row>
    <row r="38" spans="2:26" ht="13" x14ac:dyDescent="0.3">
      <c r="B38" s="27"/>
      <c r="C38" s="26"/>
      <c r="D38" s="26"/>
      <c r="E38" s="26"/>
      <c r="F38" s="26"/>
      <c r="G38" s="26"/>
      <c r="H38" s="26"/>
      <c r="I38" s="26"/>
      <c r="J38" s="26"/>
    </row>
    <row r="39" spans="2:26" ht="13" x14ac:dyDescent="0.3">
      <c r="B39" s="27"/>
      <c r="C39" s="26"/>
      <c r="D39" s="161"/>
      <c r="E39" s="26"/>
      <c r="F39" s="26"/>
      <c r="G39" s="26"/>
      <c r="H39" s="26"/>
      <c r="I39" s="26"/>
      <c r="J39" s="26"/>
    </row>
    <row r="40" spans="2:26" ht="13" x14ac:dyDescent="0.3">
      <c r="B40" s="27"/>
      <c r="C40" s="26"/>
      <c r="D40" s="26"/>
      <c r="E40" s="26"/>
      <c r="F40" s="26"/>
      <c r="G40" s="26"/>
      <c r="H40" s="26"/>
      <c r="I40" s="26"/>
      <c r="J40" s="26"/>
    </row>
    <row r="41" spans="2:26" ht="13" x14ac:dyDescent="0.3">
      <c r="B41" s="27"/>
      <c r="C41" s="26"/>
      <c r="D41" s="26"/>
      <c r="E41" s="26"/>
      <c r="F41" s="26"/>
      <c r="G41" s="26"/>
      <c r="H41" s="26"/>
      <c r="I41" s="26"/>
      <c r="J41" s="28"/>
    </row>
    <row r="42" spans="2:26" ht="13" x14ac:dyDescent="0.3">
      <c r="B42" s="27"/>
      <c r="C42" s="26"/>
      <c r="D42" s="26"/>
      <c r="E42" s="26"/>
      <c r="F42" s="26"/>
      <c r="G42" s="26"/>
      <c r="H42" s="26"/>
      <c r="I42" s="26"/>
      <c r="J42" s="26"/>
    </row>
    <row r="43" spans="2:26" ht="13" x14ac:dyDescent="0.3">
      <c r="B43" s="26"/>
      <c r="C43" s="26"/>
      <c r="D43" s="26"/>
      <c r="E43" s="26"/>
      <c r="F43" s="26"/>
      <c r="G43" s="26"/>
      <c r="H43" s="26"/>
      <c r="I43" s="26"/>
      <c r="J43" s="26"/>
      <c r="K43" s="20">
        <f>J24+K24+L24+M24+N24</f>
        <v>249356000</v>
      </c>
    </row>
    <row r="44" spans="2:26" ht="13" x14ac:dyDescent="0.3">
      <c r="B44" s="26"/>
      <c r="C44" s="26"/>
      <c r="D44" s="26"/>
      <c r="E44" s="26"/>
      <c r="F44" s="26"/>
      <c r="G44" s="26"/>
      <c r="H44" s="26"/>
      <c r="I44" s="26"/>
      <c r="J44" s="26"/>
      <c r="K44" s="20">
        <f>K43+'NET PEGAWAI PTP'!J32</f>
        <v>291818000</v>
      </c>
    </row>
    <row r="45" spans="2:26" ht="13" x14ac:dyDescent="0.3">
      <c r="B45" s="26"/>
      <c r="C45" s="26"/>
      <c r="D45" s="26"/>
      <c r="E45" s="26"/>
      <c r="F45" s="26"/>
      <c r="G45" s="26"/>
      <c r="H45" s="26"/>
      <c r="I45" s="26"/>
      <c r="J45" s="26"/>
    </row>
    <row r="58" spans="5:9" x14ac:dyDescent="0.25">
      <c r="E58" t="s">
        <v>165</v>
      </c>
      <c r="F58" s="20">
        <f>91839000+36630000</f>
        <v>128469000</v>
      </c>
    </row>
    <row r="59" spans="5:9" x14ac:dyDescent="0.25">
      <c r="E59" t="s">
        <v>166</v>
      </c>
      <c r="F59" s="20">
        <f>J24+K24+L24+M24+N24+35058000</f>
        <v>284414000</v>
      </c>
      <c r="H59" s="155"/>
      <c r="I59" s="20"/>
    </row>
    <row r="61" spans="5:9" x14ac:dyDescent="0.25">
      <c r="E61" s="20"/>
    </row>
  </sheetData>
  <mergeCells count="44">
    <mergeCell ref="H6:H7"/>
    <mergeCell ref="V28:Z28"/>
    <mergeCell ref="V29:Z29"/>
    <mergeCell ref="V33:Z33"/>
    <mergeCell ref="W6:W7"/>
    <mergeCell ref="Q6:Q7"/>
    <mergeCell ref="V6:V7"/>
    <mergeCell ref="R6:U6"/>
    <mergeCell ref="T24:T25"/>
    <mergeCell ref="I6:I7"/>
    <mergeCell ref="V24:V25"/>
    <mergeCell ref="X24:X25"/>
    <mergeCell ref="V35:Y35"/>
    <mergeCell ref="J24:J25"/>
    <mergeCell ref="K24:K25"/>
    <mergeCell ref="O6:O7"/>
    <mergeCell ref="P6:P7"/>
    <mergeCell ref="J6:J7"/>
    <mergeCell ref="K6:K7"/>
    <mergeCell ref="N24:N25"/>
    <mergeCell ref="M6:M7"/>
    <mergeCell ref="L6:L7"/>
    <mergeCell ref="L24:L25"/>
    <mergeCell ref="M24:M25"/>
    <mergeCell ref="X6:X7"/>
    <mergeCell ref="R24:R25"/>
    <mergeCell ref="S24:S25"/>
    <mergeCell ref="U24:U25"/>
    <mergeCell ref="A3:Y3"/>
    <mergeCell ref="A4:Y4"/>
    <mergeCell ref="Y6:Y7"/>
    <mergeCell ref="Y24:Y25"/>
    <mergeCell ref="O24:O25"/>
    <mergeCell ref="P24:P25"/>
    <mergeCell ref="Q24:Q25"/>
    <mergeCell ref="W24:W25"/>
    <mergeCell ref="B6:B7"/>
    <mergeCell ref="C6:C7"/>
    <mergeCell ref="D6:D7"/>
    <mergeCell ref="E6:E7"/>
    <mergeCell ref="F6:F7"/>
    <mergeCell ref="G6:G7"/>
    <mergeCell ref="N6:N7"/>
    <mergeCell ref="I24:I25"/>
  </mergeCells>
  <printOptions horizontalCentered="1"/>
  <pageMargins left="7.874015748031496E-2" right="7.874015748031496E-2" top="0" bottom="0.74803149606299213" header="0.31496062992125984" footer="0.31496062992125984"/>
  <pageSetup paperSize="9" scale="4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B1:AC32"/>
  <sheetViews>
    <sheetView topLeftCell="F1" zoomScale="90" zoomScaleNormal="90" workbookViewId="0">
      <selection activeCell="J33" sqref="J33"/>
    </sheetView>
  </sheetViews>
  <sheetFormatPr defaultRowHeight="12.5" x14ac:dyDescent="0.25"/>
  <cols>
    <col min="1" max="1" width="2.26953125" customWidth="1"/>
    <col min="2" max="2" width="3.81640625" customWidth="1"/>
    <col min="3" max="3" width="29.1796875" customWidth="1"/>
    <col min="4" max="4" width="31" customWidth="1"/>
    <col min="5" max="5" width="12.81640625" customWidth="1"/>
    <col min="6" max="6" width="16.1796875" customWidth="1"/>
    <col min="7" max="7" width="22.54296875" customWidth="1"/>
    <col min="8" max="8" width="7.54296875" customWidth="1"/>
    <col min="9" max="9" width="12.7265625" customWidth="1"/>
    <col min="10" max="10" width="12.81640625" customWidth="1"/>
    <col min="11" max="11" width="12.1796875" customWidth="1"/>
    <col min="12" max="12" width="12.81640625" customWidth="1"/>
    <col min="13" max="13" width="12.54296875" customWidth="1"/>
    <col min="14" max="14" width="12.26953125" customWidth="1"/>
    <col min="15" max="15" width="11.453125" hidden="1" customWidth="1"/>
    <col min="16" max="16" width="4.54296875" hidden="1" customWidth="1"/>
    <col min="17" max="17" width="14" customWidth="1"/>
    <col min="18" max="19" width="15" customWidth="1"/>
    <col min="20" max="20" width="11.7265625" customWidth="1"/>
    <col min="21" max="21" width="12.54296875" customWidth="1"/>
    <col min="22" max="23" width="11.7265625" customWidth="1"/>
    <col min="24" max="24" width="12.81640625" customWidth="1"/>
    <col min="25" max="25" width="2.7265625" customWidth="1"/>
    <col min="26" max="29" width="13.26953125" bestFit="1" customWidth="1"/>
  </cols>
  <sheetData>
    <row r="1" spans="2:29" ht="45.75" customHeight="1" x14ac:dyDescent="0.35">
      <c r="B1" s="6"/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29" ht="12.75" customHeight="1" x14ac:dyDescent="0.25">
      <c r="B2" s="366" t="s">
        <v>156</v>
      </c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98"/>
    </row>
    <row r="3" spans="2:29" ht="12.75" customHeight="1" x14ac:dyDescent="0.25">
      <c r="B3" s="367" t="s">
        <v>222</v>
      </c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8"/>
      <c r="X3" s="418"/>
      <c r="Y3" s="99"/>
    </row>
    <row r="4" spans="2:29" ht="6" customHeight="1" x14ac:dyDescent="0.3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26.25" customHeight="1" x14ac:dyDescent="0.25">
      <c r="B5" s="379" t="s">
        <v>7</v>
      </c>
      <c r="C5" s="379" t="s">
        <v>69</v>
      </c>
      <c r="D5" s="379" t="s">
        <v>21</v>
      </c>
      <c r="E5" s="379" t="s">
        <v>186</v>
      </c>
      <c r="F5" s="379" t="s">
        <v>73</v>
      </c>
      <c r="G5" s="379" t="s">
        <v>0</v>
      </c>
      <c r="H5" s="379" t="s">
        <v>2</v>
      </c>
      <c r="I5" s="379" t="s">
        <v>70</v>
      </c>
      <c r="J5" s="379" t="s">
        <v>154</v>
      </c>
      <c r="K5" s="379" t="s">
        <v>155</v>
      </c>
      <c r="L5" s="385" t="s">
        <v>71</v>
      </c>
      <c r="M5" s="414" t="s">
        <v>158</v>
      </c>
      <c r="N5" s="379" t="s">
        <v>157</v>
      </c>
      <c r="O5" s="379" t="s">
        <v>102</v>
      </c>
      <c r="P5" s="379" t="s">
        <v>56</v>
      </c>
      <c r="Q5" s="394" t="s">
        <v>167</v>
      </c>
      <c r="R5" s="395"/>
      <c r="S5" s="395"/>
      <c r="T5" s="396"/>
      <c r="U5" s="379" t="s">
        <v>168</v>
      </c>
      <c r="V5" s="379" t="s">
        <v>49</v>
      </c>
      <c r="W5" s="379" t="s">
        <v>213</v>
      </c>
      <c r="X5" s="379" t="s">
        <v>86</v>
      </c>
      <c r="Y5" s="110"/>
    </row>
    <row r="6" spans="2:29" ht="96" customHeight="1" thickBot="1" x14ac:dyDescent="0.3">
      <c r="B6" s="380"/>
      <c r="C6" s="381"/>
      <c r="D6" s="381"/>
      <c r="E6" s="380"/>
      <c r="F6" s="380"/>
      <c r="G6" s="381"/>
      <c r="H6" s="381"/>
      <c r="I6" s="381"/>
      <c r="J6" s="380"/>
      <c r="K6" s="380"/>
      <c r="L6" s="386"/>
      <c r="M6" s="415"/>
      <c r="N6" s="380"/>
      <c r="O6" s="380"/>
      <c r="P6" s="380"/>
      <c r="Q6" s="247" t="s">
        <v>173</v>
      </c>
      <c r="R6" s="247" t="s">
        <v>210</v>
      </c>
      <c r="S6" s="247" t="s">
        <v>174</v>
      </c>
      <c r="T6" s="247" t="s">
        <v>175</v>
      </c>
      <c r="U6" s="380"/>
      <c r="V6" s="380"/>
      <c r="W6" s="380"/>
      <c r="X6" s="380"/>
      <c r="Y6" s="110"/>
      <c r="Z6" t="s">
        <v>200</v>
      </c>
    </row>
    <row r="7" spans="2:29" s="25" customFormat="1" ht="9.75" customHeight="1" x14ac:dyDescent="0.25">
      <c r="B7" s="119">
        <v>1</v>
      </c>
      <c r="C7" s="119">
        <v>2</v>
      </c>
      <c r="D7" s="119">
        <v>3</v>
      </c>
      <c r="E7" s="119"/>
      <c r="F7" s="119">
        <v>5</v>
      </c>
      <c r="G7" s="120">
        <v>6</v>
      </c>
      <c r="H7" s="120">
        <v>7</v>
      </c>
      <c r="I7" s="119">
        <v>8</v>
      </c>
      <c r="J7" s="119">
        <v>9</v>
      </c>
      <c r="K7" s="119">
        <v>10</v>
      </c>
      <c r="L7" s="121" t="s">
        <v>141</v>
      </c>
      <c r="M7" s="122">
        <v>15</v>
      </c>
      <c r="N7" s="120">
        <v>16</v>
      </c>
      <c r="O7" s="120">
        <v>17</v>
      </c>
      <c r="P7" s="120">
        <v>18</v>
      </c>
      <c r="Q7" s="120">
        <v>17</v>
      </c>
      <c r="R7" s="120">
        <v>18</v>
      </c>
      <c r="S7" s="120">
        <v>19</v>
      </c>
      <c r="T7" s="120">
        <v>20</v>
      </c>
      <c r="U7" s="120">
        <v>21</v>
      </c>
      <c r="V7" s="120">
        <v>22</v>
      </c>
      <c r="W7" s="120"/>
      <c r="X7" s="120" t="s">
        <v>176</v>
      </c>
      <c r="Y7" s="105"/>
    </row>
    <row r="8" spans="2:29" ht="20.149999999999999" customHeight="1" x14ac:dyDescent="0.25">
      <c r="B8" s="132">
        <v>1</v>
      </c>
      <c r="C8" s="83" t="s">
        <v>26</v>
      </c>
      <c r="D8" s="83" t="s">
        <v>50</v>
      </c>
      <c r="E8" s="270">
        <v>0</v>
      </c>
      <c r="F8" s="84" t="s">
        <v>223</v>
      </c>
      <c r="G8" s="134" t="s">
        <v>33</v>
      </c>
      <c r="H8" s="133" t="s">
        <v>35</v>
      </c>
      <c r="I8" s="100">
        <v>3330000</v>
      </c>
      <c r="J8" s="101">
        <v>4706000</v>
      </c>
      <c r="K8" s="101">
        <v>2755000</v>
      </c>
      <c r="L8" s="102">
        <f t="shared" ref="L8:L18" si="0">SUM(I8:K8)</f>
        <v>10791000</v>
      </c>
      <c r="M8" s="103">
        <v>33300</v>
      </c>
      <c r="N8" s="91">
        <v>99900</v>
      </c>
      <c r="O8" s="156">
        <v>0</v>
      </c>
      <c r="P8" s="91">
        <v>0</v>
      </c>
      <c r="Q8" s="91">
        <v>0</v>
      </c>
      <c r="R8" s="91">
        <v>0</v>
      </c>
      <c r="S8" s="91">
        <v>0</v>
      </c>
      <c r="T8" s="91">
        <v>0</v>
      </c>
      <c r="U8" s="91">
        <v>0</v>
      </c>
      <c r="V8" s="91">
        <f>0.05*(J8+K8)</f>
        <v>373050</v>
      </c>
      <c r="W8" s="91">
        <f>M8+N8+Q8+R8+S8+T8+U8+V8</f>
        <v>506250</v>
      </c>
      <c r="X8" s="158">
        <f>L8-(M8+N8+Q8+R8+S8+T8+U8+V8)</f>
        <v>10284750</v>
      </c>
      <c r="Y8" s="107"/>
      <c r="Z8" s="20">
        <f>SUM(M8:V8)</f>
        <v>506250</v>
      </c>
      <c r="AA8" s="20">
        <f t="shared" ref="AA8:AA18" si="1">L8-Z8</f>
        <v>10284750</v>
      </c>
      <c r="AB8" s="93"/>
      <c r="AC8" s="93"/>
    </row>
    <row r="9" spans="2:29" ht="20.149999999999999" customHeight="1" x14ac:dyDescent="0.25">
      <c r="B9" s="132">
        <v>2</v>
      </c>
      <c r="C9" s="83" t="s">
        <v>27</v>
      </c>
      <c r="D9" s="83" t="s">
        <v>51</v>
      </c>
      <c r="E9" s="269">
        <v>0</v>
      </c>
      <c r="F9" s="84" t="s">
        <v>223</v>
      </c>
      <c r="G9" s="134" t="s">
        <v>37</v>
      </c>
      <c r="H9" s="133" t="s">
        <v>35</v>
      </c>
      <c r="I9" s="100">
        <f t="shared" ref="I9" si="2">I8</f>
        <v>3330000</v>
      </c>
      <c r="J9" s="101">
        <v>4706000</v>
      </c>
      <c r="K9" s="101">
        <v>2755000</v>
      </c>
      <c r="L9" s="102">
        <f t="shared" si="0"/>
        <v>10791000</v>
      </c>
      <c r="M9" s="103">
        <v>33300</v>
      </c>
      <c r="N9" s="91">
        <v>99900</v>
      </c>
      <c r="O9" s="156">
        <v>0</v>
      </c>
      <c r="P9" s="91">
        <v>0</v>
      </c>
      <c r="Q9" s="91">
        <v>0</v>
      </c>
      <c r="R9" s="91">
        <v>0</v>
      </c>
      <c r="S9" s="91">
        <v>0</v>
      </c>
      <c r="T9" s="91">
        <v>0</v>
      </c>
      <c r="U9" s="91">
        <v>0</v>
      </c>
      <c r="V9" s="91">
        <f t="shared" ref="V9:V18" si="3">0.05*(J9+K9)</f>
        <v>373050</v>
      </c>
      <c r="W9" s="91">
        <f t="shared" ref="W9:W18" si="4">M9+N9+Q9+R9+S9+T9+U9+V9</f>
        <v>506250</v>
      </c>
      <c r="X9" s="158">
        <f t="shared" ref="X9:X18" si="5">L9-(M9+N9+Q9+R9+S9+T9+U9+V9)</f>
        <v>10284750</v>
      </c>
      <c r="Y9" s="107"/>
      <c r="Z9" s="20">
        <f t="shared" ref="Z9:Z18" si="6">SUM(M9:V9)</f>
        <v>506250</v>
      </c>
      <c r="AA9" s="20">
        <f t="shared" si="1"/>
        <v>10284750</v>
      </c>
      <c r="AB9" s="93"/>
      <c r="AC9" s="93"/>
    </row>
    <row r="10" spans="2:29" ht="20.149999999999999" customHeight="1" x14ac:dyDescent="0.35">
      <c r="B10" s="132">
        <v>3</v>
      </c>
      <c r="C10" s="82" t="s">
        <v>64</v>
      </c>
      <c r="D10" s="83" t="s">
        <v>52</v>
      </c>
      <c r="E10" s="269">
        <v>1.1111111111111112E-2</v>
      </c>
      <c r="F10" s="84" t="s">
        <v>75</v>
      </c>
      <c r="G10" s="85" t="s">
        <v>65</v>
      </c>
      <c r="H10" s="86" t="s">
        <v>34</v>
      </c>
      <c r="I10" s="87">
        <v>3330000</v>
      </c>
      <c r="J10" s="88">
        <f>[3]Sheet1!$O$19</f>
        <v>2533000</v>
      </c>
      <c r="K10" s="88">
        <f>[3]Sheet1!$Q$19</f>
        <v>527000</v>
      </c>
      <c r="L10" s="89">
        <f t="shared" si="0"/>
        <v>6390000</v>
      </c>
      <c r="M10" s="222">
        <f t="shared" ref="M10:M17" si="7">M9</f>
        <v>33300</v>
      </c>
      <c r="N10" s="90">
        <v>99900</v>
      </c>
      <c r="O10" s="156">
        <v>0</v>
      </c>
      <c r="P10" s="91">
        <v>0</v>
      </c>
      <c r="Q10" s="91">
        <v>0</v>
      </c>
      <c r="R10" s="91">
        <v>0</v>
      </c>
      <c r="S10" s="91">
        <v>0</v>
      </c>
      <c r="T10" s="91">
        <v>0</v>
      </c>
      <c r="U10" s="91">
        <v>0</v>
      </c>
      <c r="V10" s="91">
        <f t="shared" si="3"/>
        <v>153000</v>
      </c>
      <c r="W10" s="91">
        <f t="shared" si="4"/>
        <v>286200</v>
      </c>
      <c r="X10" s="158">
        <f t="shared" si="5"/>
        <v>6103800</v>
      </c>
      <c r="Y10" s="108"/>
      <c r="Z10" s="20">
        <f>SUM(M10:V10)</f>
        <v>286200</v>
      </c>
      <c r="AA10" s="20">
        <f t="shared" si="1"/>
        <v>6103800</v>
      </c>
      <c r="AB10" s="93"/>
      <c r="AC10" s="93"/>
    </row>
    <row r="11" spans="2:29" ht="20.149999999999999" customHeight="1" x14ac:dyDescent="0.35">
      <c r="B11" s="132">
        <v>4</v>
      </c>
      <c r="C11" s="82" t="s">
        <v>85</v>
      </c>
      <c r="D11" s="83" t="s">
        <v>51</v>
      </c>
      <c r="E11" s="269">
        <v>1.9444444444444445E-2</v>
      </c>
      <c r="F11" s="84" t="s">
        <v>75</v>
      </c>
      <c r="G11" s="85" t="s">
        <v>76</v>
      </c>
      <c r="H11" s="86" t="s">
        <v>34</v>
      </c>
      <c r="I11" s="87">
        <f t="shared" ref="I11:K12" si="8">I10</f>
        <v>3330000</v>
      </c>
      <c r="J11" s="88">
        <f t="shared" si="8"/>
        <v>2533000</v>
      </c>
      <c r="K11" s="88">
        <f t="shared" si="8"/>
        <v>527000</v>
      </c>
      <c r="L11" s="89">
        <f t="shared" si="0"/>
        <v>6390000</v>
      </c>
      <c r="M11" s="222">
        <f t="shared" si="7"/>
        <v>33300</v>
      </c>
      <c r="N11" s="90">
        <v>99900</v>
      </c>
      <c r="O11" s="156">
        <v>0</v>
      </c>
      <c r="P11" s="91">
        <v>0</v>
      </c>
      <c r="Q11" s="91">
        <v>0</v>
      </c>
      <c r="R11" s="91">
        <v>0</v>
      </c>
      <c r="S11" s="91">
        <v>0</v>
      </c>
      <c r="T11" s="91">
        <v>0</v>
      </c>
      <c r="U11" s="91">
        <v>0</v>
      </c>
      <c r="V11" s="91">
        <f t="shared" si="3"/>
        <v>153000</v>
      </c>
      <c r="W11" s="91">
        <f t="shared" si="4"/>
        <v>286200</v>
      </c>
      <c r="X11" s="158">
        <f t="shared" si="5"/>
        <v>6103800</v>
      </c>
      <c r="Y11" s="108"/>
      <c r="Z11" s="20">
        <f>SUM(M11:V11)</f>
        <v>286200</v>
      </c>
      <c r="AA11" s="20">
        <f t="shared" si="1"/>
        <v>6103800</v>
      </c>
      <c r="AB11" s="94"/>
    </row>
    <row r="12" spans="2:29" ht="20.149999999999999" customHeight="1" x14ac:dyDescent="0.35">
      <c r="B12" s="132">
        <v>5</v>
      </c>
      <c r="C12" s="135" t="s">
        <v>103</v>
      </c>
      <c r="D12" s="136" t="s">
        <v>50</v>
      </c>
      <c r="E12" s="269">
        <v>1.1111111111111112E-2</v>
      </c>
      <c r="F12" s="137" t="s">
        <v>75</v>
      </c>
      <c r="G12" s="138" t="s">
        <v>108</v>
      </c>
      <c r="H12" s="139" t="s">
        <v>35</v>
      </c>
      <c r="I12" s="140">
        <f t="shared" si="8"/>
        <v>3330000</v>
      </c>
      <c r="J12" s="141">
        <f t="shared" si="8"/>
        <v>2533000</v>
      </c>
      <c r="K12" s="141">
        <f t="shared" si="8"/>
        <v>527000</v>
      </c>
      <c r="L12" s="142">
        <f t="shared" si="0"/>
        <v>6390000</v>
      </c>
      <c r="M12" s="223">
        <f t="shared" si="7"/>
        <v>33300</v>
      </c>
      <c r="N12" s="143">
        <v>99900</v>
      </c>
      <c r="O12" s="156">
        <v>0</v>
      </c>
      <c r="P12" s="145">
        <v>0</v>
      </c>
      <c r="Q12" s="91">
        <v>0</v>
      </c>
      <c r="R12" s="145">
        <v>0</v>
      </c>
      <c r="S12" s="91">
        <v>0</v>
      </c>
      <c r="T12" s="145">
        <v>0</v>
      </c>
      <c r="U12" s="145">
        <v>0</v>
      </c>
      <c r="V12" s="91">
        <f>0.05*(J12+K12)</f>
        <v>153000</v>
      </c>
      <c r="W12" s="91">
        <f t="shared" si="4"/>
        <v>286200</v>
      </c>
      <c r="X12" s="158">
        <f t="shared" si="5"/>
        <v>6103800</v>
      </c>
      <c r="Y12" s="108"/>
      <c r="Z12" s="20">
        <f>SUM(M12:V12)</f>
        <v>286200</v>
      </c>
      <c r="AA12" s="20">
        <f t="shared" si="1"/>
        <v>6103800</v>
      </c>
      <c r="AB12" s="94"/>
    </row>
    <row r="13" spans="2:29" ht="20.149999999999999" customHeight="1" x14ac:dyDescent="0.35">
      <c r="B13" s="132">
        <v>6</v>
      </c>
      <c r="C13" s="82" t="s">
        <v>110</v>
      </c>
      <c r="D13" s="83" t="s">
        <v>52</v>
      </c>
      <c r="E13" s="312" t="s">
        <v>224</v>
      </c>
      <c r="F13" s="84" t="s">
        <v>75</v>
      </c>
      <c r="G13" s="85" t="s">
        <v>114</v>
      </c>
      <c r="H13" s="86" t="s">
        <v>35</v>
      </c>
      <c r="I13" s="87">
        <f>I11</f>
        <v>3330000</v>
      </c>
      <c r="J13" s="87">
        <f>J11</f>
        <v>2533000</v>
      </c>
      <c r="K13" s="87">
        <f>K11</f>
        <v>527000</v>
      </c>
      <c r="L13" s="89">
        <f t="shared" si="0"/>
        <v>6390000</v>
      </c>
      <c r="M13" s="222">
        <f t="shared" si="7"/>
        <v>33300</v>
      </c>
      <c r="N13" s="90">
        <v>99900</v>
      </c>
      <c r="O13" s="156">
        <v>0</v>
      </c>
      <c r="P13" s="91">
        <v>0</v>
      </c>
      <c r="Q13" s="325">
        <f>10%*K13</f>
        <v>52700</v>
      </c>
      <c r="R13" s="91">
        <v>0</v>
      </c>
      <c r="S13" s="91">
        <v>0</v>
      </c>
      <c r="T13" s="91">
        <v>0</v>
      </c>
      <c r="U13" s="91">
        <f>'[4]NET PEGAWAI PTP'!$Q$12</f>
        <v>91593</v>
      </c>
      <c r="V13" s="91">
        <f t="shared" si="3"/>
        <v>153000</v>
      </c>
      <c r="W13" s="91">
        <f>M13+N13+Q13+R13+S13+T13+U13+V13</f>
        <v>430493</v>
      </c>
      <c r="X13" s="158">
        <f t="shared" si="5"/>
        <v>5959507</v>
      </c>
      <c r="Y13" s="108"/>
      <c r="Z13" s="20">
        <f>SUM(M13:V13)</f>
        <v>430493</v>
      </c>
      <c r="AA13" s="20">
        <f t="shared" si="1"/>
        <v>5959507</v>
      </c>
      <c r="AB13" s="94"/>
    </row>
    <row r="14" spans="2:29" ht="20.149999999999999" customHeight="1" x14ac:dyDescent="0.35">
      <c r="B14" s="132">
        <v>7</v>
      </c>
      <c r="C14" s="82" t="s">
        <v>111</v>
      </c>
      <c r="D14" s="83" t="s">
        <v>91</v>
      </c>
      <c r="E14" s="311" t="s">
        <v>225</v>
      </c>
      <c r="F14" s="84" t="s">
        <v>75</v>
      </c>
      <c r="G14" s="85" t="s">
        <v>115</v>
      </c>
      <c r="H14" s="86" t="s">
        <v>1</v>
      </c>
      <c r="I14" s="87">
        <f>I11</f>
        <v>3330000</v>
      </c>
      <c r="J14" s="87">
        <f>J11</f>
        <v>2533000</v>
      </c>
      <c r="K14" s="87">
        <f>K11</f>
        <v>527000</v>
      </c>
      <c r="L14" s="89">
        <f t="shared" si="0"/>
        <v>6390000</v>
      </c>
      <c r="M14" s="222">
        <f t="shared" si="7"/>
        <v>33300</v>
      </c>
      <c r="N14" s="90">
        <v>99900</v>
      </c>
      <c r="O14" s="156">
        <v>0</v>
      </c>
      <c r="P14" s="91">
        <v>0</v>
      </c>
      <c r="Q14" s="325">
        <f>10%*K14</f>
        <v>52700</v>
      </c>
      <c r="R14" s="91">
        <f>20%*K14</f>
        <v>105400</v>
      </c>
      <c r="S14" s="91">
        <v>0</v>
      </c>
      <c r="T14" s="91">
        <v>0</v>
      </c>
      <c r="U14" s="91">
        <f>'[4]NET PEGAWAI PTP'!$Q$13</f>
        <v>362843</v>
      </c>
      <c r="V14" s="91">
        <f t="shared" si="3"/>
        <v>153000</v>
      </c>
      <c r="W14" s="91">
        <f t="shared" si="4"/>
        <v>807143</v>
      </c>
      <c r="X14" s="158">
        <f t="shared" si="5"/>
        <v>5582857</v>
      </c>
      <c r="Y14" s="108"/>
      <c r="Z14" s="20">
        <f>SUM(M14:V14)</f>
        <v>807143</v>
      </c>
      <c r="AA14" s="20">
        <f t="shared" si="1"/>
        <v>5582857</v>
      </c>
      <c r="AB14" s="94"/>
    </row>
    <row r="15" spans="2:29" ht="20.149999999999999" customHeight="1" x14ac:dyDescent="0.35">
      <c r="B15" s="132">
        <v>8</v>
      </c>
      <c r="C15" s="82" t="s">
        <v>112</v>
      </c>
      <c r="D15" s="83" t="s">
        <v>52</v>
      </c>
      <c r="E15" s="269">
        <v>0</v>
      </c>
      <c r="F15" s="84" t="s">
        <v>75</v>
      </c>
      <c r="G15" s="85" t="s">
        <v>113</v>
      </c>
      <c r="H15" s="86" t="s">
        <v>31</v>
      </c>
      <c r="I15" s="87">
        <f>I11</f>
        <v>3330000</v>
      </c>
      <c r="J15" s="87">
        <f>J11</f>
        <v>2533000</v>
      </c>
      <c r="K15" s="87">
        <f>K11</f>
        <v>527000</v>
      </c>
      <c r="L15" s="89">
        <f t="shared" si="0"/>
        <v>6390000</v>
      </c>
      <c r="M15" s="222">
        <f t="shared" si="7"/>
        <v>33300</v>
      </c>
      <c r="N15" s="90">
        <v>99900</v>
      </c>
      <c r="O15" s="156">
        <v>0</v>
      </c>
      <c r="P15" s="91">
        <v>0</v>
      </c>
      <c r="Q15" s="326">
        <v>0</v>
      </c>
      <c r="R15" s="91">
        <v>0</v>
      </c>
      <c r="S15" s="91">
        <v>0</v>
      </c>
      <c r="T15" s="91">
        <v>0</v>
      </c>
      <c r="U15" s="91">
        <v>0</v>
      </c>
      <c r="V15" s="91">
        <f t="shared" si="3"/>
        <v>153000</v>
      </c>
      <c r="W15" s="91">
        <f t="shared" si="4"/>
        <v>286200</v>
      </c>
      <c r="X15" s="158">
        <f t="shared" si="5"/>
        <v>6103800</v>
      </c>
      <c r="Y15" s="108"/>
      <c r="Z15" s="20">
        <f t="shared" si="6"/>
        <v>286200</v>
      </c>
      <c r="AA15" s="20">
        <f t="shared" si="1"/>
        <v>6103800</v>
      </c>
      <c r="AB15" s="94"/>
    </row>
    <row r="16" spans="2:29" ht="20.149999999999999" customHeight="1" x14ac:dyDescent="0.35">
      <c r="B16" s="132">
        <v>9</v>
      </c>
      <c r="C16" s="146" t="s">
        <v>120</v>
      </c>
      <c r="D16" s="147" t="s">
        <v>91</v>
      </c>
      <c r="E16" s="269">
        <v>0.24444444444444446</v>
      </c>
      <c r="F16" s="148" t="s">
        <v>75</v>
      </c>
      <c r="G16" s="149" t="s">
        <v>121</v>
      </c>
      <c r="H16" s="150" t="s">
        <v>1</v>
      </c>
      <c r="I16" s="87">
        <v>3330000</v>
      </c>
      <c r="J16" s="87">
        <f>J11</f>
        <v>2533000</v>
      </c>
      <c r="K16" s="87">
        <f>K11</f>
        <v>527000</v>
      </c>
      <c r="L16" s="151">
        <f t="shared" si="0"/>
        <v>6390000</v>
      </c>
      <c r="M16" s="224">
        <f t="shared" si="7"/>
        <v>33300</v>
      </c>
      <c r="N16" s="160">
        <f>N15</f>
        <v>99900</v>
      </c>
      <c r="O16" s="152">
        <v>0</v>
      </c>
      <c r="P16" s="153">
        <v>0</v>
      </c>
      <c r="Q16" s="325">
        <f>10%*K16</f>
        <v>52700</v>
      </c>
      <c r="R16" s="153">
        <v>0</v>
      </c>
      <c r="S16" s="91">
        <v>0</v>
      </c>
      <c r="T16" s="153">
        <v>0</v>
      </c>
      <c r="U16" s="153">
        <f>'[4]NET PEGAWAI PTP'!$Q$15</f>
        <v>52985</v>
      </c>
      <c r="V16" s="91">
        <f t="shared" si="3"/>
        <v>153000</v>
      </c>
      <c r="W16" s="91">
        <f t="shared" si="4"/>
        <v>391885</v>
      </c>
      <c r="X16" s="158">
        <f t="shared" si="5"/>
        <v>5998115</v>
      </c>
      <c r="Y16" s="108"/>
      <c r="Z16" s="20">
        <f t="shared" si="6"/>
        <v>391885</v>
      </c>
      <c r="AA16" s="20">
        <f t="shared" si="1"/>
        <v>5998115</v>
      </c>
      <c r="AB16" s="94"/>
    </row>
    <row r="17" spans="2:28" ht="20.149999999999999" customHeight="1" x14ac:dyDescent="0.35">
      <c r="B17" s="132">
        <v>10</v>
      </c>
      <c r="C17" s="82" t="s">
        <v>137</v>
      </c>
      <c r="D17" s="83" t="s">
        <v>50</v>
      </c>
      <c r="E17" s="269">
        <v>6.9444444444444447E-4</v>
      </c>
      <c r="F17" s="84" t="s">
        <v>75</v>
      </c>
      <c r="G17" s="85" t="s">
        <v>138</v>
      </c>
      <c r="H17" s="86" t="s">
        <v>35</v>
      </c>
      <c r="I17" s="87">
        <f>I11</f>
        <v>3330000</v>
      </c>
      <c r="J17" s="87">
        <f>J11</f>
        <v>2533000</v>
      </c>
      <c r="K17" s="87">
        <f>K11</f>
        <v>527000</v>
      </c>
      <c r="L17" s="89">
        <f t="shared" si="0"/>
        <v>6390000</v>
      </c>
      <c r="M17" s="222">
        <f t="shared" si="7"/>
        <v>33300</v>
      </c>
      <c r="N17" s="90">
        <f>N16</f>
        <v>99900</v>
      </c>
      <c r="O17" s="144">
        <v>0</v>
      </c>
      <c r="P17" s="91">
        <v>0</v>
      </c>
      <c r="Q17" s="326">
        <v>0</v>
      </c>
      <c r="R17" s="91">
        <v>0</v>
      </c>
      <c r="S17" s="91">
        <v>0</v>
      </c>
      <c r="T17" s="91">
        <v>0</v>
      </c>
      <c r="U17" s="91">
        <v>0</v>
      </c>
      <c r="V17" s="91">
        <f t="shared" si="3"/>
        <v>153000</v>
      </c>
      <c r="W17" s="91">
        <f t="shared" si="4"/>
        <v>286200</v>
      </c>
      <c r="X17" s="158">
        <f t="shared" si="5"/>
        <v>6103800</v>
      </c>
      <c r="Y17" s="108"/>
      <c r="Z17" s="20">
        <f t="shared" si="6"/>
        <v>286200</v>
      </c>
      <c r="AA17" s="20">
        <f t="shared" si="1"/>
        <v>6103800</v>
      </c>
      <c r="AB17" s="94"/>
    </row>
    <row r="18" spans="2:28" ht="20.149999999999999" customHeight="1" x14ac:dyDescent="0.35">
      <c r="B18" s="132">
        <v>11</v>
      </c>
      <c r="C18" s="82" t="s">
        <v>97</v>
      </c>
      <c r="D18" s="83" t="s">
        <v>51</v>
      </c>
      <c r="E18" s="269">
        <v>1.4583333333333332E-2</v>
      </c>
      <c r="F18" s="84" t="s">
        <v>75</v>
      </c>
      <c r="G18" s="85" t="s">
        <v>98</v>
      </c>
      <c r="H18" s="86" t="s">
        <v>35</v>
      </c>
      <c r="I18" s="87">
        <f>I17</f>
        <v>3330000</v>
      </c>
      <c r="J18" s="88">
        <f>J17</f>
        <v>2533000</v>
      </c>
      <c r="K18" s="88">
        <f>K17</f>
        <v>527000</v>
      </c>
      <c r="L18" s="89">
        <f t="shared" si="0"/>
        <v>6390000</v>
      </c>
      <c r="M18" s="222">
        <f>M16</f>
        <v>33300</v>
      </c>
      <c r="N18" s="90">
        <f>N17</f>
        <v>99900</v>
      </c>
      <c r="O18" s="282">
        <v>0</v>
      </c>
      <c r="P18" s="91">
        <v>0</v>
      </c>
      <c r="Q18" s="326">
        <v>0</v>
      </c>
      <c r="R18" s="91">
        <v>0</v>
      </c>
      <c r="S18" s="91">
        <v>0</v>
      </c>
      <c r="T18" s="91">
        <v>0</v>
      </c>
      <c r="U18" s="91">
        <v>0</v>
      </c>
      <c r="V18" s="91">
        <f t="shared" si="3"/>
        <v>153000</v>
      </c>
      <c r="W18" s="91">
        <f t="shared" si="4"/>
        <v>286200</v>
      </c>
      <c r="X18" s="158">
        <f t="shared" si="5"/>
        <v>6103800</v>
      </c>
      <c r="Y18" s="20">
        <f>SUM(L18:U18)</f>
        <v>6523200</v>
      </c>
      <c r="Z18" s="20">
        <f t="shared" si="6"/>
        <v>286200</v>
      </c>
      <c r="AA18" s="20">
        <f t="shared" si="1"/>
        <v>6103800</v>
      </c>
      <c r="AB18" s="20"/>
    </row>
    <row r="19" spans="2:28" ht="20.149999999999999" customHeight="1" x14ac:dyDescent="0.35">
      <c r="B19" s="154">
        <v>12</v>
      </c>
      <c r="C19" s="322" t="s">
        <v>226</v>
      </c>
      <c r="D19" s="172" t="s">
        <v>227</v>
      </c>
      <c r="E19" s="271">
        <v>2.5694444444444447E-2</v>
      </c>
      <c r="F19" s="173" t="s">
        <v>75</v>
      </c>
      <c r="G19" s="323" t="s">
        <v>228</v>
      </c>
      <c r="H19" s="324" t="s">
        <v>35</v>
      </c>
      <c r="I19" s="317">
        <v>3330000</v>
      </c>
      <c r="J19" s="318">
        <f>20%*J18</f>
        <v>506600</v>
      </c>
      <c r="K19" s="318">
        <v>527000</v>
      </c>
      <c r="L19" s="319">
        <f>I19+J19+K19</f>
        <v>4363600</v>
      </c>
      <c r="M19" s="320">
        <v>33300</v>
      </c>
      <c r="N19" s="321">
        <v>99900</v>
      </c>
      <c r="O19" s="159"/>
      <c r="P19" s="177"/>
      <c r="Q19" s="327">
        <f>10%*K19</f>
        <v>52700</v>
      </c>
      <c r="R19" s="177">
        <v>0</v>
      </c>
      <c r="S19" s="177">
        <v>0</v>
      </c>
      <c r="T19" s="177">
        <v>0</v>
      </c>
      <c r="U19" s="177">
        <v>0</v>
      </c>
      <c r="V19" s="177">
        <f>0.05*(J19+K19)</f>
        <v>51680</v>
      </c>
      <c r="W19" s="177">
        <f>M19+N19+Q19+R19+S19+T19+U19+V19</f>
        <v>237580</v>
      </c>
      <c r="X19" s="171">
        <f>L19-(M19+N19+Q19+R19+S19+T19+U19+V19)</f>
        <v>4126020</v>
      </c>
      <c r="Y19" s="20"/>
      <c r="Z19" s="20"/>
      <c r="AA19" s="20"/>
      <c r="AB19" s="20"/>
    </row>
    <row r="20" spans="2:28" ht="10.5" customHeight="1" x14ac:dyDescent="0.35">
      <c r="B20" s="77"/>
      <c r="C20" s="77"/>
      <c r="D20" s="77"/>
      <c r="E20" s="77"/>
      <c r="F20" s="77"/>
      <c r="G20" s="76"/>
      <c r="H20" s="21"/>
      <c r="I20" s="412">
        <f t="shared" ref="I20:P20" si="9">SUM(I8:I18)</f>
        <v>36630000</v>
      </c>
      <c r="J20" s="412">
        <f t="shared" si="9"/>
        <v>32209000</v>
      </c>
      <c r="K20" s="412">
        <f t="shared" si="9"/>
        <v>10253000</v>
      </c>
      <c r="L20" s="416">
        <f>SUM(L8:L19)</f>
        <v>83455600</v>
      </c>
      <c r="M20" s="407">
        <f>SUM(M8:M19)</f>
        <v>399600</v>
      </c>
      <c r="N20" s="403">
        <f>SUM(N8:N19)</f>
        <v>1198800</v>
      </c>
      <c r="O20" s="403">
        <f t="shared" si="9"/>
        <v>0</v>
      </c>
      <c r="P20" s="403">
        <f t="shared" si="9"/>
        <v>0</v>
      </c>
      <c r="Q20" s="405">
        <f>SUM(Q8:Q19)</f>
        <v>210800</v>
      </c>
      <c r="R20" s="405">
        <f>SUM(R8:R18)</f>
        <v>105400</v>
      </c>
      <c r="S20" s="405">
        <f>SUM(S8:S18)</f>
        <v>0</v>
      </c>
      <c r="T20" s="405">
        <v>0</v>
      </c>
      <c r="U20" s="405">
        <f>SUM(U8:U19)</f>
        <v>507421</v>
      </c>
      <c r="V20" s="409">
        <f>SUM(V8:V19)</f>
        <v>2174780</v>
      </c>
      <c r="W20" s="410">
        <f>W8+W9+W10+W11+W12+W13+W14+W15+W16+W17+W18+W19</f>
        <v>4596801</v>
      </c>
      <c r="X20" s="401">
        <f>SUM(X8:X19)</f>
        <v>78858799</v>
      </c>
      <c r="Y20" s="109"/>
      <c r="Z20" s="96"/>
      <c r="AA20" s="20"/>
    </row>
    <row r="21" spans="2:28" ht="10.5" customHeight="1" thickBot="1" x14ac:dyDescent="0.4">
      <c r="B21" s="78"/>
      <c r="C21" s="78"/>
      <c r="D21" s="78"/>
      <c r="E21" s="78"/>
      <c r="F21" s="78"/>
      <c r="G21" s="79"/>
      <c r="H21" s="80"/>
      <c r="I21" s="413"/>
      <c r="J21" s="413"/>
      <c r="K21" s="413"/>
      <c r="L21" s="417"/>
      <c r="M21" s="408"/>
      <c r="N21" s="404"/>
      <c r="O21" s="404"/>
      <c r="P21" s="404"/>
      <c r="Q21" s="406"/>
      <c r="R21" s="406"/>
      <c r="S21" s="406"/>
      <c r="T21" s="406"/>
      <c r="U21" s="406"/>
      <c r="V21" s="404"/>
      <c r="W21" s="411"/>
      <c r="X21" s="402"/>
      <c r="Y21" s="109"/>
      <c r="Z21" s="20">
        <f>SUM(Z8:Z18)</f>
        <v>4359221</v>
      </c>
      <c r="AA21" s="96"/>
      <c r="AB21" s="20"/>
    </row>
    <row r="22" spans="2:28" ht="6.75" customHeight="1" thickTop="1" x14ac:dyDescent="0.35"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>
        <v>43</v>
      </c>
    </row>
    <row r="23" spans="2:28" ht="12.75" customHeight="1" x14ac:dyDescent="0.35">
      <c r="B23" s="31" t="s">
        <v>61</v>
      </c>
      <c r="C23" s="26"/>
      <c r="D23" s="26"/>
      <c r="E23" s="26"/>
      <c r="F23" s="26"/>
      <c r="G23" s="26"/>
      <c r="H23" s="26"/>
      <c r="I23" s="26"/>
      <c r="J23" s="26"/>
      <c r="K23" s="2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2:28" ht="12.75" customHeight="1" x14ac:dyDescent="0.35">
      <c r="B24" s="31"/>
      <c r="C24" s="26"/>
      <c r="D24" s="26"/>
      <c r="E24" s="26"/>
      <c r="F24" s="26"/>
      <c r="G24" s="26"/>
      <c r="H24" s="26"/>
      <c r="I24" s="26"/>
      <c r="J24" s="26"/>
      <c r="K24" s="26"/>
      <c r="L24" s="6"/>
      <c r="M24" s="6"/>
      <c r="N24" s="6"/>
      <c r="O24" s="6"/>
      <c r="P24" s="6"/>
      <c r="Q24" s="6"/>
      <c r="R24" s="6"/>
      <c r="S24" s="6"/>
      <c r="T24" s="6"/>
      <c r="U24" s="400" t="s">
        <v>238</v>
      </c>
      <c r="V24" s="400"/>
      <c r="W24" s="400"/>
      <c r="X24" s="400"/>
      <c r="Y24" s="6"/>
    </row>
    <row r="25" spans="2:28" ht="13.5" customHeight="1" x14ac:dyDescent="0.35">
      <c r="B25" s="27" t="s">
        <v>32</v>
      </c>
      <c r="C25" s="26" t="s">
        <v>235</v>
      </c>
      <c r="D25" s="26"/>
      <c r="E25" s="26"/>
      <c r="F25" s="26"/>
      <c r="G25" s="26"/>
      <c r="H25" s="26"/>
      <c r="I25" s="26"/>
      <c r="J25" s="26"/>
      <c r="K25" s="26"/>
      <c r="N25" s="19"/>
      <c r="O25" s="19"/>
      <c r="P25" s="19"/>
      <c r="Q25" s="19"/>
      <c r="R25" s="19"/>
      <c r="S25" s="19"/>
      <c r="T25" s="19"/>
      <c r="U25" s="400" t="s">
        <v>36</v>
      </c>
      <c r="V25" s="400"/>
      <c r="W25" s="400"/>
      <c r="X25" s="400"/>
    </row>
    <row r="26" spans="2:28" ht="6" customHeight="1" x14ac:dyDescent="0.35">
      <c r="C26" s="6"/>
      <c r="D26" s="6"/>
      <c r="E26" s="6"/>
      <c r="F26" s="6"/>
      <c r="G26" s="6" t="s">
        <v>151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8" ht="13.5" customHeight="1" x14ac:dyDescent="0.35">
      <c r="B27" s="27" t="s">
        <v>38</v>
      </c>
      <c r="C27" s="6" t="s">
        <v>234</v>
      </c>
      <c r="D27" s="6"/>
      <c r="E27" s="6"/>
      <c r="F27" s="6"/>
      <c r="G27" s="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2:28" ht="15" customHeight="1" x14ac:dyDescent="0.35">
      <c r="C28" s="6"/>
      <c r="D28" s="6"/>
      <c r="E28" s="6"/>
      <c r="F28" s="6"/>
      <c r="G28" s="6"/>
      <c r="N28" s="8"/>
      <c r="O28" s="8"/>
      <c r="P28" s="8"/>
      <c r="Q28" s="8"/>
      <c r="R28" s="8"/>
      <c r="S28" s="97"/>
      <c r="T28" s="97"/>
      <c r="U28" s="399"/>
      <c r="V28" s="399"/>
      <c r="W28" s="399"/>
      <c r="X28" s="399"/>
    </row>
    <row r="29" spans="2:28" ht="14.5" x14ac:dyDescent="0.35">
      <c r="C29" s="6"/>
      <c r="D29" s="6"/>
      <c r="E29" s="6"/>
      <c r="F29" s="6"/>
      <c r="G29" s="6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2:28" ht="13" x14ac:dyDescent="0.3">
      <c r="J30" s="20"/>
      <c r="V30" s="384" t="s">
        <v>187</v>
      </c>
      <c r="W30" s="384"/>
    </row>
    <row r="32" spans="2:28" x14ac:dyDescent="0.25">
      <c r="J32" s="20">
        <f>J20+K20</f>
        <v>42462000</v>
      </c>
    </row>
  </sheetData>
  <mergeCells count="42">
    <mergeCell ref="E5:E6"/>
    <mergeCell ref="I20:I21"/>
    <mergeCell ref="J20:J21"/>
    <mergeCell ref="B2:X2"/>
    <mergeCell ref="B3:X3"/>
    <mergeCell ref="B5:B6"/>
    <mergeCell ref="C5:C6"/>
    <mergeCell ref="K5:K6"/>
    <mergeCell ref="D5:D6"/>
    <mergeCell ref="G5:G6"/>
    <mergeCell ref="X5:X6"/>
    <mergeCell ref="V5:V6"/>
    <mergeCell ref="W5:W6"/>
    <mergeCell ref="I5:I6"/>
    <mergeCell ref="H5:H6"/>
    <mergeCell ref="F5:F6"/>
    <mergeCell ref="J5:J6"/>
    <mergeCell ref="K20:K21"/>
    <mergeCell ref="L5:L6"/>
    <mergeCell ref="M5:M6"/>
    <mergeCell ref="L20:L21"/>
    <mergeCell ref="N5:N6"/>
    <mergeCell ref="M20:M21"/>
    <mergeCell ref="N20:N21"/>
    <mergeCell ref="V20:V21"/>
    <mergeCell ref="W20:W21"/>
    <mergeCell ref="V30:W30"/>
    <mergeCell ref="U28:X28"/>
    <mergeCell ref="P5:P6"/>
    <mergeCell ref="U5:U6"/>
    <mergeCell ref="O5:O6"/>
    <mergeCell ref="Q5:T5"/>
    <mergeCell ref="U25:X25"/>
    <mergeCell ref="U24:X24"/>
    <mergeCell ref="X20:X21"/>
    <mergeCell ref="O20:O21"/>
    <mergeCell ref="P20:P21"/>
    <mergeCell ref="Q20:Q21"/>
    <mergeCell ref="R20:R21"/>
    <mergeCell ref="S20:S21"/>
    <mergeCell ref="T20:T21"/>
    <mergeCell ref="U20:U21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49" orientation="landscape" r:id="rId1"/>
  <ignoredErrors>
    <ignoredError sqref="L12" formula="1"/>
    <ignoredError sqref="M21" formula="1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28"/>
  <sheetViews>
    <sheetView zoomScale="90" zoomScaleNormal="90" workbookViewId="0">
      <pane xSplit="4" topLeftCell="E1" activePane="topRight" state="frozen"/>
      <selection pane="topRight" activeCell="I24" sqref="I24"/>
    </sheetView>
  </sheetViews>
  <sheetFormatPr defaultRowHeight="12.5" x14ac:dyDescent="0.25"/>
  <cols>
    <col min="1" max="1" width="2.7265625" customWidth="1"/>
    <col min="2" max="2" width="3.81640625" customWidth="1"/>
    <col min="3" max="3" width="20.54296875" customWidth="1"/>
    <col min="4" max="4" width="29" customWidth="1"/>
    <col min="5" max="5" width="22.54296875" customWidth="1"/>
    <col min="6" max="6" width="8.1796875" customWidth="1"/>
    <col min="7" max="7" width="12.7265625" customWidth="1"/>
    <col min="8" max="8" width="12.81640625" customWidth="1"/>
    <col min="9" max="9" width="12.1796875" customWidth="1"/>
    <col min="10" max="10" width="12" hidden="1" customWidth="1"/>
    <col min="11" max="11" width="12" customWidth="1"/>
    <col min="12" max="12" width="11.81640625" hidden="1" customWidth="1"/>
    <col min="13" max="13" width="12.453125" customWidth="1"/>
    <col min="14" max="14" width="12.81640625" customWidth="1"/>
    <col min="15" max="15" width="12.54296875" customWidth="1"/>
    <col min="16" max="16" width="12.26953125" customWidth="1"/>
    <col min="17" max="17" width="11.26953125" customWidth="1"/>
    <col min="18" max="18" width="10.54296875" customWidth="1"/>
    <col min="19" max="19" width="11.453125" hidden="1" customWidth="1"/>
    <col min="20" max="20" width="11.7265625" customWidth="1"/>
    <col min="21" max="21" width="12.54296875" hidden="1" customWidth="1"/>
    <col min="22" max="22" width="14.1796875" customWidth="1"/>
    <col min="23" max="23" width="2.7265625" customWidth="1"/>
    <col min="24" max="27" width="13.26953125" bestFit="1" customWidth="1"/>
  </cols>
  <sheetData>
    <row r="1" spans="2:27" ht="38.2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7" ht="12.75" customHeight="1" x14ac:dyDescent="0.25">
      <c r="B2" s="421" t="s">
        <v>15</v>
      </c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  <c r="S2" s="421"/>
      <c r="T2" s="421"/>
      <c r="U2" s="421"/>
      <c r="V2" s="421"/>
      <c r="W2" s="167"/>
    </row>
    <row r="3" spans="2:27" ht="12.75" customHeight="1" x14ac:dyDescent="0.25">
      <c r="B3" s="366" t="s">
        <v>159</v>
      </c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168"/>
    </row>
    <row r="4" spans="2:27" ht="12.75" customHeight="1" x14ac:dyDescent="0.25">
      <c r="B4" s="367" t="s">
        <v>222</v>
      </c>
      <c r="C4" s="418"/>
      <c r="D4" s="418"/>
      <c r="E4" s="418"/>
      <c r="F4" s="418"/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8"/>
      <c r="R4" s="418"/>
      <c r="S4" s="418"/>
      <c r="T4" s="418"/>
      <c r="U4" s="418"/>
      <c r="V4" s="418"/>
      <c r="W4" s="169"/>
    </row>
    <row r="5" spans="2:27" ht="6" customHeight="1" x14ac:dyDescent="0.3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  <c r="W5" s="2"/>
    </row>
    <row r="6" spans="2:27" ht="36" customHeight="1" x14ac:dyDescent="0.25">
      <c r="B6" s="379" t="s">
        <v>7</v>
      </c>
      <c r="C6" s="379" t="s">
        <v>69</v>
      </c>
      <c r="D6" s="379" t="s">
        <v>21</v>
      </c>
      <c r="E6" s="379" t="s">
        <v>0</v>
      </c>
      <c r="F6" s="379" t="s">
        <v>2</v>
      </c>
      <c r="G6" s="379" t="s">
        <v>70</v>
      </c>
      <c r="H6" s="379" t="s">
        <v>17</v>
      </c>
      <c r="I6" s="379" t="s">
        <v>18</v>
      </c>
      <c r="J6" s="379" t="s">
        <v>30</v>
      </c>
      <c r="K6" s="379" t="s">
        <v>29</v>
      </c>
      <c r="L6" s="379" t="s">
        <v>6</v>
      </c>
      <c r="M6" s="379" t="s">
        <v>47</v>
      </c>
      <c r="N6" s="385" t="s">
        <v>71</v>
      </c>
      <c r="O6" s="414" t="s">
        <v>87</v>
      </c>
      <c r="P6" s="379" t="s">
        <v>63</v>
      </c>
      <c r="Q6" s="379" t="s">
        <v>214</v>
      </c>
      <c r="R6" s="379" t="s">
        <v>102</v>
      </c>
      <c r="S6" s="379" t="s">
        <v>56</v>
      </c>
      <c r="T6" s="379" t="s">
        <v>49</v>
      </c>
      <c r="U6" s="379" t="s">
        <v>46</v>
      </c>
      <c r="V6" s="379" t="s">
        <v>86</v>
      </c>
      <c r="W6" s="110"/>
    </row>
    <row r="7" spans="2:27" ht="36" customHeight="1" thickBot="1" x14ac:dyDescent="0.3">
      <c r="B7" s="380"/>
      <c r="C7" s="381"/>
      <c r="D7" s="381"/>
      <c r="E7" s="381"/>
      <c r="F7" s="381"/>
      <c r="G7" s="381"/>
      <c r="H7" s="380"/>
      <c r="I7" s="380"/>
      <c r="J7" s="380"/>
      <c r="K7" s="380"/>
      <c r="L7" s="380"/>
      <c r="M7" s="380"/>
      <c r="N7" s="386"/>
      <c r="O7" s="415"/>
      <c r="P7" s="380"/>
      <c r="Q7" s="380"/>
      <c r="R7" s="380"/>
      <c r="S7" s="380"/>
      <c r="T7" s="380"/>
      <c r="U7" s="380"/>
      <c r="V7" s="380"/>
      <c r="W7" s="110"/>
      <c r="X7" t="s">
        <v>181</v>
      </c>
      <c r="Y7" t="s">
        <v>182</v>
      </c>
    </row>
    <row r="8" spans="2:27" s="25" customFormat="1" ht="9.75" customHeight="1" x14ac:dyDescent="0.25">
      <c r="B8" s="119">
        <v>1</v>
      </c>
      <c r="C8" s="119">
        <v>2</v>
      </c>
      <c r="D8" s="119">
        <v>3</v>
      </c>
      <c r="E8" s="120">
        <v>6</v>
      </c>
      <c r="F8" s="120">
        <v>7</v>
      </c>
      <c r="G8" s="119">
        <v>8</v>
      </c>
      <c r="H8" s="119">
        <v>9</v>
      </c>
      <c r="I8" s="119">
        <v>10</v>
      </c>
      <c r="J8" s="119">
        <v>11</v>
      </c>
      <c r="K8" s="119">
        <v>12</v>
      </c>
      <c r="L8" s="119">
        <v>13</v>
      </c>
      <c r="M8" s="119">
        <v>14</v>
      </c>
      <c r="N8" s="351" t="s">
        <v>141</v>
      </c>
      <c r="O8" s="122">
        <v>15</v>
      </c>
      <c r="P8" s="120">
        <v>16</v>
      </c>
      <c r="Q8" s="120"/>
      <c r="R8" s="120">
        <v>17</v>
      </c>
      <c r="S8" s="120">
        <v>18</v>
      </c>
      <c r="T8" s="120">
        <v>19</v>
      </c>
      <c r="U8" s="120">
        <v>18</v>
      </c>
      <c r="V8" s="120" t="s">
        <v>140</v>
      </c>
      <c r="W8" s="105"/>
    </row>
    <row r="9" spans="2:27" ht="20.149999999999999" hidden="1" customHeight="1" x14ac:dyDescent="0.25">
      <c r="B9" s="225" t="s">
        <v>32</v>
      </c>
      <c r="C9" s="226"/>
      <c r="D9" s="226" t="s">
        <v>14</v>
      </c>
      <c r="E9" s="227"/>
      <c r="F9" s="228"/>
      <c r="G9" s="229">
        <f>60000000</f>
        <v>60000000</v>
      </c>
      <c r="H9" s="230">
        <f>15000000</f>
        <v>15000000</v>
      </c>
      <c r="I9" s="230">
        <v>0</v>
      </c>
      <c r="J9" s="230">
        <v>0</v>
      </c>
      <c r="K9" s="230">
        <v>0</v>
      </c>
      <c r="L9" s="230">
        <v>0</v>
      </c>
      <c r="M9" s="230">
        <v>0</v>
      </c>
      <c r="N9" s="231">
        <f>SUM(G9:M9)</f>
        <v>75000000</v>
      </c>
      <c r="O9" s="232">
        <v>710506</v>
      </c>
      <c r="P9" s="233">
        <v>495057</v>
      </c>
      <c r="Q9" s="232"/>
      <c r="R9" s="234">
        <v>0</v>
      </c>
      <c r="S9" s="233">
        <v>0</v>
      </c>
      <c r="T9" s="233">
        <v>0</v>
      </c>
      <c r="U9" s="235">
        <v>16243042</v>
      </c>
      <c r="V9" s="236">
        <f>N9-(O9+P9+R9+S9+T9)</f>
        <v>73794437</v>
      </c>
      <c r="W9" s="107"/>
      <c r="X9" s="20">
        <f>SUM(O9:T9)</f>
        <v>1205563</v>
      </c>
      <c r="Y9" s="20">
        <f>N9-O9-P9-S9-T9</f>
        <v>73794437</v>
      </c>
      <c r="Z9" s="94">
        <f>O9+P9</f>
        <v>1205563</v>
      </c>
      <c r="AA9" s="93"/>
    </row>
    <row r="10" spans="2:27" ht="20.149999999999999" customHeight="1" x14ac:dyDescent="0.25">
      <c r="B10" s="180" t="s">
        <v>32</v>
      </c>
      <c r="C10" s="83" t="s">
        <v>177</v>
      </c>
      <c r="D10" s="83" t="s">
        <v>14</v>
      </c>
      <c r="E10" s="84" t="s">
        <v>178</v>
      </c>
      <c r="F10" s="133" t="s">
        <v>31</v>
      </c>
      <c r="G10" s="100">
        <v>60000000</v>
      </c>
      <c r="H10" s="101">
        <v>15000000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2">
        <f>G10+H10+I10+J10+K10+L10+M10</f>
        <v>75000000</v>
      </c>
      <c r="O10" s="103">
        <v>756006</v>
      </c>
      <c r="P10" s="91">
        <v>524686</v>
      </c>
      <c r="Q10" s="91">
        <v>50000</v>
      </c>
      <c r="R10" s="282">
        <v>0</v>
      </c>
      <c r="S10" s="91"/>
      <c r="T10" s="91">
        <v>0</v>
      </c>
      <c r="U10" s="104"/>
      <c r="V10" s="158">
        <f>N10-(SUM(O10:T10))</f>
        <v>73669308</v>
      </c>
      <c r="W10" s="107"/>
      <c r="X10" s="20">
        <f>O10+P10+Q10</f>
        <v>1330692</v>
      </c>
      <c r="Y10" s="20">
        <f>N10-(O10+P10+Q10+R10+T10)</f>
        <v>73669308</v>
      </c>
      <c r="Z10" s="94"/>
      <c r="AA10" s="93"/>
    </row>
    <row r="11" spans="2:27" ht="20.149999999999999" customHeight="1" x14ac:dyDescent="0.25">
      <c r="B11" s="180" t="s">
        <v>38</v>
      </c>
      <c r="C11" s="83" t="s">
        <v>206</v>
      </c>
      <c r="D11" s="83" t="s">
        <v>207</v>
      </c>
      <c r="E11" s="84" t="s">
        <v>208</v>
      </c>
      <c r="F11" s="133" t="s">
        <v>31</v>
      </c>
      <c r="G11" s="100">
        <v>51000000</v>
      </c>
      <c r="H11" s="101">
        <v>15000000</v>
      </c>
      <c r="I11" s="101"/>
      <c r="J11" s="101"/>
      <c r="K11" s="101"/>
      <c r="L11" s="101"/>
      <c r="M11" s="101"/>
      <c r="N11" s="102">
        <f>G11+H11</f>
        <v>66000000</v>
      </c>
      <c r="O11" s="103">
        <v>0</v>
      </c>
      <c r="P11" s="91">
        <v>0</v>
      </c>
      <c r="Q11" s="91"/>
      <c r="R11" s="282">
        <v>0</v>
      </c>
      <c r="S11" s="91"/>
      <c r="T11" s="91">
        <v>0</v>
      </c>
      <c r="U11" s="104"/>
      <c r="V11" s="158">
        <f>N11</f>
        <v>66000000</v>
      </c>
      <c r="W11" s="107"/>
      <c r="X11" s="20">
        <f>O11+P11+Q11+R11+T11</f>
        <v>0</v>
      </c>
      <c r="Y11" s="20">
        <f>N11-(O11+P11+Q11+R11+T11)</f>
        <v>66000000</v>
      </c>
      <c r="Z11" s="94"/>
      <c r="AA11" s="93"/>
    </row>
    <row r="12" spans="2:27" ht="20.149999999999999" customHeight="1" x14ac:dyDescent="0.25">
      <c r="B12" s="181" t="s">
        <v>209</v>
      </c>
      <c r="C12" s="172" t="s">
        <v>99</v>
      </c>
      <c r="D12" s="172" t="s">
        <v>22</v>
      </c>
      <c r="E12" s="173" t="s">
        <v>100</v>
      </c>
      <c r="F12" s="174" t="s">
        <v>34</v>
      </c>
      <c r="G12" s="175">
        <f>85%*G9</f>
        <v>51000000</v>
      </c>
      <c r="H12" s="176">
        <f>15000000</f>
        <v>15000000</v>
      </c>
      <c r="I12" s="176">
        <v>0</v>
      </c>
      <c r="J12" s="176">
        <v>0</v>
      </c>
      <c r="K12" s="176">
        <v>0</v>
      </c>
      <c r="L12" s="176">
        <v>0</v>
      </c>
      <c r="M12" s="176">
        <v>0</v>
      </c>
      <c r="N12" s="352">
        <f>SUM(G12:M12)</f>
        <v>66000000</v>
      </c>
      <c r="O12" s="350">
        <v>0</v>
      </c>
      <c r="P12" s="177">
        <v>0</v>
      </c>
      <c r="Q12" s="177"/>
      <c r="R12" s="178">
        <v>6257795</v>
      </c>
      <c r="S12" s="177">
        <v>0</v>
      </c>
      <c r="T12" s="177">
        <v>0</v>
      </c>
      <c r="U12" s="179">
        <v>14316667</v>
      </c>
      <c r="V12" s="171">
        <f>N12-(O12+P12+Q12+R12+S12+T12)</f>
        <v>59742205</v>
      </c>
      <c r="W12" s="107"/>
      <c r="X12" s="20">
        <f>SUM(O12:T12)</f>
        <v>6257795</v>
      </c>
      <c r="Y12" s="20">
        <f>N12-(O12+P12+Q12+R12+T12)</f>
        <v>59742205</v>
      </c>
      <c r="Z12" s="93"/>
      <c r="AA12" s="94" t="e">
        <f>#REF!-R12</f>
        <v>#REF!</v>
      </c>
    </row>
    <row r="13" spans="2:27" ht="10.5" customHeight="1" x14ac:dyDescent="0.35">
      <c r="B13" s="77"/>
      <c r="C13" s="77"/>
      <c r="D13" s="77"/>
      <c r="E13" s="76"/>
      <c r="F13" s="21"/>
      <c r="G13" s="412">
        <f>SUM(G10:G12)</f>
        <v>162000000</v>
      </c>
      <c r="H13" s="412">
        <f>SUM(H10:H12)</f>
        <v>45000000</v>
      </c>
      <c r="I13" s="412">
        <f>SUM(I9:I12)</f>
        <v>0</v>
      </c>
      <c r="J13" s="420">
        <f>SUM(J9:J12)</f>
        <v>0</v>
      </c>
      <c r="K13" s="412">
        <f>SUM(K9:K12)</f>
        <v>0</v>
      </c>
      <c r="L13" s="412">
        <f>SUM(L9:L12)</f>
        <v>0</v>
      </c>
      <c r="M13" s="412">
        <f>SUM(M9:M12)</f>
        <v>0</v>
      </c>
      <c r="N13" s="416">
        <f>SUM(N10:N12)</f>
        <v>207000000</v>
      </c>
      <c r="O13" s="407">
        <f>O10+O11+O12</f>
        <v>756006</v>
      </c>
      <c r="P13" s="403">
        <f>P10+P11+P12</f>
        <v>524686</v>
      </c>
      <c r="Q13" s="419">
        <f>Q10+Q11+Q12</f>
        <v>50000</v>
      </c>
      <c r="R13" s="403">
        <f>SUM(R9:R12)</f>
        <v>6257795</v>
      </c>
      <c r="S13" s="403">
        <f>SUM(S9:S12)</f>
        <v>0</v>
      </c>
      <c r="T13" s="409">
        <f>SUM(T9:T12)</f>
        <v>0</v>
      </c>
      <c r="U13" s="412">
        <f>SUM(U9:U12)</f>
        <v>30559709</v>
      </c>
      <c r="V13" s="401">
        <f>SUM(V10:V12)</f>
        <v>199411513</v>
      </c>
      <c r="W13" s="109"/>
      <c r="X13" s="20"/>
      <c r="Y13" s="20"/>
    </row>
    <row r="14" spans="2:27" ht="10.5" customHeight="1" thickBot="1" x14ac:dyDescent="0.4">
      <c r="B14" s="78"/>
      <c r="C14" s="78"/>
      <c r="D14" s="78"/>
      <c r="E14" s="79"/>
      <c r="F14" s="80"/>
      <c r="G14" s="413"/>
      <c r="H14" s="413"/>
      <c r="I14" s="413"/>
      <c r="J14" s="413"/>
      <c r="K14" s="413"/>
      <c r="L14" s="413"/>
      <c r="M14" s="413"/>
      <c r="N14" s="417"/>
      <c r="O14" s="408"/>
      <c r="P14" s="404"/>
      <c r="Q14" s="406"/>
      <c r="R14" s="404"/>
      <c r="S14" s="404"/>
      <c r="T14" s="404"/>
      <c r="U14" s="413"/>
      <c r="V14" s="402"/>
      <c r="W14" s="109"/>
      <c r="X14" s="20">
        <f>X10+X11+X12</f>
        <v>7588487</v>
      </c>
      <c r="Y14" s="96">
        <f>N13-X14</f>
        <v>199411513</v>
      </c>
      <c r="Z14" s="20"/>
    </row>
    <row r="15" spans="2:27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s="6"/>
      <c r="X15" t="s">
        <v>43</v>
      </c>
    </row>
    <row r="16" spans="2:27" ht="12.75" customHeight="1" x14ac:dyDescent="0.35">
      <c r="B16" s="31"/>
      <c r="C16" s="26"/>
      <c r="D16" s="26"/>
      <c r="E16" s="26"/>
      <c r="F16" s="26"/>
      <c r="G16" s="26"/>
      <c r="H16" s="26"/>
      <c r="I16" s="26"/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t="11.25" customHeight="1" x14ac:dyDescent="0.35">
      <c r="B17" s="27"/>
      <c r="C17" s="248"/>
      <c r="D17" s="248"/>
      <c r="E17" s="26"/>
      <c r="F17" s="26"/>
      <c r="G17" s="26"/>
      <c r="H17" s="28"/>
      <c r="I17" s="28"/>
      <c r="J17" s="28"/>
      <c r="K17" s="7"/>
      <c r="L17" s="7"/>
      <c r="M17" s="7"/>
      <c r="N17" s="6"/>
      <c r="O17" s="97"/>
      <c r="P17" s="97"/>
      <c r="Q17" s="97"/>
      <c r="R17" s="97"/>
      <c r="S17" s="97"/>
      <c r="T17" s="97"/>
      <c r="U17" s="97"/>
      <c r="V17" s="97"/>
      <c r="W17" s="97"/>
      <c r="X17" s="20"/>
    </row>
    <row r="18" spans="2:27" ht="15" customHeight="1" x14ac:dyDescent="0.35">
      <c r="B18" s="26"/>
      <c r="C18" s="248"/>
      <c r="D18" s="248"/>
      <c r="E18" s="26"/>
      <c r="F18" s="26"/>
      <c r="G18" s="26"/>
      <c r="H18" s="26"/>
      <c r="I18" s="26"/>
      <c r="J18" s="26"/>
      <c r="K18" s="6"/>
      <c r="L18" s="6" t="s">
        <v>43</v>
      </c>
      <c r="M18" s="6"/>
      <c r="N18" s="6"/>
      <c r="O18" s="97"/>
      <c r="P18" s="97"/>
      <c r="Q18" s="97"/>
      <c r="R18" s="399" t="s">
        <v>231</v>
      </c>
      <c r="S18" s="399"/>
      <c r="T18" s="399"/>
      <c r="U18" s="399"/>
      <c r="V18" s="399"/>
      <c r="W18" s="97"/>
      <c r="X18" s="20" t="e">
        <f>P9+#REF!+#REF!+#REF!+#REF!+#REF!+#REF!+#REF!+#REF!</f>
        <v>#REF!</v>
      </c>
      <c r="AA18" s="20">
        <f>G13+H13+I13+J13+K13+L13+M13</f>
        <v>207000000</v>
      </c>
    </row>
    <row r="19" spans="2:27" ht="3.75" customHeight="1" x14ac:dyDescent="0.35">
      <c r="B19" s="26"/>
      <c r="C19" s="248"/>
      <c r="D19" s="248"/>
      <c r="E19" s="26"/>
      <c r="F19" s="26"/>
      <c r="G19" s="26"/>
      <c r="H19" s="26"/>
      <c r="I19" s="26"/>
      <c r="J19" s="26"/>
      <c r="K19" s="6"/>
      <c r="L19" s="6"/>
      <c r="M19" s="6"/>
      <c r="N19" s="6"/>
      <c r="O19" s="399"/>
      <c r="P19" s="399"/>
      <c r="Q19" s="399"/>
      <c r="R19" s="399"/>
      <c r="S19" s="399"/>
      <c r="T19" s="399"/>
      <c r="U19" s="399"/>
      <c r="V19" s="399"/>
      <c r="W19" s="166"/>
    </row>
    <row r="20" spans="2:27" ht="15" customHeight="1" x14ac:dyDescent="0.35">
      <c r="B20" s="27"/>
      <c r="C20" s="248"/>
      <c r="D20" s="248"/>
      <c r="E20" s="26"/>
      <c r="F20" s="26"/>
      <c r="G20" s="26"/>
      <c r="H20" s="26"/>
      <c r="I20" s="26"/>
      <c r="J20" s="26"/>
      <c r="K20" s="6"/>
      <c r="L20" s="6"/>
      <c r="M20" s="6"/>
      <c r="N20" s="6"/>
      <c r="O20" s="6"/>
      <c r="P20" s="6"/>
      <c r="Q20" s="6"/>
      <c r="R20" s="399" t="s">
        <v>36</v>
      </c>
      <c r="S20" s="399"/>
      <c r="T20" s="399"/>
      <c r="U20" s="399"/>
      <c r="V20" s="399"/>
      <c r="W20" s="6"/>
    </row>
    <row r="21" spans="2:27" ht="18.75" customHeight="1" x14ac:dyDescent="0.35">
      <c r="B21" s="27"/>
      <c r="C21" s="248"/>
      <c r="D21" s="248"/>
      <c r="E21" s="26"/>
      <c r="F21" s="26"/>
      <c r="G21" s="26"/>
      <c r="H21" s="26"/>
      <c r="I21" s="26"/>
      <c r="J21" s="2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2:27" ht="18.75" customHeight="1" x14ac:dyDescent="0.3">
      <c r="B22" s="29"/>
      <c r="C22" s="248"/>
      <c r="D22" s="248"/>
      <c r="E22" s="26"/>
      <c r="F22" s="26"/>
      <c r="G22" s="26"/>
      <c r="H22" s="26"/>
      <c r="I22" s="26"/>
      <c r="J22" s="26"/>
    </row>
    <row r="23" spans="2:27" ht="18.75" customHeight="1" x14ac:dyDescent="0.3">
      <c r="B23" s="29"/>
      <c r="C23" s="248"/>
      <c r="D23" s="248"/>
      <c r="E23" s="26"/>
      <c r="F23" s="26"/>
      <c r="G23" s="26"/>
      <c r="H23" s="26"/>
      <c r="I23" s="26"/>
      <c r="J23" s="26"/>
    </row>
    <row r="24" spans="2:27" ht="13.5" customHeight="1" x14ac:dyDescent="0.3">
      <c r="B24" s="29"/>
      <c r="C24" s="26"/>
      <c r="D24" s="26"/>
      <c r="E24" s="26"/>
      <c r="F24" s="26"/>
      <c r="G24" s="26"/>
      <c r="H24" s="26"/>
      <c r="I24" s="26"/>
      <c r="J24" s="26"/>
      <c r="P24" s="353"/>
      <c r="Q24" s="353"/>
      <c r="R24" s="384" t="s">
        <v>187</v>
      </c>
      <c r="S24" s="384"/>
      <c r="T24" s="384"/>
      <c r="U24" s="384"/>
      <c r="V24" s="384"/>
    </row>
    <row r="25" spans="2:27" ht="14.5" x14ac:dyDescent="0.35">
      <c r="C25" s="6"/>
      <c r="D25" s="6"/>
      <c r="E25" s="6" t="s">
        <v>151</v>
      </c>
    </row>
    <row r="26" spans="2:27" ht="14.5" x14ac:dyDescent="0.35">
      <c r="C26" s="6"/>
      <c r="D26" s="6"/>
      <c r="E26" s="6"/>
    </row>
    <row r="27" spans="2:27" ht="14.5" x14ac:dyDescent="0.35">
      <c r="C27" s="6"/>
      <c r="D27" s="6"/>
      <c r="E27" s="6"/>
    </row>
    <row r="28" spans="2:27" ht="14.5" x14ac:dyDescent="0.35">
      <c r="C28" s="6"/>
      <c r="D28" s="6"/>
      <c r="E28" s="6"/>
    </row>
  </sheetData>
  <mergeCells count="44">
    <mergeCell ref="R24:V24"/>
    <mergeCell ref="B2:V2"/>
    <mergeCell ref="B3:V3"/>
    <mergeCell ref="B4:V4"/>
    <mergeCell ref="B6:B7"/>
    <mergeCell ref="C6:C7"/>
    <mergeCell ref="D6:D7"/>
    <mergeCell ref="E6:E7"/>
    <mergeCell ref="F6:F7"/>
    <mergeCell ref="G6:G7"/>
    <mergeCell ref="T6:T7"/>
    <mergeCell ref="H6:H7"/>
    <mergeCell ref="I6:I7"/>
    <mergeCell ref="J6:J7"/>
    <mergeCell ref="K6:K7"/>
    <mergeCell ref="L6:L7"/>
    <mergeCell ref="S6:S7"/>
    <mergeCell ref="U6:U7"/>
    <mergeCell ref="V6:V7"/>
    <mergeCell ref="L13:L14"/>
    <mergeCell ref="M13:M14"/>
    <mergeCell ref="V13:V14"/>
    <mergeCell ref="N13:N14"/>
    <mergeCell ref="N6:N7"/>
    <mergeCell ref="O6:O7"/>
    <mergeCell ref="P6:P7"/>
    <mergeCell ref="M6:M7"/>
    <mergeCell ref="R6:R7"/>
    <mergeCell ref="Q6:Q7"/>
    <mergeCell ref="G13:G14"/>
    <mergeCell ref="H13:H14"/>
    <mergeCell ref="I13:I14"/>
    <mergeCell ref="J13:J14"/>
    <mergeCell ref="K13:K14"/>
    <mergeCell ref="R20:V20"/>
    <mergeCell ref="O19:V19"/>
    <mergeCell ref="O13:O14"/>
    <mergeCell ref="P13:P14"/>
    <mergeCell ref="R13:R14"/>
    <mergeCell ref="S13:S14"/>
    <mergeCell ref="T13:T14"/>
    <mergeCell ref="U13:U14"/>
    <mergeCell ref="Q13:Q14"/>
    <mergeCell ref="R18:V18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4" orientation="landscape" r:id="rId1"/>
  <ignoredErrors>
    <ignoredError sqref="R13 T13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1"/>
  <sheetViews>
    <sheetView tabSelected="1" zoomScale="90" zoomScaleNormal="90" workbookViewId="0">
      <pane xSplit="4" topLeftCell="E1" activePane="topRight" state="frozen"/>
      <selection pane="topRight" activeCell="H18" sqref="H18"/>
    </sheetView>
  </sheetViews>
  <sheetFormatPr defaultRowHeight="12.5" x14ac:dyDescent="0.25"/>
  <cols>
    <col min="1" max="1" width="2.7265625" customWidth="1"/>
    <col min="2" max="2" width="3.81640625" customWidth="1"/>
    <col min="3" max="3" width="27.81640625" customWidth="1"/>
    <col min="4" max="4" width="31.453125" customWidth="1"/>
    <col min="5" max="5" width="22.54296875" customWidth="1"/>
    <col min="6" max="6" width="8.1796875" customWidth="1"/>
    <col min="7" max="11" width="15.7265625" customWidth="1"/>
    <col min="12" max="12" width="12.54296875" hidden="1" customWidth="1"/>
    <col min="13" max="13" width="12.26953125" hidden="1" customWidth="1"/>
    <col min="14" max="15" width="11.453125" hidden="1" customWidth="1"/>
    <col min="16" max="16" width="11.7265625" customWidth="1"/>
    <col min="17" max="17" width="12.54296875" hidden="1" customWidth="1"/>
    <col min="18" max="18" width="12.81640625" customWidth="1"/>
    <col min="19" max="19" width="2.7265625" customWidth="1"/>
    <col min="20" max="23" width="13.26953125" bestFit="1" customWidth="1"/>
  </cols>
  <sheetData>
    <row r="1" spans="2:22" ht="40.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2" ht="12.75" customHeight="1" x14ac:dyDescent="0.25">
      <c r="B2" s="366" t="s">
        <v>169</v>
      </c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168"/>
    </row>
    <row r="3" spans="2:22" ht="12.75" customHeight="1" x14ac:dyDescent="0.25">
      <c r="B3" s="367" t="s">
        <v>222</v>
      </c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169"/>
    </row>
    <row r="4" spans="2:22" ht="6" customHeight="1" x14ac:dyDescent="0.35">
      <c r="B4" s="1"/>
      <c r="C4" s="2"/>
      <c r="D4" s="2"/>
      <c r="E4" s="3"/>
      <c r="F4" s="1"/>
      <c r="G4" s="4"/>
      <c r="H4" s="2"/>
      <c r="I4" s="2"/>
      <c r="J4" s="2"/>
      <c r="K4" s="5"/>
      <c r="L4" s="2"/>
      <c r="M4" s="2"/>
      <c r="N4" s="2"/>
      <c r="O4" s="2"/>
      <c r="P4" s="2"/>
      <c r="Q4" s="2"/>
      <c r="R4" s="2"/>
      <c r="S4" s="2"/>
    </row>
    <row r="5" spans="2:22" ht="36" customHeight="1" x14ac:dyDescent="0.25">
      <c r="B5" s="379" t="s">
        <v>7</v>
      </c>
      <c r="C5" s="379" t="s">
        <v>69</v>
      </c>
      <c r="D5" s="379" t="s">
        <v>21</v>
      </c>
      <c r="E5" s="379" t="s">
        <v>0</v>
      </c>
      <c r="F5" s="379" t="s">
        <v>2</v>
      </c>
      <c r="G5" s="379" t="s">
        <v>70</v>
      </c>
      <c r="H5" s="379" t="s">
        <v>17</v>
      </c>
      <c r="I5" s="379" t="s">
        <v>18</v>
      </c>
      <c r="J5" s="379" t="s">
        <v>6</v>
      </c>
      <c r="K5" s="385" t="s">
        <v>71</v>
      </c>
      <c r="L5" s="387" t="s">
        <v>87</v>
      </c>
      <c r="M5" s="379" t="s">
        <v>63</v>
      </c>
      <c r="N5" s="379" t="s">
        <v>102</v>
      </c>
      <c r="O5" s="379" t="s">
        <v>56</v>
      </c>
      <c r="P5" s="379" t="s">
        <v>49</v>
      </c>
      <c r="Q5" s="379" t="s">
        <v>46</v>
      </c>
      <c r="R5" s="379" t="s">
        <v>86</v>
      </c>
      <c r="S5" s="110"/>
    </row>
    <row r="6" spans="2:22" ht="36" customHeight="1" thickBot="1" x14ac:dyDescent="0.3">
      <c r="B6" s="380"/>
      <c r="C6" s="381"/>
      <c r="D6" s="381"/>
      <c r="E6" s="381"/>
      <c r="F6" s="381"/>
      <c r="G6" s="381"/>
      <c r="H6" s="380"/>
      <c r="I6" s="380"/>
      <c r="J6" s="380"/>
      <c r="K6" s="386"/>
      <c r="L6" s="388"/>
      <c r="M6" s="380"/>
      <c r="N6" s="380"/>
      <c r="O6" s="380"/>
      <c r="P6" s="380"/>
      <c r="Q6" s="380"/>
      <c r="R6" s="380"/>
      <c r="S6" s="110"/>
    </row>
    <row r="7" spans="2:22" s="25" customFormat="1" ht="9.75" customHeight="1" x14ac:dyDescent="0.25">
      <c r="B7" s="119">
        <v>1</v>
      </c>
      <c r="C7" s="119">
        <v>2</v>
      </c>
      <c r="D7" s="119">
        <v>3</v>
      </c>
      <c r="E7" s="120">
        <v>6</v>
      </c>
      <c r="F7" s="120">
        <v>7</v>
      </c>
      <c r="G7" s="119">
        <v>8</v>
      </c>
      <c r="H7" s="119">
        <v>9</v>
      </c>
      <c r="I7" s="119">
        <v>10</v>
      </c>
      <c r="J7" s="119">
        <v>13</v>
      </c>
      <c r="K7" s="121" t="s">
        <v>141</v>
      </c>
      <c r="L7" s="122">
        <v>15</v>
      </c>
      <c r="M7" s="120">
        <v>16</v>
      </c>
      <c r="N7" s="120">
        <v>17</v>
      </c>
      <c r="O7" s="120">
        <v>18</v>
      </c>
      <c r="P7" s="120">
        <v>19</v>
      </c>
      <c r="Q7" s="120">
        <v>18</v>
      </c>
      <c r="R7" s="120" t="s">
        <v>140</v>
      </c>
      <c r="S7" s="105"/>
    </row>
    <row r="8" spans="2:22" s="25" customFormat="1" ht="18.75" hidden="1" customHeight="1" x14ac:dyDescent="0.35">
      <c r="B8" s="117">
        <v>1</v>
      </c>
      <c r="C8" s="113" t="s">
        <v>220</v>
      </c>
      <c r="D8" s="113" t="s">
        <v>68</v>
      </c>
      <c r="E8" s="111" t="s">
        <v>124</v>
      </c>
      <c r="F8" s="112" t="s">
        <v>45</v>
      </c>
      <c r="G8" s="116">
        <f>45%*60000000</f>
        <v>27000000</v>
      </c>
      <c r="H8" s="40">
        <v>0</v>
      </c>
      <c r="I8" s="49">
        <v>0</v>
      </c>
      <c r="J8" s="49">
        <v>0</v>
      </c>
      <c r="K8" s="114">
        <f>SUM(G8:J8)</f>
        <v>27000000</v>
      </c>
      <c r="L8" s="162">
        <v>0</v>
      </c>
      <c r="M8" s="162">
        <v>0</v>
      </c>
      <c r="N8" s="156">
        <v>0</v>
      </c>
      <c r="O8" s="162">
        <v>0</v>
      </c>
      <c r="P8" s="162">
        <v>0</v>
      </c>
      <c r="Q8" s="50">
        <v>1720000</v>
      </c>
      <c r="R8" s="157">
        <f>K8-(L8+M8+N8+O8+P8)</f>
        <v>27000000</v>
      </c>
      <c r="S8" s="106"/>
      <c r="U8" s="20">
        <f>K8-L8-M8-O8-P8</f>
        <v>27000000</v>
      </c>
    </row>
    <row r="9" spans="2:22" s="25" customFormat="1" ht="18.75" customHeight="1" x14ac:dyDescent="0.3">
      <c r="B9" s="328">
        <v>1</v>
      </c>
      <c r="C9" s="334" t="s">
        <v>220</v>
      </c>
      <c r="D9" s="348" t="s">
        <v>68</v>
      </c>
      <c r="E9" s="332" t="s">
        <v>237</v>
      </c>
      <c r="F9" s="335" t="s">
        <v>31</v>
      </c>
      <c r="G9" s="333">
        <v>27000000</v>
      </c>
      <c r="H9" s="336">
        <v>0</v>
      </c>
      <c r="I9" s="336">
        <v>0</v>
      </c>
      <c r="J9" s="336">
        <v>0</v>
      </c>
      <c r="K9" s="345">
        <f>G9+H9+I9+J9</f>
        <v>27000000</v>
      </c>
      <c r="L9" s="344">
        <v>0</v>
      </c>
      <c r="M9" s="336">
        <v>0</v>
      </c>
      <c r="N9" s="337">
        <f>G9+H9+I9+J9+K9+L9+M9</f>
        <v>54000000</v>
      </c>
      <c r="O9" s="338">
        <v>0</v>
      </c>
      <c r="P9" s="339">
        <v>0</v>
      </c>
      <c r="Q9" s="340">
        <v>0</v>
      </c>
      <c r="R9" s="343">
        <f>K9</f>
        <v>27000000</v>
      </c>
      <c r="S9" s="341">
        <v>0</v>
      </c>
      <c r="T9" s="342"/>
      <c r="U9" s="106"/>
    </row>
    <row r="10" spans="2:22" s="25" customFormat="1" ht="18.75" customHeight="1" x14ac:dyDescent="0.3">
      <c r="B10" s="118">
        <v>2</v>
      </c>
      <c r="C10" s="95" t="s">
        <v>179</v>
      </c>
      <c r="D10" s="348" t="s">
        <v>59</v>
      </c>
      <c r="E10" s="329" t="s">
        <v>96</v>
      </c>
      <c r="F10" s="126" t="s">
        <v>35</v>
      </c>
      <c r="G10" s="127">
        <f>90%*G8</f>
        <v>24300000</v>
      </c>
      <c r="H10" s="49">
        <v>0</v>
      </c>
      <c r="I10" s="49">
        <v>0</v>
      </c>
      <c r="J10" s="49">
        <f>20%*G10</f>
        <v>4860000</v>
      </c>
      <c r="K10" s="128">
        <f>SUM(G10:J10)</f>
        <v>29160000</v>
      </c>
      <c r="L10" s="163">
        <v>0</v>
      </c>
      <c r="M10" s="163">
        <v>0</v>
      </c>
      <c r="N10" s="330">
        <v>0</v>
      </c>
      <c r="O10" s="163">
        <v>0</v>
      </c>
      <c r="P10" s="163">
        <v>0</v>
      </c>
      <c r="Q10" s="50"/>
      <c r="R10" s="331">
        <f>K10-(L10+M10+N10+O10+P10)</f>
        <v>29160000</v>
      </c>
      <c r="S10" s="106"/>
      <c r="U10" s="20"/>
    </row>
    <row r="11" spans="2:22" ht="20.149999999999999" customHeight="1" x14ac:dyDescent="0.3">
      <c r="B11" s="118">
        <v>3</v>
      </c>
      <c r="C11" s="184" t="s">
        <v>39</v>
      </c>
      <c r="D11" s="348" t="s">
        <v>60</v>
      </c>
      <c r="E11" s="346" t="s">
        <v>40</v>
      </c>
      <c r="F11" s="186" t="s">
        <v>34</v>
      </c>
      <c r="G11" s="313">
        <f>90%*G8</f>
        <v>24300000</v>
      </c>
      <c r="H11" s="188">
        <v>0</v>
      </c>
      <c r="I11" s="188">
        <v>0</v>
      </c>
      <c r="J11" s="40">
        <f>20%*G11</f>
        <v>4860000</v>
      </c>
      <c r="K11" s="315">
        <f>SUM(G11:J11)</f>
        <v>29160000</v>
      </c>
      <c r="L11" s="162">
        <v>0</v>
      </c>
      <c r="M11" s="296">
        <v>0</v>
      </c>
      <c r="N11" s="282">
        <v>0</v>
      </c>
      <c r="O11" s="296">
        <v>0</v>
      </c>
      <c r="P11" s="296">
        <v>0</v>
      </c>
      <c r="Q11" s="66">
        <v>3790000</v>
      </c>
      <c r="R11" s="295">
        <f>K11-(L11+M11+N11+O11+P11)</f>
        <v>29160000</v>
      </c>
      <c r="S11" s="107"/>
      <c r="U11" s="20">
        <f>K11-L11-M11-O11-P11</f>
        <v>29160000</v>
      </c>
    </row>
    <row r="12" spans="2:22" ht="20.149999999999999" customHeight="1" x14ac:dyDescent="0.3">
      <c r="B12" s="298">
        <v>4</v>
      </c>
      <c r="C12" s="307" t="s">
        <v>215</v>
      </c>
      <c r="D12" s="349" t="s">
        <v>44</v>
      </c>
      <c r="E12" s="347" t="s">
        <v>216</v>
      </c>
      <c r="F12" s="308" t="s">
        <v>217</v>
      </c>
      <c r="G12" s="314">
        <v>9000000</v>
      </c>
      <c r="H12" s="309">
        <v>0</v>
      </c>
      <c r="I12" s="170">
        <v>450000</v>
      </c>
      <c r="J12" s="309">
        <v>0</v>
      </c>
      <c r="K12" s="316">
        <f>G12+H12+I12+J12</f>
        <v>9450000</v>
      </c>
      <c r="L12" s="280"/>
      <c r="M12" s="281"/>
      <c r="N12" s="159"/>
      <c r="O12" s="281"/>
      <c r="P12" s="281">
        <v>0</v>
      </c>
      <c r="Q12" s="72"/>
      <c r="R12" s="297">
        <f>G12+H12+I12+J12</f>
        <v>9450000</v>
      </c>
      <c r="S12" s="107"/>
      <c r="U12" s="20"/>
    </row>
    <row r="13" spans="2:22" ht="10.5" customHeight="1" x14ac:dyDescent="0.35">
      <c r="B13" s="77"/>
      <c r="C13" s="77"/>
      <c r="D13" s="77"/>
      <c r="E13" s="76"/>
      <c r="F13" s="21"/>
      <c r="G13" s="412">
        <f>SUM(G9:G12)</f>
        <v>84600000</v>
      </c>
      <c r="H13" s="412">
        <f>SUM(H8:H11)</f>
        <v>0</v>
      </c>
      <c r="I13" s="412">
        <f>I12</f>
        <v>450000</v>
      </c>
      <c r="J13" s="412">
        <f>SUM(J8:J12)</f>
        <v>9720000</v>
      </c>
      <c r="K13" s="416">
        <f>SUM(K9:K12)</f>
        <v>94770000</v>
      </c>
      <c r="L13" s="422">
        <v>0</v>
      </c>
      <c r="M13" s="403">
        <f>SUM(M11:M11)</f>
        <v>0</v>
      </c>
      <c r="N13" s="403">
        <f>SUM(N11:N11)</f>
        <v>0</v>
      </c>
      <c r="O13" s="403">
        <f>SUM(O11:O11)</f>
        <v>0</v>
      </c>
      <c r="P13" s="409">
        <f>SUM(P11:P11)</f>
        <v>0</v>
      </c>
      <c r="Q13" s="412">
        <f>SUM(Q11:Q11)</f>
        <v>3790000</v>
      </c>
      <c r="R13" s="401">
        <f>SUM(R9:R12)</f>
        <v>94770000</v>
      </c>
      <c r="S13" s="109"/>
      <c r="T13" s="20" t="e">
        <f>SUM(#REF!)</f>
        <v>#REF!</v>
      </c>
      <c r="U13" s="20">
        <f>SUM(U8:U11)</f>
        <v>56160000</v>
      </c>
    </row>
    <row r="14" spans="2:22" ht="10.5" customHeight="1" thickBot="1" x14ac:dyDescent="0.4">
      <c r="B14" s="78"/>
      <c r="C14" s="78"/>
      <c r="D14" s="78"/>
      <c r="E14" s="79"/>
      <c r="F14" s="80"/>
      <c r="G14" s="413"/>
      <c r="H14" s="413"/>
      <c r="I14" s="413"/>
      <c r="J14" s="413"/>
      <c r="K14" s="417"/>
      <c r="L14" s="423"/>
      <c r="M14" s="404"/>
      <c r="N14" s="404"/>
      <c r="O14" s="404"/>
      <c r="P14" s="424"/>
      <c r="Q14" s="413"/>
      <c r="R14" s="402"/>
      <c r="S14" s="109"/>
      <c r="T14" s="20">
        <f>L13+M13+N13+O13+P13</f>
        <v>0</v>
      </c>
      <c r="U14" s="96">
        <f>K13-T14</f>
        <v>94770000</v>
      </c>
      <c r="V14" s="20"/>
    </row>
    <row r="15" spans="2:22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7"/>
      <c r="L15" s="6"/>
      <c r="M15" s="6"/>
      <c r="N15" s="6"/>
      <c r="O15" s="6"/>
      <c r="P15" s="6"/>
      <c r="Q15" s="6"/>
      <c r="R15" s="6"/>
      <c r="S15" s="6"/>
      <c r="T15" t="s">
        <v>43</v>
      </c>
    </row>
    <row r="16" spans="2:22" ht="14.5" x14ac:dyDescent="0.35">
      <c r="C16" s="6"/>
      <c r="D16" s="6"/>
      <c r="E16" s="6" t="s">
        <v>151</v>
      </c>
    </row>
    <row r="17" spans="3:18" ht="14.5" x14ac:dyDescent="0.35">
      <c r="C17" s="6"/>
      <c r="D17" s="6"/>
      <c r="E17" s="6"/>
      <c r="K17" s="399" t="s">
        <v>230</v>
      </c>
      <c r="L17" s="399"/>
      <c r="M17" s="399"/>
      <c r="N17" s="399"/>
      <c r="O17" s="399"/>
      <c r="P17" s="399"/>
      <c r="Q17" s="399"/>
      <c r="R17" s="399"/>
    </row>
    <row r="18" spans="3:18" ht="14.5" x14ac:dyDescent="0.35">
      <c r="C18" s="6"/>
      <c r="D18" s="6"/>
      <c r="E18" s="6"/>
      <c r="K18" s="399" t="s">
        <v>36</v>
      </c>
      <c r="L18" s="399"/>
      <c r="M18" s="399"/>
      <c r="N18" s="399"/>
      <c r="O18" s="399"/>
      <c r="P18" s="399"/>
      <c r="Q18" s="399"/>
      <c r="R18" s="399"/>
    </row>
    <row r="19" spans="3:18" ht="28.5" customHeight="1" x14ac:dyDescent="0.35">
      <c r="N19" s="8"/>
      <c r="O19" s="8"/>
      <c r="P19" s="8"/>
      <c r="Q19" s="8"/>
    </row>
    <row r="20" spans="3:18" ht="28.5" customHeight="1" x14ac:dyDescent="0.35">
      <c r="N20" s="8"/>
      <c r="O20" s="8"/>
      <c r="P20" s="8"/>
      <c r="Q20" s="8"/>
    </row>
    <row r="21" spans="3:18" ht="14.5" x14ac:dyDescent="0.35">
      <c r="K21" s="400" t="s">
        <v>187</v>
      </c>
      <c r="L21" s="400"/>
      <c r="M21" s="400"/>
      <c r="N21" s="400"/>
      <c r="O21" s="400"/>
      <c r="P21" s="400"/>
      <c r="Q21" s="400"/>
      <c r="R21" s="400"/>
    </row>
  </sheetData>
  <mergeCells count="34">
    <mergeCell ref="K21:R21"/>
    <mergeCell ref="B2:R2"/>
    <mergeCell ref="B3:R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M5:M6"/>
    <mergeCell ref="L5:L6"/>
    <mergeCell ref="P5:P6"/>
    <mergeCell ref="Q5:Q6"/>
    <mergeCell ref="O5:O6"/>
    <mergeCell ref="N5:N6"/>
    <mergeCell ref="R5:R6"/>
    <mergeCell ref="G13:G14"/>
    <mergeCell ref="H13:H14"/>
    <mergeCell ref="I13:I14"/>
    <mergeCell ref="J13:J14"/>
    <mergeCell ref="K13:K14"/>
    <mergeCell ref="K18:R18"/>
    <mergeCell ref="R13:R14"/>
    <mergeCell ref="K17:R17"/>
    <mergeCell ref="L13:L14"/>
    <mergeCell ref="M13:M14"/>
    <mergeCell ref="N13:N14"/>
    <mergeCell ref="O13:O14"/>
    <mergeCell ref="P13:P14"/>
    <mergeCell ref="Q13:Q14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REK KOMISARIS</vt:lpstr>
      <vt:lpstr>REK DIREKSI</vt:lpstr>
      <vt:lpstr>REK BNI</vt:lpstr>
      <vt:lpstr>REK MANDIRI</vt:lpstr>
      <vt:lpstr>NET PEG PELINDO DIPERBANTUKAN</vt:lpstr>
      <vt:lpstr>NET PEGAWAI PTP</vt:lpstr>
      <vt:lpstr>NET DIREKSI 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  <vt:lpstr>'REK BNI'!Print_Area</vt:lpstr>
      <vt:lpstr>'REK DIREKSI'!Print_Area</vt:lpstr>
      <vt:lpstr>'REK KOMISARIS'!Print_Area</vt:lpstr>
      <vt:lpstr>'REK MANDIRI'!Print_Area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Asus</cp:lastModifiedBy>
  <cp:lastPrinted>2021-07-28T08:04:05Z</cp:lastPrinted>
  <dcterms:created xsi:type="dcterms:W3CDTF">1999-12-02T03:49:52Z</dcterms:created>
  <dcterms:modified xsi:type="dcterms:W3CDTF">2021-08-02T03:52:10Z</dcterms:modified>
</cp:coreProperties>
</file>