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8_{51AA04B1-FF29-442C-BC9C-FB8FE9E128A7}" xr6:coauthVersionLast="36" xr6:coauthVersionMax="36" xr10:uidLastSave="{00000000-0000-0000-0000-000000000000}"/>
  <bookViews>
    <workbookView xWindow="0" yWindow="0" windowWidth="19200" windowHeight="6930" tabRatio="661" firstSheet="4" activeTab="6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KOMISARIS'!$B$1:$R$21</definedName>
    <definedName name="_xlnm.Print_Area" localSheetId="3">'NET PEG PELINDO DIPERBANTUKAN'!$A$1:$X$33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KOMISARIS'!$A$1:$X$23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N23" i="68" l="1"/>
  <c r="M23" i="68"/>
  <c r="L23" i="68"/>
  <c r="Q15" i="59" l="1"/>
  <c r="Q17" i="59" l="1"/>
  <c r="Q11" i="59"/>
  <c r="F57" i="68" l="1"/>
  <c r="Q21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F19" i="59" l="1"/>
  <c r="V11" i="59"/>
  <c r="V10" i="68" l="1"/>
  <c r="W10" i="68" s="1"/>
  <c r="J13" i="63" l="1"/>
  <c r="K9" i="64"/>
  <c r="N9" i="64"/>
  <c r="R9" i="64" l="1"/>
  <c r="V8" i="59"/>
  <c r="Z10" i="69" s="1"/>
  <c r="Q19" i="59"/>
  <c r="V12" i="68"/>
  <c r="W12" i="68" s="1"/>
  <c r="J11" i="67" l="1"/>
  <c r="U20" i="59"/>
  <c r="W8" i="59" l="1"/>
  <c r="I13" i="64" l="1"/>
  <c r="R12" i="64"/>
  <c r="J14" i="67" s="1"/>
  <c r="K12" i="64"/>
  <c r="X12" i="63" l="1"/>
  <c r="X11" i="63"/>
  <c r="Q13" i="63"/>
  <c r="P13" i="63"/>
  <c r="O13" i="63"/>
  <c r="X10" i="63"/>
  <c r="T23" i="68"/>
  <c r="R23" i="68"/>
  <c r="X14" i="63" l="1"/>
  <c r="O10" i="68" l="1"/>
  <c r="X10" i="68" s="1"/>
  <c r="N11" i="63" l="1"/>
  <c r="V11" i="63" l="1"/>
  <c r="J12" i="65" s="1"/>
  <c r="Y11" i="63"/>
  <c r="M10" i="59"/>
  <c r="M11" i="59" l="1"/>
  <c r="V22" i="68"/>
  <c r="W22" i="68" s="1"/>
  <c r="V21" i="68"/>
  <c r="W21" i="68" s="1"/>
  <c r="M12" i="59" l="1"/>
  <c r="Z10" i="68"/>
  <c r="J10" i="58"/>
  <c r="M13" i="59" l="1"/>
  <c r="N10" i="63"/>
  <c r="Y10" i="63" l="1"/>
  <c r="V10" i="63"/>
  <c r="J11" i="65" s="1"/>
  <c r="M14" i="59"/>
  <c r="P23" i="68"/>
  <c r="M15" i="59" l="1"/>
  <c r="M16" i="59" l="1"/>
  <c r="G9" i="63"/>
  <c r="H9" i="63"/>
  <c r="N9" i="63"/>
  <c r="V9" i="63" s="1"/>
  <c r="X9" i="63"/>
  <c r="Z9" i="63"/>
  <c r="M18" i="59" l="1"/>
  <c r="M17" i="59"/>
  <c r="Y9" i="63"/>
  <c r="M20" i="59" l="1"/>
  <c r="P20" i="59"/>
  <c r="O20" i="59" l="1"/>
  <c r="K18" i="68"/>
  <c r="V18" i="68" s="1"/>
  <c r="W18" i="68" s="1"/>
  <c r="K20" i="68"/>
  <c r="K16" i="68"/>
  <c r="K17" i="68"/>
  <c r="Q23" i="68" s="1"/>
  <c r="K15" i="68"/>
  <c r="K11" i="68"/>
  <c r="J16" i="68"/>
  <c r="J17" i="68"/>
  <c r="J11" i="68"/>
  <c r="I22" i="68"/>
  <c r="K9" i="68"/>
  <c r="O9" i="68" s="1"/>
  <c r="X9" i="68" s="1"/>
  <c r="K10" i="59"/>
  <c r="J10" i="59"/>
  <c r="I11" i="59"/>
  <c r="I9" i="59"/>
  <c r="M13" i="67"/>
  <c r="M15" i="67" s="1"/>
  <c r="F15" i="67"/>
  <c r="G15" i="67"/>
  <c r="H15" i="67"/>
  <c r="I15" i="67"/>
  <c r="K15" i="67"/>
  <c r="L15" i="67"/>
  <c r="P15" i="67"/>
  <c r="T15" i="67"/>
  <c r="U15" i="67"/>
  <c r="V15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3" i="64"/>
  <c r="M13" i="64"/>
  <c r="N13" i="64"/>
  <c r="O13" i="64"/>
  <c r="P13" i="64"/>
  <c r="Q13" i="64"/>
  <c r="T13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K23" i="68" l="1"/>
  <c r="Q10" i="59"/>
  <c r="V11" i="68"/>
  <c r="W11" i="68" s="1"/>
  <c r="AA10" i="65"/>
  <c r="V15" i="68"/>
  <c r="W15" i="68" s="1"/>
  <c r="V20" i="68"/>
  <c r="W20" i="68" s="1"/>
  <c r="V17" i="68"/>
  <c r="W17" i="68" s="1"/>
  <c r="I14" i="68"/>
  <c r="J19" i="68"/>
  <c r="V19" i="68" s="1"/>
  <c r="W19" i="68" s="1"/>
  <c r="V16" i="68"/>
  <c r="W16" i="68" s="1"/>
  <c r="J13" i="68"/>
  <c r="Z8" i="59"/>
  <c r="V10" i="59"/>
  <c r="Z12" i="69" s="1"/>
  <c r="G12" i="63"/>
  <c r="G13" i="63" s="1"/>
  <c r="T14" i="64"/>
  <c r="G11" i="64"/>
  <c r="G10" i="64"/>
  <c r="G13" i="64" s="1"/>
  <c r="K8" i="64"/>
  <c r="O16" i="68"/>
  <c r="O20" i="68"/>
  <c r="O17" i="68"/>
  <c r="O11" i="68"/>
  <c r="O12" i="68"/>
  <c r="J10" i="65"/>
  <c r="L10" i="59"/>
  <c r="N16" i="59"/>
  <c r="I17" i="59"/>
  <c r="I14" i="59"/>
  <c r="I12" i="59"/>
  <c r="I15" i="59"/>
  <c r="I13" i="59"/>
  <c r="L8" i="59"/>
  <c r="Y10" i="69" s="1"/>
  <c r="AA10" i="69" s="1"/>
  <c r="I20" i="59" l="1"/>
  <c r="Y12" i="69"/>
  <c r="AA12" i="69" s="1"/>
  <c r="Z10" i="59"/>
  <c r="AA10" i="59" s="1"/>
  <c r="O18" i="68"/>
  <c r="Z18" i="68" s="1"/>
  <c r="X8" i="59"/>
  <c r="J10" i="69" s="1"/>
  <c r="N17" i="59"/>
  <c r="W10" i="59"/>
  <c r="Z17" i="68"/>
  <c r="Z20" i="68"/>
  <c r="Z16" i="68"/>
  <c r="X12" i="68"/>
  <c r="D12" i="61" s="1"/>
  <c r="Z12" i="68"/>
  <c r="I23" i="68"/>
  <c r="O13" i="68"/>
  <c r="X13" i="68" s="1"/>
  <c r="AA8" i="59"/>
  <c r="J14" i="68"/>
  <c r="J23" i="68" s="1"/>
  <c r="V13" i="68"/>
  <c r="W13" i="68" s="1"/>
  <c r="O19" i="68"/>
  <c r="X20" i="68"/>
  <c r="D19" i="61" s="1"/>
  <c r="X11" i="68"/>
  <c r="X17" i="68"/>
  <c r="D15" i="61" s="1"/>
  <c r="X16" i="68"/>
  <c r="D14" i="61" s="1"/>
  <c r="V9" i="59"/>
  <c r="L9" i="59"/>
  <c r="Y11" i="69" s="1"/>
  <c r="R14" i="59"/>
  <c r="R20" i="59" s="1"/>
  <c r="X10" i="59"/>
  <c r="J12" i="69" s="1"/>
  <c r="L11" i="59"/>
  <c r="J18" i="59"/>
  <c r="N12" i="63"/>
  <c r="V12" i="63" s="1"/>
  <c r="R8" i="64"/>
  <c r="J11" i="64"/>
  <c r="K11" i="64" s="1"/>
  <c r="U8" i="64"/>
  <c r="J10" i="64"/>
  <c r="J13" i="64" s="1"/>
  <c r="O15" i="68"/>
  <c r="X15" i="68" s="1"/>
  <c r="O22" i="68"/>
  <c r="O21" i="68"/>
  <c r="I18" i="59"/>
  <c r="J19" i="59" l="1"/>
  <c r="V19" i="59" s="1"/>
  <c r="J20" i="59"/>
  <c r="AA11" i="69"/>
  <c r="Z9" i="59"/>
  <c r="Z11" i="69"/>
  <c r="D10" i="61"/>
  <c r="W19" i="59"/>
  <c r="L19" i="59"/>
  <c r="U23" i="68"/>
  <c r="Q16" i="59"/>
  <c r="X18" i="68"/>
  <c r="D18" i="61" s="1"/>
  <c r="W9" i="59"/>
  <c r="V13" i="59"/>
  <c r="Z11" i="59"/>
  <c r="AA11" i="59" s="1"/>
  <c r="W11" i="59"/>
  <c r="N13" i="63"/>
  <c r="Y14" i="63" s="1"/>
  <c r="Y12" i="63"/>
  <c r="K18" i="59"/>
  <c r="Q13" i="59"/>
  <c r="Q14" i="59"/>
  <c r="N18" i="59"/>
  <c r="N20" i="59" s="1"/>
  <c r="Z15" i="68"/>
  <c r="X22" i="68"/>
  <c r="J11" i="58" s="1"/>
  <c r="Z22" i="68"/>
  <c r="X21" i="68"/>
  <c r="D16" i="61" s="1"/>
  <c r="Z21" i="68"/>
  <c r="D11" i="61"/>
  <c r="X19" i="68"/>
  <c r="D20" i="61" s="1"/>
  <c r="Z19" i="68"/>
  <c r="Z13" i="68"/>
  <c r="Z11" i="68"/>
  <c r="V14" i="68"/>
  <c r="W14" i="68" s="1"/>
  <c r="K42" i="68"/>
  <c r="V15" i="59"/>
  <c r="Z15" i="59" s="1"/>
  <c r="X9" i="59"/>
  <c r="J11" i="69" s="1"/>
  <c r="AA9" i="59"/>
  <c r="O14" i="68"/>
  <c r="X14" i="68" s="1"/>
  <c r="V12" i="59"/>
  <c r="X11" i="59"/>
  <c r="J13" i="69" s="1"/>
  <c r="L15" i="59"/>
  <c r="V14" i="59"/>
  <c r="V16" i="59"/>
  <c r="W16" i="59" s="1"/>
  <c r="L17" i="59"/>
  <c r="L12" i="59"/>
  <c r="L14" i="59"/>
  <c r="L13" i="59"/>
  <c r="V17" i="59"/>
  <c r="AA18" i="63"/>
  <c r="L16" i="59"/>
  <c r="J10" i="67"/>
  <c r="R11" i="64"/>
  <c r="J13" i="67" s="1"/>
  <c r="U11" i="64"/>
  <c r="U13" i="64" s="1"/>
  <c r="K10" i="64"/>
  <c r="K13" i="64" s="1"/>
  <c r="Q18" i="59" l="1"/>
  <c r="K20" i="59"/>
  <c r="J32" i="59" s="1"/>
  <c r="K43" i="68" s="1"/>
  <c r="Q20" i="59"/>
  <c r="V23" i="68"/>
  <c r="Z24" i="68" s="1"/>
  <c r="X23" i="68"/>
  <c r="X19" i="59"/>
  <c r="J15" i="69" s="1"/>
  <c r="W13" i="59"/>
  <c r="V18" i="59"/>
  <c r="Z18" i="59" s="1"/>
  <c r="Z13" i="59"/>
  <c r="AA13" i="59" s="1"/>
  <c r="L18" i="59"/>
  <c r="L20" i="59" s="1"/>
  <c r="S20" i="59"/>
  <c r="Z17" i="59"/>
  <c r="AA17" i="59" s="1"/>
  <c r="W14" i="59"/>
  <c r="W12" i="59"/>
  <c r="Z14" i="59"/>
  <c r="AA14" i="59" s="1"/>
  <c r="W15" i="59"/>
  <c r="W17" i="59"/>
  <c r="Z12" i="59"/>
  <c r="AA12" i="59" s="1"/>
  <c r="W23" i="68"/>
  <c r="Z14" i="68"/>
  <c r="F58" i="68"/>
  <c r="Z16" i="59"/>
  <c r="AA16" i="59" s="1"/>
  <c r="O23" i="68"/>
  <c r="X17" i="59"/>
  <c r="J21" i="69" s="1"/>
  <c r="X12" i="59"/>
  <c r="J17" i="69" s="1"/>
  <c r="X15" i="59"/>
  <c r="J20" i="69" s="1"/>
  <c r="AA15" i="59"/>
  <c r="J13" i="65"/>
  <c r="V13" i="63"/>
  <c r="X14" i="59"/>
  <c r="J16" i="69" s="1"/>
  <c r="X13" i="59"/>
  <c r="J14" i="69" s="1"/>
  <c r="X16" i="59"/>
  <c r="J18" i="69" s="1"/>
  <c r="D13" i="61"/>
  <c r="R10" i="64"/>
  <c r="R13" i="64" s="1"/>
  <c r="U14" i="64"/>
  <c r="N13" i="67"/>
  <c r="N15" i="67" s="1"/>
  <c r="O13" i="67"/>
  <c r="V20" i="59" l="1"/>
  <c r="Z21" i="59"/>
  <c r="Z27" i="68"/>
  <c r="Y18" i="59"/>
  <c r="W18" i="59"/>
  <c r="W20" i="59" s="1"/>
  <c r="AA18" i="59"/>
  <c r="X18" i="59"/>
  <c r="Z25" i="68"/>
  <c r="D17" i="61"/>
  <c r="D22" i="61" s="1"/>
  <c r="J14" i="65"/>
  <c r="O15" i="67"/>
  <c r="Q13" i="67"/>
  <c r="Q15" i="67" s="1"/>
  <c r="J12" i="67"/>
  <c r="J15" i="67" s="1"/>
  <c r="J12" i="58" l="1"/>
  <c r="J19" i="69"/>
  <c r="J22" i="69" s="1"/>
  <c r="X20" i="59"/>
  <c r="R13" i="67"/>
  <c r="R15" i="67" l="1"/>
  <c r="S13" i="67"/>
  <c r="W13" i="67" l="1"/>
  <c r="W15" i="67" s="1"/>
  <c r="S15" i="67"/>
</calcChain>
</file>

<file path=xl/sharedStrings.xml><?xml version="1.0" encoding="utf-8"?>
<sst xmlns="http://schemas.openxmlformats.org/spreadsheetml/2006/main" count="551" uniqueCount="239">
  <si>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</si>
  <si>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</si>
  <si>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</si>
  <si>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</si>
  <si>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</si>
  <si>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</si>
  <si>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</si>
  <si>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</si>
  <si>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</si>
  <si>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</si>
  <si>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</si>
  <si>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</si>
  <si>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</si>
  <si>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</si>
  <si>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</si>
  <si>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</si>
  <si>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</si>
  <si>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</si>
  <si>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</si>
  <si>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</si>
  <si>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</si>
  <si>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</si>
  <si>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</si>
  <si>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</si>
  <si>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</si>
  <si>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</si>
  <si>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</si>
  <si>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</si>
  <si>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</si>
  <si>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</si>
  <si>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</si>
  <si>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</si>
  <si>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</si>
  <si>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</si>
  <si>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</si>
  <si>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</si>
  <si>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</si>
  <si>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</si>
  <si>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</si>
  <si>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</si>
  <si>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</si>
  <si>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</si>
  <si>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</si>
  <si>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</si>
  <si>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</si>
  <si>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</si>
  <si>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</si>
  <si>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</si>
  <si>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</si>
  <si>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</si>
  <si>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</si>
  <si>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</si>
  <si>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</si>
  <si>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</si>
  <si>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</si>
  <si>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</si>
  <si>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</si>
  <si>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</si>
  <si>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</si>
  <si>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</si>
  <si>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</si>
  <si>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</si>
  <si>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</si>
  <si>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</si>
  <si>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</si>
  <si>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</si>
  <si>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</si>
  <si>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</si>
  <si>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</si>
  <si>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</si>
  <si>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</si>
  <si>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</si>
  <si>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</si>
  <si>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</si>
  <si>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</si>
  <si>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</si>
  <si>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</si>
  <si>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</si>
  <si>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</si>
  <si>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</si>
  <si>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</si>
  <si>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</si>
  <si>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</si>
  <si>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</si>
  <si>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</si>
  <si>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</si>
  <si>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</si>
  <si>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</si>
  <si>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</si>
  <si>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</si>
  <si>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</si>
  <si>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</si>
  <si>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</si>
  <si>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</si>
  <si>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</si>
  <si>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</si>
  <si>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</si>
  <si>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</si>
  <si>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</si>
  <si>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</si>
  <si>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</si>
  <si>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</si>
  <si>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</si>
  <si>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</si>
  <si>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</si>
  <si>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</si>
  <si>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</si>
  <si>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</si>
  <si>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</si>
  <si>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</si>
  <si>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</si>
  <si>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</si>
  <si>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</si>
  <si>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</si>
  <si>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</si>
  <si>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</si>
  <si>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</si>
  <si>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</si>
  <si>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</si>
  <si>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</si>
  <si>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</si>
  <si>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</si>
  <si>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</si>
  <si>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</si>
  <si>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</si>
  <si>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</si>
  <si>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</si>
  <si>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</si>
  <si>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</si>
  <si>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</si>
  <si>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</si>
  <si>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</si>
  <si>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</si>
  <si>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</si>
  <si>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</si>
  <si>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</si>
  <si>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</si>
  <si>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</si>
  <si>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</si>
  <si>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</si>
  <si>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</si>
  <si>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</si>
  <si>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</si>
  <si>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</si>
  <si>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</si>
  <si>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</si>
  <si>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</si>
  <si>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</si>
  <si>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</si>
  <si>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</si>
  <si>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</si>
  <si>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</si>
  <si>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</si>
  <si>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</si>
  <si>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</si>
  <si>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</si>
  <si>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</si>
  <si>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</si>
  <si>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</si>
  <si>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</si>
  <si>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</si>
  <si>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</si>
  <si>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</si>
  <si>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</si>
  <si>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</si>
  <si>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</si>
  <si>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</si>
  <si>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</si>
  <si>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</si>
  <si>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</si>
  <si>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</si>
  <si>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</si>
  <si>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</si>
  <si>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</si>
  <si>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</si>
  <si>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</si>
  <si>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</si>
  <si>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</si>
  <si>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</si>
  <si>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</si>
  <si>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</si>
  <si>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</si>
  <si>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</si>
  <si>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</si>
  <si>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</si>
  <si>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</si>
  <si>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</si>
  <si>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</si>
  <si>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</si>
  <si>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</si>
  <si>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</si>
  <si>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</si>
  <si>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</si>
  <si>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</si>
  <si>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</si>
  <si>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</si>
  <si>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</si>
  <si>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</si>
  <si>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</si>
  <si>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</si>
  <si>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</si>
  <si>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</si>
  <si>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</si>
  <si>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</si>
  <si>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</si>
  <si>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</si>
  <si>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</si>
  <si>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</si>
  <si>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</si>
  <si>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</si>
  <si>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</si>
  <si>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</si>
  <si>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</si>
  <si>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</si>
  <si>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</si>
  <si>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48.017.041.4-614.000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</si>
  <si>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</si>
  <si>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</si>
  <si>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</si>
  <si>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</si>
  <si>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</si>
  <si>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</si>
  <si>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</si>
  <si>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</si>
  <si>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</si>
  <si>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</si>
  <si>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</si>
  <si>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Catatan :</t>
  </si>
  <si>
    <t>14=8+…+13</t>
  </si>
  <si>
    <t>24=15-......22</t>
  </si>
  <si>
    <t>Bank BNI AC.  005-8822-117</t>
  </si>
  <si>
    <t>BULAN OKTOBER 2021</t>
  </si>
  <si>
    <t>Medan,            Oktober 2021</t>
  </si>
  <si>
    <t>Medan,           Oktober 2021</t>
  </si>
  <si>
    <t>Medan,         Oktober 2021</t>
  </si>
  <si>
    <t>10:41:00</t>
  </si>
  <si>
    <t>54:37:00</t>
  </si>
  <si>
    <t>Komisaris atas nama Joko Noerhuda tidak mendapatkan remunerasi dari Anak Perusahaan berdasarkan PER-11/MBU/07/2021 tanggal 30 Juli 2021 tentang Persyaratan, Tata Cara Pengangkatan dan Pemberhentian Anggota Direksi BUMN</t>
  </si>
  <si>
    <t>00:09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</si>
</sst>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40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 applyProtection="1">
      <alignment horizontal="centerContinuous"/>
    </xf>
    <xf numFmtId="0" fontId="21" fillId="0" borderId="0" xfId="0" applyFont="1" applyAlignment="1">
      <alignment horizontal="centerContinuous"/>
    </xf>
    <xf numFmtId="177" fontId="21" fillId="0" borderId="0" xfId="0" applyNumberFormat="1" applyFont="1" applyFill="1" applyBorder="1" applyAlignment="1" applyProtection="1">
      <alignment horizontal="centerContinuous" vertical="center"/>
    </xf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 applyAlignment="1"/>
    <xf numFmtId="167" fontId="0" fillId="0" borderId="0" xfId="0" applyNumberFormat="1"/>
    <xf numFmtId="0" fontId="20" fillId="5" borderId="6" xfId="0" applyFont="1" applyFill="1" applyBorder="1" applyAlignment="1" applyProtection="1"/>
    <xf numFmtId="0" fontId="21" fillId="6" borderId="1" xfId="0" applyFont="1" applyFill="1" applyBorder="1" applyAlignment="1" applyProtection="1">
      <alignment horizontal="centerContinuous" vertical="center"/>
    </xf>
    <xf numFmtId="9" fontId="21" fillId="6" borderId="1" xfId="31" applyFont="1" applyFill="1" applyBorder="1" applyAlignment="1" applyProtection="1">
      <alignment horizontal="center" vertical="center"/>
    </xf>
    <xf numFmtId="9" fontId="21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165" fontId="0" fillId="0" borderId="0" xfId="9" applyFont="1"/>
    <xf numFmtId="0" fontId="23" fillId="0" borderId="0" xfId="0" applyFont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0" fillId="5" borderId="8" xfId="9" applyFont="1" applyFill="1" applyBorder="1" applyProtection="1"/>
    <xf numFmtId="165" fontId="20" fillId="5" borderId="8" xfId="9" applyFont="1" applyFill="1" applyBorder="1" applyAlignment="1" applyProtection="1">
      <alignment horizontal="center"/>
    </xf>
    <xf numFmtId="0" fontId="20" fillId="5" borderId="8" xfId="0" applyFont="1" applyFill="1" applyBorder="1" applyAlignment="1" applyProtection="1">
      <alignment horizontal="center"/>
    </xf>
    <xf numFmtId="167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/>
      <protection hidden="1"/>
    </xf>
    <xf numFmtId="167" fontId="21" fillId="5" borderId="8" xfId="9" applyNumberFormat="1" applyFont="1" applyFill="1" applyBorder="1" applyProtection="1"/>
    <xf numFmtId="165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 shrinkToFit="1"/>
    </xf>
    <xf numFmtId="165" fontId="20" fillId="5" borderId="9" xfId="9" applyFont="1" applyFill="1" applyBorder="1" applyProtection="1"/>
    <xf numFmtId="0" fontId="2" fillId="0" borderId="0" xfId="0" quotePrefix="1" applyFont="1"/>
    <xf numFmtId="165" fontId="20" fillId="5" borderId="8" xfId="9" applyFont="1" applyFill="1" applyBorder="1" applyAlignment="1" applyProtection="1">
      <alignment vertical="center"/>
    </xf>
    <xf numFmtId="167" fontId="20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0" fillId="5" borderId="11" xfId="9" applyNumberFormat="1" applyFont="1" applyFill="1" applyBorder="1" applyAlignment="1" applyProtection="1">
      <alignment vertical="center"/>
      <protection hidden="1"/>
    </xf>
    <xf numFmtId="167" fontId="20" fillId="4" borderId="6" xfId="9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12" xfId="9" applyNumberFormat="1" applyFont="1" applyBorder="1" applyAlignment="1">
      <alignment horizontal="center"/>
    </xf>
    <xf numFmtId="0" fontId="20" fillId="5" borderId="13" xfId="0" quotePrefix="1" applyFont="1" applyFill="1" applyBorder="1" applyAlignment="1" applyProtection="1">
      <alignment horizontal="center"/>
    </xf>
    <xf numFmtId="165" fontId="20" fillId="5" borderId="13" xfId="9" applyFont="1" applyFill="1" applyBorder="1" applyProtection="1"/>
    <xf numFmtId="165" fontId="20" fillId="5" borderId="13" xfId="9" applyFont="1" applyFill="1" applyBorder="1" applyAlignment="1" applyProtection="1">
      <alignment horizontal="center"/>
    </xf>
    <xf numFmtId="0" fontId="20" fillId="5" borderId="13" xfId="0" applyFont="1" applyFill="1" applyBorder="1" applyAlignment="1" applyProtection="1">
      <alignment horizontal="center"/>
    </xf>
    <xf numFmtId="0" fontId="20" fillId="5" borderId="14" xfId="0" quotePrefix="1" applyFont="1" applyFill="1" applyBorder="1" applyAlignment="1" applyProtection="1">
      <alignment horizontal="center"/>
    </xf>
    <xf numFmtId="165" fontId="20" fillId="5" borderId="14" xfId="9" applyFont="1" applyFill="1" applyBorder="1" applyProtection="1"/>
    <xf numFmtId="165" fontId="20" fillId="5" borderId="14" xfId="9" quotePrefix="1" applyFont="1" applyFill="1" applyBorder="1" applyAlignment="1" applyProtection="1">
      <alignment horizontal="center"/>
    </xf>
    <xf numFmtId="0" fontId="20" fillId="5" borderId="14" xfId="0" applyFont="1" applyFill="1" applyBorder="1" applyAlignment="1" applyProtection="1">
      <alignment horizontal="center"/>
    </xf>
    <xf numFmtId="165" fontId="20" fillId="5" borderId="15" xfId="9" applyFont="1" applyFill="1" applyBorder="1" applyAlignment="1" applyProtection="1">
      <alignment horizontal="center"/>
    </xf>
    <xf numFmtId="0" fontId="20" fillId="5" borderId="15" xfId="0" applyFont="1" applyFill="1" applyBorder="1" applyAlignment="1" applyProtection="1">
      <alignment horizontal="center"/>
    </xf>
    <xf numFmtId="167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/>
      <protection hidden="1"/>
    </xf>
    <xf numFmtId="165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 shrinkToFit="1"/>
    </xf>
    <xf numFmtId="167" fontId="20" fillId="5" borderId="16" xfId="9" applyNumberFormat="1" applyFont="1" applyFill="1" applyBorder="1" applyProtection="1"/>
    <xf numFmtId="165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 shrinkToFit="1"/>
    </xf>
    <xf numFmtId="167" fontId="21" fillId="5" borderId="10" xfId="9" applyNumberFormat="1" applyFont="1" applyFill="1" applyBorder="1" applyProtection="1"/>
    <xf numFmtId="167" fontId="21" fillId="5" borderId="17" xfId="9" applyNumberFormat="1" applyFont="1" applyFill="1" applyBorder="1" applyProtection="1"/>
    <xf numFmtId="167" fontId="20" fillId="5" borderId="17" xfId="9" applyNumberFormat="1" applyFont="1" applyFill="1" applyBorder="1" applyAlignment="1" applyProtection="1">
      <alignment vertical="center" shrinkToFit="1"/>
    </xf>
    <xf numFmtId="0" fontId="20" fillId="5" borderId="12" xfId="0" quotePrefix="1" applyFont="1" applyFill="1" applyBorder="1" applyAlignment="1" applyProtection="1"/>
    <xf numFmtId="0" fontId="20" fillId="5" borderId="6" xfId="0" quotePrefix="1" applyFont="1" applyFill="1" applyBorder="1" applyAlignment="1" applyProtection="1"/>
    <xf numFmtId="0" fontId="20" fillId="5" borderId="14" xfId="0" quotePrefix="1" applyFont="1" applyFill="1" applyBorder="1" applyAlignment="1" applyProtection="1"/>
    <xf numFmtId="0" fontId="20" fillId="5" borderId="18" xfId="0" quotePrefix="1" applyFont="1" applyFill="1" applyBorder="1" applyAlignment="1" applyProtection="1"/>
    <xf numFmtId="0" fontId="20" fillId="5" borderId="14" xfId="0" applyFont="1" applyFill="1" applyBorder="1" applyAlignment="1" applyProtection="1"/>
    <xf numFmtId="165" fontId="20" fillId="5" borderId="9" xfId="9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5" fontId="20" fillId="0" borderId="8" xfId="9" applyFont="1" applyFill="1" applyBorder="1" applyAlignment="1" applyProtection="1">
      <alignment vertical="center"/>
    </xf>
    <xf numFmtId="165" fontId="20" fillId="0" borderId="8" xfId="9" applyFont="1" applyFill="1" applyBorder="1" applyAlignment="1" applyProtection="1">
      <alignment horizontal="center" vertical="center"/>
    </xf>
    <xf numFmtId="165" fontId="17" fillId="0" borderId="10" xfId="9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167" fontId="17" fillId="0" borderId="8" xfId="9" applyNumberFormat="1" applyFont="1" applyFill="1" applyBorder="1" applyAlignment="1" applyProtection="1">
      <alignment vertical="center"/>
    </xf>
    <xf numFmtId="167" fontId="17" fillId="0" borderId="8" xfId="9" applyNumberFormat="1" applyFont="1" applyFill="1" applyBorder="1" applyAlignment="1" applyProtection="1">
      <alignment vertical="center"/>
      <protection hidden="1"/>
    </xf>
    <xf numFmtId="167" fontId="18" fillId="0" borderId="19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/>
    <xf numFmtId="167" fontId="19" fillId="0" borderId="8" xfId="9" applyNumberFormat="1" applyFont="1" applyFill="1" applyBorder="1" applyAlignment="1" applyProtection="1">
      <alignment vertical="center" shrinkToFit="1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5" fontId="22" fillId="4" borderId="6" xfId="9" applyFont="1" applyFill="1" applyBorder="1" applyAlignment="1" applyProtection="1">
      <alignment horizontal="left" vertical="center" wrapText="1"/>
    </xf>
    <xf numFmtId="167" fontId="16" fillId="0" borderId="0" xfId="0" applyNumberFormat="1" applyFont="1"/>
    <xf numFmtId="0" fontId="21" fillId="0" borderId="0" xfId="0" applyFont="1" applyAlignment="1">
      <alignment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8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>
      <alignment vertical="center"/>
      <protection hidden="1"/>
    </xf>
    <xf numFmtId="167" fontId="21" fillId="0" borderId="19" xfId="9" applyNumberFormat="1" applyFont="1" applyFill="1" applyBorder="1" applyAlignment="1" applyProtection="1">
      <alignment vertical="center"/>
    </xf>
    <xf numFmtId="167" fontId="19" fillId="0" borderId="10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 shrinkToFit="1"/>
    </xf>
    <xf numFmtId="0" fontId="26" fillId="4" borderId="0" xfId="0" applyFont="1" applyFill="1" applyBorder="1" applyAlignment="1" applyProtection="1">
      <alignment horizontal="center" vertical="center"/>
    </xf>
    <xf numFmtId="167" fontId="21" fillId="4" borderId="0" xfId="9" applyNumberFormat="1" applyFont="1" applyFill="1" applyBorder="1" applyAlignment="1" applyProtection="1">
      <alignment horizontal="center"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5" fontId="22" fillId="4" borderId="20" xfId="9" applyFont="1" applyFill="1" applyBorder="1" applyAlignment="1" applyProtection="1">
      <alignment horizontal="left" vertical="center" wrapText="1"/>
    </xf>
    <xf numFmtId="167" fontId="21" fillId="4" borderId="21" xfId="9" applyNumberFormat="1" applyFont="1" applyFill="1" applyBorder="1" applyAlignment="1" applyProtection="1">
      <alignment horizontal="center" vertical="center"/>
    </xf>
    <xf numFmtId="167" fontId="21" fillId="0" borderId="22" xfId="9" applyNumberFormat="1" applyFont="1" applyBorder="1" applyAlignment="1">
      <alignment horizontal="center"/>
    </xf>
    <xf numFmtId="167" fontId="20" fillId="5" borderId="20" xfId="9" applyNumberFormat="1" applyFont="1" applyFill="1" applyBorder="1" applyProtection="1"/>
    <xf numFmtId="0" fontId="22" fillId="4" borderId="20" xfId="0" applyFont="1" applyFill="1" applyBorder="1" applyAlignment="1" applyProtection="1">
      <alignment horizontal="center" vertical="center"/>
    </xf>
    <xf numFmtId="0" fontId="22" fillId="4" borderId="8" xfId="0" applyFont="1" applyFill="1" applyBorder="1" applyAlignment="1" applyProtection="1">
      <alignment horizontal="center" vertical="center"/>
    </xf>
    <xf numFmtId="0" fontId="27" fillId="4" borderId="23" xfId="0" applyFont="1" applyFill="1" applyBorder="1" applyAlignment="1" applyProtection="1">
      <alignment horizontal="center" vertical="center" wrapText="1"/>
    </xf>
    <xf numFmtId="0" fontId="27" fillId="4" borderId="23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25" xfId="0" applyFont="1" applyFill="1" applyBorder="1" applyAlignment="1" applyProtection="1">
      <alignment horizontal="center" vertical="center"/>
    </xf>
    <xf numFmtId="0" fontId="28" fillId="0" borderId="0" xfId="0" applyFont="1"/>
    <xf numFmtId="0" fontId="20" fillId="0" borderId="20" xfId="0" quotePrefix="1" applyFont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7" fontId="20" fillId="5" borderId="11" xfId="9" applyNumberFormat="1" applyFont="1" applyFill="1" applyBorder="1" applyAlignment="1" applyProtection="1">
      <alignment vertical="center"/>
    </xf>
    <xf numFmtId="167" fontId="21" fillId="5" borderId="27" xfId="9" applyNumberFormat="1" applyFont="1" applyFill="1" applyBorder="1" applyAlignment="1" applyProtection="1">
      <alignment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5" fontId="20" fillId="0" borderId="6" xfId="9" applyFont="1" applyFill="1" applyBorder="1" applyAlignment="1" applyProtection="1">
      <alignment vertical="center"/>
    </xf>
    <xf numFmtId="165" fontId="20" fillId="0" borderId="6" xfId="9" applyFont="1" applyFill="1" applyBorder="1" applyAlignment="1" applyProtection="1">
      <alignment horizontal="center" vertical="center"/>
    </xf>
    <xf numFmtId="165" fontId="17" fillId="0" borderId="12" xfId="9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167" fontId="17" fillId="0" borderId="28" xfId="9" applyNumberFormat="1" applyFont="1" applyFill="1" applyBorder="1" applyAlignment="1" applyProtection="1">
      <alignment vertical="center"/>
    </xf>
    <xf numFmtId="167" fontId="17" fillId="0" borderId="28" xfId="9" applyNumberFormat="1" applyFont="1" applyFill="1" applyBorder="1" applyAlignment="1" applyProtection="1">
      <alignment vertical="center"/>
      <protection hidden="1"/>
    </xf>
    <xf numFmtId="167" fontId="18" fillId="0" borderId="29" xfId="9" applyNumberFormat="1" applyFont="1" applyFill="1" applyBorder="1" applyAlignment="1" applyProtection="1">
      <alignment vertical="center"/>
    </xf>
    <xf numFmtId="167" fontId="19" fillId="0" borderId="6" xfId="9" applyNumberFormat="1" applyFont="1" applyFill="1" applyBorder="1" applyAlignment="1" applyProtection="1"/>
    <xf numFmtId="165" fontId="19" fillId="0" borderId="8" xfId="9" applyNumberFormat="1" applyFont="1" applyFill="1" applyBorder="1" applyAlignment="1" applyProtection="1">
      <alignment horizontal="center" vertical="center"/>
    </xf>
    <xf numFmtId="167" fontId="19" fillId="0" borderId="6" xfId="9" applyNumberFormat="1" applyFont="1" applyFill="1" applyBorder="1" applyAlignment="1" applyProtection="1">
      <alignment vertical="center" shrinkToFit="1"/>
    </xf>
    <xf numFmtId="165" fontId="17" fillId="0" borderId="11" xfId="9" applyFont="1" applyFill="1" applyBorder="1" applyAlignment="1" applyProtection="1">
      <alignment horizontal="left" vertical="center"/>
    </xf>
    <xf numFmtId="165" fontId="20" fillId="0" borderId="11" xfId="9" applyFont="1" applyFill="1" applyBorder="1" applyAlignment="1" applyProtection="1">
      <alignment vertical="center"/>
    </xf>
    <xf numFmtId="165" fontId="20" fillId="0" borderId="11" xfId="9" applyFont="1" applyFill="1" applyBorder="1" applyAlignment="1" applyProtection="1">
      <alignment horizontal="center" vertical="center"/>
    </xf>
    <xf numFmtId="165" fontId="17" fillId="0" borderId="30" xfId="9" applyFont="1" applyFill="1" applyBorder="1" applyAlignment="1" applyProtection="1">
      <alignment horizontal="center" vertical="center"/>
    </xf>
    <xf numFmtId="0" fontId="17" fillId="0" borderId="11" xfId="0" applyFont="1" applyFill="1" applyBorder="1" applyAlignment="1" applyProtection="1">
      <alignment horizontal="center" vertical="center"/>
    </xf>
    <xf numFmtId="167" fontId="18" fillId="0" borderId="27" xfId="9" applyNumberFormat="1" applyFont="1" applyFill="1" applyBorder="1" applyAlignment="1" applyProtection="1">
      <alignment vertical="center"/>
    </xf>
    <xf numFmtId="165" fontId="19" fillId="0" borderId="11" xfId="9" applyNumberFormat="1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vertical="center" shrinkToFit="1"/>
    </xf>
    <xf numFmtId="0" fontId="22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19" fillId="5" borderId="10" xfId="9" applyNumberFormat="1" applyFont="1" applyFill="1" applyBorder="1" applyAlignment="1" applyProtection="1">
      <alignment horizontal="center" vertical="center" shrinkToFit="1"/>
    </xf>
    <xf numFmtId="167" fontId="21" fillId="4" borderId="13" xfId="9" applyNumberFormat="1" applyFont="1" applyFill="1" applyBorder="1" applyAlignment="1" applyProtection="1">
      <alignment horizontal="center" vertical="center"/>
    </xf>
    <xf numFmtId="167" fontId="21" fillId="4" borderId="8" xfId="9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horizontal="center" vertical="center" shrinkToFit="1"/>
    </xf>
    <xf numFmtId="167" fontId="19" fillId="0" borderId="11" xfId="9" applyNumberFormat="1" applyFont="1" applyFill="1" applyBorder="1" applyAlignment="1" applyProtection="1"/>
    <xf numFmtId="3" fontId="22" fillId="0" borderId="0" xfId="0" applyNumberFormat="1" applyFont="1" applyAlignment="1">
      <alignment horizontal="left"/>
    </xf>
    <xf numFmtId="167" fontId="19" fillId="5" borderId="10" xfId="9" applyNumberFormat="1" applyFont="1" applyFill="1" applyBorder="1" applyAlignment="1" applyProtection="1">
      <alignment vertical="center" shrinkToFit="1"/>
    </xf>
    <xf numFmtId="167" fontId="19" fillId="5" borderId="30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  <protection hidden="1"/>
    </xf>
    <xf numFmtId="167" fontId="21" fillId="4" borderId="9" xfId="9" applyNumberFormat="1" applyFont="1" applyFill="1" applyBorder="1" applyAlignment="1" applyProtection="1">
      <alignment horizontal="center" vertical="center"/>
    </xf>
    <xf numFmtId="165" fontId="20" fillId="0" borderId="9" xfId="9" applyFont="1" applyFill="1" applyBorder="1" applyAlignment="1" applyProtection="1">
      <alignment vertical="center"/>
    </xf>
    <xf numFmtId="165" fontId="20" fillId="0" borderId="9" xfId="9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67" fontId="20" fillId="0" borderId="9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>
      <alignment vertical="center"/>
      <protection hidden="1"/>
    </xf>
    <xf numFmtId="167" fontId="19" fillId="0" borderId="9" xfId="9" applyNumberFormat="1" applyFont="1" applyFill="1" applyBorder="1" applyAlignment="1" applyProtection="1">
      <alignment vertical="center" shrinkToFit="1"/>
    </xf>
    <xf numFmtId="167" fontId="19" fillId="0" borderId="9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 shrinkToFit="1"/>
    </xf>
    <xf numFmtId="0" fontId="22" fillId="0" borderId="8" xfId="0" quotePrefix="1" applyFont="1" applyFill="1" applyBorder="1" applyAlignment="1" applyProtection="1">
      <alignment horizontal="center" vertical="center"/>
    </xf>
    <xf numFmtId="0" fontId="22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1" fillId="5" borderId="9" xfId="9" applyNumberFormat="1" applyFont="1" applyFill="1" applyBorder="1" applyProtection="1"/>
    <xf numFmtId="165" fontId="22" fillId="5" borderId="8" xfId="9" applyFont="1" applyFill="1" applyBorder="1" applyAlignment="1" applyProtection="1">
      <alignment vertical="center"/>
    </xf>
    <xf numFmtId="165" fontId="22" fillId="5" borderId="8" xfId="9" applyFont="1" applyFill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Protection="1"/>
    <xf numFmtId="167" fontId="22" fillId="5" borderId="8" xfId="9" applyNumberFormat="1" applyFont="1" applyFill="1" applyBorder="1" applyAlignment="1" applyProtection="1">
      <alignment vertical="center"/>
      <protection hidden="1"/>
    </xf>
    <xf numFmtId="167" fontId="28" fillId="5" borderId="19" xfId="9" applyNumberFormat="1" applyFont="1" applyFill="1" applyBorder="1" applyAlignment="1" applyProtection="1">
      <alignment vertical="center"/>
    </xf>
    <xf numFmtId="167" fontId="29" fillId="5" borderId="10" xfId="9" applyNumberFormat="1" applyFont="1" applyFill="1" applyBorder="1" applyAlignment="1" applyProtection="1">
      <alignment vertical="center" shrinkToFit="1"/>
    </xf>
    <xf numFmtId="167" fontId="29" fillId="5" borderId="8" xfId="9" applyNumberFormat="1" applyFont="1" applyFill="1" applyBorder="1" applyAlignment="1" applyProtection="1">
      <alignment vertical="center" shrinkToFit="1"/>
    </xf>
    <xf numFmtId="165" fontId="22" fillId="0" borderId="8" xfId="9" applyFont="1" applyFill="1" applyBorder="1" applyAlignment="1" applyProtection="1">
      <alignment vertical="center"/>
    </xf>
    <xf numFmtId="165" fontId="22" fillId="0" borderId="8" xfId="9" applyFont="1" applyFill="1" applyBorder="1" applyAlignment="1" applyProtection="1">
      <alignment horizontal="center" vertical="center"/>
    </xf>
    <xf numFmtId="167" fontId="22" fillId="0" borderId="8" xfId="9" applyNumberFormat="1" applyFont="1" applyFill="1" applyBorder="1" applyAlignment="1" applyProtection="1">
      <alignment vertical="center"/>
    </xf>
    <xf numFmtId="167" fontId="22" fillId="0" borderId="8" xfId="9" applyNumberFormat="1" applyFont="1" applyFill="1" applyBorder="1" applyAlignment="1" applyProtection="1">
      <alignment vertical="center"/>
      <protection hidden="1"/>
    </xf>
    <xf numFmtId="167" fontId="28" fillId="0" borderId="19" xfId="9" applyNumberFormat="1" applyFont="1" applyFill="1" applyBorder="1" applyAlignment="1" applyProtection="1">
      <alignment vertical="center"/>
    </xf>
    <xf numFmtId="165" fontId="22" fillId="0" borderId="10" xfId="9" applyFont="1" applyFill="1" applyBorder="1" applyAlignment="1" applyProtection="1">
      <alignment horizontal="center" vertical="center"/>
    </xf>
    <xf numFmtId="165" fontId="22" fillId="0" borderId="12" xfId="9" applyFont="1" applyFill="1" applyBorder="1" applyAlignment="1" applyProtection="1">
      <alignment horizontal="center" vertical="center"/>
    </xf>
    <xf numFmtId="165" fontId="30" fillId="0" borderId="8" xfId="9" applyFont="1" applyFill="1" applyBorder="1" applyAlignment="1" applyProtection="1">
      <alignment horizontal="left" vertical="center"/>
    </xf>
    <xf numFmtId="165" fontId="30" fillId="0" borderId="10" xfId="9" applyFont="1" applyFill="1" applyBorder="1" applyAlignment="1" applyProtection="1">
      <alignment horizontal="center" vertical="center"/>
    </xf>
    <xf numFmtId="0" fontId="30" fillId="0" borderId="8" xfId="0" applyFont="1" applyFill="1" applyBorder="1" applyAlignment="1" applyProtection="1">
      <alignment horizontal="center" vertical="center"/>
    </xf>
    <xf numFmtId="167" fontId="30" fillId="0" borderId="8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>
      <alignment vertical="center"/>
      <protection hidden="1"/>
    </xf>
    <xf numFmtId="167" fontId="31" fillId="0" borderId="19" xfId="9" applyNumberFormat="1" applyFont="1" applyFill="1" applyBorder="1" applyAlignment="1" applyProtection="1">
      <alignment vertical="center"/>
    </xf>
    <xf numFmtId="165" fontId="30" fillId="0" borderId="9" xfId="9" applyFont="1" applyFill="1" applyBorder="1" applyAlignment="1" applyProtection="1">
      <alignment horizontal="left" vertical="center"/>
    </xf>
    <xf numFmtId="165" fontId="22" fillId="0" borderId="9" xfId="9" applyFont="1" applyFill="1" applyBorder="1" applyAlignment="1" applyProtection="1">
      <alignment vertical="center"/>
    </xf>
    <xf numFmtId="165" fontId="30" fillId="0" borderId="17" xfId="9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vertical="center"/>
    </xf>
    <xf numFmtId="167" fontId="22" fillId="0" borderId="9" xfId="9" applyNumberFormat="1" applyFont="1" applyFill="1" applyBorder="1" applyAlignment="1" applyProtection="1">
      <alignment vertical="center"/>
      <protection hidden="1"/>
    </xf>
    <xf numFmtId="167" fontId="31" fillId="0" borderId="32" xfId="9" applyNumberFormat="1" applyFont="1" applyFill="1" applyBorder="1" applyAlignment="1" applyProtection="1">
      <alignment vertical="center"/>
    </xf>
    <xf numFmtId="0" fontId="24" fillId="4" borderId="23" xfId="0" applyFont="1" applyFill="1" applyBorder="1" applyAlignment="1" applyProtection="1">
      <alignment horizontal="center" vertical="center" wrapText="1"/>
    </xf>
    <xf numFmtId="0" fontId="24" fillId="4" borderId="23" xfId="0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 applyProtection="1">
      <alignment horizontal="center" vertical="center"/>
    </xf>
    <xf numFmtId="0" fontId="24" fillId="4" borderId="25" xfId="0" applyFont="1" applyFill="1" applyBorder="1" applyAlignment="1" applyProtection="1">
      <alignment horizontal="center" vertical="center"/>
    </xf>
    <xf numFmtId="0" fontId="24" fillId="0" borderId="33" xfId="0" applyFont="1" applyBorder="1" applyAlignment="1">
      <alignment horizontal="center"/>
    </xf>
    <xf numFmtId="167" fontId="22" fillId="0" borderId="20" xfId="0" applyNumberFormat="1" applyFont="1" applyBorder="1"/>
    <xf numFmtId="167" fontId="19" fillId="0" borderId="10" xfId="9" applyNumberFormat="1" applyFont="1" applyFill="1" applyBorder="1" applyAlignment="1" applyProtection="1"/>
    <xf numFmtId="167" fontId="19" fillId="0" borderId="12" xfId="9" applyNumberFormat="1" applyFont="1" applyFill="1" applyBorder="1" applyAlignment="1" applyProtection="1"/>
    <xf numFmtId="167" fontId="19" fillId="0" borderId="30" xfId="9" applyNumberFormat="1" applyFont="1" applyFill="1" applyBorder="1" applyAlignment="1" applyProtection="1"/>
    <xf numFmtId="0" fontId="22" fillId="0" borderId="28" xfId="0" quotePrefix="1" applyFont="1" applyFill="1" applyBorder="1" applyAlignment="1" applyProtection="1">
      <alignment horizontal="center" vertical="center"/>
    </xf>
    <xf numFmtId="165" fontId="20" fillId="0" borderId="28" xfId="9" applyFont="1" applyFill="1" applyBorder="1" applyAlignment="1" applyProtection="1">
      <alignment vertical="center"/>
    </xf>
    <xf numFmtId="165" fontId="20" fillId="0" borderId="28" xfId="9" applyFont="1" applyFill="1" applyBorder="1" applyAlignment="1" applyProtection="1">
      <alignment horizontal="center" vertical="center"/>
    </xf>
    <xf numFmtId="0" fontId="20" fillId="0" borderId="28" xfId="0" applyFont="1" applyFill="1" applyBorder="1" applyAlignment="1" applyProtection="1">
      <alignment horizontal="center" vertical="center"/>
    </xf>
    <xf numFmtId="167" fontId="20" fillId="0" borderId="28" xfId="9" applyNumberFormat="1" applyFont="1" applyFill="1" applyBorder="1" applyAlignment="1" applyProtection="1">
      <alignment vertical="center"/>
    </xf>
    <xf numFmtId="167" fontId="20" fillId="0" borderId="28" xfId="9" applyNumberFormat="1" applyFont="1" applyFill="1" applyBorder="1" applyAlignment="1" applyProtection="1">
      <alignment vertical="center"/>
      <protection hidden="1"/>
    </xf>
    <xf numFmtId="167" fontId="21" fillId="0" borderId="29" xfId="9" applyNumberFormat="1" applyFont="1" applyFill="1" applyBorder="1" applyAlignment="1" applyProtection="1">
      <alignment vertical="center"/>
    </xf>
    <xf numFmtId="167" fontId="19" fillId="0" borderId="31" xfId="9" applyNumberFormat="1" applyFont="1" applyFill="1" applyBorder="1" applyAlignment="1" applyProtection="1">
      <alignment vertical="center" shrinkToFit="1"/>
    </xf>
    <xf numFmtId="167" fontId="19" fillId="0" borderId="28" xfId="9" applyNumberFormat="1" applyFont="1" applyFill="1" applyBorder="1" applyAlignment="1" applyProtection="1">
      <alignment vertical="center" shrinkToFit="1"/>
    </xf>
    <xf numFmtId="167" fontId="19" fillId="5" borderId="31" xfId="9" applyNumberFormat="1" applyFont="1" applyFill="1" applyBorder="1" applyAlignment="1" applyProtection="1">
      <alignment horizontal="center"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1" fillId="4" borderId="28" xfId="9" applyNumberFormat="1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 wrapText="1"/>
    </xf>
    <xf numFmtId="167" fontId="22" fillId="5" borderId="45" xfId="9" applyNumberFormat="1" applyFont="1" applyFill="1" applyBorder="1" applyAlignment="1" applyProtection="1">
      <alignment vertical="center"/>
      <protection hidden="1"/>
    </xf>
    <xf numFmtId="167" fontId="22" fillId="0" borderId="45" xfId="9" applyNumberFormat="1" applyFont="1" applyFill="1" applyBorder="1" applyAlignment="1" applyProtection="1">
      <alignment vertical="center"/>
      <protection hidden="1"/>
    </xf>
    <xf numFmtId="167" fontId="30" fillId="0" borderId="45" xfId="9" applyNumberFormat="1" applyFont="1" applyFill="1" applyBorder="1" applyAlignment="1" applyProtection="1">
      <alignment vertical="center"/>
      <protection hidden="1"/>
    </xf>
    <xf numFmtId="167" fontId="22" fillId="0" borderId="46" xfId="9" applyNumberFormat="1" applyFont="1" applyFill="1" applyBorder="1" applyAlignment="1" applyProtection="1">
      <alignment vertical="center"/>
      <protection hidden="1"/>
    </xf>
    <xf numFmtId="167" fontId="22" fillId="0" borderId="8" xfId="9" applyNumberFormat="1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horizontal="center" vertical="center"/>
    </xf>
    <xf numFmtId="0" fontId="21" fillId="7" borderId="34" xfId="0" applyFont="1" applyFill="1" applyBorder="1" applyAlignment="1" applyProtection="1">
      <alignment horizontal="center" vertical="center" wrapText="1"/>
    </xf>
    <xf numFmtId="0" fontId="22" fillId="0" borderId="0" xfId="0" applyFont="1" applyFill="1"/>
    <xf numFmtId="0" fontId="28" fillId="7" borderId="34" xfId="0" applyFont="1" applyFill="1" applyBorder="1" applyAlignment="1" applyProtection="1">
      <alignment horizontal="center" vertical="center" wrapText="1"/>
    </xf>
    <xf numFmtId="165" fontId="20" fillId="5" borderId="11" xfId="9" applyFont="1" applyFill="1" applyBorder="1" applyAlignment="1" applyProtection="1">
      <alignment vertical="center"/>
    </xf>
    <xf numFmtId="165" fontId="20" fillId="5" borderId="11" xfId="9" applyFont="1" applyFill="1" applyBorder="1" applyProtection="1"/>
    <xf numFmtId="165" fontId="20" fillId="5" borderId="26" xfId="9" applyFont="1" applyFill="1" applyBorder="1" applyAlignment="1" applyProtection="1">
      <alignment horizontal="center"/>
    </xf>
    <xf numFmtId="0" fontId="20" fillId="5" borderId="26" xfId="0" applyFont="1" applyFill="1" applyBorder="1" applyAlignment="1" applyProtection="1">
      <alignment horizontal="center"/>
    </xf>
    <xf numFmtId="167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/>
      <protection hidden="1"/>
    </xf>
    <xf numFmtId="167" fontId="21" fillId="5" borderId="30" xfId="9" applyNumberFormat="1" applyFont="1" applyFill="1" applyBorder="1" applyProtection="1"/>
    <xf numFmtId="165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horizontal="left" vertical="center" shrinkToFit="1"/>
    </xf>
    <xf numFmtId="0" fontId="20" fillId="5" borderId="10" xfId="9" applyNumberFormat="1" applyFont="1" applyFill="1" applyBorder="1" applyAlignment="1" applyProtection="1">
      <alignment horizontal="left" vertical="center" shrinkToFit="1"/>
    </xf>
    <xf numFmtId="0" fontId="20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8" fillId="0" borderId="0" xfId="0" applyFont="1" applyAlignment="1"/>
    <xf numFmtId="0" fontId="28" fillId="0" borderId="0" xfId="0" applyFont="1" applyAlignment="1">
      <alignment wrapText="1"/>
    </xf>
    <xf numFmtId="20" fontId="20" fillId="0" borderId="8" xfId="9" applyNumberFormat="1" applyFont="1" applyFill="1" applyBorder="1" applyAlignment="1" applyProtection="1">
      <alignment horizontal="center" vertical="center"/>
    </xf>
    <xf numFmtId="20" fontId="20" fillId="0" borderId="20" xfId="9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horizontal="center" vertical="center"/>
    </xf>
    <xf numFmtId="20" fontId="22" fillId="0" borderId="8" xfId="0" applyNumberFormat="1" applyFont="1" applyFill="1" applyBorder="1" applyAlignment="1" applyProtection="1">
      <alignment horizontal="center" vertical="center"/>
    </xf>
    <xf numFmtId="20" fontId="30" fillId="0" borderId="8" xfId="0" applyNumberFormat="1" applyFont="1" applyFill="1" applyBorder="1" applyAlignment="1" applyProtection="1">
      <alignment horizontal="center" vertical="center"/>
    </xf>
    <xf numFmtId="20" fontId="30" fillId="0" borderId="9" xfId="0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vertical="center"/>
    </xf>
    <xf numFmtId="20" fontId="22" fillId="5" borderId="8" xfId="0" applyNumberFormat="1" applyFont="1" applyFill="1" applyBorder="1" applyAlignment="1" applyProtection="1">
      <alignment horizontal="center" vertical="center"/>
    </xf>
    <xf numFmtId="167" fontId="19" fillId="5" borderId="17" xfId="9" applyNumberFormat="1" applyFont="1" applyFill="1" applyBorder="1" applyAlignment="1" applyProtection="1">
      <alignment vertical="center" shrinkToFit="1"/>
    </xf>
    <xf numFmtId="167" fontId="19" fillId="5" borderId="9" xfId="9" applyNumberFormat="1" applyFont="1" applyFill="1" applyBorder="1" applyAlignment="1" applyProtection="1">
      <alignment vertical="center" shrinkToFit="1"/>
    </xf>
    <xf numFmtId="167" fontId="19" fillId="5" borderId="8" xfId="9" applyNumberFormat="1" applyFont="1" applyFill="1" applyBorder="1" applyAlignment="1" applyProtection="1">
      <alignment horizontal="center" vertical="center" shrinkToFit="1"/>
    </xf>
    <xf numFmtId="167" fontId="29" fillId="5" borderId="11" xfId="9" applyNumberFormat="1" applyFont="1" applyFill="1" applyBorder="1" applyAlignment="1" applyProtection="1">
      <alignment vertical="center" shrinkToFit="1"/>
    </xf>
    <xf numFmtId="20" fontId="22" fillId="0" borderId="28" xfId="0" applyNumberFormat="1" applyFont="1" applyFill="1" applyBorder="1" applyAlignment="1" applyProtection="1">
      <alignment horizontal="center" vertical="center"/>
    </xf>
    <xf numFmtId="20" fontId="22" fillId="0" borderId="11" xfId="0" applyNumberFormat="1" applyFont="1" applyFill="1" applyBorder="1" applyAlignment="1" applyProtection="1">
      <alignment horizontal="center" vertical="center"/>
    </xf>
    <xf numFmtId="20" fontId="22" fillId="0" borderId="8" xfId="9" quotePrefix="1" applyNumberFormat="1" applyFont="1" applyFill="1" applyBorder="1" applyAlignment="1" applyProtection="1">
      <alignment horizontal="center" vertical="center"/>
    </xf>
    <xf numFmtId="20" fontId="30" fillId="0" borderId="28" xfId="0" applyNumberFormat="1" applyFont="1" applyFill="1" applyBorder="1" applyAlignment="1" applyProtection="1">
      <alignment horizontal="center" vertical="center"/>
    </xf>
    <xf numFmtId="20" fontId="30" fillId="0" borderId="11" xfId="0" applyNumberFormat="1" applyFont="1" applyFill="1" applyBorder="1" applyAlignment="1" applyProtection="1">
      <alignment horizontal="center" vertical="center"/>
    </xf>
    <xf numFmtId="20" fontId="22" fillId="0" borderId="8" xfId="9" applyNumberFormat="1" applyFont="1" applyFill="1" applyBorder="1" applyAlignment="1" applyProtection="1">
      <alignment horizontal="center" vertical="center"/>
    </xf>
    <xf numFmtId="179" fontId="22" fillId="0" borderId="8" xfId="9" applyNumberFormat="1" applyFont="1" applyFill="1" applyBorder="1" applyAlignment="1" applyProtection="1">
      <alignment horizontal="center" vertical="center"/>
    </xf>
    <xf numFmtId="167" fontId="20" fillId="5" borderId="6" xfId="9" applyNumberFormat="1" applyFont="1" applyFill="1" applyBorder="1" applyAlignment="1" applyProtection="1">
      <alignment vertical="center"/>
      <protection hidden="1"/>
    </xf>
    <xf numFmtId="165" fontId="20" fillId="5" borderId="6" xfId="9" applyFont="1" applyFill="1" applyBorder="1" applyAlignment="1" applyProtection="1">
      <alignment vertical="center"/>
    </xf>
    <xf numFmtId="167" fontId="20" fillId="5" borderId="6" xfId="9" applyNumberFormat="1" applyFont="1" applyFill="1" applyBorder="1" applyAlignment="1" applyProtection="1">
      <alignment vertical="center" shrinkToFit="1"/>
    </xf>
    <xf numFmtId="167" fontId="21" fillId="4" borderId="10" xfId="9" applyNumberFormat="1" applyFont="1" applyFill="1" applyBorder="1" applyAlignment="1" applyProtection="1">
      <alignment horizontal="center" vertical="center"/>
    </xf>
    <xf numFmtId="167" fontId="19" fillId="5" borderId="8" xfId="9" applyNumberFormat="1" applyFont="1" applyFill="1" applyBorder="1" applyAlignment="1" applyProtection="1">
      <alignment vertical="center" shrinkToFit="1"/>
    </xf>
    <xf numFmtId="167" fontId="21" fillId="4" borderId="17" xfId="9" applyNumberFormat="1" applyFont="1" applyFill="1" applyBorder="1" applyAlignment="1" applyProtection="1">
      <alignment horizontal="center" vertical="center"/>
    </xf>
    <xf numFmtId="0" fontId="22" fillId="4" borderId="9" xfId="0" quotePrefix="1" applyFont="1" applyFill="1" applyBorder="1" applyAlignment="1" applyProtection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165" fontId="20" fillId="5" borderId="6" xfId="9" applyFont="1" applyFill="1" applyBorder="1" applyProtection="1"/>
    <xf numFmtId="165" fontId="20" fillId="5" borderId="6" xfId="9" applyFont="1" applyFill="1" applyBorder="1" applyAlignment="1" applyProtection="1">
      <alignment horizontal="center"/>
    </xf>
    <xf numFmtId="0" fontId="20" fillId="5" borderId="6" xfId="0" applyFont="1" applyFill="1" applyBorder="1" applyAlignment="1" applyProtection="1">
      <alignment horizontal="center"/>
    </xf>
    <xf numFmtId="167" fontId="20" fillId="5" borderId="6" xfId="9" applyNumberFormat="1" applyFont="1" applyFill="1" applyBorder="1" applyProtection="1"/>
    <xf numFmtId="165" fontId="20" fillId="5" borderId="6" xfId="9" applyNumberFormat="1" applyFont="1" applyFill="1" applyBorder="1" applyProtection="1"/>
    <xf numFmtId="0" fontId="21" fillId="0" borderId="0" xfId="0" applyFont="1" applyAlignment="1">
      <alignment horizontal="center"/>
    </xf>
    <xf numFmtId="165" fontId="22" fillId="5" borderId="9" xfId="9" applyFont="1" applyFill="1" applyBorder="1" applyAlignment="1" applyProtection="1">
      <alignment vertical="center"/>
    </xf>
    <xf numFmtId="0" fontId="22" fillId="5" borderId="9" xfId="0" applyFont="1" applyFill="1" applyBorder="1" applyAlignment="1" applyProtection="1">
      <alignment horizontal="center" vertical="center"/>
    </xf>
    <xf numFmtId="167" fontId="22" fillId="5" borderId="9" xfId="9" applyNumberFormat="1" applyFont="1" applyFill="1" applyBorder="1" applyAlignment="1" applyProtection="1">
      <alignment vertical="center"/>
      <protection hidden="1"/>
    </xf>
    <xf numFmtId="167" fontId="28" fillId="0" borderId="0" xfId="0" applyNumberFormat="1" applyFont="1"/>
    <xf numFmtId="20" fontId="20" fillId="0" borderId="6" xfId="9" quotePrefix="1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/>
    </xf>
    <xf numFmtId="167" fontId="20" fillId="5" borderId="9" xfId="9" applyNumberFormat="1" applyFont="1" applyFill="1" applyBorder="1" applyAlignment="1" applyProtection="1">
      <alignment vertical="center"/>
    </xf>
    <xf numFmtId="167" fontId="21" fillId="5" borderId="19" xfId="9" applyNumberFormat="1" applyFont="1" applyFill="1" applyBorder="1" applyAlignment="1" applyProtection="1">
      <alignment vertical="center"/>
    </xf>
    <xf numFmtId="167" fontId="21" fillId="5" borderId="32" xfId="9" applyNumberFormat="1" applyFont="1" applyFill="1" applyBorder="1" applyAlignment="1" applyProtection="1">
      <alignment vertical="center"/>
    </xf>
    <xf numFmtId="167" fontId="17" fillId="0" borderId="9" xfId="9" applyNumberFormat="1" applyFont="1" applyFill="1" applyBorder="1" applyAlignment="1" applyProtection="1">
      <alignment vertical="center"/>
    </xf>
    <xf numFmtId="167" fontId="17" fillId="0" borderId="9" xfId="9" applyNumberFormat="1" applyFont="1" applyFill="1" applyBorder="1" applyAlignment="1" applyProtection="1">
      <alignment vertical="center"/>
      <protection hidden="1"/>
    </xf>
    <xf numFmtId="167" fontId="18" fillId="0" borderId="32" xfId="9" applyNumberFormat="1" applyFont="1" applyFill="1" applyBorder="1" applyAlignment="1" applyProtection="1">
      <alignment vertical="center"/>
    </xf>
    <xf numFmtId="167" fontId="19" fillId="0" borderId="17" xfId="9" applyNumberFormat="1" applyFont="1" applyFill="1" applyBorder="1" applyAlignment="1" applyProtection="1"/>
    <xf numFmtId="167" fontId="19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shrinkToFit="1"/>
    </xf>
    <xf numFmtId="167" fontId="19" fillId="0" borderId="8" xfId="9" applyNumberFormat="1" applyFont="1" applyFill="1" applyBorder="1" applyAlignment="1" applyProtection="1">
      <alignment shrinkToFit="1"/>
    </xf>
    <xf numFmtId="167" fontId="19" fillId="0" borderId="9" xfId="9" applyNumberFormat="1" applyFont="1" applyFill="1" applyBorder="1" applyAlignment="1" applyProtection="1">
      <alignment shrinkToFit="1"/>
    </xf>
    <xf numFmtId="0" fontId="22" fillId="4" borderId="11" xfId="0" applyFont="1" applyFill="1" applyBorder="1" applyAlignment="1" applyProtection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19" fillId="5" borderId="30" xfId="9" applyNumberFormat="1" applyFont="1" applyFill="1" applyBorder="1" applyAlignment="1" applyProtection="1">
      <alignment horizontal="center" vertical="center" shrinkToFit="1"/>
    </xf>
    <xf numFmtId="167" fontId="21" fillId="4" borderId="11" xfId="9" applyNumberFormat="1" applyFont="1" applyFill="1" applyBorder="1" applyAlignment="1" applyProtection="1">
      <alignment horizontal="center" vertical="center"/>
    </xf>
    <xf numFmtId="165" fontId="20" fillId="0" borderId="20" xfId="9" applyFont="1" applyFill="1" applyBorder="1" applyAlignment="1" applyProtection="1">
      <alignment horizontal="center" vertical="center"/>
    </xf>
    <xf numFmtId="167" fontId="20" fillId="0" borderId="20" xfId="9" applyNumberFormat="1" applyFont="1" applyFill="1" applyBorder="1" applyAlignment="1" applyProtection="1">
      <alignment vertical="center"/>
    </xf>
    <xf numFmtId="165" fontId="22" fillId="0" borderId="20" xfId="9" applyFont="1" applyFill="1" applyBorder="1" applyAlignment="1" applyProtection="1">
      <alignment vertical="center"/>
    </xf>
    <xf numFmtId="0" fontId="22" fillId="0" borderId="20" xfId="0" applyFont="1" applyFill="1" applyBorder="1" applyAlignment="1" applyProtection="1">
      <alignment horizontal="center" vertical="center"/>
    </xf>
    <xf numFmtId="167" fontId="22" fillId="0" borderId="20" xfId="9" applyNumberFormat="1" applyFont="1" applyFill="1" applyBorder="1" applyAlignment="1" applyProtection="1">
      <alignment vertical="center"/>
      <protection hidden="1"/>
    </xf>
    <xf numFmtId="167" fontId="28" fillId="0" borderId="21" xfId="9" applyNumberFormat="1" applyFont="1" applyFill="1" applyBorder="1" applyAlignment="1" applyProtection="1">
      <alignment vertical="center"/>
    </xf>
    <xf numFmtId="167" fontId="29" fillId="0" borderId="22" xfId="9" applyNumberFormat="1" applyFont="1" applyFill="1" applyBorder="1" applyAlignment="1" applyProtection="1">
      <alignment vertical="center" shrinkToFit="1"/>
    </xf>
    <xf numFmtId="167" fontId="29" fillId="0" borderId="20" xfId="9" applyNumberFormat="1" applyFont="1" applyFill="1" applyBorder="1" applyAlignment="1" applyProtection="1">
      <alignment vertical="center" shrinkToFit="1"/>
    </xf>
    <xf numFmtId="167" fontId="29" fillId="5" borderId="22" xfId="9" applyNumberFormat="1" applyFont="1" applyFill="1" applyBorder="1" applyAlignment="1" applyProtection="1">
      <alignment horizontal="center" vertical="center" shrinkToFit="1"/>
    </xf>
    <xf numFmtId="167" fontId="19" fillId="0" borderId="0" xfId="9" applyNumberFormat="1" applyFont="1" applyFill="1" applyBorder="1" applyAlignment="1" applyProtection="1">
      <alignment vertical="center" shrinkToFit="1"/>
    </xf>
    <xf numFmtId="167" fontId="20" fillId="0" borderId="0" xfId="9" applyNumberFormat="1" applyFont="1" applyFill="1" applyBorder="1" applyAlignment="1" applyProtection="1">
      <alignment vertical="center" shrinkToFit="1"/>
    </xf>
    <xf numFmtId="167" fontId="18" fillId="0" borderId="20" xfId="9" applyNumberFormat="1" applyFont="1" applyFill="1" applyBorder="1" applyAlignment="1" applyProtection="1">
      <alignment vertical="center" shrinkToFit="1"/>
    </xf>
    <xf numFmtId="167" fontId="22" fillId="0" borderId="22" xfId="9" applyNumberFormat="1" applyFont="1" applyFill="1" applyBorder="1" applyAlignment="1" applyProtection="1">
      <alignment vertical="center"/>
      <protection hidden="1"/>
    </xf>
    <xf numFmtId="167" fontId="21" fillId="0" borderId="21" xfId="9" applyNumberFormat="1" applyFont="1" applyFill="1" applyBorder="1" applyAlignment="1" applyProtection="1">
      <alignment vertical="center"/>
      <protection hidden="1"/>
    </xf>
    <xf numFmtId="165" fontId="20" fillId="5" borderId="8" xfId="9" applyFont="1" applyFill="1" applyBorder="1" applyAlignment="1" applyProtection="1">
      <alignment horizontal="center" vertical="center"/>
    </xf>
    <xf numFmtId="165" fontId="20" fillId="5" borderId="9" xfId="9" applyFont="1" applyFill="1" applyBorder="1" applyAlignment="1" applyProtection="1">
      <alignment horizontal="center" vertical="center"/>
    </xf>
    <xf numFmtId="0" fontId="22" fillId="0" borderId="8" xfId="0" applyFont="1" applyBorder="1"/>
    <xf numFmtId="0" fontId="22" fillId="0" borderId="9" xfId="0" applyFont="1" applyBorder="1"/>
    <xf numFmtId="167" fontId="19" fillId="0" borderId="17" xfId="9" applyNumberFormat="1" applyFont="1" applyFill="1" applyBorder="1" applyAlignment="1" applyProtection="1">
      <alignment vertical="center" shrinkToFit="1"/>
    </xf>
    <xf numFmtId="0" fontId="27" fillId="4" borderId="49" xfId="0" applyFont="1" applyFill="1" applyBorder="1" applyAlignment="1" applyProtection="1">
      <alignment horizontal="center" vertical="center"/>
    </xf>
    <xf numFmtId="167" fontId="21" fillId="0" borderId="32" xfId="9" applyNumberFormat="1" applyFont="1" applyFill="1" applyBorder="1" applyAlignment="1" applyProtection="1">
      <alignment vertical="center"/>
    </xf>
    <xf numFmtId="0" fontId="16" fillId="0" borderId="0" xfId="0" applyFont="1" applyAlignment="1"/>
    <xf numFmtId="167" fontId="21" fillId="0" borderId="10" xfId="9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5" fontId="20" fillId="5" borderId="23" xfId="9" applyFont="1" applyFill="1" applyBorder="1" applyAlignment="1" applyProtection="1">
      <alignment vertical="center"/>
    </xf>
    <xf numFmtId="165" fontId="20" fillId="5" borderId="23" xfId="9" applyFont="1" applyFill="1" applyBorder="1" applyProtection="1"/>
    <xf numFmtId="165" fontId="20" fillId="5" borderId="50" xfId="9" applyFont="1" applyFill="1" applyBorder="1" applyAlignment="1" applyProtection="1">
      <alignment horizontal="center"/>
    </xf>
    <xf numFmtId="0" fontId="20" fillId="5" borderId="50" xfId="0" applyFont="1" applyFill="1" applyBorder="1" applyAlignment="1" applyProtection="1">
      <alignment horizontal="center"/>
    </xf>
    <xf numFmtId="167" fontId="20" fillId="5" borderId="50" xfId="9" applyNumberFormat="1" applyFont="1" applyFill="1" applyBorder="1" applyProtection="1"/>
    <xf numFmtId="167" fontId="20" fillId="5" borderId="50" xfId="9" applyNumberFormat="1" applyFont="1" applyFill="1" applyBorder="1" applyAlignment="1" applyProtection="1">
      <alignment vertical="center"/>
      <protection hidden="1"/>
    </xf>
    <xf numFmtId="167" fontId="21" fillId="5" borderId="25" xfId="9" applyNumberFormat="1" applyFont="1" applyFill="1" applyBorder="1" applyProtection="1"/>
    <xf numFmtId="165" fontId="20" fillId="5" borderId="50" xfId="9" applyNumberFormat="1" applyFont="1" applyFill="1" applyBorder="1" applyProtection="1"/>
    <xf numFmtId="167" fontId="20" fillId="5" borderId="50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vertical="center" shrinkToFit="1"/>
    </xf>
    <xf numFmtId="0" fontId="20" fillId="5" borderId="10" xfId="9" applyNumberFormat="1" applyFont="1" applyFill="1" applyBorder="1" applyAlignment="1" applyProtection="1">
      <alignment vertical="center" shrinkToFit="1"/>
    </xf>
    <xf numFmtId="0" fontId="20" fillId="0" borderId="10" xfId="9" applyNumberFormat="1" applyFont="1" applyBorder="1" applyAlignment="1">
      <alignment horizontal="left" vertical="center"/>
    </xf>
    <xf numFmtId="0" fontId="20" fillId="5" borderId="30" xfId="9" applyNumberFormat="1" applyFont="1" applyFill="1" applyBorder="1" applyAlignment="1" applyProtection="1">
      <alignment vertical="center" shrinkToFit="1"/>
    </xf>
    <xf numFmtId="0" fontId="32" fillId="0" borderId="0" xfId="0" applyFont="1" applyBorder="1"/>
    <xf numFmtId="0" fontId="32" fillId="0" borderId="0" xfId="0" applyFont="1"/>
    <xf numFmtId="167" fontId="33" fillId="5" borderId="10" xfId="9" applyNumberFormat="1" applyFont="1" applyFill="1" applyBorder="1" applyAlignment="1" applyProtection="1">
      <alignment vertical="center" shrinkToFit="1"/>
    </xf>
    <xf numFmtId="167" fontId="33" fillId="5" borderId="8" xfId="9" applyNumberFormat="1" applyFont="1" applyFill="1" applyBorder="1" applyAlignment="1" applyProtection="1">
      <alignment vertical="center" shrinkToFit="1"/>
    </xf>
    <xf numFmtId="167" fontId="33" fillId="0" borderId="8" xfId="9" applyNumberFormat="1" applyFont="1" applyFill="1" applyBorder="1" applyAlignment="1" applyProtection="1">
      <alignment vertical="center" shrinkToFit="1"/>
    </xf>
    <xf numFmtId="167" fontId="33" fillId="0" borderId="10" xfId="9" applyNumberFormat="1" applyFont="1" applyFill="1" applyBorder="1" applyAlignment="1" applyProtection="1">
      <alignment vertical="center" shrinkToFit="1"/>
    </xf>
    <xf numFmtId="167" fontId="33" fillId="0" borderId="10" xfId="9" applyNumberFormat="1" applyFont="1" applyFill="1" applyBorder="1" applyAlignment="1" applyProtection="1">
      <alignment vertical="center"/>
    </xf>
    <xf numFmtId="167" fontId="33" fillId="0" borderId="8" xfId="9" applyNumberFormat="1" applyFont="1" applyFill="1" applyBorder="1" applyAlignment="1" applyProtection="1"/>
    <xf numFmtId="167" fontId="33" fillId="0" borderId="28" xfId="9" applyNumberFormat="1" applyFont="1" applyFill="1" applyBorder="1" applyAlignment="1" applyProtection="1"/>
    <xf numFmtId="167" fontId="33" fillId="0" borderId="8" xfId="9" applyNumberFormat="1" applyFont="1" applyFill="1" applyBorder="1" applyAlignment="1" applyProtection="1">
      <alignment vertical="center"/>
    </xf>
    <xf numFmtId="167" fontId="33" fillId="0" borderId="17" xfId="9" applyNumberFormat="1" applyFont="1" applyFill="1" applyBorder="1" applyAlignment="1" applyProtection="1">
      <alignment vertical="center"/>
    </xf>
    <xf numFmtId="167" fontId="33" fillId="0" borderId="9" xfId="9" applyNumberFormat="1" applyFont="1" applyFill="1" applyBorder="1" applyAlignment="1" applyProtection="1"/>
    <xf numFmtId="167" fontId="33" fillId="0" borderId="9" xfId="9" applyNumberFormat="1" applyFont="1" applyFill="1" applyBorder="1" applyAlignment="1" applyProtection="1">
      <alignment vertical="center" shrinkToFit="1"/>
    </xf>
    <xf numFmtId="167" fontId="28" fillId="0" borderId="8" xfId="0" applyNumberFormat="1" applyFont="1" applyBorder="1" applyAlignment="1">
      <alignment vertical="center"/>
    </xf>
    <xf numFmtId="20" fontId="20" fillId="0" borderId="11" xfId="9" quotePrefix="1" applyNumberFormat="1" applyFont="1" applyFill="1" applyBorder="1" applyAlignment="1" applyProtection="1">
      <alignment horizontal="center" vertical="center"/>
    </xf>
    <xf numFmtId="20" fontId="20" fillId="0" borderId="23" xfId="9" applyNumberFormat="1" applyFont="1" applyFill="1" applyBorder="1" applyAlignment="1" applyProtection="1">
      <alignment horizontal="center" vertical="center"/>
    </xf>
    <xf numFmtId="3" fontId="19" fillId="0" borderId="8" xfId="9" applyNumberFormat="1" applyFont="1" applyFill="1" applyBorder="1" applyAlignment="1" applyProtection="1">
      <alignment horizontal="right" vertical="center"/>
    </xf>
    <xf numFmtId="3" fontId="19" fillId="0" borderId="23" xfId="9" applyNumberFormat="1" applyFont="1" applyFill="1" applyBorder="1" applyAlignment="1" applyProtection="1">
      <alignment horizontal="right" vertical="center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/>
    </xf>
    <xf numFmtId="177" fontId="18" fillId="0" borderId="0" xfId="0" applyNumberFormat="1" applyFont="1" applyFill="1" applyBorder="1" applyAlignment="1" applyProtection="1">
      <alignment horizontal="center" vertical="center"/>
    </xf>
    <xf numFmtId="0" fontId="21" fillId="6" borderId="1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1" fillId="7" borderId="48" xfId="0" applyFont="1" applyFill="1" applyBorder="1" applyAlignment="1" applyProtection="1">
      <alignment horizontal="center" vertical="center" wrapText="1"/>
    </xf>
    <xf numFmtId="0" fontId="21" fillId="7" borderId="3" xfId="0" applyFont="1" applyFill="1" applyBorder="1" applyAlignment="1" applyProtection="1">
      <alignment horizontal="center" vertical="center" wrapText="1"/>
    </xf>
    <xf numFmtId="0" fontId="21" fillId="7" borderId="7" xfId="0" applyFont="1" applyFill="1" applyBorder="1" applyAlignment="1" applyProtection="1">
      <alignment horizontal="center" vertical="center" wrapText="1"/>
    </xf>
    <xf numFmtId="167" fontId="33" fillId="5" borderId="13" xfId="9" applyNumberFormat="1" applyFont="1" applyFill="1" applyBorder="1" applyAlignment="1" applyProtection="1">
      <alignment horizontal="center" vertical="center" wrapText="1"/>
    </xf>
    <xf numFmtId="167" fontId="33" fillId="5" borderId="14" xfId="9" applyNumberFormat="1" applyFont="1" applyFill="1" applyBorder="1" applyAlignment="1" applyProtection="1">
      <alignment horizontal="center" vertical="center" wrapText="1"/>
    </xf>
    <xf numFmtId="0" fontId="21" fillId="7" borderId="13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167" fontId="33" fillId="5" borderId="13" xfId="9" quotePrefix="1" applyNumberFormat="1" applyFont="1" applyFill="1" applyBorder="1" applyAlignment="1" applyProtection="1">
      <alignment horizontal="center" vertical="center" wrapText="1"/>
    </xf>
    <xf numFmtId="167" fontId="33" fillId="5" borderId="14" xfId="9" quotePrefix="1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1" fillId="7" borderId="35" xfId="0" applyFont="1" applyFill="1" applyBorder="1" applyAlignment="1" applyProtection="1">
      <alignment horizontal="center" vertical="center" wrapText="1"/>
    </xf>
    <xf numFmtId="0" fontId="21" fillId="7" borderId="36" xfId="0" applyFont="1" applyFill="1" applyBorder="1" applyAlignment="1" applyProtection="1">
      <alignment horizontal="center" vertical="center" wrapText="1"/>
    </xf>
    <xf numFmtId="0" fontId="21" fillId="7" borderId="41" xfId="0" applyFont="1" applyFill="1" applyBorder="1" applyAlignment="1" applyProtection="1">
      <alignment horizontal="center" vertical="center" wrapText="1"/>
    </xf>
    <xf numFmtId="0" fontId="21" fillId="7" borderId="43" xfId="0" applyFont="1" applyFill="1" applyBorder="1" applyAlignment="1" applyProtection="1">
      <alignment horizontal="center" vertical="center" wrapText="1"/>
    </xf>
    <xf numFmtId="167" fontId="22" fillId="5" borderId="13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8" fillId="7" borderId="1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7" fontId="28" fillId="5" borderId="40" xfId="9" applyNumberFormat="1" applyFont="1" applyFill="1" applyBorder="1" applyAlignment="1" applyProtection="1">
      <alignment vertical="center" wrapText="1"/>
    </xf>
    <xf numFmtId="167" fontId="28" fillId="5" borderId="39" xfId="9" applyNumberFormat="1" applyFont="1" applyFill="1" applyBorder="1" applyAlignment="1" applyProtection="1">
      <alignment vertical="center" wrapText="1"/>
    </xf>
    <xf numFmtId="167" fontId="33" fillId="5" borderId="12" xfId="9" applyNumberFormat="1" applyFont="1" applyFill="1" applyBorder="1" applyAlignment="1" applyProtection="1">
      <alignment vertical="center" wrapText="1"/>
    </xf>
    <xf numFmtId="167" fontId="33" fillId="5" borderId="18" xfId="9" applyNumberFormat="1" applyFont="1" applyFill="1" applyBorder="1" applyAlignment="1" applyProtection="1">
      <alignment vertical="center" wrapText="1"/>
    </xf>
    <xf numFmtId="167" fontId="33" fillId="5" borderId="6" xfId="9" quotePrefix="1" applyNumberFormat="1" applyFont="1" applyFill="1" applyBorder="1" applyAlignment="1" applyProtection="1">
      <alignment vertical="center" wrapText="1"/>
    </xf>
    <xf numFmtId="167" fontId="33" fillId="5" borderId="14" xfId="9" applyNumberFormat="1" applyFont="1" applyFill="1" applyBorder="1" applyAlignment="1" applyProtection="1">
      <alignment vertical="center" wrapText="1"/>
    </xf>
    <xf numFmtId="0" fontId="21" fillId="7" borderId="34" xfId="0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7" borderId="37" xfId="0" applyFont="1" applyFill="1" applyBorder="1" applyAlignment="1" applyProtection="1">
      <alignment horizontal="center" vertical="center" wrapText="1"/>
    </xf>
    <xf numFmtId="0" fontId="21" fillId="7" borderId="38" xfId="0" applyFont="1" applyFill="1" applyBorder="1" applyAlignment="1" applyProtection="1">
      <alignment horizontal="center" vertical="center" wrapText="1"/>
    </xf>
    <xf numFmtId="167" fontId="21" fillId="5" borderId="40" xfId="9" applyNumberFormat="1" applyFont="1" applyFill="1" applyBorder="1" applyAlignment="1" applyProtection="1">
      <alignment vertical="center" wrapText="1"/>
    </xf>
    <xf numFmtId="167" fontId="21" fillId="5" borderId="39" xfId="9" applyNumberFormat="1" applyFont="1" applyFill="1" applyBorder="1" applyAlignment="1" applyProtection="1">
      <alignment vertical="center" wrapText="1"/>
    </xf>
    <xf numFmtId="167" fontId="19" fillId="5" borderId="12" xfId="9" applyNumberFormat="1" applyFont="1" applyFill="1" applyBorder="1" applyAlignment="1" applyProtection="1">
      <alignment vertical="center" wrapText="1"/>
    </xf>
    <xf numFmtId="167" fontId="19" fillId="5" borderId="18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horizontal="center" vertical="center" wrapText="1"/>
    </xf>
    <xf numFmtId="167" fontId="19" fillId="5" borderId="14" xfId="9" quotePrefix="1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horizontal="center" vertical="center" wrapText="1"/>
    </xf>
    <xf numFmtId="167" fontId="19" fillId="5" borderId="14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vertical="center"/>
    </xf>
    <xf numFmtId="167" fontId="20" fillId="5" borderId="13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167" fontId="19" fillId="5" borderId="47" xfId="9" applyNumberFormat="1" applyFont="1" applyFill="1" applyBorder="1" applyAlignment="1" applyProtection="1">
      <alignment vertical="center" wrapText="1"/>
    </xf>
    <xf numFmtId="167" fontId="19" fillId="5" borderId="42" xfId="9" applyNumberFormat="1" applyFont="1" applyFill="1" applyBorder="1" applyAlignment="1" applyProtection="1">
      <alignment vertical="center" wrapText="1"/>
    </xf>
    <xf numFmtId="167" fontId="19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1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2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200026</xdr:colOff>
      <xdr:row>0</xdr:row>
      <xdr:rowOff>47625</xdr:rowOff>
    </xdr:from>
    <xdr:to>
      <xdr:col>12</xdr:col>
      <xdr:colOff>228600</xdr:colOff>
      <xdr:row>1</xdr:row>
      <xdr:rowOff>238125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6" y="4762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646640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5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6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8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23"/>
  <sheetViews>
    <sheetView zoomScale="90" zoomScaleNormal="90" workbookViewId="0">
      <pane xSplit="4" topLeftCell="E1" activePane="topRight" state="frozen"/>
      <selection pane="topRight" activeCell="C23" sqref="C23:I23"/>
    </sheetView>
  </sheetViews>
  <sheetFormatPr defaultRowHeight="12.5" x14ac:dyDescent="0.25"/>
  <cols>
    <col min="1" max="1" width="2.7265625" customWidth="1"/>
    <col min="2" max="2" width="3.81640625" customWidth="1"/>
    <col min="3" max="3" width="27.81640625" customWidth="1"/>
    <col min="4" max="4" width="31.4531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99" t="s">
        <v>159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165"/>
    </row>
    <row r="3" spans="2:22" ht="12.75" customHeight="1" x14ac:dyDescent="0.25">
      <c r="B3" s="400" t="s">
        <v>231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166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85" t="s">
        <v>7</v>
      </c>
      <c r="C5" s="385" t="s">
        <v>68</v>
      </c>
      <c r="D5" s="385" t="s">
        <v>21</v>
      </c>
      <c r="E5" s="385" t="s">
        <v>0</v>
      </c>
      <c r="F5" s="385" t="s">
        <v>2</v>
      </c>
      <c r="G5" s="385" t="s">
        <v>69</v>
      </c>
      <c r="H5" s="385" t="s">
        <v>17</v>
      </c>
      <c r="I5" s="385" t="s">
        <v>18</v>
      </c>
      <c r="J5" s="385" t="s">
        <v>6</v>
      </c>
      <c r="K5" s="393" t="s">
        <v>70</v>
      </c>
      <c r="L5" s="395" t="s">
        <v>85</v>
      </c>
      <c r="M5" s="385" t="s">
        <v>62</v>
      </c>
      <c r="N5" s="385" t="s">
        <v>98</v>
      </c>
      <c r="O5" s="385" t="s">
        <v>56</v>
      </c>
      <c r="P5" s="385" t="s">
        <v>49</v>
      </c>
      <c r="Q5" s="385" t="s">
        <v>46</v>
      </c>
      <c r="R5" s="385" t="s">
        <v>84</v>
      </c>
      <c r="S5" s="107"/>
    </row>
    <row r="6" spans="2:22" ht="36" customHeight="1" thickBot="1" x14ac:dyDescent="0.3">
      <c r="B6" s="386"/>
      <c r="C6" s="411"/>
      <c r="D6" s="411"/>
      <c r="E6" s="411"/>
      <c r="F6" s="411"/>
      <c r="G6" s="411"/>
      <c r="H6" s="386"/>
      <c r="I6" s="386"/>
      <c r="J6" s="386"/>
      <c r="K6" s="394"/>
      <c r="L6" s="396"/>
      <c r="M6" s="386"/>
      <c r="N6" s="386"/>
      <c r="O6" s="386"/>
      <c r="P6" s="386"/>
      <c r="Q6" s="386"/>
      <c r="R6" s="386"/>
      <c r="S6" s="107"/>
    </row>
    <row r="7" spans="2:22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10</v>
      </c>
      <c r="J7" s="116">
        <v>13</v>
      </c>
      <c r="K7" s="118" t="s">
        <v>135</v>
      </c>
      <c r="L7" s="119">
        <v>15</v>
      </c>
      <c r="M7" s="117">
        <v>16</v>
      </c>
      <c r="N7" s="117">
        <v>17</v>
      </c>
      <c r="O7" s="117">
        <v>18</v>
      </c>
      <c r="P7" s="117">
        <v>19</v>
      </c>
      <c r="Q7" s="117">
        <v>18</v>
      </c>
      <c r="R7" s="117" t="s">
        <v>134</v>
      </c>
      <c r="S7" s="102"/>
    </row>
    <row r="8" spans="2:22" s="25" customFormat="1" ht="18.75" hidden="1" customHeight="1" x14ac:dyDescent="0.35">
      <c r="B8" s="114">
        <v>1</v>
      </c>
      <c r="C8" s="110" t="s">
        <v>210</v>
      </c>
      <c r="D8" s="110" t="s">
        <v>67</v>
      </c>
      <c r="E8" s="108" t="s">
        <v>120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49">
        <v>0</v>
      </c>
      <c r="K8" s="111">
        <f>SUM(G8:J8)</f>
        <v>27000000</v>
      </c>
      <c r="L8" s="159">
        <v>0</v>
      </c>
      <c r="M8" s="159">
        <v>0</v>
      </c>
      <c r="N8" s="153">
        <v>0</v>
      </c>
      <c r="O8" s="159">
        <v>0</v>
      </c>
      <c r="P8" s="159">
        <v>0</v>
      </c>
      <c r="Q8" s="50">
        <v>1720000</v>
      </c>
      <c r="R8" s="154">
        <f>K8-(L8+M8+N8+O8+P8)</f>
        <v>27000000</v>
      </c>
      <c r="S8" s="103"/>
      <c r="U8" s="20">
        <f>K8-L8-M8-O8-P8</f>
        <v>27000000</v>
      </c>
    </row>
    <row r="9" spans="2:22" s="25" customFormat="1" ht="18.75" customHeight="1" x14ac:dyDescent="0.3">
      <c r="B9" s="309">
        <v>1</v>
      </c>
      <c r="C9" s="315" t="s">
        <v>210</v>
      </c>
      <c r="D9" s="329" t="s">
        <v>67</v>
      </c>
      <c r="E9" s="313" t="s">
        <v>215</v>
      </c>
      <c r="F9" s="316" t="s">
        <v>31</v>
      </c>
      <c r="G9" s="314">
        <v>0</v>
      </c>
      <c r="H9" s="317">
        <v>0</v>
      </c>
      <c r="I9" s="317">
        <v>0</v>
      </c>
      <c r="J9" s="317">
        <v>0</v>
      </c>
      <c r="K9" s="326">
        <f>G9+H9+I9+J9</f>
        <v>0</v>
      </c>
      <c r="L9" s="325">
        <v>0</v>
      </c>
      <c r="M9" s="317">
        <v>0</v>
      </c>
      <c r="N9" s="318">
        <f>G9+H9+I9+J9+K9+L9+M9</f>
        <v>0</v>
      </c>
      <c r="O9" s="319">
        <v>0</v>
      </c>
      <c r="P9" s="320">
        <v>0</v>
      </c>
      <c r="Q9" s="321">
        <v>0</v>
      </c>
      <c r="R9" s="324">
        <f>K9</f>
        <v>0</v>
      </c>
      <c r="S9" s="322">
        <v>0</v>
      </c>
      <c r="T9" s="323"/>
      <c r="U9" s="103"/>
    </row>
    <row r="10" spans="2:22" s="25" customFormat="1" ht="18.75" customHeight="1" x14ac:dyDescent="0.3">
      <c r="B10" s="115">
        <v>2</v>
      </c>
      <c r="C10" s="92" t="s">
        <v>169</v>
      </c>
      <c r="D10" s="329" t="s">
        <v>59</v>
      </c>
      <c r="E10" s="310" t="s">
        <v>92</v>
      </c>
      <c r="F10" s="123" t="s">
        <v>35</v>
      </c>
      <c r="G10" s="124">
        <f>90%*G8</f>
        <v>24300000</v>
      </c>
      <c r="H10" s="49">
        <v>0</v>
      </c>
      <c r="I10" s="49">
        <v>0</v>
      </c>
      <c r="J10" s="49">
        <f>20%*G10</f>
        <v>4860000</v>
      </c>
      <c r="K10" s="125">
        <f>SUM(G10:J10)</f>
        <v>29160000</v>
      </c>
      <c r="L10" s="160">
        <v>0</v>
      </c>
      <c r="M10" s="160">
        <v>0</v>
      </c>
      <c r="N10" s="311">
        <v>0</v>
      </c>
      <c r="O10" s="160">
        <v>0</v>
      </c>
      <c r="P10" s="160">
        <v>0</v>
      </c>
      <c r="Q10" s="50"/>
      <c r="R10" s="312">
        <f>K10-(L10+M10+N10+O10+P10)</f>
        <v>29160000</v>
      </c>
      <c r="S10" s="103"/>
      <c r="U10" s="20"/>
    </row>
    <row r="11" spans="2:22" ht="20.149999999999999" customHeight="1" x14ac:dyDescent="0.3">
      <c r="B11" s="115">
        <v>3</v>
      </c>
      <c r="C11" s="181" t="s">
        <v>39</v>
      </c>
      <c r="D11" s="329" t="s">
        <v>60</v>
      </c>
      <c r="E11" s="327" t="s">
        <v>40</v>
      </c>
      <c r="F11" s="183" t="s">
        <v>34</v>
      </c>
      <c r="G11" s="294">
        <f>90%*G8</f>
        <v>24300000</v>
      </c>
      <c r="H11" s="185">
        <v>0</v>
      </c>
      <c r="I11" s="185">
        <v>0</v>
      </c>
      <c r="J11" s="40">
        <f>20%*G11</f>
        <v>4860000</v>
      </c>
      <c r="K11" s="296">
        <f>SUM(G11:J11)</f>
        <v>29160000</v>
      </c>
      <c r="L11" s="159">
        <v>0</v>
      </c>
      <c r="M11" s="279">
        <v>0</v>
      </c>
      <c r="N11" s="266">
        <v>0</v>
      </c>
      <c r="O11" s="279">
        <v>0</v>
      </c>
      <c r="P11" s="279">
        <v>0</v>
      </c>
      <c r="Q11" s="66">
        <v>3790000</v>
      </c>
      <c r="R11" s="278">
        <f>K11-(L11+M11+N11+O11+P11)</f>
        <v>29160000</v>
      </c>
      <c r="S11" s="104"/>
      <c r="U11" s="20">
        <f>K11-L11-M11-O11-P11</f>
        <v>29160000</v>
      </c>
    </row>
    <row r="12" spans="2:22" ht="20.149999999999999" customHeight="1" x14ac:dyDescent="0.3">
      <c r="B12" s="281">
        <v>4</v>
      </c>
      <c r="C12" s="289" t="s">
        <v>205</v>
      </c>
      <c r="D12" s="330" t="s">
        <v>44</v>
      </c>
      <c r="E12" s="328" t="s">
        <v>206</v>
      </c>
      <c r="F12" s="290" t="s">
        <v>207</v>
      </c>
      <c r="G12" s="295">
        <v>9000000</v>
      </c>
      <c r="H12" s="291">
        <v>0</v>
      </c>
      <c r="I12" s="167">
        <v>450000</v>
      </c>
      <c r="J12" s="291">
        <v>0</v>
      </c>
      <c r="K12" s="297">
        <f>G12+H12+I12+J12</f>
        <v>9450000</v>
      </c>
      <c r="L12" s="264"/>
      <c r="M12" s="265"/>
      <c r="N12" s="156"/>
      <c r="O12" s="265"/>
      <c r="P12" s="265">
        <v>0</v>
      </c>
      <c r="Q12" s="69"/>
      <c r="R12" s="280">
        <f>G12+H12+I12+J12</f>
        <v>9450000</v>
      </c>
      <c r="S12" s="104"/>
      <c r="U12" s="20"/>
    </row>
    <row r="13" spans="2:22" ht="10.5" customHeight="1" x14ac:dyDescent="0.35">
      <c r="B13" s="74"/>
      <c r="C13" s="74"/>
      <c r="D13" s="74"/>
      <c r="E13" s="73"/>
      <c r="F13" s="21"/>
      <c r="G13" s="412">
        <f>SUM(G9:G12)</f>
        <v>57600000</v>
      </c>
      <c r="H13" s="412">
        <f>SUM(H8:H11)</f>
        <v>0</v>
      </c>
      <c r="I13" s="412">
        <f>I12</f>
        <v>450000</v>
      </c>
      <c r="J13" s="412">
        <f>SUM(J8:J12)</f>
        <v>9720000</v>
      </c>
      <c r="K13" s="417">
        <f>SUM(K9:K12)</f>
        <v>67770000</v>
      </c>
      <c r="L13" s="437">
        <v>0</v>
      </c>
      <c r="M13" s="421">
        <f>SUM(M11:M11)</f>
        <v>0</v>
      </c>
      <c r="N13" s="421">
        <f>SUM(N11:N11)</f>
        <v>0</v>
      </c>
      <c r="O13" s="421">
        <f>SUM(O11:O11)</f>
        <v>0</v>
      </c>
      <c r="P13" s="423">
        <f>SUM(P11:P11)</f>
        <v>0</v>
      </c>
      <c r="Q13" s="412">
        <f>SUM(Q11:Q11)</f>
        <v>3790000</v>
      </c>
      <c r="R13" s="428">
        <f>SUM(R9:R12)</f>
        <v>67770000</v>
      </c>
      <c r="S13" s="106"/>
      <c r="T13" s="20" t="e">
        <f>SUM(#REF!)</f>
        <v>#REF!</v>
      </c>
      <c r="U13" s="20">
        <f>SUM(U8:U11)</f>
        <v>56160000</v>
      </c>
    </row>
    <row r="14" spans="2:22" ht="10.5" customHeight="1" thickBot="1" x14ac:dyDescent="0.4">
      <c r="B14" s="75"/>
      <c r="C14" s="75"/>
      <c r="D14" s="75"/>
      <c r="E14" s="76"/>
      <c r="F14" s="77"/>
      <c r="G14" s="413"/>
      <c r="H14" s="413"/>
      <c r="I14" s="413"/>
      <c r="J14" s="413"/>
      <c r="K14" s="418"/>
      <c r="L14" s="438"/>
      <c r="M14" s="422"/>
      <c r="N14" s="422"/>
      <c r="O14" s="422"/>
      <c r="P14" s="439"/>
      <c r="Q14" s="413"/>
      <c r="R14" s="429"/>
      <c r="S14" s="106"/>
      <c r="T14" s="20">
        <f>L13+M13+N13+O13+P13</f>
        <v>0</v>
      </c>
      <c r="U14" s="93">
        <f>K13-T14</f>
        <v>67770000</v>
      </c>
      <c r="V14" s="20"/>
    </row>
    <row r="15" spans="2:22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7"/>
      <c r="L15" s="6"/>
      <c r="M15" s="6"/>
      <c r="N15" s="6"/>
      <c r="O15" s="6"/>
      <c r="P15" s="6"/>
      <c r="Q15" s="6"/>
      <c r="R15" s="6"/>
      <c r="S15" s="6"/>
      <c r="T15" t="s">
        <v>43</v>
      </c>
    </row>
    <row r="16" spans="2:22" ht="14.5" x14ac:dyDescent="0.35">
      <c r="B16" s="351"/>
      <c r="C16" s="6"/>
      <c r="D16" s="6"/>
      <c r="E16" s="6" t="s">
        <v>141</v>
      </c>
    </row>
    <row r="17" spans="2:18" ht="14.5" x14ac:dyDescent="0.35">
      <c r="B17" s="352" t="s">
        <v>227</v>
      </c>
      <c r="C17" s="6"/>
      <c r="D17" s="6"/>
      <c r="E17" s="6"/>
      <c r="K17" s="426" t="s">
        <v>233</v>
      </c>
      <c r="L17" s="426"/>
      <c r="M17" s="426"/>
      <c r="N17" s="426"/>
      <c r="O17" s="426"/>
      <c r="P17" s="426"/>
      <c r="Q17" s="426"/>
      <c r="R17" s="426"/>
    </row>
    <row r="18" spans="2:18" ht="15" customHeight="1" x14ac:dyDescent="0.25">
      <c r="B18" s="152" t="s">
        <v>32</v>
      </c>
      <c r="C18" s="436" t="s">
        <v>237</v>
      </c>
      <c r="D18" s="436"/>
      <c r="E18" s="436"/>
      <c r="F18" s="436"/>
      <c r="G18" s="436"/>
      <c r="H18" s="436"/>
      <c r="I18" s="436"/>
      <c r="J18" s="369"/>
      <c r="K18" s="426" t="s">
        <v>36</v>
      </c>
      <c r="L18" s="426"/>
      <c r="M18" s="426"/>
      <c r="N18" s="426"/>
      <c r="O18" s="426"/>
      <c r="P18" s="426"/>
      <c r="Q18" s="426"/>
      <c r="R18" s="426"/>
    </row>
    <row r="19" spans="2:18" ht="24.75" customHeight="1" x14ac:dyDescent="0.35">
      <c r="C19" s="436"/>
      <c r="D19" s="436"/>
      <c r="E19" s="436"/>
      <c r="F19" s="436"/>
      <c r="G19" s="436"/>
      <c r="H19" s="436"/>
      <c r="I19" s="436"/>
      <c r="J19" s="369"/>
      <c r="N19" s="8"/>
      <c r="O19" s="8"/>
      <c r="P19" s="8"/>
      <c r="Q19" s="8"/>
    </row>
    <row r="20" spans="2:18" ht="27" customHeight="1" x14ac:dyDescent="0.35">
      <c r="N20" s="8"/>
      <c r="O20" s="8"/>
      <c r="P20" s="8"/>
      <c r="Q20" s="8"/>
    </row>
    <row r="21" spans="2:18" ht="14.5" x14ac:dyDescent="0.35">
      <c r="K21" s="427" t="s">
        <v>177</v>
      </c>
      <c r="L21" s="427"/>
      <c r="M21" s="427"/>
      <c r="N21" s="427"/>
      <c r="O21" s="427"/>
      <c r="P21" s="427"/>
      <c r="Q21" s="427"/>
      <c r="R21" s="427"/>
    </row>
    <row r="23" spans="2:18" ht="14.5" x14ac:dyDescent="0.25">
      <c r="C23" s="435"/>
      <c r="D23" s="435"/>
      <c r="E23" s="435"/>
      <c r="F23" s="435"/>
      <c r="G23" s="435"/>
      <c r="H23" s="435"/>
      <c r="I23" s="435"/>
    </row>
  </sheetData>
  <mergeCells count="36">
    <mergeCell ref="K18:R18"/>
    <mergeCell ref="R13:R14"/>
    <mergeCell ref="K17:R17"/>
    <mergeCell ref="L13:L14"/>
    <mergeCell ref="M13:M14"/>
    <mergeCell ref="N13:N14"/>
    <mergeCell ref="O13:O14"/>
    <mergeCell ref="P13:P14"/>
    <mergeCell ref="Q13:Q14"/>
    <mergeCell ref="R5:R6"/>
    <mergeCell ref="G13:G14"/>
    <mergeCell ref="H13:H14"/>
    <mergeCell ref="I13:I14"/>
    <mergeCell ref="J13:J14"/>
    <mergeCell ref="K13:K14"/>
    <mergeCell ref="L5:L6"/>
    <mergeCell ref="P5:P6"/>
    <mergeCell ref="Q5:Q6"/>
    <mergeCell ref="O5:O6"/>
    <mergeCell ref="N5:N6"/>
    <mergeCell ref="C23:I23"/>
    <mergeCell ref="C18:I19"/>
    <mergeCell ref="K21:R21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5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zoomScaleNormal="100" workbookViewId="0">
      <selection activeCell="S5" sqref="S5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70" t="s">
        <v>127</v>
      </c>
      <c r="B1" s="37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71" t="s">
        <v>136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</row>
    <row r="5" spans="1:21" ht="16.5" customHeight="1" x14ac:dyDescent="0.25">
      <c r="A5" s="13"/>
      <c r="B5" s="371" t="s">
        <v>231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72" t="s">
        <v>7</v>
      </c>
      <c r="B7" s="372" t="s">
        <v>68</v>
      </c>
      <c r="C7" s="372" t="s">
        <v>21</v>
      </c>
      <c r="D7" s="372" t="s">
        <v>23</v>
      </c>
      <c r="E7" s="372" t="s">
        <v>4</v>
      </c>
      <c r="F7" s="372" t="s">
        <v>3</v>
      </c>
      <c r="G7" s="372" t="s">
        <v>19</v>
      </c>
      <c r="H7" s="372" t="s">
        <v>9</v>
      </c>
      <c r="I7" s="372" t="s">
        <v>8</v>
      </c>
      <c r="J7" s="372" t="s">
        <v>5</v>
      </c>
      <c r="K7" s="372" t="s">
        <v>11</v>
      </c>
      <c r="L7" s="372" t="s">
        <v>10</v>
      </c>
      <c r="M7" s="22" t="s">
        <v>12</v>
      </c>
      <c r="N7" s="22"/>
      <c r="O7" s="22"/>
      <c r="P7" s="22"/>
      <c r="Q7" s="22"/>
      <c r="R7" s="375" t="s">
        <v>24</v>
      </c>
    </row>
    <row r="8" spans="1:21" ht="20.149999999999999" customHeight="1" x14ac:dyDescent="0.25">
      <c r="A8" s="373"/>
      <c r="B8" s="374"/>
      <c r="C8" s="374"/>
      <c r="D8" s="373"/>
      <c r="E8" s="373"/>
      <c r="F8" s="373"/>
      <c r="G8" s="373"/>
      <c r="H8" s="373"/>
      <c r="I8" s="373"/>
      <c r="J8" s="373"/>
      <c r="K8" s="373"/>
      <c r="L8" s="373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75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180</v>
      </c>
      <c r="C10" s="36" t="s">
        <v>57</v>
      </c>
      <c r="D10" s="41">
        <f>'NET PEG PELINDO DIPERBANTUKAN'!X13</f>
        <v>32860672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9" t="s">
        <v>187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DIPERBANTUKAN'!X11</f>
        <v>34057698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50" t="s">
        <v>126</v>
      </c>
      <c r="T11" s="30"/>
      <c r="U11" s="48"/>
    </row>
    <row r="12" spans="1:21" ht="20.149999999999999" customHeight="1" x14ac:dyDescent="0.35">
      <c r="A12" s="126">
        <v>3</v>
      </c>
      <c r="B12" s="46" t="s">
        <v>177</v>
      </c>
      <c r="C12" s="36" t="s">
        <v>36</v>
      </c>
      <c r="D12" s="70">
        <f>'NET PEG PELINDO DIPERBANTUKAN'!X12</f>
        <v>31820324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1" t="s">
        <v>188</v>
      </c>
      <c r="T12" s="30"/>
      <c r="U12" s="48"/>
    </row>
    <row r="13" spans="1:21" ht="20.149999999999999" customHeight="1" x14ac:dyDescent="0.35">
      <c r="A13" s="126">
        <v>4</v>
      </c>
      <c r="B13" s="46" t="s">
        <v>101</v>
      </c>
      <c r="C13" s="36" t="s">
        <v>102</v>
      </c>
      <c r="D13" s="41">
        <f>'NET PEG PELINDO DIPERBANTUKAN'!X15</f>
        <v>31193336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9" t="s">
        <v>105</v>
      </c>
      <c r="T13" s="30"/>
      <c r="U13" s="48"/>
    </row>
    <row r="14" spans="1:21" ht="20.149999999999999" customHeight="1" x14ac:dyDescent="0.35">
      <c r="A14" s="126">
        <v>5</v>
      </c>
      <c r="B14" s="46" t="s">
        <v>77</v>
      </c>
      <c r="C14" s="36" t="s">
        <v>78</v>
      </c>
      <c r="D14" s="41">
        <f>'NET PEG PELINDO DIPERBANTUKAN'!X16</f>
        <v>22328372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9" t="s">
        <v>222</v>
      </c>
      <c r="T14" s="30"/>
      <c r="U14" s="48"/>
    </row>
    <row r="15" spans="1:21" ht="20.149999999999999" customHeight="1" x14ac:dyDescent="0.35">
      <c r="A15" s="122">
        <v>6</v>
      </c>
      <c r="B15" s="46" t="s">
        <v>86</v>
      </c>
      <c r="C15" s="36" t="s">
        <v>115</v>
      </c>
      <c r="D15" s="41">
        <f>'NET PEG PELINDO DIPERBANTUKAN'!X17</f>
        <v>21171062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9" t="s">
        <v>193</v>
      </c>
      <c r="T15" s="30"/>
      <c r="U15" s="48"/>
    </row>
    <row r="16" spans="1:21" ht="20.149999999999999" customHeight="1" x14ac:dyDescent="0.35">
      <c r="A16" s="126">
        <v>7</v>
      </c>
      <c r="B16" s="46" t="s">
        <v>89</v>
      </c>
      <c r="C16" s="36" t="s">
        <v>52</v>
      </c>
      <c r="D16" s="70">
        <f>'NET PEG PELINDO DIPERBANTUKAN'!X21</f>
        <v>12306638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50" t="s">
        <v>91</v>
      </c>
      <c r="T16" s="30"/>
      <c r="U16" s="48"/>
    </row>
    <row r="17" spans="1:21" ht="20.149999999999999" customHeight="1" x14ac:dyDescent="0.35">
      <c r="A17" s="126">
        <v>8</v>
      </c>
      <c r="B17" s="46" t="s">
        <v>181</v>
      </c>
      <c r="C17" s="36" t="s">
        <v>102</v>
      </c>
      <c r="D17" s="70">
        <f>'NET PEG PELINDO DIPERBANTUKAN'!X14</f>
        <v>32828591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1" t="s">
        <v>195</v>
      </c>
      <c r="T17" s="30"/>
      <c r="U17" s="48"/>
    </row>
    <row r="18" spans="1:21" ht="20.149999999999999" customHeight="1" x14ac:dyDescent="0.35">
      <c r="A18" s="126">
        <v>9</v>
      </c>
      <c r="B18" s="46" t="s">
        <v>219</v>
      </c>
      <c r="C18" s="36" t="s">
        <v>140</v>
      </c>
      <c r="D18" s="70">
        <f>'NET PEG PELINDO DIPERBANTUKAN'!X18</f>
        <v>20312014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1" t="s">
        <v>223</v>
      </c>
      <c r="T18" s="30"/>
      <c r="U18" s="48"/>
    </row>
    <row r="19" spans="1:21" ht="20.149999999999999" customHeight="1" x14ac:dyDescent="0.35">
      <c r="A19" s="126">
        <v>10</v>
      </c>
      <c r="B19" s="46" t="s">
        <v>226</v>
      </c>
      <c r="C19" s="36" t="s">
        <v>224</v>
      </c>
      <c r="D19" s="70">
        <f>'NET PEG PELINDO DIPERBANTUKAN'!X20</f>
        <v>22388184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1" t="s">
        <v>230</v>
      </c>
      <c r="T19" s="30"/>
      <c r="U19" s="48"/>
    </row>
    <row r="20" spans="1:21" ht="20.149999999999999" customHeight="1" x14ac:dyDescent="0.35">
      <c r="A20" s="126">
        <v>11</v>
      </c>
      <c r="B20" s="46" t="s">
        <v>182</v>
      </c>
      <c r="C20" s="36" t="s">
        <v>139</v>
      </c>
      <c r="D20" s="70">
        <f>'NET PEG PELINDO DIPERBANTUKAN'!X19</f>
        <v>22596912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1" t="s">
        <v>189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78">
        <f>SUM(D10:D21)</f>
        <v>283863803</v>
      </c>
      <c r="E22" s="376">
        <f t="shared" ref="E22:Q22" si="0">SUM(E9:E15)</f>
        <v>0</v>
      </c>
      <c r="F22" s="376">
        <f t="shared" si="0"/>
        <v>0</v>
      </c>
      <c r="G22" s="376">
        <f t="shared" si="0"/>
        <v>0</v>
      </c>
      <c r="H22" s="376">
        <f t="shared" si="0"/>
        <v>0</v>
      </c>
      <c r="I22" s="376">
        <f t="shared" si="0"/>
        <v>0</v>
      </c>
      <c r="J22" s="376">
        <f t="shared" si="0"/>
        <v>0</v>
      </c>
      <c r="K22" s="376">
        <f t="shared" si="0"/>
        <v>0</v>
      </c>
      <c r="L22" s="376">
        <f t="shared" si="0"/>
        <v>0</v>
      </c>
      <c r="M22" s="376">
        <f t="shared" si="0"/>
        <v>0</v>
      </c>
      <c r="N22" s="376">
        <f t="shared" si="0"/>
        <v>0</v>
      </c>
      <c r="O22" s="376">
        <f t="shared" si="0"/>
        <v>0</v>
      </c>
      <c r="P22" s="376">
        <f t="shared" si="0"/>
        <v>0</v>
      </c>
      <c r="Q22" s="376">
        <f t="shared" si="0"/>
        <v>0</v>
      </c>
      <c r="R22" s="376"/>
    </row>
    <row r="23" spans="1:21" ht="15" customHeight="1" thickBot="1" x14ac:dyDescent="0.4">
      <c r="A23" s="57"/>
      <c r="B23" s="58"/>
      <c r="C23" s="58"/>
      <c r="D23" s="379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88" t="s">
        <v>209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233</v>
      </c>
    </row>
    <row r="26" spans="1:21" ht="14.5" x14ac:dyDescent="0.35">
      <c r="A26" s="6"/>
      <c r="B26" s="288" t="s">
        <v>197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88" t="s">
        <v>196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177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zoomScaleNormal="100" workbookViewId="0">
      <selection activeCell="X16" sqref="X1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70" t="s">
        <v>42</v>
      </c>
      <c r="B1" s="37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71" t="s">
        <v>175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</row>
    <row r="5" spans="1:27" ht="16.5" customHeight="1" x14ac:dyDescent="0.25">
      <c r="A5" s="13"/>
      <c r="B5" s="371" t="s">
        <v>231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72" t="s">
        <v>7</v>
      </c>
      <c r="B7" s="372" t="s">
        <v>68</v>
      </c>
      <c r="C7" s="372" t="s">
        <v>21</v>
      </c>
      <c r="D7" s="372" t="s">
        <v>0</v>
      </c>
      <c r="E7" s="372" t="s">
        <v>2</v>
      </c>
      <c r="F7" s="372" t="s">
        <v>16</v>
      </c>
      <c r="G7" s="372" t="s">
        <v>17</v>
      </c>
      <c r="H7" s="372" t="s">
        <v>18</v>
      </c>
      <c r="I7" s="372" t="s">
        <v>6</v>
      </c>
      <c r="J7" s="372" t="s">
        <v>23</v>
      </c>
      <c r="K7" s="372" t="s">
        <v>4</v>
      </c>
      <c r="L7" s="372" t="s">
        <v>3</v>
      </c>
      <c r="M7" s="372" t="s">
        <v>19</v>
      </c>
      <c r="N7" s="372" t="s">
        <v>9</v>
      </c>
      <c r="O7" s="372" t="s">
        <v>8</v>
      </c>
      <c r="P7" s="372" t="s">
        <v>5</v>
      </c>
      <c r="Q7" s="372" t="s">
        <v>11</v>
      </c>
      <c r="R7" s="372" t="s">
        <v>10</v>
      </c>
      <c r="S7" s="22" t="s">
        <v>12</v>
      </c>
      <c r="T7" s="22"/>
      <c r="U7" s="22"/>
      <c r="V7" s="22"/>
      <c r="W7" s="22"/>
      <c r="X7" s="375" t="s">
        <v>24</v>
      </c>
    </row>
    <row r="8" spans="1:27" ht="20.149999999999999" customHeight="1" x14ac:dyDescent="0.25">
      <c r="A8" s="373"/>
      <c r="B8" s="374"/>
      <c r="C8" s="374"/>
      <c r="D8" s="374"/>
      <c r="E8" s="374"/>
      <c r="F8" s="374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5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178</v>
      </c>
      <c r="C10" s="36" t="s">
        <v>191</v>
      </c>
      <c r="D10" s="61"/>
      <c r="E10" s="62"/>
      <c r="F10" s="63"/>
      <c r="G10" s="64"/>
      <c r="H10" s="64"/>
      <c r="I10" s="64"/>
      <c r="J10" s="70">
        <f>'NET PEG PELINDO DIPERBANTUKAN'!X10</f>
        <v>33433205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192</v>
      </c>
    </row>
    <row r="11" spans="1:27" ht="20.149999999999999" customHeight="1" x14ac:dyDescent="0.35">
      <c r="A11" s="122">
        <v>2</v>
      </c>
      <c r="B11" s="46" t="s">
        <v>79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DIPERBANTUKAN'!X22</f>
        <v>12918699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82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76">
        <f>SUM(F9:F10)</f>
        <v>0</v>
      </c>
      <c r="G12" s="376">
        <f>SUM(G9:G10)</f>
        <v>0</v>
      </c>
      <c r="H12" s="376">
        <f>SUM(H9:H10)</f>
        <v>0</v>
      </c>
      <c r="I12" s="376">
        <f>SUM(I9:I10)</f>
        <v>0</v>
      </c>
      <c r="J12" s="378">
        <f>SUM(J10:J11)</f>
        <v>46351904</v>
      </c>
      <c r="K12" s="376">
        <f t="shared" ref="K12:W12" si="0">SUM(K9:K10)</f>
        <v>0</v>
      </c>
      <c r="L12" s="376">
        <f t="shared" si="0"/>
        <v>0</v>
      </c>
      <c r="M12" s="376">
        <f t="shared" si="0"/>
        <v>0</v>
      </c>
      <c r="N12" s="376">
        <f t="shared" si="0"/>
        <v>0</v>
      </c>
      <c r="O12" s="376">
        <f t="shared" si="0"/>
        <v>0</v>
      </c>
      <c r="P12" s="376">
        <f t="shared" si="0"/>
        <v>0</v>
      </c>
      <c r="Q12" s="376">
        <f t="shared" si="0"/>
        <v>0</v>
      </c>
      <c r="R12" s="376">
        <f t="shared" si="0"/>
        <v>0</v>
      </c>
      <c r="S12" s="376">
        <f t="shared" si="0"/>
        <v>0</v>
      </c>
      <c r="T12" s="376">
        <f t="shared" si="0"/>
        <v>0</v>
      </c>
      <c r="U12" s="376">
        <f t="shared" si="0"/>
        <v>0</v>
      </c>
      <c r="V12" s="376">
        <f t="shared" si="0"/>
        <v>0</v>
      </c>
      <c r="W12" s="376">
        <f t="shared" si="0"/>
        <v>0</v>
      </c>
      <c r="X12" s="376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77"/>
      <c r="G13" s="377"/>
      <c r="H13" s="377"/>
      <c r="I13" s="377"/>
      <c r="J13" s="379"/>
      <c r="K13" s="377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377"/>
      <c r="X13" s="377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88" t="s">
        <v>209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234</v>
      </c>
    </row>
    <row r="16" spans="1:27" ht="14.5" x14ac:dyDescent="0.35">
      <c r="A16" s="6"/>
      <c r="B16" s="288" t="s">
        <v>197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88" t="s">
        <v>196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177</v>
      </c>
    </row>
  </sheetData>
  <mergeCells count="41"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0"/>
  <sheetViews>
    <sheetView topLeftCell="A2" zoomScaleNormal="100" workbookViewId="0">
      <selection activeCell="T30" sqref="T30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.453125" customWidth="1"/>
    <col min="10" max="10" width="13.453125" customWidth="1"/>
    <col min="11" max="12" width="13.54296875" customWidth="1"/>
    <col min="13" max="13" width="13.1796875" customWidth="1"/>
    <col min="14" max="14" width="13.5429687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54296875" customWidth="1"/>
    <col min="20" max="20" width="12.26953125" customWidth="1"/>
    <col min="21" max="21" width="12.81640625" customWidth="1"/>
    <col min="22" max="23" width="12.26953125" customWidth="1"/>
    <col min="24" max="24" width="12.1796875" customWidth="1"/>
    <col min="25" max="25" width="12" bestFit="1" customWidth="1"/>
    <col min="26" max="26" width="12.26953125" bestFit="1" customWidth="1"/>
  </cols>
  <sheetData>
    <row r="1" spans="1:26" ht="24.75" customHeight="1" x14ac:dyDescent="0.25"/>
    <row r="2" spans="1:26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6" ht="12.75" customHeight="1" x14ac:dyDescent="0.25">
      <c r="A3" s="399" t="s">
        <v>154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</row>
    <row r="4" spans="1:26" ht="13.5" customHeight="1" x14ac:dyDescent="0.25">
      <c r="A4" s="400" t="s">
        <v>231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</row>
    <row r="5" spans="1:26" ht="10.5" customHeight="1" x14ac:dyDescent="0.25"/>
    <row r="6" spans="1:26" ht="38.25" customHeight="1" x14ac:dyDescent="0.25">
      <c r="B6" s="385" t="s">
        <v>7</v>
      </c>
      <c r="C6" s="385" t="s">
        <v>68</v>
      </c>
      <c r="D6" s="385" t="s">
        <v>21</v>
      </c>
      <c r="E6" s="385" t="s">
        <v>153</v>
      </c>
      <c r="F6" s="385" t="s">
        <v>0</v>
      </c>
      <c r="G6" s="385" t="s">
        <v>2</v>
      </c>
      <c r="H6" s="385" t="s">
        <v>186</v>
      </c>
      <c r="I6" s="385" t="s">
        <v>69</v>
      </c>
      <c r="J6" s="385" t="s">
        <v>144</v>
      </c>
      <c r="K6" s="385" t="s">
        <v>145</v>
      </c>
      <c r="L6" s="385" t="s">
        <v>151</v>
      </c>
      <c r="M6" s="385" t="s">
        <v>29</v>
      </c>
      <c r="N6" s="385" t="s">
        <v>150</v>
      </c>
      <c r="O6" s="393" t="s">
        <v>70</v>
      </c>
      <c r="P6" s="395" t="s">
        <v>152</v>
      </c>
      <c r="Q6" s="380" t="s">
        <v>157</v>
      </c>
      <c r="R6" s="381"/>
      <c r="S6" s="381"/>
      <c r="T6" s="382"/>
      <c r="U6" s="385" t="s">
        <v>158</v>
      </c>
      <c r="V6" s="385" t="s">
        <v>49</v>
      </c>
      <c r="W6" s="385" t="s">
        <v>203</v>
      </c>
      <c r="X6" s="401" t="s">
        <v>84</v>
      </c>
    </row>
    <row r="7" spans="1:26" ht="78" customHeight="1" thickBot="1" x14ac:dyDescent="0.3">
      <c r="B7" s="386"/>
      <c r="C7" s="411"/>
      <c r="D7" s="411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94"/>
      <c r="P7" s="396"/>
      <c r="Q7" s="239" t="s">
        <v>160</v>
      </c>
      <c r="R7" s="239" t="s">
        <v>201</v>
      </c>
      <c r="S7" s="239" t="s">
        <v>161</v>
      </c>
      <c r="T7" s="239" t="s">
        <v>162</v>
      </c>
      <c r="U7" s="386"/>
      <c r="V7" s="386"/>
      <c r="W7" s="386"/>
      <c r="X7" s="402"/>
    </row>
    <row r="8" spans="1:26" ht="9.75" customHeight="1" x14ac:dyDescent="0.25">
      <c r="B8" s="209">
        <v>1</v>
      </c>
      <c r="C8" s="209">
        <v>2</v>
      </c>
      <c r="D8" s="209">
        <v>3</v>
      </c>
      <c r="E8" s="209">
        <v>5</v>
      </c>
      <c r="F8" s="210">
        <v>6</v>
      </c>
      <c r="G8" s="210">
        <v>7</v>
      </c>
      <c r="H8" s="210"/>
      <c r="I8" s="209">
        <v>8</v>
      </c>
      <c r="J8" s="209">
        <v>9</v>
      </c>
      <c r="K8" s="209">
        <v>10</v>
      </c>
      <c r="L8" s="230">
        <v>11</v>
      </c>
      <c r="M8" s="230">
        <v>12</v>
      </c>
      <c r="N8" s="230">
        <v>13</v>
      </c>
      <c r="O8" s="211" t="s">
        <v>228</v>
      </c>
      <c r="P8" s="212">
        <v>15</v>
      </c>
      <c r="Q8" s="210">
        <v>17</v>
      </c>
      <c r="R8" s="210">
        <v>18</v>
      </c>
      <c r="S8" s="210">
        <v>19</v>
      </c>
      <c r="T8" s="210">
        <v>20</v>
      </c>
      <c r="U8" s="210">
        <v>21</v>
      </c>
      <c r="V8" s="210">
        <v>22</v>
      </c>
      <c r="W8" s="210">
        <v>23</v>
      </c>
      <c r="X8" s="213" t="s">
        <v>229</v>
      </c>
    </row>
    <row r="9" spans="1:26" ht="18.75" hidden="1" customHeight="1" x14ac:dyDescent="0.3">
      <c r="B9" s="115">
        <v>1</v>
      </c>
      <c r="C9" s="181" t="s">
        <v>128</v>
      </c>
      <c r="D9" s="181" t="s">
        <v>44</v>
      </c>
      <c r="E9" s="182" t="s">
        <v>71</v>
      </c>
      <c r="F9" s="182" t="s">
        <v>129</v>
      </c>
      <c r="G9" s="183" t="s">
        <v>45</v>
      </c>
      <c r="H9" s="183"/>
      <c r="I9" s="184">
        <v>9000000</v>
      </c>
      <c r="J9" s="185">
        <v>0</v>
      </c>
      <c r="K9" s="185">
        <f>5%*I9</f>
        <v>450000</v>
      </c>
      <c r="L9" s="231">
        <v>0</v>
      </c>
      <c r="M9" s="231"/>
      <c r="N9" s="231">
        <v>0</v>
      </c>
      <c r="O9" s="186">
        <f>SUM(I9:K9)</f>
        <v>9450000</v>
      </c>
      <c r="P9" s="187">
        <v>0</v>
      </c>
      <c r="Q9" s="188"/>
      <c r="R9" s="188"/>
      <c r="S9" s="188"/>
      <c r="T9" s="188"/>
      <c r="U9" s="188"/>
      <c r="V9" s="188">
        <v>0</v>
      </c>
      <c r="W9" s="267"/>
      <c r="X9" s="214">
        <f>O9</f>
        <v>9450000</v>
      </c>
    </row>
    <row r="10" spans="1:26" ht="18.75" customHeight="1" x14ac:dyDescent="0.25">
      <c r="B10" s="115">
        <v>1</v>
      </c>
      <c r="C10" s="181" t="s">
        <v>178</v>
      </c>
      <c r="D10" s="181" t="s">
        <v>179</v>
      </c>
      <c r="E10" s="258">
        <v>6</v>
      </c>
      <c r="F10" s="182" t="s">
        <v>184</v>
      </c>
      <c r="G10" s="183" t="s">
        <v>35</v>
      </c>
      <c r="H10" s="263">
        <v>1.0416666666666666E-2</v>
      </c>
      <c r="I10" s="262">
        <v>9739000</v>
      </c>
      <c r="J10" s="185">
        <v>4612000</v>
      </c>
      <c r="K10" s="185">
        <v>12300000</v>
      </c>
      <c r="L10" s="231">
        <v>600000</v>
      </c>
      <c r="M10" s="231">
        <v>4000000</v>
      </c>
      <c r="N10" s="231">
        <v>4500000</v>
      </c>
      <c r="O10" s="186">
        <f>SUM(I10:N10)</f>
        <v>35751000</v>
      </c>
      <c r="P10" s="353">
        <v>1017195</v>
      </c>
      <c r="Q10" s="354">
        <v>0</v>
      </c>
      <c r="R10" s="354">
        <v>0</v>
      </c>
      <c r="S10" s="354">
        <v>0</v>
      </c>
      <c r="T10" s="354">
        <v>0</v>
      </c>
      <c r="U10" s="354">
        <v>0</v>
      </c>
      <c r="V10" s="355">
        <f t="shared" ref="V10:V22" si="0">0.05*(J10+K10+L10+M10+N10)</f>
        <v>1300600</v>
      </c>
      <c r="W10" s="355">
        <f t="shared" ref="W10:W22" si="1">P10+Q10+R10+S10+T10+U10+V10</f>
        <v>2317795</v>
      </c>
      <c r="X10" s="364">
        <f t="shared" ref="X10:X22" si="2">O10-(P10+Q10+R10+S10+T10+U10+V10)</f>
        <v>33433205</v>
      </c>
      <c r="Z10" s="20">
        <f t="shared" ref="Z10:Z22" si="3">O10-W10</f>
        <v>33433205</v>
      </c>
    </row>
    <row r="11" spans="1:26" ht="18.75" customHeight="1" x14ac:dyDescent="0.25">
      <c r="B11" s="129">
        <v>2</v>
      </c>
      <c r="C11" s="189" t="s">
        <v>53</v>
      </c>
      <c r="D11" s="189" t="s">
        <v>54</v>
      </c>
      <c r="E11" s="235">
        <v>6</v>
      </c>
      <c r="F11" s="190" t="s">
        <v>55</v>
      </c>
      <c r="G11" s="129" t="s">
        <v>45</v>
      </c>
      <c r="H11" s="259">
        <v>6.2499999999999995E-3</v>
      </c>
      <c r="I11" s="191">
        <v>10454000</v>
      </c>
      <c r="J11" s="192">
        <f>'[1]THR PEG PELINDO'!$G$8</f>
        <v>4612000</v>
      </c>
      <c r="K11" s="192">
        <f>12300000</f>
        <v>12300000</v>
      </c>
      <c r="L11" s="232">
        <v>600000</v>
      </c>
      <c r="M11" s="232">
        <v>4000000</v>
      </c>
      <c r="N11" s="232">
        <v>4500000</v>
      </c>
      <c r="O11" s="193">
        <f t="shared" ref="O11:O20" si="4">SUM(I11:N11)</f>
        <v>36466000</v>
      </c>
      <c r="P11" s="356">
        <v>1107702</v>
      </c>
      <c r="Q11" s="355">
        <v>0</v>
      </c>
      <c r="R11" s="355">
        <v>0</v>
      </c>
      <c r="S11" s="354">
        <v>0</v>
      </c>
      <c r="T11" s="355">
        <v>0</v>
      </c>
      <c r="U11" s="355">
        <v>0</v>
      </c>
      <c r="V11" s="355">
        <f t="shared" si="0"/>
        <v>1300600</v>
      </c>
      <c r="W11" s="355">
        <f t="shared" si="1"/>
        <v>2408302</v>
      </c>
      <c r="X11" s="364">
        <f t="shared" si="2"/>
        <v>34057698</v>
      </c>
      <c r="Z11" s="20">
        <f t="shared" si="3"/>
        <v>34057698</v>
      </c>
    </row>
    <row r="12" spans="1:26" ht="18.75" customHeight="1" x14ac:dyDescent="0.25">
      <c r="B12" s="115">
        <v>3</v>
      </c>
      <c r="C12" s="189" t="s">
        <v>177</v>
      </c>
      <c r="D12" s="189" t="s">
        <v>36</v>
      </c>
      <c r="E12" s="235">
        <v>7</v>
      </c>
      <c r="F12" s="194" t="s">
        <v>185</v>
      </c>
      <c r="G12" s="129" t="s">
        <v>45</v>
      </c>
      <c r="H12" s="259">
        <v>0</v>
      </c>
      <c r="I12" s="191">
        <v>8203000</v>
      </c>
      <c r="J12" s="192">
        <v>4342000</v>
      </c>
      <c r="K12" s="192">
        <v>12300000</v>
      </c>
      <c r="L12" s="232">
        <v>600000</v>
      </c>
      <c r="M12" s="232">
        <v>4000000</v>
      </c>
      <c r="N12" s="232">
        <v>4500000</v>
      </c>
      <c r="O12" s="193">
        <f t="shared" si="4"/>
        <v>33945000</v>
      </c>
      <c r="P12" s="356">
        <v>837576</v>
      </c>
      <c r="Q12" s="355">
        <v>0</v>
      </c>
      <c r="R12" s="355">
        <v>0</v>
      </c>
      <c r="S12" s="354">
        <v>0</v>
      </c>
      <c r="T12" s="355">
        <v>0</v>
      </c>
      <c r="U12" s="355">
        <v>0</v>
      </c>
      <c r="V12" s="355">
        <f t="shared" si="0"/>
        <v>1287100</v>
      </c>
      <c r="W12" s="355">
        <f t="shared" si="1"/>
        <v>2124676</v>
      </c>
      <c r="X12" s="364">
        <f t="shared" si="2"/>
        <v>31820324</v>
      </c>
      <c r="Z12" s="20">
        <f t="shared" si="3"/>
        <v>31820324</v>
      </c>
    </row>
    <row r="13" spans="1:26" ht="18.75" customHeight="1" x14ac:dyDescent="0.25">
      <c r="B13" s="129">
        <v>4</v>
      </c>
      <c r="C13" s="189" t="s">
        <v>180</v>
      </c>
      <c r="D13" s="189" t="s">
        <v>183</v>
      </c>
      <c r="E13" s="235">
        <v>6</v>
      </c>
      <c r="F13" s="194" t="s">
        <v>58</v>
      </c>
      <c r="G13" s="129" t="s">
        <v>31</v>
      </c>
      <c r="H13" s="268">
        <v>3.472222222222222E-3</v>
      </c>
      <c r="I13" s="191">
        <v>9017000</v>
      </c>
      <c r="J13" s="192">
        <f>J11</f>
        <v>4612000</v>
      </c>
      <c r="K13" s="192">
        <v>12300000</v>
      </c>
      <c r="L13" s="232">
        <v>600000</v>
      </c>
      <c r="M13" s="232">
        <v>4000000</v>
      </c>
      <c r="N13" s="232">
        <v>4500000</v>
      </c>
      <c r="O13" s="193">
        <f t="shared" si="4"/>
        <v>35029000</v>
      </c>
      <c r="P13" s="356">
        <v>867728</v>
      </c>
      <c r="Q13" s="355">
        <v>0</v>
      </c>
      <c r="R13" s="355">
        <v>0</v>
      </c>
      <c r="S13" s="354">
        <v>0</v>
      </c>
      <c r="T13" s="355">
        <v>0</v>
      </c>
      <c r="U13" s="355">
        <v>0</v>
      </c>
      <c r="V13" s="355">
        <f t="shared" si="0"/>
        <v>1300600</v>
      </c>
      <c r="W13" s="355">
        <f t="shared" si="1"/>
        <v>2168328</v>
      </c>
      <c r="X13" s="364">
        <f t="shared" si="2"/>
        <v>32860672</v>
      </c>
      <c r="Z13" s="20">
        <f t="shared" si="3"/>
        <v>32860672</v>
      </c>
    </row>
    <row r="14" spans="1:26" ht="18.75" customHeight="1" x14ac:dyDescent="0.25">
      <c r="B14" s="129">
        <v>5</v>
      </c>
      <c r="C14" s="189" t="s">
        <v>181</v>
      </c>
      <c r="D14" s="189" t="s">
        <v>102</v>
      </c>
      <c r="E14" s="235">
        <v>6</v>
      </c>
      <c r="F14" s="190" t="s">
        <v>125</v>
      </c>
      <c r="G14" s="129" t="s">
        <v>45</v>
      </c>
      <c r="H14" s="270" t="s">
        <v>238</v>
      </c>
      <c r="I14" s="191">
        <f>I13</f>
        <v>9017000</v>
      </c>
      <c r="J14" s="192">
        <f>J13</f>
        <v>4612000</v>
      </c>
      <c r="K14" s="192">
        <v>12300000</v>
      </c>
      <c r="L14" s="232">
        <v>600000</v>
      </c>
      <c r="M14" s="232">
        <v>4000000</v>
      </c>
      <c r="N14" s="232">
        <v>4500000</v>
      </c>
      <c r="O14" s="193">
        <f>SUM(I14:N14)</f>
        <v>35029000</v>
      </c>
      <c r="P14" s="356">
        <v>899809</v>
      </c>
      <c r="Q14" s="355">
        <v>0</v>
      </c>
      <c r="R14" s="355">
        <v>0</v>
      </c>
      <c r="S14" s="354">
        <v>0</v>
      </c>
      <c r="T14" s="355">
        <v>0</v>
      </c>
      <c r="U14" s="355">
        <v>0</v>
      </c>
      <c r="V14" s="355">
        <f t="shared" si="0"/>
        <v>1300600</v>
      </c>
      <c r="W14" s="355">
        <f t="shared" si="1"/>
        <v>2200409</v>
      </c>
      <c r="X14" s="364">
        <f t="shared" si="2"/>
        <v>32828591</v>
      </c>
      <c r="Z14" s="20">
        <f t="shared" si="3"/>
        <v>32828591</v>
      </c>
    </row>
    <row r="15" spans="1:26" ht="18.75" customHeight="1" x14ac:dyDescent="0.25">
      <c r="B15" s="115">
        <v>6</v>
      </c>
      <c r="C15" s="189" t="s">
        <v>101</v>
      </c>
      <c r="D15" s="189" t="s">
        <v>124</v>
      </c>
      <c r="E15" s="235">
        <v>7</v>
      </c>
      <c r="F15" s="190" t="s">
        <v>103</v>
      </c>
      <c r="G15" s="129" t="s">
        <v>1</v>
      </c>
      <c r="H15" s="269">
        <v>1.4583333333333332E-2</v>
      </c>
      <c r="I15" s="191">
        <v>7823000</v>
      </c>
      <c r="J15" s="192">
        <v>4114000</v>
      </c>
      <c r="K15" s="192">
        <f>12300000</f>
        <v>12300000</v>
      </c>
      <c r="L15" s="232">
        <v>600000</v>
      </c>
      <c r="M15" s="232">
        <v>4000000</v>
      </c>
      <c r="N15" s="232">
        <v>4500000</v>
      </c>
      <c r="O15" s="193">
        <f t="shared" si="4"/>
        <v>33337000</v>
      </c>
      <c r="P15" s="356">
        <v>867964</v>
      </c>
      <c r="Q15" s="355">
        <v>0</v>
      </c>
      <c r="R15" s="355">
        <v>0</v>
      </c>
      <c r="S15" s="354">
        <v>0</v>
      </c>
      <c r="T15" s="355">
        <v>0</v>
      </c>
      <c r="U15" s="355">
        <v>0</v>
      </c>
      <c r="V15" s="355">
        <f t="shared" si="0"/>
        <v>1275700</v>
      </c>
      <c r="W15" s="355">
        <f t="shared" si="1"/>
        <v>2143664</v>
      </c>
      <c r="X15" s="364">
        <f t="shared" si="2"/>
        <v>31193336</v>
      </c>
      <c r="Z15" s="20">
        <f t="shared" si="3"/>
        <v>31193336</v>
      </c>
    </row>
    <row r="16" spans="1:26" ht="19.5" customHeight="1" x14ac:dyDescent="0.3">
      <c r="B16" s="129">
        <v>7</v>
      </c>
      <c r="C16" s="196" t="s">
        <v>77</v>
      </c>
      <c r="D16" s="189" t="s">
        <v>78</v>
      </c>
      <c r="E16" s="235">
        <v>8</v>
      </c>
      <c r="F16" s="197" t="s">
        <v>81</v>
      </c>
      <c r="G16" s="198" t="s">
        <v>31</v>
      </c>
      <c r="H16" s="271">
        <v>1.2499999999999999E-2</v>
      </c>
      <c r="I16" s="199">
        <v>6918000</v>
      </c>
      <c r="J16" s="200">
        <f>'[1]THR PEG PELINDO'!$G$13</f>
        <v>4114000</v>
      </c>
      <c r="K16" s="200">
        <f>7800000</f>
        <v>7800000</v>
      </c>
      <c r="L16" s="233">
        <v>350000</v>
      </c>
      <c r="M16" s="233">
        <v>2800000</v>
      </c>
      <c r="N16" s="233">
        <v>2000000</v>
      </c>
      <c r="O16" s="201">
        <f>SUM(I16:N16)</f>
        <v>23982000</v>
      </c>
      <c r="P16" s="357">
        <v>800428</v>
      </c>
      <c r="Q16" s="358">
        <v>0</v>
      </c>
      <c r="R16" s="358">
        <v>0</v>
      </c>
      <c r="S16" s="354">
        <v>0</v>
      </c>
      <c r="T16" s="358">
        <v>0</v>
      </c>
      <c r="U16" s="358">
        <v>0</v>
      </c>
      <c r="V16" s="355">
        <f t="shared" si="0"/>
        <v>853200</v>
      </c>
      <c r="W16" s="355">
        <f t="shared" si="1"/>
        <v>1653628</v>
      </c>
      <c r="X16" s="364">
        <f t="shared" si="2"/>
        <v>22328372</v>
      </c>
      <c r="Z16" s="20">
        <f t="shared" si="3"/>
        <v>22328372</v>
      </c>
    </row>
    <row r="17" spans="2:26" ht="18.75" customHeight="1" x14ac:dyDescent="0.25">
      <c r="B17" s="115">
        <v>8</v>
      </c>
      <c r="C17" s="189" t="s">
        <v>86</v>
      </c>
      <c r="D17" s="189" t="s">
        <v>115</v>
      </c>
      <c r="E17" s="235">
        <v>9</v>
      </c>
      <c r="F17" s="195" t="s">
        <v>87</v>
      </c>
      <c r="G17" s="129" t="s">
        <v>45</v>
      </c>
      <c r="H17" s="273">
        <v>1.8749999999999999E-2</v>
      </c>
      <c r="I17" s="191">
        <v>5867000</v>
      </c>
      <c r="J17" s="192">
        <f>'[1]THR PEG PELINDO'!$G$14</f>
        <v>3919000</v>
      </c>
      <c r="K17" s="192">
        <f>7800000</f>
        <v>7800000</v>
      </c>
      <c r="L17" s="232">
        <v>350000</v>
      </c>
      <c r="M17" s="232">
        <v>2800000</v>
      </c>
      <c r="N17" s="232">
        <v>2000000</v>
      </c>
      <c r="O17" s="193">
        <f t="shared" si="4"/>
        <v>22736000</v>
      </c>
      <c r="P17" s="356">
        <v>721488</v>
      </c>
      <c r="Q17" s="355">
        <v>0</v>
      </c>
      <c r="R17" s="355">
        <v>0</v>
      </c>
      <c r="S17" s="354">
        <v>0</v>
      </c>
      <c r="T17" s="355">
        <v>0</v>
      </c>
      <c r="U17" s="355">
        <v>0</v>
      </c>
      <c r="V17" s="355">
        <f t="shared" si="0"/>
        <v>843450</v>
      </c>
      <c r="W17" s="355">
        <f t="shared" si="1"/>
        <v>1564938</v>
      </c>
      <c r="X17" s="364">
        <f t="shared" si="2"/>
        <v>21171062</v>
      </c>
      <c r="Z17" s="20">
        <f t="shared" si="3"/>
        <v>21171062</v>
      </c>
    </row>
    <row r="18" spans="2:26" ht="18.75" customHeight="1" x14ac:dyDescent="0.3">
      <c r="B18" s="129">
        <v>9</v>
      </c>
      <c r="C18" s="196" t="s">
        <v>219</v>
      </c>
      <c r="D18" s="189" t="s">
        <v>137</v>
      </c>
      <c r="E18" s="235">
        <v>11</v>
      </c>
      <c r="F18" s="197" t="s">
        <v>220</v>
      </c>
      <c r="G18" s="198" t="s">
        <v>34</v>
      </c>
      <c r="H18" s="272">
        <v>1.7361111111111112E-2</v>
      </c>
      <c r="I18" s="199">
        <v>5400000</v>
      </c>
      <c r="J18" s="200">
        <v>3435000</v>
      </c>
      <c r="K18" s="200">
        <f>7800000</f>
        <v>7800000</v>
      </c>
      <c r="L18" s="233">
        <v>350000</v>
      </c>
      <c r="M18" s="233">
        <v>2800000</v>
      </c>
      <c r="N18" s="233">
        <v>2000000</v>
      </c>
      <c r="O18" s="201">
        <f>SUM(I18:N18)</f>
        <v>21785000</v>
      </c>
      <c r="P18" s="357">
        <v>653736</v>
      </c>
      <c r="Q18" s="358">
        <v>0</v>
      </c>
      <c r="R18" s="358">
        <v>0</v>
      </c>
      <c r="S18" s="354">
        <v>0</v>
      </c>
      <c r="T18" s="358">
        <v>0</v>
      </c>
      <c r="U18" s="358">
        <v>0</v>
      </c>
      <c r="V18" s="355">
        <f t="shared" si="0"/>
        <v>819250</v>
      </c>
      <c r="W18" s="355">
        <f t="shared" si="1"/>
        <v>1472986</v>
      </c>
      <c r="X18" s="364">
        <f t="shared" si="2"/>
        <v>20312014</v>
      </c>
      <c r="Z18" s="20">
        <f t="shared" si="3"/>
        <v>20312014</v>
      </c>
    </row>
    <row r="19" spans="2:26" ht="18.75" customHeight="1" x14ac:dyDescent="0.3">
      <c r="B19" s="115">
        <v>10</v>
      </c>
      <c r="C19" s="196" t="s">
        <v>182</v>
      </c>
      <c r="D19" s="189" t="s">
        <v>139</v>
      </c>
      <c r="E19" s="235">
        <v>8</v>
      </c>
      <c r="F19" s="197" t="s">
        <v>138</v>
      </c>
      <c r="G19" s="198" t="s">
        <v>34</v>
      </c>
      <c r="H19" s="271">
        <v>0</v>
      </c>
      <c r="I19" s="199">
        <v>7230000</v>
      </c>
      <c r="J19" s="200">
        <f>J16</f>
        <v>4114000</v>
      </c>
      <c r="K19" s="200">
        <v>7800000</v>
      </c>
      <c r="L19" s="233">
        <v>350000</v>
      </c>
      <c r="M19" s="233">
        <v>2800000</v>
      </c>
      <c r="N19" s="233">
        <v>2000000</v>
      </c>
      <c r="O19" s="201">
        <f>SUM(I19:N19)</f>
        <v>24294000</v>
      </c>
      <c r="P19" s="357">
        <v>843888</v>
      </c>
      <c r="Q19" s="358">
        <v>0</v>
      </c>
      <c r="R19" s="358">
        <v>0</v>
      </c>
      <c r="S19" s="354">
        <v>0</v>
      </c>
      <c r="T19" s="358">
        <v>0</v>
      </c>
      <c r="U19" s="359">
        <v>0</v>
      </c>
      <c r="V19" s="355">
        <f t="shared" si="0"/>
        <v>853200</v>
      </c>
      <c r="W19" s="355">
        <f t="shared" si="1"/>
        <v>1697088</v>
      </c>
      <c r="X19" s="364">
        <f t="shared" si="2"/>
        <v>22596912</v>
      </c>
      <c r="Z19" s="20">
        <f t="shared" si="3"/>
        <v>22596912</v>
      </c>
    </row>
    <row r="20" spans="2:26" ht="18.75" customHeight="1" x14ac:dyDescent="0.3">
      <c r="B20" s="129">
        <v>11</v>
      </c>
      <c r="C20" s="196" t="s">
        <v>226</v>
      </c>
      <c r="D20" s="189" t="s">
        <v>216</v>
      </c>
      <c r="E20" s="235">
        <v>8</v>
      </c>
      <c r="F20" s="197" t="s">
        <v>130</v>
      </c>
      <c r="G20" s="198" t="s">
        <v>34</v>
      </c>
      <c r="H20" s="274">
        <v>4.8611111111111112E-3</v>
      </c>
      <c r="I20" s="199">
        <v>6918000</v>
      </c>
      <c r="J20" s="200">
        <v>4114000</v>
      </c>
      <c r="K20" s="200">
        <f>7800000</f>
        <v>7800000</v>
      </c>
      <c r="L20" s="233">
        <v>350000</v>
      </c>
      <c r="M20" s="233">
        <v>2800000</v>
      </c>
      <c r="N20" s="233">
        <v>2000000</v>
      </c>
      <c r="O20" s="201">
        <f t="shared" si="4"/>
        <v>23982000</v>
      </c>
      <c r="P20" s="357">
        <v>740616</v>
      </c>
      <c r="Q20" s="360">
        <v>0</v>
      </c>
      <c r="R20" s="360">
        <v>0</v>
      </c>
      <c r="S20" s="354">
        <v>0</v>
      </c>
      <c r="T20" s="360">
        <v>0</v>
      </c>
      <c r="U20" s="359">
        <v>0</v>
      </c>
      <c r="V20" s="355">
        <f t="shared" si="0"/>
        <v>853200</v>
      </c>
      <c r="W20" s="355">
        <f t="shared" si="1"/>
        <v>1593816</v>
      </c>
      <c r="X20" s="364">
        <f t="shared" si="2"/>
        <v>22388184</v>
      </c>
      <c r="Z20" s="20">
        <f t="shared" si="3"/>
        <v>22388184</v>
      </c>
    </row>
    <row r="21" spans="2:26" ht="18.75" customHeight="1" x14ac:dyDescent="0.3">
      <c r="B21" s="115">
        <v>12</v>
      </c>
      <c r="C21" s="196" t="s">
        <v>89</v>
      </c>
      <c r="D21" s="189" t="s">
        <v>52</v>
      </c>
      <c r="E21" s="235">
        <v>11</v>
      </c>
      <c r="F21" s="197" t="s">
        <v>90</v>
      </c>
      <c r="G21" s="198" t="s">
        <v>34</v>
      </c>
      <c r="H21" s="260">
        <v>4.3055555555555562E-2</v>
      </c>
      <c r="I21" s="191">
        <v>4543000</v>
      </c>
      <c r="J21" s="192">
        <v>3435000</v>
      </c>
      <c r="K21" s="192">
        <v>6000000</v>
      </c>
      <c r="L21" s="232">
        <v>0</v>
      </c>
      <c r="M21" s="232">
        <v>0</v>
      </c>
      <c r="N21" s="232">
        <v>0</v>
      </c>
      <c r="O21" s="201">
        <f t="shared" ref="O21:O22" si="5">SUM(I21:K21)</f>
        <v>13978000</v>
      </c>
      <c r="P21" s="357">
        <v>587551</v>
      </c>
      <c r="Q21" s="358">
        <f>10%*K21</f>
        <v>600000</v>
      </c>
      <c r="R21" s="358">
        <v>0</v>
      </c>
      <c r="S21" s="354">
        <v>0</v>
      </c>
      <c r="T21" s="358">
        <v>0</v>
      </c>
      <c r="U21" s="360">
        <v>12061</v>
      </c>
      <c r="V21" s="355">
        <f t="shared" si="0"/>
        <v>471750</v>
      </c>
      <c r="W21" s="355">
        <f t="shared" si="1"/>
        <v>1671362</v>
      </c>
      <c r="X21" s="364">
        <f t="shared" si="2"/>
        <v>12306638</v>
      </c>
      <c r="Z21" s="20">
        <f t="shared" si="3"/>
        <v>12306638</v>
      </c>
    </row>
    <row r="22" spans="2:26" ht="18.75" customHeight="1" x14ac:dyDescent="0.3">
      <c r="B22" s="151">
        <v>13</v>
      </c>
      <c r="C22" s="202" t="s">
        <v>79</v>
      </c>
      <c r="D22" s="203" t="s">
        <v>52</v>
      </c>
      <c r="E22" s="236">
        <v>11</v>
      </c>
      <c r="F22" s="204" t="s">
        <v>80</v>
      </c>
      <c r="G22" s="205" t="s">
        <v>1</v>
      </c>
      <c r="H22" s="261">
        <v>6.9444444444444447E-4</v>
      </c>
      <c r="I22" s="206">
        <f>I21</f>
        <v>4543000</v>
      </c>
      <c r="J22" s="207">
        <v>3435000</v>
      </c>
      <c r="K22" s="207">
        <v>6000000</v>
      </c>
      <c r="L22" s="234">
        <v>0</v>
      </c>
      <c r="M22" s="234">
        <v>0</v>
      </c>
      <c r="N22" s="234">
        <v>0</v>
      </c>
      <c r="O22" s="208">
        <f t="shared" si="5"/>
        <v>13978000</v>
      </c>
      <c r="P22" s="361">
        <v>587551</v>
      </c>
      <c r="Q22" s="362">
        <v>0</v>
      </c>
      <c r="R22" s="362">
        <v>0</v>
      </c>
      <c r="S22" s="354">
        <v>0</v>
      </c>
      <c r="T22" s="362">
        <v>0</v>
      </c>
      <c r="U22" s="362">
        <v>0</v>
      </c>
      <c r="V22" s="363">
        <f t="shared" si="0"/>
        <v>471750</v>
      </c>
      <c r="W22" s="363">
        <f t="shared" si="1"/>
        <v>1059301</v>
      </c>
      <c r="X22" s="364">
        <f t="shared" si="2"/>
        <v>12918699</v>
      </c>
      <c r="Z22" s="20">
        <f t="shared" si="3"/>
        <v>12918699</v>
      </c>
    </row>
    <row r="23" spans="2:26" ht="14.5" x14ac:dyDescent="0.35">
      <c r="B23" s="74"/>
      <c r="C23" s="74"/>
      <c r="D23" s="74"/>
      <c r="E23" s="74"/>
      <c r="F23" s="73"/>
      <c r="G23" s="21"/>
      <c r="H23" s="21"/>
      <c r="I23" s="391">
        <f>SUM(I10:I22)</f>
        <v>95672000</v>
      </c>
      <c r="J23" s="391">
        <f>SUM(J10:J22)</f>
        <v>53470000</v>
      </c>
      <c r="K23" s="391">
        <f>K10+K11+K12+K13+K14+K15+K16+K17+K18+K19+K20+K21+K22</f>
        <v>124800000</v>
      </c>
      <c r="L23" s="397">
        <f>SUM(L10:L22)</f>
        <v>5350000</v>
      </c>
      <c r="M23" s="397">
        <f>SUM(M10:M22)</f>
        <v>38000000</v>
      </c>
      <c r="N23" s="397">
        <f>SUM(N9:N22)</f>
        <v>37000000</v>
      </c>
      <c r="O23" s="405">
        <f>O10+O11+O12+O13+O14+O15+O16+O17+O18+O19+O20+O21+O22</f>
        <v>354292000</v>
      </c>
      <c r="P23" s="407">
        <f>P10+P11+P12+P13+P14+P15+P16+P17+P18+P19+P20+P21+P22</f>
        <v>10533232</v>
      </c>
      <c r="Q23" s="383">
        <f>Q10+Q11+Q12+Q13+Q14+Q15+Q16+Q17+Q18+Q19+Q20+Q21+Q22</f>
        <v>600000</v>
      </c>
      <c r="R23" s="383">
        <f>R10+R11+R12+R13+R14+R15+R16+R17+R18+R19+R20+R21+R22</f>
        <v>0</v>
      </c>
      <c r="S23" s="383">
        <v>0</v>
      </c>
      <c r="T23" s="383">
        <f>T10+T11+T12+T13+T14+T15+T16+T17+T18+T19+T20+T21+T22</f>
        <v>0</v>
      </c>
      <c r="U23" s="383">
        <f>U10+U11+U12+U13+U14+U15+U16+U17+U18+U19+U20+U21+U22</f>
        <v>12061</v>
      </c>
      <c r="V23" s="409">
        <f>V10+V11+V12+V13+V14+V15+V16+V17+V18+V19+V20+V21+V22</f>
        <v>12931000</v>
      </c>
      <c r="W23" s="387">
        <f>W10+W11+W12+W13+W14+W15+W16+W17+W18+W19+W20+W21+W22</f>
        <v>24076293</v>
      </c>
      <c r="X23" s="403">
        <f>X10+X11+X12+X13+X14+X15+X16+X17+X18+X19+X20+X21+X22</f>
        <v>330215707</v>
      </c>
      <c r="Z23" s="20"/>
    </row>
    <row r="24" spans="2:26" ht="15" thickBot="1" x14ac:dyDescent="0.4">
      <c r="B24" s="75"/>
      <c r="C24" s="75"/>
      <c r="D24" s="75"/>
      <c r="E24" s="75"/>
      <c r="F24" s="76"/>
      <c r="G24" s="77"/>
      <c r="H24" s="77"/>
      <c r="I24" s="392"/>
      <c r="J24" s="392"/>
      <c r="K24" s="392"/>
      <c r="L24" s="398"/>
      <c r="M24" s="398"/>
      <c r="N24" s="398"/>
      <c r="O24" s="406"/>
      <c r="P24" s="408"/>
      <c r="Q24" s="384"/>
      <c r="R24" s="384"/>
      <c r="S24" s="384"/>
      <c r="T24" s="384"/>
      <c r="U24" s="384"/>
      <c r="V24" s="410"/>
      <c r="W24" s="388"/>
      <c r="X24" s="404"/>
      <c r="Z24" s="93">
        <f>P23+Q23+R23+S23+T23+U23+V23</f>
        <v>24076293</v>
      </c>
    </row>
    <row r="25" spans="2:26" ht="13" thickTop="1" x14ac:dyDescent="0.25">
      <c r="Z25" s="20">
        <f>O23-Z24</f>
        <v>330215707</v>
      </c>
    </row>
    <row r="26" spans="2:26" ht="13" x14ac:dyDescent="0.3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6" ht="13" x14ac:dyDescent="0.3">
      <c r="B27" s="27"/>
      <c r="C27" s="26"/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389" t="s">
        <v>233</v>
      </c>
      <c r="V27" s="389"/>
      <c r="W27" s="389"/>
      <c r="X27" s="389"/>
      <c r="Y27" s="389"/>
      <c r="Z27" s="20">
        <f>O23-Z24</f>
        <v>330215707</v>
      </c>
    </row>
    <row r="28" spans="2:26" ht="13" x14ac:dyDescent="0.3">
      <c r="B28" s="27"/>
      <c r="C28" s="26"/>
      <c r="D28" s="26"/>
      <c r="E28" s="26"/>
      <c r="F28" s="26"/>
      <c r="G28" s="26"/>
      <c r="H28" s="26"/>
      <c r="I28" s="26"/>
      <c r="J28" s="26"/>
      <c r="Q28" s="254"/>
      <c r="R28" s="254"/>
      <c r="S28" s="254"/>
      <c r="T28" s="254"/>
      <c r="U28" s="389" t="s">
        <v>36</v>
      </c>
      <c r="V28" s="389"/>
      <c r="W28" s="389"/>
      <c r="X28" s="389"/>
      <c r="Y28" s="389"/>
    </row>
    <row r="29" spans="2:26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54"/>
      <c r="R29" s="254"/>
      <c r="S29" s="254"/>
      <c r="T29" s="254"/>
      <c r="U29" s="120"/>
      <c r="V29" s="120"/>
      <c r="W29" s="120"/>
      <c r="X29" s="120"/>
      <c r="Y29" s="120"/>
      <c r="Z29" s="20"/>
    </row>
    <row r="30" spans="2:26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54"/>
      <c r="R30" s="254"/>
      <c r="S30" s="254"/>
      <c r="T30" s="254"/>
      <c r="U30" s="120"/>
      <c r="V30" s="120"/>
      <c r="W30" s="120"/>
      <c r="X30" s="120"/>
      <c r="Y30" s="292"/>
    </row>
    <row r="31" spans="2:26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292"/>
    </row>
    <row r="32" spans="2:26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390" t="s">
        <v>177</v>
      </c>
      <c r="V32" s="390"/>
      <c r="W32" s="390"/>
      <c r="X32" s="390"/>
      <c r="Y32" s="390"/>
    </row>
    <row r="33" spans="2:24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</row>
    <row r="34" spans="2:24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389"/>
      <c r="V34" s="389"/>
      <c r="W34" s="389"/>
      <c r="X34" s="389"/>
    </row>
    <row r="35" spans="2:24" ht="13" x14ac:dyDescent="0.3">
      <c r="Q35" s="255"/>
      <c r="R35" s="255"/>
      <c r="S35" s="255"/>
      <c r="T35" s="255" t="s">
        <v>43</v>
      </c>
      <c r="U35" s="255"/>
      <c r="V35" s="255"/>
      <c r="W35" s="255"/>
      <c r="X35" s="255"/>
    </row>
    <row r="36" spans="2:24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4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4" ht="13" x14ac:dyDescent="0.3">
      <c r="B38" s="27"/>
      <c r="C38" s="26"/>
      <c r="D38" s="158"/>
      <c r="E38" s="26"/>
      <c r="F38" s="26"/>
      <c r="G38" s="26"/>
      <c r="H38" s="26"/>
      <c r="I38" s="26"/>
      <c r="J38" s="26"/>
    </row>
    <row r="39" spans="2:24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4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4" ht="13" x14ac:dyDescent="0.3">
      <c r="B41" s="27"/>
      <c r="C41" s="26"/>
      <c r="D41" s="26"/>
      <c r="E41" s="26"/>
      <c r="F41" s="26"/>
      <c r="G41" s="26"/>
      <c r="H41" s="26"/>
      <c r="I41" s="26"/>
      <c r="J41" s="26"/>
    </row>
    <row r="42" spans="2:24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258620000</v>
      </c>
    </row>
    <row r="43" spans="2:24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302814600</v>
      </c>
    </row>
    <row r="44" spans="2:24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5">
      <c r="E57" t="s">
        <v>155</v>
      </c>
      <c r="F57" s="20">
        <f>91839000+36630000</f>
        <v>128469000</v>
      </c>
    </row>
    <row r="58" spans="5:9" x14ac:dyDescent="0.25">
      <c r="E58" t="s">
        <v>156</v>
      </c>
      <c r="F58" s="20">
        <f>J23+K23+L23+M23+N23+35058000</f>
        <v>293678000</v>
      </c>
      <c r="H58" s="152"/>
      <c r="I58" s="20"/>
    </row>
    <row r="60" spans="5:9" x14ac:dyDescent="0.25">
      <c r="E60" s="20"/>
    </row>
  </sheetData>
  <mergeCells count="42">
    <mergeCell ref="A3:X3"/>
    <mergeCell ref="A4:X4"/>
    <mergeCell ref="X6:X7"/>
    <mergeCell ref="X23:X24"/>
    <mergeCell ref="O23:O24"/>
    <mergeCell ref="P23:P24"/>
    <mergeCell ref="V23:V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U34:X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W6:W7"/>
    <mergeCell ref="Q23:Q24"/>
    <mergeCell ref="R23:R24"/>
    <mergeCell ref="T23:T24"/>
    <mergeCell ref="U27:Y27"/>
    <mergeCell ref="U28:Y28"/>
    <mergeCell ref="U32:Y32"/>
    <mergeCell ref="V6:V7"/>
    <mergeCell ref="U6:U7"/>
    <mergeCell ref="Q6:T6"/>
    <mergeCell ref="S23:S24"/>
    <mergeCell ref="I6:I7"/>
    <mergeCell ref="U23:U24"/>
    <mergeCell ref="W23:W24"/>
  </mergeCells>
  <printOptions horizontalCentered="1"/>
  <pageMargins left="0" right="0" top="0" bottom="0.74803149606299213" header="0.31496062992125984" footer="0.31496062992125984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topLeftCell="A5" zoomScaleNormal="100" workbookViewId="0">
      <selection activeCell="J24" sqref="J24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70" t="s">
        <v>42</v>
      </c>
      <c r="B1" s="37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36"/>
      <c r="B2" s="33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71" t="s">
        <v>175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</row>
    <row r="5" spans="1:32" ht="16.5" customHeight="1" x14ac:dyDescent="0.25">
      <c r="A5" s="13"/>
      <c r="B5" s="371" t="s">
        <v>231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72" t="s">
        <v>7</v>
      </c>
      <c r="B7" s="372" t="s">
        <v>68</v>
      </c>
      <c r="C7" s="372" t="s">
        <v>21</v>
      </c>
      <c r="D7" s="372" t="s">
        <v>0</v>
      </c>
      <c r="E7" s="372" t="s">
        <v>2</v>
      </c>
      <c r="F7" s="372" t="s">
        <v>16</v>
      </c>
      <c r="G7" s="372" t="s">
        <v>17</v>
      </c>
      <c r="H7" s="372" t="s">
        <v>18</v>
      </c>
      <c r="I7" s="372" t="s">
        <v>6</v>
      </c>
      <c r="J7" s="372" t="s">
        <v>23</v>
      </c>
      <c r="K7" s="372" t="s">
        <v>4</v>
      </c>
      <c r="L7" s="372" t="s">
        <v>3</v>
      </c>
      <c r="M7" s="372" t="s">
        <v>19</v>
      </c>
      <c r="N7" s="372" t="s">
        <v>9</v>
      </c>
      <c r="O7" s="372" t="s">
        <v>8</v>
      </c>
      <c r="P7" s="372" t="s">
        <v>5</v>
      </c>
      <c r="Q7" s="372" t="s">
        <v>11</v>
      </c>
      <c r="R7" s="372" t="s">
        <v>10</v>
      </c>
      <c r="S7" s="22" t="s">
        <v>12</v>
      </c>
      <c r="T7" s="22"/>
      <c r="U7" s="22"/>
      <c r="V7" s="22"/>
      <c r="W7" s="22"/>
      <c r="X7" s="375" t="s">
        <v>24</v>
      </c>
    </row>
    <row r="8" spans="1:32" ht="20.149999999999999" customHeight="1" x14ac:dyDescent="0.25">
      <c r="A8" s="373"/>
      <c r="B8" s="374"/>
      <c r="C8" s="374"/>
      <c r="D8" s="374"/>
      <c r="E8" s="374"/>
      <c r="F8" s="374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5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10284750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47" t="s">
        <v>123</v>
      </c>
      <c r="Y10">
        <f>'NET PEGAWAI PTP'!L8</f>
        <v>10791000</v>
      </c>
      <c r="Z10" s="30">
        <f>'NET PEGAWAI PTP'!N8+'NET PEGAWAI PTP'!P8+'NET PEGAWAI PTP'!V8</f>
        <v>472950</v>
      </c>
      <c r="AA10" s="48">
        <f>Y10-Z10</f>
        <v>10318050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10284750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47" t="s">
        <v>28</v>
      </c>
      <c r="Y11">
        <f>'NET PEGAWAI PTP'!L9</f>
        <v>10791000</v>
      </c>
      <c r="Z11" s="30">
        <f>'NET PEGAWAI PTP'!N9+'NET PEGAWAI PTP'!P9+'NET PEGAWAI PTP'!V9</f>
        <v>472950</v>
      </c>
      <c r="AA11" s="48">
        <f>Y11-Z11</f>
        <v>10318050</v>
      </c>
    </row>
    <row r="12" spans="1:32" ht="20.149999999999999" customHeight="1" x14ac:dyDescent="0.35">
      <c r="A12" s="126">
        <v>3</v>
      </c>
      <c r="B12" s="46" t="s">
        <v>65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6051100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48" t="s">
        <v>66</v>
      </c>
      <c r="Y12">
        <f>'NET PEGAWAI PTP'!L10</f>
        <v>6390000</v>
      </c>
      <c r="Z12" s="30">
        <f>'NET PEGAWAI PTP'!V10</f>
        <v>153000</v>
      </c>
      <c r="AA12" s="48">
        <f>Y12-Z12</f>
        <v>6237000</v>
      </c>
    </row>
    <row r="13" spans="1:32" ht="20.149999999999999" customHeight="1" x14ac:dyDescent="0.35">
      <c r="A13" s="122">
        <v>4</v>
      </c>
      <c r="B13" s="46" t="s">
        <v>73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6673450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48" t="s">
        <v>76</v>
      </c>
      <c r="Z13" s="30"/>
      <c r="AA13" s="48"/>
    </row>
    <row r="14" spans="1:32" ht="20.149999999999999" customHeight="1" x14ac:dyDescent="0.35">
      <c r="A14" s="126">
        <v>5</v>
      </c>
      <c r="B14" s="46" t="s">
        <v>106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5958876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48" t="s">
        <v>113</v>
      </c>
      <c r="Z14" s="30"/>
      <c r="AA14" s="48"/>
      <c r="AD14" s="152"/>
      <c r="AE14" s="179"/>
      <c r="AF14" s="20"/>
    </row>
    <row r="15" spans="1:32" ht="20.149999999999999" customHeight="1" x14ac:dyDescent="0.35">
      <c r="A15" s="122">
        <v>6</v>
      </c>
      <c r="B15" s="46" t="s">
        <v>212</v>
      </c>
      <c r="C15" s="36" t="s">
        <v>88</v>
      </c>
      <c r="D15" s="61"/>
      <c r="E15" s="62"/>
      <c r="F15" s="63"/>
      <c r="G15" s="64"/>
      <c r="H15" s="64"/>
      <c r="I15" s="64"/>
      <c r="J15" s="70">
        <f>'NET PEGAWAI PTP'!X19</f>
        <v>4122601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49" t="s">
        <v>218</v>
      </c>
      <c r="Z15" s="30"/>
      <c r="AA15" s="48"/>
      <c r="AD15" s="152"/>
      <c r="AE15" s="20"/>
    </row>
    <row r="16" spans="1:32" ht="20.149999999999999" customHeight="1" x14ac:dyDescent="0.35">
      <c r="A16" s="122">
        <v>7</v>
      </c>
      <c r="B16" s="46" t="s">
        <v>112</v>
      </c>
      <c r="C16" s="36" t="s">
        <v>88</v>
      </c>
      <c r="D16" s="61"/>
      <c r="E16" s="62"/>
      <c r="F16" s="63"/>
      <c r="G16" s="64"/>
      <c r="H16" s="64"/>
      <c r="I16" s="64"/>
      <c r="J16" s="70">
        <f>'NET PEGAWAI PTP'!X14</f>
        <v>5663760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48" t="s">
        <v>114</v>
      </c>
      <c r="Z16" s="30"/>
      <c r="AA16" s="48"/>
      <c r="AD16" s="152"/>
      <c r="AE16" s="179"/>
      <c r="AF16" s="20"/>
    </row>
    <row r="17" spans="1:31" ht="20.149999999999999" customHeight="1" x14ac:dyDescent="0.35">
      <c r="A17" s="126">
        <v>8</v>
      </c>
      <c r="B17" s="46" t="s">
        <v>99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6103800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48" t="s">
        <v>100</v>
      </c>
      <c r="Z17" s="30"/>
      <c r="AA17" s="48"/>
      <c r="AD17" s="252"/>
      <c r="AE17" s="253"/>
    </row>
    <row r="18" spans="1:31" ht="20.149999999999999" customHeight="1" x14ac:dyDescent="0.35">
      <c r="A18" s="122">
        <v>9</v>
      </c>
      <c r="B18" s="240" t="s">
        <v>119</v>
      </c>
      <c r="C18" s="241" t="s">
        <v>88</v>
      </c>
      <c r="D18" s="242"/>
      <c r="E18" s="243"/>
      <c r="F18" s="244"/>
      <c r="G18" s="245"/>
      <c r="H18" s="245"/>
      <c r="I18" s="245"/>
      <c r="J18" s="246">
        <f>'NET PEGAWAI PTP'!X16</f>
        <v>5929776</v>
      </c>
      <c r="K18" s="247"/>
      <c r="L18" s="247"/>
      <c r="M18" s="247"/>
      <c r="N18" s="244"/>
      <c r="O18" s="248"/>
      <c r="P18" s="247"/>
      <c r="Q18" s="244"/>
      <c r="R18" s="244"/>
      <c r="S18" s="248"/>
      <c r="T18" s="248"/>
      <c r="U18" s="248"/>
      <c r="V18" s="248"/>
      <c r="W18" s="248"/>
      <c r="X18" s="350" t="s">
        <v>118</v>
      </c>
      <c r="Z18" s="30"/>
      <c r="AA18" s="48"/>
    </row>
    <row r="19" spans="1:31" ht="20.149999999999999" customHeight="1" x14ac:dyDescent="0.35">
      <c r="A19" s="122">
        <v>10</v>
      </c>
      <c r="B19" s="46" t="s">
        <v>93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6041774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48" t="s">
        <v>194</v>
      </c>
      <c r="Z19" s="30"/>
      <c r="AA19" s="48"/>
    </row>
    <row r="20" spans="1:31" ht="20.149999999999999" customHeight="1" x14ac:dyDescent="0.35">
      <c r="A20" s="126">
        <v>11</v>
      </c>
      <c r="B20" s="46" t="s">
        <v>225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6041343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1" t="s">
        <v>217</v>
      </c>
      <c r="Z20" s="30"/>
      <c r="AA20" s="48"/>
    </row>
    <row r="21" spans="1:31" ht="20.149999999999999" customHeight="1" x14ac:dyDescent="0.35">
      <c r="A21" s="126">
        <v>12</v>
      </c>
      <c r="B21" s="338" t="s">
        <v>131</v>
      </c>
      <c r="C21" s="339" t="s">
        <v>50</v>
      </c>
      <c r="D21" s="340"/>
      <c r="E21" s="341"/>
      <c r="F21" s="342"/>
      <c r="G21" s="343"/>
      <c r="H21" s="343"/>
      <c r="I21" s="343"/>
      <c r="J21" s="344">
        <f>'NET PEGAWAI PTP'!X17</f>
        <v>6051100</v>
      </c>
      <c r="K21" s="345"/>
      <c r="L21" s="345"/>
      <c r="M21" s="345"/>
      <c r="N21" s="342"/>
      <c r="O21" s="346"/>
      <c r="P21" s="345"/>
      <c r="Q21" s="342"/>
      <c r="R21" s="342"/>
      <c r="S21" s="346"/>
      <c r="T21" s="346"/>
      <c r="U21" s="346"/>
      <c r="V21" s="346"/>
      <c r="W21" s="346"/>
      <c r="X21" s="251" t="s">
        <v>133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76">
        <f>SUM(F9:F11)</f>
        <v>0</v>
      </c>
      <c r="G22" s="376">
        <f>SUM(G9:G11)</f>
        <v>0</v>
      </c>
      <c r="H22" s="376">
        <f>SUM(H9:H11)</f>
        <v>0</v>
      </c>
      <c r="I22" s="376">
        <f>SUM(I9:I11)</f>
        <v>0</v>
      </c>
      <c r="J22" s="378">
        <f>SUM(J10:J21)</f>
        <v>79207080</v>
      </c>
      <c r="K22" s="376">
        <f t="shared" ref="K22:W22" si="0">SUM(K9:K11)</f>
        <v>0</v>
      </c>
      <c r="L22" s="376">
        <f t="shared" si="0"/>
        <v>0</v>
      </c>
      <c r="M22" s="376">
        <f t="shared" si="0"/>
        <v>0</v>
      </c>
      <c r="N22" s="376">
        <f t="shared" si="0"/>
        <v>0</v>
      </c>
      <c r="O22" s="376">
        <f t="shared" si="0"/>
        <v>0</v>
      </c>
      <c r="P22" s="376">
        <f t="shared" si="0"/>
        <v>0</v>
      </c>
      <c r="Q22" s="376">
        <f t="shared" si="0"/>
        <v>0</v>
      </c>
      <c r="R22" s="376">
        <f t="shared" si="0"/>
        <v>0</v>
      </c>
      <c r="S22" s="376">
        <f t="shared" si="0"/>
        <v>0</v>
      </c>
      <c r="T22" s="376">
        <f t="shared" si="0"/>
        <v>0</v>
      </c>
      <c r="U22" s="376">
        <f t="shared" si="0"/>
        <v>0</v>
      </c>
      <c r="V22" s="376">
        <f t="shared" si="0"/>
        <v>0</v>
      </c>
      <c r="W22" s="376">
        <f t="shared" si="0"/>
        <v>0</v>
      </c>
      <c r="X22" s="376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77"/>
      <c r="G23" s="377"/>
      <c r="H23" s="377"/>
      <c r="I23" s="377"/>
      <c r="J23" s="379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 s="377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37" t="s">
        <v>209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37" t="s">
        <v>234</v>
      </c>
    </row>
    <row r="26" spans="1:31" ht="14.5" x14ac:dyDescent="0.35">
      <c r="A26" s="6"/>
      <c r="B26" s="337" t="s">
        <v>197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37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37" t="s">
        <v>196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37" t="s">
        <v>177</v>
      </c>
    </row>
  </sheetData>
  <mergeCells count="41">
    <mergeCell ref="N7:N8"/>
    <mergeCell ref="O7:O8"/>
    <mergeCell ref="X22:X23"/>
    <mergeCell ref="R22:R23"/>
    <mergeCell ref="S22:S23"/>
    <mergeCell ref="T22:T23"/>
    <mergeCell ref="U22:U23"/>
    <mergeCell ref="V22:V23"/>
    <mergeCell ref="W22:W23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32"/>
  <sheetViews>
    <sheetView zoomScale="90" zoomScaleNormal="90" workbookViewId="0">
      <selection activeCell="M28" sqref="M28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4" customWidth="1"/>
    <col min="18" max="19" width="15" customWidth="1"/>
    <col min="20" max="20" width="11.7265625" customWidth="1"/>
    <col min="21" max="21" width="12.54296875" customWidth="1"/>
    <col min="22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99" t="s">
        <v>146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95"/>
    </row>
    <row r="3" spans="2:29" ht="12.75" customHeight="1" x14ac:dyDescent="0.25">
      <c r="B3" s="400" t="s">
        <v>231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85" t="s">
        <v>7</v>
      </c>
      <c r="C5" s="385" t="s">
        <v>68</v>
      </c>
      <c r="D5" s="385" t="s">
        <v>21</v>
      </c>
      <c r="E5" s="385" t="s">
        <v>176</v>
      </c>
      <c r="F5" s="385" t="s">
        <v>72</v>
      </c>
      <c r="G5" s="385" t="s">
        <v>0</v>
      </c>
      <c r="H5" s="385" t="s">
        <v>2</v>
      </c>
      <c r="I5" s="385" t="s">
        <v>69</v>
      </c>
      <c r="J5" s="385" t="s">
        <v>144</v>
      </c>
      <c r="K5" s="385" t="s">
        <v>145</v>
      </c>
      <c r="L5" s="393" t="s">
        <v>70</v>
      </c>
      <c r="M5" s="415" t="s">
        <v>148</v>
      </c>
      <c r="N5" s="385" t="s">
        <v>147</v>
      </c>
      <c r="O5" s="385" t="s">
        <v>98</v>
      </c>
      <c r="P5" s="385" t="s">
        <v>56</v>
      </c>
      <c r="Q5" s="380" t="s">
        <v>157</v>
      </c>
      <c r="R5" s="381"/>
      <c r="S5" s="381"/>
      <c r="T5" s="382"/>
      <c r="U5" s="385" t="s">
        <v>158</v>
      </c>
      <c r="V5" s="385" t="s">
        <v>49</v>
      </c>
      <c r="W5" s="385" t="s">
        <v>203</v>
      </c>
      <c r="X5" s="385" t="s">
        <v>84</v>
      </c>
      <c r="Y5" s="107"/>
    </row>
    <row r="6" spans="2:29" ht="96" customHeight="1" thickBot="1" x14ac:dyDescent="0.3">
      <c r="B6" s="386"/>
      <c r="C6" s="411"/>
      <c r="D6" s="411"/>
      <c r="E6" s="386"/>
      <c r="F6" s="386"/>
      <c r="G6" s="411"/>
      <c r="H6" s="411"/>
      <c r="I6" s="411"/>
      <c r="J6" s="386"/>
      <c r="K6" s="386"/>
      <c r="L6" s="394"/>
      <c r="M6" s="416"/>
      <c r="N6" s="386"/>
      <c r="O6" s="386"/>
      <c r="P6" s="386"/>
      <c r="Q6" s="237" t="s">
        <v>163</v>
      </c>
      <c r="R6" s="237" t="s">
        <v>200</v>
      </c>
      <c r="S6" s="237" t="s">
        <v>164</v>
      </c>
      <c r="T6" s="237" t="s">
        <v>165</v>
      </c>
      <c r="U6" s="386"/>
      <c r="V6" s="386"/>
      <c r="W6" s="386"/>
      <c r="X6" s="386"/>
      <c r="Y6" s="107"/>
      <c r="Z6" t="s">
        <v>190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135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>
        <v>20</v>
      </c>
      <c r="U7" s="117">
        <v>21</v>
      </c>
      <c r="V7" s="117">
        <v>22</v>
      </c>
      <c r="W7" s="117"/>
      <c r="X7" s="117" t="s">
        <v>166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7">
        <v>0</v>
      </c>
      <c r="F8" s="81" t="s">
        <v>211</v>
      </c>
      <c r="G8" s="131" t="s">
        <v>33</v>
      </c>
      <c r="H8" s="130" t="s">
        <v>35</v>
      </c>
      <c r="I8" s="97">
        <v>3330000</v>
      </c>
      <c r="J8" s="98">
        <v>4706000</v>
      </c>
      <c r="K8" s="98">
        <v>2755000</v>
      </c>
      <c r="L8" s="99">
        <f t="shared" ref="L8:L18" si="0">SUM(I8:K8)</f>
        <v>10791000</v>
      </c>
      <c r="M8" s="100">
        <v>33300</v>
      </c>
      <c r="N8" s="88">
        <v>99900</v>
      </c>
      <c r="O8" s="153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v>0</v>
      </c>
      <c r="V8" s="88">
        <f>0.05*(J8+K8)</f>
        <v>373050</v>
      </c>
      <c r="W8" s="88">
        <f>M8+N8+Q8+R8+S8+T8+U8+V8</f>
        <v>506250</v>
      </c>
      <c r="X8" s="155">
        <f>L8-(M8+N8+Q8+R8+S8+T8+U8+V8)</f>
        <v>10284750</v>
      </c>
      <c r="Y8" s="104"/>
      <c r="Z8" s="20">
        <f>SUM(M8:V8)</f>
        <v>506250</v>
      </c>
      <c r="AA8" s="20">
        <f t="shared" ref="AA8:AA18" si="1">L8-Z8</f>
        <v>10284750</v>
      </c>
      <c r="AB8" s="90"/>
      <c r="AC8" s="90"/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6">
        <v>0</v>
      </c>
      <c r="F9" s="81" t="s">
        <v>211</v>
      </c>
      <c r="G9" s="131" t="s">
        <v>37</v>
      </c>
      <c r="H9" s="130" t="s">
        <v>35</v>
      </c>
      <c r="I9" s="97">
        <f t="shared" ref="I9" si="2">I8</f>
        <v>3330000</v>
      </c>
      <c r="J9" s="98">
        <v>4706000</v>
      </c>
      <c r="K9" s="98">
        <v>2755000</v>
      </c>
      <c r="L9" s="99">
        <f t="shared" si="0"/>
        <v>10791000</v>
      </c>
      <c r="M9" s="100">
        <v>33300</v>
      </c>
      <c r="N9" s="88">
        <v>99900</v>
      </c>
      <c r="O9" s="153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f t="shared" ref="V9:V18" si="3">0.05*(J9+K9)</f>
        <v>373050</v>
      </c>
      <c r="W9" s="88">
        <f t="shared" ref="W9:W18" si="4">M9+N9+Q9+R9+S9+T9+U9+V9</f>
        <v>506250</v>
      </c>
      <c r="X9" s="155">
        <f t="shared" ref="X9:X18" si="5">L9-(M9+N9+Q9+R9+S9+T9+U9+V9)</f>
        <v>10284750</v>
      </c>
      <c r="Y9" s="104"/>
      <c r="Z9" s="20">
        <f t="shared" ref="Z9:Z18" si="6">SUM(M9:V9)</f>
        <v>506250</v>
      </c>
      <c r="AA9" s="20">
        <f t="shared" si="1"/>
        <v>10284750</v>
      </c>
      <c r="AB9" s="90"/>
      <c r="AC9" s="90"/>
    </row>
    <row r="10" spans="2:29" ht="20.149999999999999" customHeight="1" x14ac:dyDescent="0.35">
      <c r="B10" s="129">
        <v>3</v>
      </c>
      <c r="C10" s="79" t="s">
        <v>63</v>
      </c>
      <c r="D10" s="80" t="s">
        <v>52</v>
      </c>
      <c r="E10" s="256">
        <v>2.2916666666666669E-2</v>
      </c>
      <c r="F10" s="81" t="s">
        <v>74</v>
      </c>
      <c r="G10" s="82" t="s">
        <v>64</v>
      </c>
      <c r="H10" s="83" t="s">
        <v>34</v>
      </c>
      <c r="I10" s="84">
        <v>3330000</v>
      </c>
      <c r="J10" s="85">
        <f>[2]Sheet1!$O$19</f>
        <v>2533000</v>
      </c>
      <c r="K10" s="85">
        <f>[2]Sheet1!$Q$19</f>
        <v>527000</v>
      </c>
      <c r="L10" s="86">
        <f t="shared" si="0"/>
        <v>6390000</v>
      </c>
      <c r="M10" s="215">
        <f t="shared" ref="M10:M17" si="7">M9</f>
        <v>33300</v>
      </c>
      <c r="N10" s="87">
        <v>99900</v>
      </c>
      <c r="O10" s="153">
        <v>0</v>
      </c>
      <c r="P10" s="88">
        <v>0</v>
      </c>
      <c r="Q10" s="88">
        <f>10%*K10</f>
        <v>52700</v>
      </c>
      <c r="R10" s="88">
        <v>0</v>
      </c>
      <c r="S10" s="88">
        <v>0</v>
      </c>
      <c r="T10" s="88">
        <v>0</v>
      </c>
      <c r="U10" s="88">
        <v>0</v>
      </c>
      <c r="V10" s="88">
        <f t="shared" si="3"/>
        <v>153000</v>
      </c>
      <c r="W10" s="88">
        <f t="shared" si="4"/>
        <v>338900</v>
      </c>
      <c r="X10" s="155">
        <f t="shared" si="5"/>
        <v>6051100</v>
      </c>
      <c r="Y10" s="105"/>
      <c r="Z10" s="20">
        <f>SUM(M10:V10)</f>
        <v>338900</v>
      </c>
      <c r="AA10" s="20">
        <f t="shared" si="1"/>
        <v>6051100</v>
      </c>
      <c r="AB10" s="90"/>
      <c r="AC10" s="90"/>
    </row>
    <row r="11" spans="2:29" ht="20.149999999999999" customHeight="1" x14ac:dyDescent="0.35">
      <c r="B11" s="129">
        <v>4</v>
      </c>
      <c r="C11" s="79" t="s">
        <v>83</v>
      </c>
      <c r="D11" s="80" t="s">
        <v>51</v>
      </c>
      <c r="E11" s="256">
        <v>2.4999999999999998E-2</v>
      </c>
      <c r="F11" s="81" t="s">
        <v>221</v>
      </c>
      <c r="G11" s="82" t="s">
        <v>75</v>
      </c>
      <c r="H11" s="83" t="s">
        <v>34</v>
      </c>
      <c r="I11" s="84">
        <f t="shared" ref="I11:I12" si="8">I10</f>
        <v>3330000</v>
      </c>
      <c r="J11" s="85">
        <v>2815000</v>
      </c>
      <c r="K11" s="85">
        <v>944000</v>
      </c>
      <c r="L11" s="86">
        <f t="shared" si="0"/>
        <v>7089000</v>
      </c>
      <c r="M11" s="215">
        <f t="shared" si="7"/>
        <v>33300</v>
      </c>
      <c r="N11" s="87">
        <v>99900</v>
      </c>
      <c r="O11" s="153">
        <v>0</v>
      </c>
      <c r="P11" s="88">
        <v>0</v>
      </c>
      <c r="Q11" s="88">
        <f>10%*K11</f>
        <v>94400</v>
      </c>
      <c r="R11" s="88">
        <v>0</v>
      </c>
      <c r="S11" s="88">
        <v>0</v>
      </c>
      <c r="T11" s="88">
        <v>0</v>
      </c>
      <c r="U11" s="88">
        <v>0</v>
      </c>
      <c r="V11" s="88">
        <f>0.05*(J11+K11)</f>
        <v>187950</v>
      </c>
      <c r="W11" s="88">
        <f t="shared" si="4"/>
        <v>415550</v>
      </c>
      <c r="X11" s="155">
        <f t="shared" si="5"/>
        <v>6673450</v>
      </c>
      <c r="Y11" s="105"/>
      <c r="Z11" s="20">
        <f>SUM(M11:V11)</f>
        <v>415550</v>
      </c>
      <c r="AA11" s="20">
        <f t="shared" si="1"/>
        <v>6673450</v>
      </c>
      <c r="AB11" s="91"/>
    </row>
    <row r="12" spans="2:29" ht="20.149999999999999" customHeight="1" x14ac:dyDescent="0.35">
      <c r="B12" s="129">
        <v>5</v>
      </c>
      <c r="C12" s="132" t="s">
        <v>99</v>
      </c>
      <c r="D12" s="133" t="s">
        <v>50</v>
      </c>
      <c r="E12" s="256">
        <v>1.5972222222222224E-2</v>
      </c>
      <c r="F12" s="134" t="s">
        <v>74</v>
      </c>
      <c r="G12" s="135" t="s">
        <v>104</v>
      </c>
      <c r="H12" s="136" t="s">
        <v>35</v>
      </c>
      <c r="I12" s="137">
        <f t="shared" si="8"/>
        <v>3330000</v>
      </c>
      <c r="J12" s="138">
        <v>2533000</v>
      </c>
      <c r="K12" s="138">
        <v>527000</v>
      </c>
      <c r="L12" s="139">
        <f t="shared" si="0"/>
        <v>6390000</v>
      </c>
      <c r="M12" s="216">
        <f t="shared" si="7"/>
        <v>33300</v>
      </c>
      <c r="N12" s="140">
        <v>99900</v>
      </c>
      <c r="O12" s="153">
        <v>0</v>
      </c>
      <c r="P12" s="142">
        <v>0</v>
      </c>
      <c r="Q12" s="88">
        <v>0</v>
      </c>
      <c r="R12" s="142">
        <v>0</v>
      </c>
      <c r="S12" s="88">
        <v>0</v>
      </c>
      <c r="T12" s="142">
        <v>0</v>
      </c>
      <c r="U12" s="142">
        <v>0</v>
      </c>
      <c r="V12" s="88">
        <f>0.05*(J12+K12)</f>
        <v>153000</v>
      </c>
      <c r="W12" s="88">
        <f t="shared" si="4"/>
        <v>286200</v>
      </c>
      <c r="X12" s="155">
        <f t="shared" si="5"/>
        <v>6103800</v>
      </c>
      <c r="Y12" s="105"/>
      <c r="Z12" s="20">
        <f>SUM(M12:V12)</f>
        <v>286200</v>
      </c>
      <c r="AA12" s="20">
        <f t="shared" si="1"/>
        <v>6103800</v>
      </c>
      <c r="AB12" s="91"/>
    </row>
    <row r="13" spans="2:29" ht="20.149999999999999" customHeight="1" x14ac:dyDescent="0.35">
      <c r="B13" s="129">
        <v>6</v>
      </c>
      <c r="C13" s="79" t="s">
        <v>106</v>
      </c>
      <c r="D13" s="80" t="s">
        <v>52</v>
      </c>
      <c r="E13" s="365" t="s">
        <v>235</v>
      </c>
      <c r="F13" s="81" t="s">
        <v>74</v>
      </c>
      <c r="G13" s="82" t="s">
        <v>110</v>
      </c>
      <c r="H13" s="83" t="s">
        <v>35</v>
      </c>
      <c r="I13" s="84">
        <f>I11</f>
        <v>3330000</v>
      </c>
      <c r="J13" s="84">
        <v>2533000</v>
      </c>
      <c r="K13" s="84">
        <v>527000</v>
      </c>
      <c r="L13" s="86">
        <f t="shared" si="0"/>
        <v>6390000</v>
      </c>
      <c r="M13" s="215">
        <f t="shared" si="7"/>
        <v>33300</v>
      </c>
      <c r="N13" s="87">
        <v>99900</v>
      </c>
      <c r="O13" s="153">
        <v>0</v>
      </c>
      <c r="P13" s="88">
        <v>0</v>
      </c>
      <c r="Q13" s="306">
        <f t="shared" ref="Q13:Q19" si="9">10%*K13</f>
        <v>52700</v>
      </c>
      <c r="R13" s="88">
        <v>0</v>
      </c>
      <c r="S13" s="88">
        <v>0</v>
      </c>
      <c r="T13" s="88">
        <v>0</v>
      </c>
      <c r="U13" s="367">
        <v>92224</v>
      </c>
      <c r="V13" s="88">
        <f t="shared" si="3"/>
        <v>153000</v>
      </c>
      <c r="W13" s="88">
        <f>M13+N13+Q13+R13+S13+T13+U13+V13</f>
        <v>431124</v>
      </c>
      <c r="X13" s="155">
        <f t="shared" si="5"/>
        <v>5958876</v>
      </c>
      <c r="Y13" s="105"/>
      <c r="Z13" s="20">
        <f>SUM(M13:V13)</f>
        <v>431124</v>
      </c>
      <c r="AA13" s="20">
        <f t="shared" si="1"/>
        <v>5958876</v>
      </c>
      <c r="AB13" s="91"/>
    </row>
    <row r="14" spans="2:29" ht="20.149999999999999" customHeight="1" x14ac:dyDescent="0.35">
      <c r="B14" s="129">
        <v>7</v>
      </c>
      <c r="C14" s="79" t="s">
        <v>107</v>
      </c>
      <c r="D14" s="80" t="s">
        <v>88</v>
      </c>
      <c r="E14" s="293" t="s">
        <v>236</v>
      </c>
      <c r="F14" s="81" t="s">
        <v>74</v>
      </c>
      <c r="G14" s="82" t="s">
        <v>111</v>
      </c>
      <c r="H14" s="83" t="s">
        <v>1</v>
      </c>
      <c r="I14" s="84">
        <f>I11</f>
        <v>3330000</v>
      </c>
      <c r="J14" s="84">
        <v>2533000</v>
      </c>
      <c r="K14" s="84">
        <v>527000</v>
      </c>
      <c r="L14" s="86">
        <f t="shared" si="0"/>
        <v>6390000</v>
      </c>
      <c r="M14" s="215">
        <f t="shared" si="7"/>
        <v>33300</v>
      </c>
      <c r="N14" s="87">
        <v>99900</v>
      </c>
      <c r="O14" s="153">
        <v>0</v>
      </c>
      <c r="P14" s="88">
        <v>0</v>
      </c>
      <c r="Q14" s="306">
        <f t="shared" si="9"/>
        <v>52700</v>
      </c>
      <c r="R14" s="88">
        <f>20%*K14</f>
        <v>105400</v>
      </c>
      <c r="S14" s="88">
        <v>0</v>
      </c>
      <c r="T14" s="88">
        <v>0</v>
      </c>
      <c r="U14" s="367">
        <v>281940</v>
      </c>
      <c r="V14" s="88">
        <f t="shared" si="3"/>
        <v>153000</v>
      </c>
      <c r="W14" s="88">
        <f t="shared" si="4"/>
        <v>726240</v>
      </c>
      <c r="X14" s="155">
        <f t="shared" si="5"/>
        <v>5663760</v>
      </c>
      <c r="Y14" s="105"/>
      <c r="Z14" s="20">
        <f>SUM(M14:V14)</f>
        <v>726240</v>
      </c>
      <c r="AA14" s="20">
        <f t="shared" si="1"/>
        <v>5663760</v>
      </c>
      <c r="AB14" s="91"/>
    </row>
    <row r="15" spans="2:29" ht="20.149999999999999" customHeight="1" x14ac:dyDescent="0.35">
      <c r="B15" s="129">
        <v>8</v>
      </c>
      <c r="C15" s="79" t="s">
        <v>108</v>
      </c>
      <c r="D15" s="80" t="s">
        <v>52</v>
      </c>
      <c r="E15" s="256">
        <v>4.7222222222222221E-2</v>
      </c>
      <c r="F15" s="81" t="s">
        <v>74</v>
      </c>
      <c r="G15" s="82" t="s">
        <v>109</v>
      </c>
      <c r="H15" s="83" t="s">
        <v>31</v>
      </c>
      <c r="I15" s="84">
        <f>I11</f>
        <v>3330000</v>
      </c>
      <c r="J15" s="84">
        <v>2533000</v>
      </c>
      <c r="K15" s="84">
        <v>527000</v>
      </c>
      <c r="L15" s="86">
        <f t="shared" si="0"/>
        <v>6390000</v>
      </c>
      <c r="M15" s="215">
        <f t="shared" si="7"/>
        <v>33300</v>
      </c>
      <c r="N15" s="87">
        <v>99900</v>
      </c>
      <c r="O15" s="153">
        <v>0</v>
      </c>
      <c r="P15" s="88">
        <v>0</v>
      </c>
      <c r="Q15" s="307">
        <f t="shared" si="9"/>
        <v>52700</v>
      </c>
      <c r="R15" s="88">
        <v>0</v>
      </c>
      <c r="S15" s="88">
        <v>0</v>
      </c>
      <c r="T15" s="88">
        <v>0</v>
      </c>
      <c r="U15" s="367">
        <v>9757</v>
      </c>
      <c r="V15" s="88">
        <f t="shared" si="3"/>
        <v>153000</v>
      </c>
      <c r="W15" s="88">
        <f t="shared" si="4"/>
        <v>348657</v>
      </c>
      <c r="X15" s="155">
        <f t="shared" si="5"/>
        <v>6041343</v>
      </c>
      <c r="Y15" s="105"/>
      <c r="Z15" s="20">
        <f t="shared" si="6"/>
        <v>348657</v>
      </c>
      <c r="AA15" s="20">
        <f t="shared" si="1"/>
        <v>6041343</v>
      </c>
      <c r="AB15" s="91"/>
    </row>
    <row r="16" spans="2:29" ht="20.149999999999999" customHeight="1" x14ac:dyDescent="0.35">
      <c r="B16" s="129">
        <v>9</v>
      </c>
      <c r="C16" s="143" t="s">
        <v>116</v>
      </c>
      <c r="D16" s="144" t="s">
        <v>88</v>
      </c>
      <c r="E16" s="256">
        <v>0.5854166666666667</v>
      </c>
      <c r="F16" s="145" t="s">
        <v>74</v>
      </c>
      <c r="G16" s="146" t="s">
        <v>117</v>
      </c>
      <c r="H16" s="147" t="s">
        <v>1</v>
      </c>
      <c r="I16" s="84">
        <v>3330000</v>
      </c>
      <c r="J16" s="84">
        <v>2533000</v>
      </c>
      <c r="K16" s="84">
        <v>527000</v>
      </c>
      <c r="L16" s="148">
        <f t="shared" si="0"/>
        <v>6390000</v>
      </c>
      <c r="M16" s="217">
        <f t="shared" si="7"/>
        <v>33300</v>
      </c>
      <c r="N16" s="157">
        <f>N15</f>
        <v>99900</v>
      </c>
      <c r="O16" s="149">
        <v>0</v>
      </c>
      <c r="P16" s="150">
        <v>0</v>
      </c>
      <c r="Q16" s="306">
        <f t="shared" si="9"/>
        <v>52700</v>
      </c>
      <c r="R16" s="150">
        <v>0</v>
      </c>
      <c r="S16" s="88">
        <v>0</v>
      </c>
      <c r="T16" s="150">
        <v>0</v>
      </c>
      <c r="U16" s="367">
        <v>121324</v>
      </c>
      <c r="V16" s="88">
        <f t="shared" si="3"/>
        <v>153000</v>
      </c>
      <c r="W16" s="88">
        <f t="shared" si="4"/>
        <v>460224</v>
      </c>
      <c r="X16" s="155">
        <f t="shared" si="5"/>
        <v>5929776</v>
      </c>
      <c r="Y16" s="105"/>
      <c r="Z16" s="20">
        <f t="shared" si="6"/>
        <v>460224</v>
      </c>
      <c r="AA16" s="20">
        <f t="shared" si="1"/>
        <v>5929776</v>
      </c>
      <c r="AB16" s="91"/>
    </row>
    <row r="17" spans="2:28" ht="20.149999999999999" customHeight="1" x14ac:dyDescent="0.35">
      <c r="B17" s="129">
        <v>10</v>
      </c>
      <c r="C17" s="79" t="s">
        <v>131</v>
      </c>
      <c r="D17" s="80" t="s">
        <v>50</v>
      </c>
      <c r="E17" s="256">
        <v>3.1944444444444449E-2</v>
      </c>
      <c r="F17" s="81" t="s">
        <v>74</v>
      </c>
      <c r="G17" s="82" t="s">
        <v>132</v>
      </c>
      <c r="H17" s="83" t="s">
        <v>35</v>
      </c>
      <c r="I17" s="84">
        <f>I11</f>
        <v>3330000</v>
      </c>
      <c r="J17" s="84">
        <v>2533000</v>
      </c>
      <c r="K17" s="84">
        <v>527000</v>
      </c>
      <c r="L17" s="86">
        <f t="shared" si="0"/>
        <v>6390000</v>
      </c>
      <c r="M17" s="215">
        <f t="shared" si="7"/>
        <v>33300</v>
      </c>
      <c r="N17" s="87">
        <f>N16</f>
        <v>99900</v>
      </c>
      <c r="O17" s="141">
        <v>0</v>
      </c>
      <c r="P17" s="88">
        <v>0</v>
      </c>
      <c r="Q17" s="307">
        <f t="shared" si="9"/>
        <v>52700</v>
      </c>
      <c r="R17" s="88">
        <v>0</v>
      </c>
      <c r="S17" s="88">
        <v>0</v>
      </c>
      <c r="T17" s="88">
        <v>0</v>
      </c>
      <c r="U17" s="88">
        <v>0</v>
      </c>
      <c r="V17" s="88">
        <f t="shared" si="3"/>
        <v>153000</v>
      </c>
      <c r="W17" s="88">
        <f t="shared" si="4"/>
        <v>338900</v>
      </c>
      <c r="X17" s="155">
        <f t="shared" si="5"/>
        <v>6051100</v>
      </c>
      <c r="Y17" s="105"/>
      <c r="Z17" s="20">
        <f t="shared" si="6"/>
        <v>338900</v>
      </c>
      <c r="AA17" s="20">
        <f t="shared" si="1"/>
        <v>6051100</v>
      </c>
      <c r="AB17" s="91"/>
    </row>
    <row r="18" spans="2:28" ht="20.149999999999999" customHeight="1" x14ac:dyDescent="0.35">
      <c r="B18" s="129">
        <v>11</v>
      </c>
      <c r="C18" s="79" t="s">
        <v>93</v>
      </c>
      <c r="D18" s="80" t="s">
        <v>51</v>
      </c>
      <c r="E18" s="256">
        <v>4.5138888888888888E-2</v>
      </c>
      <c r="F18" s="81" t="s">
        <v>74</v>
      </c>
      <c r="G18" s="82" t="s">
        <v>94</v>
      </c>
      <c r="H18" s="83" t="s">
        <v>35</v>
      </c>
      <c r="I18" s="84">
        <f>I17</f>
        <v>3330000</v>
      </c>
      <c r="J18" s="85">
        <f>J17</f>
        <v>2533000</v>
      </c>
      <c r="K18" s="85">
        <f>K17</f>
        <v>527000</v>
      </c>
      <c r="L18" s="86">
        <f t="shared" si="0"/>
        <v>6390000</v>
      </c>
      <c r="M18" s="215">
        <f>M16</f>
        <v>33300</v>
      </c>
      <c r="N18" s="87">
        <f>N17</f>
        <v>99900</v>
      </c>
      <c r="O18" s="266">
        <v>0</v>
      </c>
      <c r="P18" s="88">
        <v>0</v>
      </c>
      <c r="Q18" s="307">
        <f t="shared" si="9"/>
        <v>52700</v>
      </c>
      <c r="R18" s="88">
        <v>0</v>
      </c>
      <c r="S18" s="88">
        <v>0</v>
      </c>
      <c r="T18" s="88">
        <v>0</v>
      </c>
      <c r="U18" s="367">
        <v>9326</v>
      </c>
      <c r="V18" s="88">
        <f t="shared" si="3"/>
        <v>153000</v>
      </c>
      <c r="W18" s="88">
        <f t="shared" si="4"/>
        <v>348226</v>
      </c>
      <c r="X18" s="155">
        <f t="shared" si="5"/>
        <v>6041774</v>
      </c>
      <c r="Y18" s="20">
        <f>SUM(L18:U18)</f>
        <v>6585226</v>
      </c>
      <c r="Z18" s="20">
        <f t="shared" si="6"/>
        <v>348226</v>
      </c>
      <c r="AA18" s="20">
        <f t="shared" si="1"/>
        <v>6041774</v>
      </c>
      <c r="AB18" s="20"/>
    </row>
    <row r="19" spans="2:28" ht="20.149999999999999" customHeight="1" x14ac:dyDescent="0.35">
      <c r="B19" s="151">
        <v>12</v>
      </c>
      <c r="C19" s="303" t="s">
        <v>212</v>
      </c>
      <c r="D19" s="169" t="s">
        <v>213</v>
      </c>
      <c r="E19" s="366">
        <v>8.2638888888888887E-2</v>
      </c>
      <c r="F19" s="170" t="str">
        <f>F18</f>
        <v>Madya Grade 2</v>
      </c>
      <c r="G19" s="304" t="s">
        <v>214</v>
      </c>
      <c r="H19" s="305" t="s">
        <v>35</v>
      </c>
      <c r="I19" s="298">
        <v>3330000</v>
      </c>
      <c r="J19" s="299">
        <f>20%*J18</f>
        <v>506600</v>
      </c>
      <c r="K19" s="299">
        <v>527000</v>
      </c>
      <c r="L19" s="300">
        <f>I19+J19+K19</f>
        <v>4363600</v>
      </c>
      <c r="M19" s="301">
        <v>33300</v>
      </c>
      <c r="N19" s="302">
        <v>99900</v>
      </c>
      <c r="O19" s="156"/>
      <c r="P19" s="174"/>
      <c r="Q19" s="308">
        <f t="shared" si="9"/>
        <v>52700</v>
      </c>
      <c r="R19" s="174">
        <v>0</v>
      </c>
      <c r="S19" s="174">
        <v>0</v>
      </c>
      <c r="T19" s="174">
        <v>0</v>
      </c>
      <c r="U19" s="368">
        <v>3419</v>
      </c>
      <c r="V19" s="174">
        <f>0.05*(J19+K19)</f>
        <v>51680</v>
      </c>
      <c r="W19" s="174">
        <f>M19+N19+Q19+R19+S19+T19+U19+V19</f>
        <v>240999</v>
      </c>
      <c r="X19" s="168">
        <f>L19-(M19+N19+Q19+R19+S19+T19+U19+V19)</f>
        <v>4122601</v>
      </c>
      <c r="Y19" s="20"/>
      <c r="Z19" s="20"/>
      <c r="AA19" s="20"/>
      <c r="AB19" s="20"/>
    </row>
    <row r="20" spans="2:28" ht="10.5" customHeight="1" x14ac:dyDescent="0.35">
      <c r="B20" s="74"/>
      <c r="C20" s="74"/>
      <c r="D20" s="74"/>
      <c r="E20" s="74"/>
      <c r="F20" s="74"/>
      <c r="G20" s="73"/>
      <c r="H20" s="21"/>
      <c r="I20" s="412">
        <f t="shared" ref="I20:N20" si="10">SUM(I8:I19)</f>
        <v>39960000</v>
      </c>
      <c r="J20" s="412">
        <f t="shared" si="10"/>
        <v>32997600</v>
      </c>
      <c r="K20" s="412">
        <f t="shared" si="10"/>
        <v>11197000</v>
      </c>
      <c r="L20" s="417">
        <f t="shared" si="10"/>
        <v>84154600</v>
      </c>
      <c r="M20" s="419">
        <f t="shared" si="10"/>
        <v>399600</v>
      </c>
      <c r="N20" s="421">
        <f t="shared" si="10"/>
        <v>1198800</v>
      </c>
      <c r="O20" s="421">
        <f t="shared" ref="O20:P20" si="11">SUM(O8:O18)</f>
        <v>0</v>
      </c>
      <c r="P20" s="421">
        <f t="shared" si="11"/>
        <v>0</v>
      </c>
      <c r="Q20" s="430">
        <f>Q8+Q9+Q10+Q11+Q12+Q13+Q14+Q15+Q16+Q17+Q18+Q19</f>
        <v>516000</v>
      </c>
      <c r="R20" s="430">
        <f>SUM(R8:R18)</f>
        <v>105400</v>
      </c>
      <c r="S20" s="430">
        <f>SUM(S8:S18)</f>
        <v>0</v>
      </c>
      <c r="T20" s="430">
        <v>0</v>
      </c>
      <c r="U20" s="430">
        <f>SUM(U8:U19)</f>
        <v>517990</v>
      </c>
      <c r="V20" s="423">
        <f>SUM(V8:V19)</f>
        <v>2209730</v>
      </c>
      <c r="W20" s="424">
        <f>W8+W9+W10+W11+W12+W13+W14+W15+W16+W17+W18+W19</f>
        <v>4947520</v>
      </c>
      <c r="X20" s="428">
        <f>SUM(X8:X19)</f>
        <v>79207080</v>
      </c>
      <c r="Y20" s="106"/>
      <c r="Z20" s="93"/>
      <c r="AA20" s="20"/>
    </row>
    <row r="21" spans="2:28" ht="10.5" customHeight="1" thickBot="1" x14ac:dyDescent="0.4">
      <c r="B21" s="75"/>
      <c r="C21" s="75"/>
      <c r="D21" s="75"/>
      <c r="E21" s="75"/>
      <c r="F21" s="75"/>
      <c r="G21" s="76"/>
      <c r="H21" s="77"/>
      <c r="I21" s="413"/>
      <c r="J21" s="413"/>
      <c r="K21" s="413"/>
      <c r="L21" s="418"/>
      <c r="M21" s="420"/>
      <c r="N21" s="422"/>
      <c r="O21" s="422"/>
      <c r="P21" s="422"/>
      <c r="Q21" s="431"/>
      <c r="R21" s="431"/>
      <c r="S21" s="431"/>
      <c r="T21" s="431"/>
      <c r="U21" s="431"/>
      <c r="V21" s="422"/>
      <c r="W21" s="425"/>
      <c r="X21" s="429"/>
      <c r="Y21" s="106"/>
      <c r="Z21" s="20">
        <f>SUM(Z8:Z18)</f>
        <v>4706521</v>
      </c>
      <c r="AA21" s="93"/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/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427" t="s">
        <v>232</v>
      </c>
      <c r="V24" s="427"/>
      <c r="W24" s="427"/>
      <c r="X24" s="427"/>
      <c r="Y24" s="6"/>
    </row>
    <row r="25" spans="2:28" ht="13.5" customHeight="1" x14ac:dyDescent="0.35">
      <c r="B25" s="27"/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427" t="s">
        <v>36</v>
      </c>
      <c r="V25" s="427"/>
      <c r="W25" s="427"/>
      <c r="X25" s="427"/>
    </row>
    <row r="26" spans="2:28" ht="6" customHeight="1" x14ac:dyDescent="0.35">
      <c r="C26" s="6"/>
      <c r="D26" s="6"/>
      <c r="E26" s="6"/>
      <c r="F26" s="6"/>
      <c r="G26" s="6" t="s">
        <v>141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426"/>
      <c r="V28" s="426"/>
      <c r="W28" s="426"/>
      <c r="X28" s="426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89" t="s">
        <v>177</v>
      </c>
      <c r="W30" s="389"/>
    </row>
    <row r="32" spans="2:28" x14ac:dyDescent="0.25">
      <c r="J32" s="20">
        <f>J20+K20</f>
        <v>44194600</v>
      </c>
    </row>
  </sheetData>
  <mergeCells count="42">
    <mergeCell ref="V30:W30"/>
    <mergeCell ref="U28:X28"/>
    <mergeCell ref="P5:P6"/>
    <mergeCell ref="U5:U6"/>
    <mergeCell ref="O5:O6"/>
    <mergeCell ref="Q5:T5"/>
    <mergeCell ref="U25:X25"/>
    <mergeCell ref="U24:X24"/>
    <mergeCell ref="X20:X21"/>
    <mergeCell ref="O20:O21"/>
    <mergeCell ref="P20:P21"/>
    <mergeCell ref="Q20:Q21"/>
    <mergeCell ref="R20:R21"/>
    <mergeCell ref="S20:S21"/>
    <mergeCell ref="T20:T21"/>
    <mergeCell ref="U20:U21"/>
    <mergeCell ref="N5:N6"/>
    <mergeCell ref="M20:M21"/>
    <mergeCell ref="N20:N21"/>
    <mergeCell ref="V20:V21"/>
    <mergeCell ref="W20:W21"/>
    <mergeCell ref="J5:J6"/>
    <mergeCell ref="K20:K21"/>
    <mergeCell ref="L5:L6"/>
    <mergeCell ref="M5:M6"/>
    <mergeCell ref="L20:L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9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" formula="1"/>
    <ignoredError sqref="M21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tabSelected="1" zoomScaleNormal="100" workbookViewId="0">
      <selection activeCell="Z16" sqref="Z1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70" t="s">
        <v>42</v>
      </c>
      <c r="B1" s="37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71" t="s">
        <v>143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</row>
    <row r="5" spans="1:28" ht="16.5" customHeight="1" x14ac:dyDescent="0.25">
      <c r="A5" s="13"/>
      <c r="B5" s="371" t="s">
        <v>231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72" t="s">
        <v>7</v>
      </c>
      <c r="B7" s="372" t="s">
        <v>68</v>
      </c>
      <c r="C7" s="372" t="s">
        <v>21</v>
      </c>
      <c r="D7" s="372" t="s">
        <v>0</v>
      </c>
      <c r="E7" s="372" t="s">
        <v>2</v>
      </c>
      <c r="F7" s="372" t="s">
        <v>16</v>
      </c>
      <c r="G7" s="372" t="s">
        <v>17</v>
      </c>
      <c r="H7" s="372" t="s">
        <v>18</v>
      </c>
      <c r="I7" s="372" t="s">
        <v>6</v>
      </c>
      <c r="J7" s="372" t="s">
        <v>23</v>
      </c>
      <c r="K7" s="372" t="s">
        <v>4</v>
      </c>
      <c r="L7" s="372" t="s">
        <v>3</v>
      </c>
      <c r="M7" s="372" t="s">
        <v>19</v>
      </c>
      <c r="N7" s="372" t="s">
        <v>9</v>
      </c>
      <c r="O7" s="372" t="s">
        <v>8</v>
      </c>
      <c r="P7" s="372" t="s">
        <v>5</v>
      </c>
      <c r="Q7" s="372" t="s">
        <v>11</v>
      </c>
      <c r="R7" s="372" t="s">
        <v>10</v>
      </c>
      <c r="S7" s="22" t="s">
        <v>12</v>
      </c>
      <c r="T7" s="22"/>
      <c r="U7" s="22"/>
      <c r="V7" s="22"/>
      <c r="W7" s="22"/>
      <c r="X7" s="375" t="s">
        <v>24</v>
      </c>
    </row>
    <row r="8" spans="1:28" ht="20.149999999999999" customHeight="1" x14ac:dyDescent="0.25">
      <c r="A8" s="373"/>
      <c r="B8" s="374"/>
      <c r="C8" s="374"/>
      <c r="D8" s="374"/>
      <c r="E8" s="374"/>
      <c r="F8" s="374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5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121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122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167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174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196</v>
      </c>
      <c r="C12" s="36" t="s">
        <v>197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202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95</v>
      </c>
      <c r="C13" s="36" t="s">
        <v>48</v>
      </c>
      <c r="D13" s="37"/>
      <c r="E13" s="38"/>
      <c r="F13" s="39"/>
      <c r="G13" s="40"/>
      <c r="H13" s="40"/>
      <c r="I13" s="40"/>
      <c r="J13" s="180">
        <f>'NET DIREKSI '!V12</f>
        <v>59758805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97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76">
        <f>SUM(F9:F13)</f>
        <v>0</v>
      </c>
      <c r="G14" s="376">
        <f>SUM(G9:G13)</f>
        <v>0</v>
      </c>
      <c r="H14" s="376">
        <f>SUM(H9:H13)</f>
        <v>0</v>
      </c>
      <c r="I14" s="376">
        <f>SUM(I9:I13)</f>
        <v>0</v>
      </c>
      <c r="J14" s="378">
        <f>SUM(J11:J13)</f>
        <v>199428113</v>
      </c>
      <c r="K14" s="376">
        <f t="shared" ref="K14:W14" si="0">SUM(K9:K13)</f>
        <v>0</v>
      </c>
      <c r="L14" s="376">
        <f t="shared" si="0"/>
        <v>0</v>
      </c>
      <c r="M14" s="376">
        <f t="shared" si="0"/>
        <v>0</v>
      </c>
      <c r="N14" s="376">
        <f t="shared" si="0"/>
        <v>0</v>
      </c>
      <c r="O14" s="376">
        <f t="shared" si="0"/>
        <v>0</v>
      </c>
      <c r="P14" s="376">
        <f t="shared" si="0"/>
        <v>0</v>
      </c>
      <c r="Q14" s="376">
        <f t="shared" si="0"/>
        <v>0</v>
      </c>
      <c r="R14" s="376">
        <f t="shared" si="0"/>
        <v>0</v>
      </c>
      <c r="S14" s="376">
        <f t="shared" si="0"/>
        <v>0</v>
      </c>
      <c r="T14" s="376">
        <f t="shared" si="0"/>
        <v>0</v>
      </c>
      <c r="U14" s="376">
        <f t="shared" si="0"/>
        <v>0</v>
      </c>
      <c r="V14" s="376">
        <f t="shared" si="0"/>
        <v>0</v>
      </c>
      <c r="W14" s="376">
        <f t="shared" si="0"/>
        <v>0</v>
      </c>
      <c r="X14" s="376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77"/>
      <c r="G15" s="377"/>
      <c r="H15" s="377"/>
      <c r="I15" s="377"/>
      <c r="J15" s="379"/>
      <c r="K15" s="377"/>
      <c r="L15" s="377"/>
      <c r="M15" s="377"/>
      <c r="N15" s="377"/>
      <c r="O15" s="377"/>
      <c r="P15" s="377"/>
      <c r="Q15" s="377"/>
      <c r="R15" s="377"/>
      <c r="S15" s="377"/>
      <c r="T15" s="377"/>
      <c r="U15" s="377"/>
      <c r="V15" s="377"/>
      <c r="W15" s="377"/>
      <c r="X15" s="377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88" t="s">
        <v>209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233</v>
      </c>
    </row>
    <row r="18" spans="1:24" ht="14.5" x14ac:dyDescent="0.35">
      <c r="A18" s="6"/>
      <c r="B18" s="288" t="s">
        <v>197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88" t="s">
        <v>196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2" t="s">
        <v>177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7"/>
  <sheetViews>
    <sheetView zoomScale="90" zoomScaleNormal="90" workbookViewId="0">
      <pane xSplit="4" topLeftCell="M1" activePane="topRight" state="frozen"/>
      <selection pane="topRight" activeCell="M41" sqref="M41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32" t="s">
        <v>15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164"/>
    </row>
    <row r="3" spans="2:27" ht="12.75" customHeight="1" x14ac:dyDescent="0.25">
      <c r="B3" s="399" t="s">
        <v>149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165"/>
    </row>
    <row r="4" spans="2:27" ht="12.75" customHeight="1" x14ac:dyDescent="0.25">
      <c r="B4" s="400" t="s">
        <v>231</v>
      </c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166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85" t="s">
        <v>7</v>
      </c>
      <c r="C6" s="385" t="s">
        <v>68</v>
      </c>
      <c r="D6" s="385" t="s">
        <v>21</v>
      </c>
      <c r="E6" s="385" t="s">
        <v>0</v>
      </c>
      <c r="F6" s="385" t="s">
        <v>2</v>
      </c>
      <c r="G6" s="385" t="s">
        <v>69</v>
      </c>
      <c r="H6" s="385" t="s">
        <v>17</v>
      </c>
      <c r="I6" s="385" t="s">
        <v>18</v>
      </c>
      <c r="J6" s="385" t="s">
        <v>30</v>
      </c>
      <c r="K6" s="385" t="s">
        <v>29</v>
      </c>
      <c r="L6" s="385" t="s">
        <v>6</v>
      </c>
      <c r="M6" s="385" t="s">
        <v>47</v>
      </c>
      <c r="N6" s="393" t="s">
        <v>70</v>
      </c>
      <c r="O6" s="415" t="s">
        <v>85</v>
      </c>
      <c r="P6" s="385" t="s">
        <v>62</v>
      </c>
      <c r="Q6" s="385" t="s">
        <v>204</v>
      </c>
      <c r="R6" s="385" t="s">
        <v>98</v>
      </c>
      <c r="S6" s="385" t="s">
        <v>56</v>
      </c>
      <c r="T6" s="385" t="s">
        <v>49</v>
      </c>
      <c r="U6" s="385" t="s">
        <v>46</v>
      </c>
      <c r="V6" s="385" t="s">
        <v>84</v>
      </c>
      <c r="W6" s="107"/>
    </row>
    <row r="7" spans="2:27" ht="36" customHeight="1" thickBot="1" x14ac:dyDescent="0.3">
      <c r="B7" s="386"/>
      <c r="C7" s="411"/>
      <c r="D7" s="411"/>
      <c r="E7" s="411"/>
      <c r="F7" s="411"/>
      <c r="G7" s="411"/>
      <c r="H7" s="386"/>
      <c r="I7" s="386"/>
      <c r="J7" s="386"/>
      <c r="K7" s="386"/>
      <c r="L7" s="386"/>
      <c r="M7" s="386"/>
      <c r="N7" s="394"/>
      <c r="O7" s="416"/>
      <c r="P7" s="386"/>
      <c r="Q7" s="386"/>
      <c r="R7" s="386"/>
      <c r="S7" s="386"/>
      <c r="T7" s="386"/>
      <c r="U7" s="386"/>
      <c r="V7" s="386"/>
      <c r="W7" s="107"/>
      <c r="X7" t="s">
        <v>171</v>
      </c>
      <c r="Y7" t="s">
        <v>172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32" t="s">
        <v>135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134</v>
      </c>
      <c r="W8" s="102"/>
    </row>
    <row r="9" spans="2:27" ht="20.149999999999999" hidden="1" customHeight="1" x14ac:dyDescent="0.25">
      <c r="B9" s="218" t="s">
        <v>32</v>
      </c>
      <c r="C9" s="219"/>
      <c r="D9" s="219" t="s">
        <v>14</v>
      </c>
      <c r="E9" s="220"/>
      <c r="F9" s="221"/>
      <c r="G9" s="222">
        <f>60000000</f>
        <v>60000000</v>
      </c>
      <c r="H9" s="223">
        <f>15000000</f>
        <v>15000000</v>
      </c>
      <c r="I9" s="223">
        <v>0</v>
      </c>
      <c r="J9" s="223">
        <v>0</v>
      </c>
      <c r="K9" s="223">
        <v>0</v>
      </c>
      <c r="L9" s="223">
        <v>0</v>
      </c>
      <c r="M9" s="223">
        <v>0</v>
      </c>
      <c r="N9" s="224">
        <f>SUM(G9:M9)</f>
        <v>75000000</v>
      </c>
      <c r="O9" s="225">
        <v>710506</v>
      </c>
      <c r="P9" s="226">
        <v>495057</v>
      </c>
      <c r="Q9" s="225"/>
      <c r="R9" s="227">
        <v>0</v>
      </c>
      <c r="S9" s="226">
        <v>0</v>
      </c>
      <c r="T9" s="226">
        <v>0</v>
      </c>
      <c r="U9" s="228">
        <v>16243042</v>
      </c>
      <c r="V9" s="229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7" t="s">
        <v>32</v>
      </c>
      <c r="C10" s="80" t="s">
        <v>167</v>
      </c>
      <c r="D10" s="80" t="s">
        <v>14</v>
      </c>
      <c r="E10" s="81" t="s">
        <v>168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524686</v>
      </c>
      <c r="Q10" s="88">
        <v>50000</v>
      </c>
      <c r="R10" s="266">
        <v>0</v>
      </c>
      <c r="S10" s="88"/>
      <c r="T10" s="88">
        <v>0</v>
      </c>
      <c r="U10" s="101"/>
      <c r="V10" s="155">
        <f>N10-(SUM(O10:T10))</f>
        <v>73669308</v>
      </c>
      <c r="W10" s="104"/>
      <c r="X10" s="20">
        <f>O10+P10+Q10</f>
        <v>1330692</v>
      </c>
      <c r="Y10" s="20">
        <f>N10-(O10+P10+Q10+R10+T10)</f>
        <v>73669308</v>
      </c>
      <c r="Z10" s="91"/>
      <c r="AA10" s="90"/>
    </row>
    <row r="11" spans="2:27" ht="20.149999999999999" customHeight="1" x14ac:dyDescent="0.25">
      <c r="B11" s="177" t="s">
        <v>38</v>
      </c>
      <c r="C11" s="80" t="s">
        <v>196</v>
      </c>
      <c r="D11" s="80" t="s">
        <v>197</v>
      </c>
      <c r="E11" s="81" t="s">
        <v>198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0</v>
      </c>
      <c r="Q11" s="88"/>
      <c r="R11" s="266">
        <v>0</v>
      </c>
      <c r="S11" s="88"/>
      <c r="T11" s="88">
        <v>0</v>
      </c>
      <c r="U11" s="101"/>
      <c r="V11" s="155">
        <f>N11</f>
        <v>66000000</v>
      </c>
      <c r="W11" s="104"/>
      <c r="X11" s="20">
        <f>O11+P11+Q11+R11+T11</f>
        <v>0</v>
      </c>
      <c r="Y11" s="20">
        <f>N11-(O11+P11+Q11+R11+T11)</f>
        <v>66000000</v>
      </c>
      <c r="Z11" s="91"/>
      <c r="AA11" s="90"/>
    </row>
    <row r="12" spans="2:27" ht="20.149999999999999" customHeight="1" x14ac:dyDescent="0.25">
      <c r="B12" s="178" t="s">
        <v>199</v>
      </c>
      <c r="C12" s="169" t="s">
        <v>95</v>
      </c>
      <c r="D12" s="169" t="s">
        <v>22</v>
      </c>
      <c r="E12" s="170" t="s">
        <v>96</v>
      </c>
      <c r="F12" s="171" t="s">
        <v>34</v>
      </c>
      <c r="G12" s="172">
        <f>85%*G9</f>
        <v>51000000</v>
      </c>
      <c r="H12" s="173">
        <f>15000000</f>
        <v>15000000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333">
        <f>SUM(G12:M12)</f>
        <v>66000000</v>
      </c>
      <c r="O12" s="331">
        <v>0</v>
      </c>
      <c r="P12" s="174">
        <v>0</v>
      </c>
      <c r="Q12" s="174"/>
      <c r="R12" s="175">
        <v>6241195</v>
      </c>
      <c r="S12" s="174">
        <v>0</v>
      </c>
      <c r="T12" s="174">
        <v>0</v>
      </c>
      <c r="U12" s="176">
        <v>14316667</v>
      </c>
      <c r="V12" s="168">
        <f>N12-(O12+P12+Q12+R12+S12+T12)</f>
        <v>59758805</v>
      </c>
      <c r="W12" s="104"/>
      <c r="X12" s="20">
        <f>SUM(O12:T12)</f>
        <v>6241195</v>
      </c>
      <c r="Y12" s="20">
        <f>N12-(O12+P12+Q12+R12+T12)</f>
        <v>59758805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412">
        <f>SUM(G10:G12)</f>
        <v>162000000</v>
      </c>
      <c r="H13" s="412">
        <f>SUM(H10:H12)</f>
        <v>45000000</v>
      </c>
      <c r="I13" s="412">
        <f>SUM(I9:I12)</f>
        <v>0</v>
      </c>
      <c r="J13" s="433">
        <f>SUM(J9:J12)</f>
        <v>0</v>
      </c>
      <c r="K13" s="412">
        <f>SUM(K9:K12)</f>
        <v>0</v>
      </c>
      <c r="L13" s="412">
        <f>SUM(L9:L12)</f>
        <v>0</v>
      </c>
      <c r="M13" s="412">
        <f>SUM(M9:M12)</f>
        <v>0</v>
      </c>
      <c r="N13" s="417">
        <f>SUM(N10:N12)</f>
        <v>207000000</v>
      </c>
      <c r="O13" s="419">
        <f>O10+O11+O12</f>
        <v>756006</v>
      </c>
      <c r="P13" s="421">
        <f>P10+P11+P12</f>
        <v>524686</v>
      </c>
      <c r="Q13" s="434">
        <f>Q10+Q11+Q12</f>
        <v>50000</v>
      </c>
      <c r="R13" s="421">
        <f>SUM(R9:R12)</f>
        <v>6241195</v>
      </c>
      <c r="S13" s="421">
        <f>SUM(S9:S12)</f>
        <v>0</v>
      </c>
      <c r="T13" s="423">
        <f>SUM(T9:T12)</f>
        <v>0</v>
      </c>
      <c r="U13" s="412">
        <f>SUM(U9:U12)</f>
        <v>30559709</v>
      </c>
      <c r="V13" s="428">
        <f>SUM(V10:V12)</f>
        <v>199428113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413"/>
      <c r="H14" s="413"/>
      <c r="I14" s="413"/>
      <c r="J14" s="413"/>
      <c r="K14" s="413"/>
      <c r="L14" s="413"/>
      <c r="M14" s="413"/>
      <c r="N14" s="418"/>
      <c r="O14" s="420"/>
      <c r="P14" s="422"/>
      <c r="Q14" s="431"/>
      <c r="R14" s="422"/>
      <c r="S14" s="422"/>
      <c r="T14" s="422"/>
      <c r="U14" s="413"/>
      <c r="V14" s="429"/>
      <c r="W14" s="106"/>
      <c r="X14" s="20">
        <f>X10+X11+X12</f>
        <v>7571887</v>
      </c>
      <c r="Y14" s="93">
        <f>N13-X14</f>
        <v>199428113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8"/>
      <c r="D17" s="23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8"/>
      <c r="D18" s="23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426" t="s">
        <v>234</v>
      </c>
      <c r="S18" s="426"/>
      <c r="T18" s="426"/>
      <c r="U18" s="426"/>
      <c r="V18" s="426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8"/>
      <c r="D19" s="23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426"/>
      <c r="P19" s="426"/>
      <c r="Q19" s="426"/>
      <c r="R19" s="426"/>
      <c r="S19" s="426"/>
      <c r="T19" s="426"/>
      <c r="U19" s="426"/>
      <c r="V19" s="426"/>
      <c r="W19" s="163"/>
    </row>
    <row r="20" spans="2:27" ht="15" customHeight="1" x14ac:dyDescent="0.35">
      <c r="B20" s="27"/>
      <c r="C20" s="238"/>
      <c r="D20" s="23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426" t="s">
        <v>36</v>
      </c>
      <c r="S20" s="426"/>
      <c r="T20" s="426"/>
      <c r="U20" s="426"/>
      <c r="V20" s="426"/>
      <c r="W20" s="6"/>
    </row>
    <row r="21" spans="2:27" ht="24.75" customHeight="1" x14ac:dyDescent="0.3">
      <c r="B21" s="29"/>
      <c r="C21" s="238"/>
      <c r="D21" s="238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8"/>
      <c r="D22" s="238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34"/>
      <c r="Q23" s="334"/>
      <c r="R23" s="389" t="s">
        <v>177</v>
      </c>
      <c r="S23" s="389"/>
      <c r="T23" s="389"/>
      <c r="U23" s="389"/>
      <c r="V23" s="389"/>
    </row>
    <row r="24" spans="2:27" ht="14.5" x14ac:dyDescent="0.35">
      <c r="C24" s="6"/>
      <c r="D24" s="6"/>
      <c r="E24" s="6" t="s">
        <v>141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9"/>
  <sheetViews>
    <sheetView zoomScaleNormal="100" workbookViewId="0">
      <selection activeCell="X29" sqref="X29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70" t="s">
        <v>42</v>
      </c>
      <c r="B1" s="37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71" t="s">
        <v>142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</row>
    <row r="5" spans="1:27" ht="16.5" customHeight="1" x14ac:dyDescent="0.25">
      <c r="A5" s="13"/>
      <c r="B5" s="371" t="s">
        <v>231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152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72" t="s">
        <v>7</v>
      </c>
      <c r="B7" s="372" t="s">
        <v>68</v>
      </c>
      <c r="C7" s="372" t="s">
        <v>21</v>
      </c>
      <c r="D7" s="372" t="s">
        <v>0</v>
      </c>
      <c r="E7" s="372" t="s">
        <v>2</v>
      </c>
      <c r="F7" s="372" t="s">
        <v>16</v>
      </c>
      <c r="G7" s="372" t="s">
        <v>17</v>
      </c>
      <c r="H7" s="372" t="s">
        <v>18</v>
      </c>
      <c r="I7" s="372" t="s">
        <v>6</v>
      </c>
      <c r="J7" s="372" t="s">
        <v>23</v>
      </c>
      <c r="K7" s="372" t="s">
        <v>4</v>
      </c>
      <c r="L7" s="372" t="s">
        <v>3</v>
      </c>
      <c r="M7" s="372" t="s">
        <v>19</v>
      </c>
      <c r="N7" s="372" t="s">
        <v>9</v>
      </c>
      <c r="O7" s="372" t="s">
        <v>8</v>
      </c>
      <c r="P7" s="372" t="s">
        <v>5</v>
      </c>
      <c r="Q7" s="372" t="s">
        <v>11</v>
      </c>
      <c r="R7" s="372" t="s">
        <v>10</v>
      </c>
      <c r="S7" s="22" t="s">
        <v>12</v>
      </c>
      <c r="T7" s="22"/>
      <c r="U7" s="22"/>
      <c r="V7" s="22"/>
      <c r="W7" s="22"/>
      <c r="X7" s="375" t="s">
        <v>24</v>
      </c>
    </row>
    <row r="8" spans="1:27" ht="20.149999999999999" customHeight="1" x14ac:dyDescent="0.25">
      <c r="A8" s="373"/>
      <c r="B8" s="374"/>
      <c r="C8" s="374"/>
      <c r="D8" s="374"/>
      <c r="E8" s="374"/>
      <c r="F8" s="374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5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210</v>
      </c>
      <c r="C10" s="36" t="s">
        <v>67</v>
      </c>
      <c r="D10" s="51"/>
      <c r="E10" s="51"/>
      <c r="F10" s="51"/>
      <c r="G10" s="51"/>
      <c r="H10" s="51"/>
      <c r="I10" s="51"/>
      <c r="J10" s="112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173</v>
      </c>
    </row>
    <row r="11" spans="1:27" ht="19.5" customHeight="1" x14ac:dyDescent="0.35">
      <c r="A11" s="126">
        <v>1</v>
      </c>
      <c r="B11" s="46" t="s">
        <v>210</v>
      </c>
      <c r="C11" s="36" t="s">
        <v>67</v>
      </c>
      <c r="D11" s="51"/>
      <c r="E11" s="51"/>
      <c r="F11" s="51"/>
      <c r="G11" s="51"/>
      <c r="H11" s="51"/>
      <c r="I11" s="51"/>
      <c r="J11" s="335">
        <f>'NET KOMISARIS'!R9</f>
        <v>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71</v>
      </c>
    </row>
    <row r="12" spans="1:27" ht="19.5" customHeight="1" x14ac:dyDescent="0.35">
      <c r="A12" s="122">
        <v>2</v>
      </c>
      <c r="B12" s="46" t="s">
        <v>169</v>
      </c>
      <c r="C12" s="36" t="s">
        <v>59</v>
      </c>
      <c r="D12" s="51"/>
      <c r="E12" s="51"/>
      <c r="F12" s="51"/>
      <c r="G12" s="51"/>
      <c r="H12" s="51"/>
      <c r="I12" s="51"/>
      <c r="J12" s="52">
        <f>'NET KOMISARIS'!$R$10</f>
        <v>29160000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43" t="s">
        <v>170</v>
      </c>
    </row>
    <row r="13" spans="1:27" ht="20.149999999999999" customHeight="1" x14ac:dyDescent="0.35">
      <c r="A13" s="126">
        <v>3</v>
      </c>
      <c r="B13" s="46" t="s">
        <v>39</v>
      </c>
      <c r="C13" s="36" t="s">
        <v>61</v>
      </c>
      <c r="D13" s="37" t="s">
        <v>20</v>
      </c>
      <c r="E13" s="38" t="s">
        <v>1</v>
      </c>
      <c r="F13" s="39">
        <v>18000000</v>
      </c>
      <c r="G13" s="40">
        <v>0</v>
      </c>
      <c r="H13" s="40">
        <v>1000000</v>
      </c>
      <c r="I13" s="40">
        <v>0</v>
      </c>
      <c r="J13" s="41">
        <f>'NET KOMISARIS'!$R$11</f>
        <v>29160000</v>
      </c>
      <c r="K13" s="42"/>
      <c r="L13" s="42"/>
      <c r="M13" s="42">
        <f>SUM(K13:L13)</f>
        <v>0</v>
      </c>
      <c r="N13" s="39">
        <f>J13+M13</f>
        <v>29160000</v>
      </c>
      <c r="O13" s="43">
        <f>(IF(J13*0.05&lt;500000,J13*0.05,500000))</f>
        <v>500000</v>
      </c>
      <c r="P13" s="42">
        <v>0</v>
      </c>
      <c r="Q13" s="39">
        <f>O13+P13</f>
        <v>500000</v>
      </c>
      <c r="R13" s="39">
        <f>N13-Q13</f>
        <v>28660000</v>
      </c>
      <c r="S13" s="43">
        <f>R13*5%</f>
        <v>1433000</v>
      </c>
      <c r="T13" s="43">
        <v>0</v>
      </c>
      <c r="U13" s="43">
        <v>0</v>
      </c>
      <c r="V13" s="43">
        <v>0</v>
      </c>
      <c r="W13" s="43">
        <f>IF(D13="NA",0,IF(D13="",1/0,SUM(S13:V13)))</f>
        <v>1433000</v>
      </c>
      <c r="X13" s="43" t="s">
        <v>41</v>
      </c>
    </row>
    <row r="14" spans="1:27" ht="20.149999999999999" customHeight="1" x14ac:dyDescent="0.35">
      <c r="A14" s="282">
        <v>4</v>
      </c>
      <c r="B14" s="276" t="s">
        <v>205</v>
      </c>
      <c r="C14" s="283" t="s">
        <v>44</v>
      </c>
      <c r="D14" s="284"/>
      <c r="E14" s="285"/>
      <c r="F14" s="286"/>
      <c r="G14" s="275"/>
      <c r="H14" s="275"/>
      <c r="I14" s="275"/>
      <c r="J14" s="180">
        <f>'NET KOMISARIS'!R12</f>
        <v>9450000</v>
      </c>
      <c r="K14" s="287"/>
      <c r="L14" s="287"/>
      <c r="M14" s="287"/>
      <c r="N14" s="286"/>
      <c r="O14" s="277"/>
      <c r="P14" s="287"/>
      <c r="Q14" s="286"/>
      <c r="R14" s="286"/>
      <c r="S14" s="277"/>
      <c r="T14" s="277"/>
      <c r="U14" s="277"/>
      <c r="V14" s="277"/>
      <c r="W14" s="277"/>
      <c r="X14" s="277" t="s">
        <v>208</v>
      </c>
    </row>
    <row r="15" spans="1:27" ht="15" customHeight="1" x14ac:dyDescent="0.35">
      <c r="A15" s="53"/>
      <c r="B15" s="54"/>
      <c r="C15" s="54"/>
      <c r="D15" s="55"/>
      <c r="E15" s="56"/>
      <c r="F15" s="376">
        <f>SUM(F9:F13)</f>
        <v>18000000</v>
      </c>
      <c r="G15" s="376">
        <f>SUM(G9:G13)</f>
        <v>0</v>
      </c>
      <c r="H15" s="376">
        <f>SUM(H9:H13)</f>
        <v>1000000</v>
      </c>
      <c r="I15" s="376">
        <f>SUM(I9:I13)</f>
        <v>0</v>
      </c>
      <c r="J15" s="378">
        <f>SUM(J11:J14)</f>
        <v>67770000</v>
      </c>
      <c r="K15" s="376">
        <f t="shared" ref="K15:W15" si="0">SUM(K9:K13)</f>
        <v>0</v>
      </c>
      <c r="L15" s="376">
        <f t="shared" si="0"/>
        <v>0</v>
      </c>
      <c r="M15" s="376">
        <f t="shared" si="0"/>
        <v>0</v>
      </c>
      <c r="N15" s="376">
        <f t="shared" si="0"/>
        <v>29160000</v>
      </c>
      <c r="O15" s="376">
        <f t="shared" si="0"/>
        <v>500000</v>
      </c>
      <c r="P15" s="376">
        <f t="shared" si="0"/>
        <v>0</v>
      </c>
      <c r="Q15" s="376">
        <f t="shared" si="0"/>
        <v>500000</v>
      </c>
      <c r="R15" s="376">
        <f t="shared" si="0"/>
        <v>28660000</v>
      </c>
      <c r="S15" s="376">
        <f t="shared" si="0"/>
        <v>1433000</v>
      </c>
      <c r="T15" s="376">
        <f t="shared" si="0"/>
        <v>0</v>
      </c>
      <c r="U15" s="376">
        <f t="shared" si="0"/>
        <v>0</v>
      </c>
      <c r="V15" s="376">
        <f t="shared" si="0"/>
        <v>0</v>
      </c>
      <c r="W15" s="376">
        <f t="shared" si="0"/>
        <v>1433000</v>
      </c>
      <c r="X15" s="376"/>
      <c r="AA15" s="20"/>
    </row>
    <row r="16" spans="1:27" ht="15" customHeight="1" thickBot="1" x14ac:dyDescent="0.4">
      <c r="A16" s="57"/>
      <c r="B16" s="58"/>
      <c r="C16" s="58"/>
      <c r="D16" s="59"/>
      <c r="E16" s="60"/>
      <c r="F16" s="377"/>
      <c r="G16" s="377"/>
      <c r="H16" s="377"/>
      <c r="I16" s="377"/>
      <c r="J16" s="379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 s="377"/>
      <c r="X16" s="377"/>
      <c r="Z16" s="20"/>
    </row>
    <row r="17" spans="1:24" ht="11.25" customHeight="1" thickTop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5" x14ac:dyDescent="0.35">
      <c r="A18" s="6"/>
      <c r="B18" s="162" t="s">
        <v>209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232</v>
      </c>
    </row>
    <row r="19" spans="1:24" ht="14.5" x14ac:dyDescent="0.35">
      <c r="A19" s="6"/>
      <c r="B19" s="162" t="s">
        <v>197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62" t="s">
        <v>36</v>
      </c>
    </row>
    <row r="20" spans="1:24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6.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5" x14ac:dyDescent="0.35">
      <c r="A23" s="6"/>
      <c r="B23" s="162" t="s">
        <v>196</v>
      </c>
      <c r="C23" s="6" t="s">
        <v>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2" t="s">
        <v>177</v>
      </c>
    </row>
    <row r="29" spans="1:24" x14ac:dyDescent="0.25">
      <c r="X29" s="152" t="s">
        <v>43</v>
      </c>
    </row>
  </sheetData>
  <mergeCells count="41">
    <mergeCell ref="X7:X8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X15:X16"/>
    <mergeCell ref="R15:R16"/>
    <mergeCell ref="S15:S16"/>
    <mergeCell ref="T15:T16"/>
    <mergeCell ref="U15:U16"/>
    <mergeCell ref="V15:V16"/>
    <mergeCell ref="W15:W16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2021-10-28T08:19:19Z</cp:lastPrinted>
  <dcterms:created xsi:type="dcterms:W3CDTF">1999-12-02T03:49:52Z</dcterms:created>
  <dcterms:modified xsi:type="dcterms:W3CDTF">2021-11-08T01:32:26Z</dcterms:modified>
</cp:coreProperties>
</file>