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TONGAN\"/>
    </mc:Choice>
  </mc:AlternateContent>
  <bookViews>
    <workbookView xWindow="-120" yWindow="-120" windowWidth="29040" windowHeight="15840" tabRatio="661" firstSheet="1" activeTab="2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DIPERBANTUKAN'!$B$1:$W$25</definedName>
    <definedName name="_xlnm.Print_Area" localSheetId="2">'NET PEGAWAI PTP'!$B$1:$U$21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59" l="1"/>
  <c r="G25" i="59"/>
  <c r="R26" i="59" l="1"/>
  <c r="Q21" i="68" l="1"/>
  <c r="Q22" i="68"/>
  <c r="Q23" i="68"/>
  <c r="O35" i="68"/>
  <c r="P7" i="59"/>
  <c r="R21" i="68"/>
  <c r="R22" i="68"/>
  <c r="R23" i="68"/>
  <c r="P18" i="59" l="1"/>
  <c r="U34" i="68" l="1"/>
  <c r="U31" i="68"/>
  <c r="Q7" i="59" l="1"/>
  <c r="S21" i="68"/>
  <c r="S22" i="68"/>
  <c r="S23" i="68"/>
  <c r="V23" i="68" s="1"/>
  <c r="Q32" i="68" l="1"/>
  <c r="O24" i="59"/>
  <c r="T24" i="68" l="1"/>
  <c r="H17" i="59" l="1"/>
  <c r="O17" i="59" s="1"/>
  <c r="H16" i="59"/>
  <c r="O16" i="59" s="1"/>
  <c r="H15" i="59"/>
  <c r="O15" i="59" s="1"/>
  <c r="H14" i="59"/>
  <c r="O14" i="59" s="1"/>
  <c r="H13" i="59"/>
  <c r="O13" i="59" s="1"/>
  <c r="H12" i="59"/>
  <c r="O12" i="59" s="1"/>
  <c r="H11" i="59"/>
  <c r="O11" i="59" s="1"/>
  <c r="H10" i="59"/>
  <c r="G12" i="59"/>
  <c r="G13" i="59"/>
  <c r="G17" i="59" s="1"/>
  <c r="G14" i="59"/>
  <c r="G11" i="59"/>
  <c r="U32" i="68"/>
  <c r="W32" i="68" s="1"/>
  <c r="N29" i="59"/>
  <c r="N30" i="59" s="1"/>
  <c r="M10" i="59" l="1"/>
  <c r="O10" i="59"/>
  <c r="P10" i="59"/>
  <c r="P14" i="59"/>
  <c r="P11" i="59"/>
  <c r="P15" i="59"/>
  <c r="P12" i="59"/>
  <c r="P16" i="59"/>
  <c r="P13" i="59"/>
  <c r="P17" i="59"/>
  <c r="G16" i="59"/>
  <c r="R29" i="59"/>
  <c r="Q14" i="59"/>
  <c r="Q11" i="59"/>
  <c r="Q12" i="59"/>
  <c r="Q16" i="59"/>
  <c r="Q10" i="59"/>
  <c r="Q15" i="59"/>
  <c r="Q13" i="59"/>
  <c r="Q17" i="59"/>
  <c r="N13" i="59"/>
  <c r="M11" i="59"/>
  <c r="W34" i="68"/>
  <c r="W35" i="68" s="1"/>
  <c r="T11" i="59" l="1"/>
  <c r="T14" i="59"/>
  <c r="T10" i="59"/>
  <c r="O25" i="59"/>
  <c r="R27" i="59"/>
  <c r="T27" i="59" s="1"/>
  <c r="T18" i="59" l="1"/>
  <c r="V21" i="68" l="1"/>
  <c r="AA8" i="59"/>
  <c r="G24" i="68"/>
  <c r="I24" i="68"/>
  <c r="J24" i="68"/>
  <c r="K24" i="68"/>
  <c r="F24" i="68"/>
  <c r="F10" i="59"/>
  <c r="F16" i="59" s="1"/>
  <c r="F17" i="59" s="1"/>
  <c r="F18" i="59" s="1"/>
  <c r="I18" i="59" s="1"/>
  <c r="U18" i="59" s="1"/>
  <c r="F8" i="59"/>
  <c r="V22" i="68" l="1"/>
  <c r="F13" i="59"/>
  <c r="F12" i="59"/>
  <c r="F14" i="59"/>
  <c r="F11" i="59"/>
  <c r="H19" i="68" l="1"/>
  <c r="Q19" i="68" s="1"/>
  <c r="H14" i="68"/>
  <c r="Q14" i="68" s="1"/>
  <c r="H13" i="68"/>
  <c r="H12" i="68"/>
  <c r="H10" i="68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R12" i="68" l="1"/>
  <c r="Q12" i="68"/>
  <c r="R13" i="68"/>
  <c r="Q13" i="68"/>
  <c r="R10" i="68"/>
  <c r="Q10" i="68"/>
  <c r="R14" i="68"/>
  <c r="R19" i="68"/>
  <c r="S12" i="68"/>
  <c r="S13" i="68"/>
  <c r="S14" i="68"/>
  <c r="S19" i="68"/>
  <c r="S10" i="68"/>
  <c r="L10" i="68"/>
  <c r="L12" i="68"/>
  <c r="L14" i="68"/>
  <c r="L13" i="68"/>
  <c r="L19" i="68"/>
  <c r="V10" i="68" l="1"/>
  <c r="V19" i="68"/>
  <c r="W19" i="68" s="1"/>
  <c r="V13" i="68"/>
  <c r="W13" i="68" s="1"/>
  <c r="V12" i="68"/>
  <c r="W12" i="68" s="1"/>
  <c r="Q30" i="68"/>
  <c r="V14" i="68"/>
  <c r="W14" i="68" s="1"/>
  <c r="M7" i="59"/>
  <c r="T7" i="59" s="1"/>
  <c r="M8" i="59"/>
  <c r="W10" i="68" l="1"/>
  <c r="Z17" i="68"/>
  <c r="E21" i="68" l="1"/>
  <c r="N21" i="68" s="1"/>
  <c r="L22" i="68"/>
  <c r="W22" i="68" s="1"/>
  <c r="L21" i="68" l="1"/>
  <c r="W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S19" i="59" l="1"/>
  <c r="B14" i="59" l="1"/>
  <c r="B15" i="59" s="1"/>
  <c r="B16" i="59" s="1"/>
  <c r="B17" i="59" s="1"/>
  <c r="H18" i="68" l="1"/>
  <c r="Q18" i="68" s="1"/>
  <c r="H20" i="68"/>
  <c r="Q20" i="68" s="1"/>
  <c r="H16" i="68"/>
  <c r="H17" i="68"/>
  <c r="H15" i="68"/>
  <c r="H11" i="68"/>
  <c r="H9" i="68"/>
  <c r="L9" i="68" s="1"/>
  <c r="W9" i="68" s="1"/>
  <c r="H9" i="59"/>
  <c r="O9" i="59" s="1"/>
  <c r="G9" i="59"/>
  <c r="P9" i="59" l="1"/>
  <c r="R17" i="68"/>
  <c r="Q17" i="68"/>
  <c r="R16" i="68"/>
  <c r="Q16" i="68"/>
  <c r="R11" i="68"/>
  <c r="Q11" i="68"/>
  <c r="R15" i="68"/>
  <c r="Q15" i="68"/>
  <c r="P24" i="68"/>
  <c r="R20" i="68"/>
  <c r="R18" i="68"/>
  <c r="M9" i="59"/>
  <c r="Q9" i="59"/>
  <c r="S17" i="68"/>
  <c r="S16" i="68"/>
  <c r="S11" i="68"/>
  <c r="S20" i="68"/>
  <c r="S15" i="68"/>
  <c r="S18" i="68"/>
  <c r="L16" i="68"/>
  <c r="H24" i="68"/>
  <c r="U24" i="68"/>
  <c r="H8" i="59"/>
  <c r="O8" i="59" s="1"/>
  <c r="J9" i="59"/>
  <c r="Z15" i="68"/>
  <c r="Z18" i="68" s="1"/>
  <c r="AA34" i="59"/>
  <c r="L20" i="68"/>
  <c r="L18" i="68"/>
  <c r="L17" i="68"/>
  <c r="L11" i="68"/>
  <c r="I9" i="59"/>
  <c r="I7" i="59"/>
  <c r="T9" i="59" l="1"/>
  <c r="U9" i="59" s="1"/>
  <c r="P8" i="59"/>
  <c r="P19" i="59" s="1"/>
  <c r="U7" i="59"/>
  <c r="V18" i="68"/>
  <c r="W18" i="68" s="1"/>
  <c r="V20" i="68"/>
  <c r="W20" i="68" s="1"/>
  <c r="Q8" i="59"/>
  <c r="Q19" i="59" s="1"/>
  <c r="R24" i="68"/>
  <c r="Q31" i="68"/>
  <c r="V17" i="68"/>
  <c r="W17" i="68" s="1"/>
  <c r="V16" i="68"/>
  <c r="W16" i="68" s="1"/>
  <c r="O26" i="59"/>
  <c r="V11" i="68"/>
  <c r="S24" i="68"/>
  <c r="V15" i="68"/>
  <c r="I8" i="59"/>
  <c r="O24" i="68"/>
  <c r="I27" i="59"/>
  <c r="T16" i="59"/>
  <c r="AA35" i="59"/>
  <c r="AA37" i="59" s="1"/>
  <c r="I10" i="59"/>
  <c r="L15" i="68"/>
  <c r="L23" i="68"/>
  <c r="W23" i="68" s="1"/>
  <c r="T8" i="59" l="1"/>
  <c r="U8" i="59" s="1"/>
  <c r="V24" i="68"/>
  <c r="U10" i="59"/>
  <c r="W11" i="68"/>
  <c r="W15" i="68"/>
  <c r="G28" i="59"/>
  <c r="M13" i="59"/>
  <c r="T13" i="59" s="1"/>
  <c r="N19" i="59"/>
  <c r="L24" i="68"/>
  <c r="M12" i="59"/>
  <c r="T12" i="59" s="1"/>
  <c r="M17" i="59"/>
  <c r="T17" i="59" s="1"/>
  <c r="J12" i="59"/>
  <c r="J13" i="59"/>
  <c r="AA9" i="59"/>
  <c r="AA11" i="59" s="1"/>
  <c r="I11" i="59"/>
  <c r="G15" i="59"/>
  <c r="I14" i="59"/>
  <c r="I16" i="59"/>
  <c r="I12" i="59"/>
  <c r="I13" i="59"/>
  <c r="F19" i="59"/>
  <c r="U16" i="59" l="1"/>
  <c r="U14" i="59"/>
  <c r="U11" i="59"/>
  <c r="W24" i="68"/>
  <c r="R19" i="59"/>
  <c r="T29" i="59"/>
  <c r="T30" i="59" s="1"/>
  <c r="M15" i="59"/>
  <c r="T15" i="59" s="1"/>
  <c r="I17" i="59"/>
  <c r="I15" i="59"/>
  <c r="U12" i="59"/>
  <c r="H19" i="59"/>
  <c r="U13" i="59"/>
  <c r="J17" i="59"/>
  <c r="O19" i="59"/>
  <c r="G19" i="59"/>
  <c r="Y25" i="68"/>
  <c r="U15" i="59" l="1"/>
  <c r="U17" i="59"/>
  <c r="I19" i="59"/>
  <c r="J19" i="59"/>
  <c r="M19" i="59"/>
  <c r="U19" i="59" l="1"/>
  <c r="T19" i="59"/>
</calcChain>
</file>

<file path=xl/sharedStrings.xml><?xml version="1.0" encoding="utf-8"?>
<sst xmlns="http://schemas.openxmlformats.org/spreadsheetml/2006/main" count="86" uniqueCount="67">
  <si>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</si>
  <si>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</si>
  <si>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</si>
  <si>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</si>
  <si>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</si>
  <si>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</si>
  <si>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</si>
  <si>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</si>
  <si>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</si>
  <si>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</si>
  <si>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</si>
  <si>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</si>
  <si>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</si>
  <si>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</si>
  <si>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</si>
  <si>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</si>
  <si>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</si>
  <si>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</si>
  <si>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</si>
  <si>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</si>
  <si>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</si>
  <si>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</si>
  <si>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</si>
  <si>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</si>
  <si>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</si>
  <si>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</si>
  <si>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</si>
  <si>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</si>
  <si>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</si>
  <si>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</si>
  <si>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</si>
  <si>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</si>
  <si>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</si>
  <si>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</si>
  <si>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</si>
  <si>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>IKH</t>
  </si>
  <si>
    <t>STP</t>
  </si>
  <si>
    <t>Ikh</t>
  </si>
  <si>
    <t>JKW</t>
  </si>
  <si>
    <t xml:space="preserve">JUMLAH </t>
  </si>
  <si>
    <t>POTONGAN TUNJANGAN KINERJA</t>
  </si>
  <si>
    <t>Potongan 10 % Keterlambatan</t>
  </si>
  <si>
    <t>Total Potongan Tunjangan Kinerja + Tunjangan Posisi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</si>
  <si>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</si>
  <si>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</si>
  <si>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</si>
  <si>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</si>
  <si>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</si>
  <si>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</si>
  <si>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</si>
  <si>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</si>
  <si>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</si>
  <si>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Tunjangan Jabatan</t>
  </si>
  <si>
    <t xml:space="preserve">JUMLAH KETERLAMBATAN SELAMA 1 BULAN (JAM) </t>
  </si>
  <si>
    <t xml:space="preserve">JUMLAH KETERLAMBATAN SELAMA 1 BULAN (JAM)
</t>
  </si>
  <si>
    <t>Potongan 10 % Disiplin Kerja</t>
  </si>
  <si>
    <t xml:space="preserve">Potongan 40% Tidak Mengumpulkan/minimal tidak mendapatkan kategori Baik ( C ) </t>
  </si>
  <si>
    <t>Potongan 10% Apabila Pendapatan Usaha tidak tercapai</t>
  </si>
  <si>
    <t>Potongan 10% Pencairan Piutan tidak tercapai</t>
  </si>
  <si>
    <t>Potongan Maksimal 30% Laba Bersih tidak tercapai</t>
  </si>
  <si>
    <t>Potongan 10% Pencairan Piutang tidak tercapai</t>
  </si>
  <si>
    <t>00:00</t>
  </si>
  <si>
    <t>BULAN MARET 2022</t>
  </si>
  <si>
    <t>4:46</t>
  </si>
  <si>
    <t>14:42</t>
  </si>
  <si>
    <t>04:19</t>
  </si>
  <si>
    <t>BULAN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</si>
</sst>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  <numFmt numFmtId="180" formatCode="_(* #,##0.0_);_(* \(#,##0.0\);_(* &quot;-&quot;??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77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8" fillId="0" borderId="17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0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43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6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165" fontId="18" fillId="0" borderId="26" xfId="9" applyNumberFormat="1" applyFont="1" applyFill="1" applyBorder="1" applyAlignment="1" applyProtection="1">
      <alignment vertical="center"/>
    </xf>
    <xf numFmtId="3" fontId="19" fillId="0" borderId="27" xfId="9" applyNumberFormat="1" applyFont="1" applyFill="1" applyBorder="1" applyAlignment="1" applyProtection="1">
      <alignment horizontal="right" vertical="center"/>
    </xf>
    <xf numFmtId="165" fontId="30" fillId="0" borderId="27" xfId="9" applyNumberFormat="1" applyFont="1" applyFill="1" applyBorder="1" applyAlignment="1" applyProtection="1">
      <alignment horizontal="right" vertical="center"/>
    </xf>
    <xf numFmtId="178" fontId="30" fillId="0" borderId="27" xfId="10" applyNumberFormat="1" applyFont="1" applyFill="1" applyBorder="1" applyAlignment="1" applyProtection="1">
      <alignment horizontal="right" vertical="center"/>
    </xf>
    <xf numFmtId="41" fontId="30" fillId="0" borderId="6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43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43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/>
    </xf>
    <xf numFmtId="165" fontId="27" fillId="0" borderId="8" xfId="9" applyNumberFormat="1" applyFont="1" applyFill="1" applyBorder="1" applyAlignment="1" applyProtection="1">
      <alignment vertical="center"/>
    </xf>
    <xf numFmtId="41" fontId="30" fillId="0" borderId="16" xfId="10" applyNumberFormat="1" applyFont="1" applyFill="1" applyBorder="1" applyAlignment="1" applyProtection="1">
      <alignment horizontal="right" vertical="center"/>
    </xf>
    <xf numFmtId="0" fontId="22" fillId="0" borderId="14" xfId="0" applyFont="1" applyFill="1" applyBorder="1" applyAlignment="1" applyProtection="1">
      <alignment horizontal="center" vertical="center"/>
    </xf>
    <xf numFmtId="43" fontId="1" fillId="0" borderId="29" xfId="9" applyFont="1" applyFill="1" applyBorder="1" applyAlignment="1" applyProtection="1">
      <alignment horizontal="left" vertical="center"/>
    </xf>
    <xf numFmtId="20" fontId="20" fillId="0" borderId="29" xfId="9" applyNumberFormat="1" applyFont="1" applyFill="1" applyBorder="1" applyAlignment="1" applyProtection="1">
      <alignment horizontal="center" vertical="center"/>
    </xf>
    <xf numFmtId="165" fontId="2" fillId="0" borderId="29" xfId="9" applyNumberFormat="1" applyFont="1" applyFill="1" applyBorder="1" applyAlignment="1" applyProtection="1">
      <alignment vertical="center"/>
    </xf>
    <xf numFmtId="165" fontId="17" fillId="0" borderId="16" xfId="9" applyNumberFormat="1" applyFont="1" applyFill="1" applyBorder="1" applyAlignment="1" applyProtection="1">
      <alignment vertical="center"/>
      <protection hidden="1"/>
    </xf>
    <xf numFmtId="165" fontId="17" fillId="0" borderId="29" xfId="9" applyNumberFormat="1" applyFont="1" applyFill="1" applyBorder="1" applyAlignment="1" applyProtection="1">
      <alignment vertical="center"/>
      <protection hidden="1"/>
    </xf>
    <xf numFmtId="43" fontId="17" fillId="0" borderId="30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41" fontId="0" fillId="0" borderId="0" xfId="0" applyNumberFormat="1"/>
    <xf numFmtId="0" fontId="21" fillId="0" borderId="0" xfId="0" applyNumberFormat="1" applyFont="1" applyFill="1" applyBorder="1" applyAlignment="1" applyProtection="1">
      <alignment horizontal="center" vertical="center"/>
    </xf>
    <xf numFmtId="180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65" fontId="26" fillId="5" borderId="9" xfId="9" applyNumberFormat="1" applyFont="1" applyFill="1" applyBorder="1" applyAlignment="1" applyProtection="1">
      <alignment horizontal="center" vertical="center" wrapText="1"/>
    </xf>
    <xf numFmtId="165" fontId="26" fillId="5" borderId="14" xfId="9" applyNumberFormat="1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  <xf numFmtId="165" fontId="20" fillId="5" borderId="9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1" fillId="5" borderId="19" xfId="9" applyNumberFormat="1" applyFont="1" applyFill="1" applyBorder="1" applyAlignment="1" applyProtection="1">
      <alignment vertical="center" wrapText="1"/>
    </xf>
    <xf numFmtId="165" fontId="21" fillId="5" borderId="21" xfId="9" applyNumberFormat="1" applyFont="1" applyFill="1" applyBorder="1" applyAlignment="1" applyProtection="1">
      <alignment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2" xfId="9" applyNumberFormat="1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  <xf numFmtId="20" fontId="20" fillId="0" borderId="13" xfId="9" applyNumberFormat="1" applyFont="1" applyFill="1" applyBorder="1" applyAlignment="1" applyProtection="1">
      <alignment horizontal="center" vertical="center"/>
    </xf>
    <xf numFmtId="20" fontId="20" fillId="0" borderId="7" xfId="9" quotePrefix="1" applyNumberFormat="1" applyFont="1" applyFill="1" applyBorder="1" applyAlignment="1" applyProtection="1">
      <alignment horizontal="center" vertical="center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=""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=""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view="pageBreakPreview" zoomScale="70" zoomScaleNormal="100" zoomScaleSheetLayoutView="70" workbookViewId="0">
      <selection activeCell="O20" sqref="O20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7" width="20.5703125" customWidth="1"/>
    <col min="18" max="18" width="13.42578125" customWidth="1"/>
    <col min="19" max="20" width="15" customWidth="1"/>
    <col min="21" max="21" width="12.5703125" customWidth="1"/>
    <col min="22" max="22" width="14" customWidth="1"/>
    <col min="23" max="23" width="15.85546875" customWidth="1"/>
    <col min="25" max="25" width="12.28515625" bestFit="1" customWidth="1"/>
    <col min="26" max="26" width="10.28515625" bestFit="1" customWidth="1"/>
  </cols>
  <sheetData>
    <row r="1" spans="1:26" ht="24.75" customHeight="1" x14ac:dyDescent="0.2"/>
    <row r="2" spans="1:26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6" ht="12.75" customHeight="1" x14ac:dyDescent="0.2">
      <c r="A3" s="150" t="s">
        <v>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</row>
    <row r="4" spans="1:26" ht="13.5" customHeight="1" x14ac:dyDescent="0.2">
      <c r="A4" s="151" t="s">
        <v>62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5" spans="1:26" ht="10.5" customHeight="1" x14ac:dyDescent="0.2"/>
    <row r="6" spans="1:26" ht="38.25" customHeight="1" x14ac:dyDescent="0.2">
      <c r="B6" s="146" t="s">
        <v>0</v>
      </c>
      <c r="C6" s="146" t="s">
        <v>9</v>
      </c>
      <c r="D6" s="146" t="s">
        <v>53</v>
      </c>
      <c r="E6" s="72"/>
      <c r="F6" s="146" t="s">
        <v>10</v>
      </c>
      <c r="G6" s="146" t="s">
        <v>27</v>
      </c>
      <c r="H6" s="146" t="s">
        <v>28</v>
      </c>
      <c r="I6" s="146" t="s">
        <v>31</v>
      </c>
      <c r="J6" s="146" t="s">
        <v>3</v>
      </c>
      <c r="K6" s="146" t="s">
        <v>30</v>
      </c>
      <c r="L6" s="146" t="s">
        <v>11</v>
      </c>
      <c r="M6" s="146" t="s">
        <v>38</v>
      </c>
      <c r="N6" s="146" t="s">
        <v>37</v>
      </c>
      <c r="O6" s="146" t="s">
        <v>40</v>
      </c>
      <c r="P6" s="146"/>
      <c r="Q6" s="146"/>
      <c r="R6" s="146"/>
      <c r="S6" s="146"/>
      <c r="T6" s="126"/>
      <c r="U6" s="146" t="s">
        <v>34</v>
      </c>
      <c r="V6" s="146" t="s">
        <v>42</v>
      </c>
      <c r="W6" s="152" t="s">
        <v>39</v>
      </c>
    </row>
    <row r="7" spans="1:26" ht="91.5" customHeight="1" x14ac:dyDescent="0.2">
      <c r="B7" s="146"/>
      <c r="C7" s="156"/>
      <c r="D7" s="146"/>
      <c r="E7" s="72"/>
      <c r="F7" s="146"/>
      <c r="G7" s="146"/>
      <c r="H7" s="146"/>
      <c r="I7" s="146"/>
      <c r="J7" s="146"/>
      <c r="K7" s="146"/>
      <c r="L7" s="146"/>
      <c r="M7" s="146"/>
      <c r="N7" s="146"/>
      <c r="O7" s="142" t="s">
        <v>55</v>
      </c>
      <c r="P7" s="141" t="s">
        <v>56</v>
      </c>
      <c r="Q7" s="141" t="s">
        <v>57</v>
      </c>
      <c r="R7" s="141" t="s">
        <v>59</v>
      </c>
      <c r="S7" s="141" t="s">
        <v>58</v>
      </c>
      <c r="T7" s="126" t="s">
        <v>52</v>
      </c>
      <c r="U7" s="146"/>
      <c r="V7" s="146"/>
      <c r="W7" s="152"/>
      <c r="Y7" s="66">
        <v>4.2361111111111106E-2</v>
      </c>
    </row>
    <row r="8" spans="1:26" ht="9.75" customHeight="1" x14ac:dyDescent="0.2"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4"/>
    </row>
    <row r="9" spans="1:26" ht="18.75" hidden="1" customHeight="1" x14ac:dyDescent="0.2">
      <c r="B9" s="85">
        <v>1</v>
      </c>
      <c r="C9" s="86" t="s">
        <v>25</v>
      </c>
      <c r="D9" s="86" t="s">
        <v>5</v>
      </c>
      <c r="E9" s="86"/>
      <c r="F9" s="87">
        <v>9000000</v>
      </c>
      <c r="G9" s="88">
        <v>0</v>
      </c>
      <c r="H9" s="88">
        <f>5%*F9</f>
        <v>450000</v>
      </c>
      <c r="I9" s="88">
        <v>0</v>
      </c>
      <c r="J9" s="88"/>
      <c r="K9" s="88">
        <v>0</v>
      </c>
      <c r="L9" s="89">
        <f>SUM(F9:H9)</f>
        <v>9450000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90">
        <f>L9</f>
        <v>9450000</v>
      </c>
    </row>
    <row r="10" spans="1:26" ht="18.75" customHeight="1" x14ac:dyDescent="0.2">
      <c r="B10" s="85">
        <v>1</v>
      </c>
      <c r="C10" s="109" t="s">
        <v>44</v>
      </c>
      <c r="D10" s="93">
        <v>0</v>
      </c>
      <c r="E10" s="94">
        <f>D10*24</f>
        <v>0</v>
      </c>
      <c r="F10" s="113">
        <v>9739000</v>
      </c>
      <c r="G10" s="88">
        <v>4612000</v>
      </c>
      <c r="H10" s="96">
        <f t="shared" ref="H10:H15" si="0">12300000</f>
        <v>12300000</v>
      </c>
      <c r="I10" s="96">
        <v>600000</v>
      </c>
      <c r="J10" s="96">
        <v>4000000</v>
      </c>
      <c r="K10" s="96">
        <v>4500000</v>
      </c>
      <c r="L10" s="97">
        <f t="shared" ref="L10:L20" si="1">SUM(F10:K10)</f>
        <v>35751000</v>
      </c>
      <c r="M10" s="89"/>
      <c r="N10" s="89"/>
      <c r="O10" s="99">
        <v>0</v>
      </c>
      <c r="P10" s="99">
        <v>0</v>
      </c>
      <c r="Q10" s="99">
        <f>H10*2.8%</f>
        <v>344399.99999999994</v>
      </c>
      <c r="R10" s="99">
        <f>H10*30%</f>
        <v>3690000</v>
      </c>
      <c r="S10" s="100">
        <f>H10*10%</f>
        <v>1230000</v>
      </c>
      <c r="T10" s="100"/>
      <c r="U10" s="102"/>
      <c r="V10" s="99">
        <f>SUM(O10:U10)</f>
        <v>5264400</v>
      </c>
      <c r="W10" s="101">
        <f>L10-V10</f>
        <v>30486600</v>
      </c>
    </row>
    <row r="11" spans="1:26" ht="18.75" customHeight="1" x14ac:dyDescent="0.2">
      <c r="B11" s="91">
        <f>B10+1</f>
        <v>2</v>
      </c>
      <c r="C11" s="92" t="s">
        <v>6</v>
      </c>
      <c r="D11" s="93">
        <v>0</v>
      </c>
      <c r="E11" s="94">
        <f>D11*24</f>
        <v>0</v>
      </c>
      <c r="F11" s="95">
        <v>10454000</v>
      </c>
      <c r="G11" s="96">
        <v>4612000</v>
      </c>
      <c r="H11" s="96">
        <f t="shared" si="0"/>
        <v>12300000</v>
      </c>
      <c r="I11" s="96">
        <v>600000</v>
      </c>
      <c r="J11" s="96">
        <v>4000000</v>
      </c>
      <c r="K11" s="96">
        <v>4500000</v>
      </c>
      <c r="L11" s="97">
        <f t="shared" si="1"/>
        <v>36466000</v>
      </c>
      <c r="M11" s="97">
        <v>136</v>
      </c>
      <c r="N11" s="98">
        <f>(M11-E11)/M11</f>
        <v>1</v>
      </c>
      <c r="O11" s="99">
        <v>0</v>
      </c>
      <c r="P11" s="99">
        <v>0</v>
      </c>
      <c r="Q11" s="99">
        <f>H11*2.88%</f>
        <v>354240</v>
      </c>
      <c r="R11" s="99">
        <f t="shared" ref="R11:R23" si="2">H11*30%</f>
        <v>3690000</v>
      </c>
      <c r="S11" s="100">
        <f t="shared" ref="S11:S23" si="3">H11*10%</f>
        <v>1230000</v>
      </c>
      <c r="T11" s="100">
        <v>0</v>
      </c>
      <c r="U11" s="99">
        <v>0</v>
      </c>
      <c r="V11" s="99">
        <f>SUM(O11:U11)</f>
        <v>5274240</v>
      </c>
      <c r="W11" s="101">
        <f t="shared" ref="W11:W23" si="4">L11-V11</f>
        <v>31191760</v>
      </c>
      <c r="Y11" s="8"/>
    </row>
    <row r="12" spans="1:26" ht="18.75" customHeight="1" x14ac:dyDescent="0.2">
      <c r="B12" s="91">
        <f t="shared" ref="B12:B23" si="5">B11+1</f>
        <v>3</v>
      </c>
      <c r="C12" s="92" t="s">
        <v>43</v>
      </c>
      <c r="D12" s="93">
        <v>0</v>
      </c>
      <c r="E12" s="94">
        <f>D12*24</f>
        <v>0</v>
      </c>
      <c r="F12" s="95">
        <v>8203000</v>
      </c>
      <c r="G12" s="96">
        <v>4342000</v>
      </c>
      <c r="H12" s="96">
        <f t="shared" si="0"/>
        <v>12300000</v>
      </c>
      <c r="I12" s="96">
        <v>600000</v>
      </c>
      <c r="J12" s="96">
        <v>4000000</v>
      </c>
      <c r="K12" s="96">
        <v>4500000</v>
      </c>
      <c r="L12" s="97">
        <f t="shared" si="1"/>
        <v>33945000</v>
      </c>
      <c r="M12" s="97"/>
      <c r="N12" s="98"/>
      <c r="O12" s="99">
        <v>0</v>
      </c>
      <c r="P12" s="99">
        <v>0</v>
      </c>
      <c r="Q12" s="99">
        <f t="shared" ref="Q12:Q23" si="6">H12*2.88%</f>
        <v>354240</v>
      </c>
      <c r="R12" s="99">
        <f t="shared" si="2"/>
        <v>3690000</v>
      </c>
      <c r="S12" s="100">
        <f t="shared" si="3"/>
        <v>1230000</v>
      </c>
      <c r="T12" s="100"/>
      <c r="U12" s="102"/>
      <c r="V12" s="99">
        <f>SUM(O12:U12)</f>
        <v>5274240</v>
      </c>
      <c r="W12" s="101">
        <f t="shared" si="4"/>
        <v>28670760</v>
      </c>
      <c r="Y12" s="8"/>
    </row>
    <row r="13" spans="1:26" ht="18.75" customHeight="1" x14ac:dyDescent="0.2">
      <c r="B13" s="91">
        <f t="shared" si="5"/>
        <v>4</v>
      </c>
      <c r="C13" s="92" t="s">
        <v>45</v>
      </c>
      <c r="D13" s="108">
        <v>1.1805555555555555E-2</v>
      </c>
      <c r="E13" s="94">
        <f>D13*24</f>
        <v>0.28333333333333333</v>
      </c>
      <c r="F13" s="95">
        <v>9017000</v>
      </c>
      <c r="G13" s="96">
        <v>4612000</v>
      </c>
      <c r="H13" s="96">
        <f t="shared" si="0"/>
        <v>12300000</v>
      </c>
      <c r="I13" s="96">
        <v>600000</v>
      </c>
      <c r="J13" s="96">
        <v>4000000</v>
      </c>
      <c r="K13" s="96">
        <v>4500000</v>
      </c>
      <c r="L13" s="97">
        <f t="shared" si="1"/>
        <v>35029000</v>
      </c>
      <c r="M13" s="97"/>
      <c r="N13" s="98"/>
      <c r="O13" s="99">
        <v>0</v>
      </c>
      <c r="P13" s="99">
        <v>0</v>
      </c>
      <c r="Q13" s="99">
        <f t="shared" si="6"/>
        <v>354240</v>
      </c>
      <c r="R13" s="99">
        <f t="shared" si="2"/>
        <v>3690000</v>
      </c>
      <c r="S13" s="100">
        <f t="shared" si="3"/>
        <v>1230000</v>
      </c>
      <c r="T13" s="100">
        <v>0</v>
      </c>
      <c r="U13" s="102">
        <v>0</v>
      </c>
      <c r="V13" s="99">
        <f>SUM(O13:U13)</f>
        <v>5274240</v>
      </c>
      <c r="W13" s="101">
        <f t="shared" si="4"/>
        <v>29754760</v>
      </c>
      <c r="Y13" s="8"/>
    </row>
    <row r="14" spans="1:26" ht="18.75" customHeight="1" x14ac:dyDescent="0.2">
      <c r="B14" s="128">
        <f t="shared" si="5"/>
        <v>5</v>
      </c>
      <c r="C14" s="86" t="s">
        <v>46</v>
      </c>
      <c r="D14" s="129" t="s">
        <v>61</v>
      </c>
      <c r="E14" s="94">
        <f>D14*24</f>
        <v>0</v>
      </c>
      <c r="F14" s="95">
        <v>9017000</v>
      </c>
      <c r="G14" s="96">
        <v>4612000</v>
      </c>
      <c r="H14" s="96">
        <f t="shared" si="0"/>
        <v>12300000</v>
      </c>
      <c r="I14" s="96">
        <v>600000</v>
      </c>
      <c r="J14" s="96">
        <v>4000000</v>
      </c>
      <c r="K14" s="96">
        <v>4500000</v>
      </c>
      <c r="L14" s="97">
        <f t="shared" si="1"/>
        <v>35029000</v>
      </c>
      <c r="M14" s="97"/>
      <c r="N14" s="98"/>
      <c r="O14" s="99">
        <v>0</v>
      </c>
      <c r="P14" s="99">
        <v>0</v>
      </c>
      <c r="Q14" s="99">
        <f t="shared" si="6"/>
        <v>354240</v>
      </c>
      <c r="R14" s="99">
        <f t="shared" si="2"/>
        <v>3690000</v>
      </c>
      <c r="S14" s="100">
        <f t="shared" si="3"/>
        <v>1230000</v>
      </c>
      <c r="T14" s="100">
        <v>0</v>
      </c>
      <c r="U14" s="102">
        <v>0</v>
      </c>
      <c r="V14" s="99">
        <f>SUM(O14:U14)</f>
        <v>5274240</v>
      </c>
      <c r="W14" s="101">
        <f t="shared" si="4"/>
        <v>29754760</v>
      </c>
      <c r="Y14" s="8"/>
    </row>
    <row r="15" spans="1:26" ht="18.75" customHeight="1" x14ac:dyDescent="0.2">
      <c r="B15" s="91">
        <f t="shared" si="5"/>
        <v>6</v>
      </c>
      <c r="C15" s="92" t="s">
        <v>20</v>
      </c>
      <c r="D15" s="93">
        <v>6.2499999999999995E-3</v>
      </c>
      <c r="E15" s="94">
        <f t="shared" ref="E15:E23" si="7">D15*24</f>
        <v>0.15</v>
      </c>
      <c r="F15" s="95">
        <v>7823000</v>
      </c>
      <c r="G15" s="96">
        <v>4114000</v>
      </c>
      <c r="H15" s="96">
        <f t="shared" si="0"/>
        <v>12300000</v>
      </c>
      <c r="I15" s="96">
        <v>600000</v>
      </c>
      <c r="J15" s="96">
        <v>4000000</v>
      </c>
      <c r="K15" s="96">
        <v>4500000</v>
      </c>
      <c r="L15" s="97">
        <f t="shared" si="1"/>
        <v>33337000</v>
      </c>
      <c r="M15" s="97">
        <v>136</v>
      </c>
      <c r="N15" s="98">
        <f t="shared" ref="N15:N23" si="8">(M15-E15)/M15</f>
        <v>0.99889705882352942</v>
      </c>
      <c r="O15" s="99">
        <v>0</v>
      </c>
      <c r="P15" s="99">
        <v>0</v>
      </c>
      <c r="Q15" s="99">
        <f t="shared" si="6"/>
        <v>354240</v>
      </c>
      <c r="R15" s="99">
        <f t="shared" si="2"/>
        <v>3690000</v>
      </c>
      <c r="S15" s="100">
        <f t="shared" si="3"/>
        <v>1230000</v>
      </c>
      <c r="T15" s="100"/>
      <c r="U15" s="102"/>
      <c r="V15" s="99">
        <f t="shared" ref="V15:V22" si="9">SUM(O15:U15)</f>
        <v>5274240</v>
      </c>
      <c r="W15" s="101">
        <f t="shared" si="4"/>
        <v>28062760</v>
      </c>
      <c r="Y15" s="8"/>
      <c r="Z15" s="8" t="e">
        <f>#REF!-#REF!</f>
        <v>#REF!</v>
      </c>
    </row>
    <row r="16" spans="1:26" ht="19.5" customHeight="1" x14ac:dyDescent="0.2">
      <c r="B16" s="91">
        <f t="shared" si="5"/>
        <v>7</v>
      </c>
      <c r="C16" s="103" t="s">
        <v>12</v>
      </c>
      <c r="D16" s="93">
        <v>1.3194444444444444E-2</v>
      </c>
      <c r="E16" s="94">
        <f t="shared" si="7"/>
        <v>0.31666666666666665</v>
      </c>
      <c r="F16" s="104">
        <v>6918000</v>
      </c>
      <c r="G16" s="105">
        <v>4114000</v>
      </c>
      <c r="H16" s="105">
        <f>7800000</f>
        <v>7800000</v>
      </c>
      <c r="I16" s="105">
        <v>350000</v>
      </c>
      <c r="J16" s="105">
        <v>2800000</v>
      </c>
      <c r="K16" s="105">
        <v>2000000</v>
      </c>
      <c r="L16" s="106">
        <f t="shared" si="1"/>
        <v>23982000</v>
      </c>
      <c r="M16" s="106">
        <v>136</v>
      </c>
      <c r="N16" s="107">
        <f t="shared" si="8"/>
        <v>0.99767156862745099</v>
      </c>
      <c r="O16" s="99">
        <v>0</v>
      </c>
      <c r="P16" s="99">
        <v>0</v>
      </c>
      <c r="Q16" s="99">
        <f t="shared" si="6"/>
        <v>224640</v>
      </c>
      <c r="R16" s="99">
        <f t="shared" si="2"/>
        <v>2340000</v>
      </c>
      <c r="S16" s="100">
        <f t="shared" si="3"/>
        <v>780000</v>
      </c>
      <c r="T16" s="100"/>
      <c r="U16" s="102"/>
      <c r="V16" s="99">
        <f t="shared" si="9"/>
        <v>3344640</v>
      </c>
      <c r="W16" s="101">
        <f t="shared" si="4"/>
        <v>20637360</v>
      </c>
      <c r="Y16" s="8"/>
    </row>
    <row r="17" spans="2:26" ht="18.75" customHeight="1" x14ac:dyDescent="0.2">
      <c r="B17" s="91">
        <f t="shared" si="5"/>
        <v>8</v>
      </c>
      <c r="C17" s="92" t="s">
        <v>15</v>
      </c>
      <c r="D17" s="93">
        <v>1.8749999999999999E-2</v>
      </c>
      <c r="E17" s="94">
        <f t="shared" si="7"/>
        <v>0.44999999999999996</v>
      </c>
      <c r="F17" s="95">
        <v>5867000</v>
      </c>
      <c r="G17" s="96">
        <v>3919000</v>
      </c>
      <c r="H17" s="96">
        <f>7800000</f>
        <v>7800000</v>
      </c>
      <c r="I17" s="96">
        <v>350000</v>
      </c>
      <c r="J17" s="96">
        <v>2800000</v>
      </c>
      <c r="K17" s="96">
        <v>2000000</v>
      </c>
      <c r="L17" s="97">
        <f t="shared" si="1"/>
        <v>22736000</v>
      </c>
      <c r="M17" s="97">
        <v>136</v>
      </c>
      <c r="N17" s="98">
        <f t="shared" si="8"/>
        <v>0.99669117647058836</v>
      </c>
      <c r="O17" s="99">
        <v>0</v>
      </c>
      <c r="P17" s="99">
        <v>0</v>
      </c>
      <c r="Q17" s="99">
        <f t="shared" si="6"/>
        <v>224640</v>
      </c>
      <c r="R17" s="99">
        <f t="shared" si="2"/>
        <v>2340000</v>
      </c>
      <c r="S17" s="100">
        <f t="shared" si="3"/>
        <v>780000</v>
      </c>
      <c r="T17" s="100">
        <v>0</v>
      </c>
      <c r="U17" s="102">
        <v>0</v>
      </c>
      <c r="V17" s="99">
        <f t="shared" si="9"/>
        <v>3344640</v>
      </c>
      <c r="W17" s="101">
        <f t="shared" si="4"/>
        <v>19391360</v>
      </c>
      <c r="Y17" s="8"/>
      <c r="Z17" s="41">
        <f>'[1]THR PEG PELINDO'!$G$10</f>
        <v>4342000</v>
      </c>
    </row>
    <row r="18" spans="2:26" ht="18.75" customHeight="1" x14ac:dyDescent="0.2">
      <c r="B18" s="91">
        <f t="shared" si="5"/>
        <v>9</v>
      </c>
      <c r="C18" s="103" t="s">
        <v>50</v>
      </c>
      <c r="D18" s="93">
        <v>0</v>
      </c>
      <c r="E18" s="94">
        <f t="shared" si="7"/>
        <v>0</v>
      </c>
      <c r="F18" s="104">
        <v>6918000</v>
      </c>
      <c r="G18" s="105">
        <v>3919000</v>
      </c>
      <c r="H18" s="105">
        <f>7800000</f>
        <v>7800000</v>
      </c>
      <c r="I18" s="105">
        <v>350000</v>
      </c>
      <c r="J18" s="105">
        <v>2800000</v>
      </c>
      <c r="K18" s="105">
        <v>2000000</v>
      </c>
      <c r="L18" s="106">
        <f t="shared" si="1"/>
        <v>23787000</v>
      </c>
      <c r="M18" s="106">
        <v>136</v>
      </c>
      <c r="N18" s="107">
        <f t="shared" si="8"/>
        <v>1</v>
      </c>
      <c r="O18" s="99">
        <v>0</v>
      </c>
      <c r="P18" s="99">
        <v>0</v>
      </c>
      <c r="Q18" s="99">
        <f t="shared" si="6"/>
        <v>224640</v>
      </c>
      <c r="R18" s="99">
        <f t="shared" si="2"/>
        <v>2340000</v>
      </c>
      <c r="S18" s="100">
        <f t="shared" si="3"/>
        <v>780000</v>
      </c>
      <c r="T18" s="100">
        <v>0</v>
      </c>
      <c r="U18" s="100">
        <v>0</v>
      </c>
      <c r="V18" s="99">
        <f>SUM(O18:U18)</f>
        <v>3344640</v>
      </c>
      <c r="W18" s="101">
        <f t="shared" si="4"/>
        <v>20442360</v>
      </c>
      <c r="Y18" s="8"/>
      <c r="Z18" s="8" t="e">
        <f>Z17-Z15</f>
        <v>#REF!</v>
      </c>
    </row>
    <row r="19" spans="2:26" ht="18.75" customHeight="1" x14ac:dyDescent="0.2">
      <c r="B19" s="91">
        <f t="shared" si="5"/>
        <v>10</v>
      </c>
      <c r="C19" s="110" t="s">
        <v>47</v>
      </c>
      <c r="D19" s="93">
        <v>9.7222222222222224E-3</v>
      </c>
      <c r="E19" s="94">
        <f>D19*24</f>
        <v>0.23333333333333334</v>
      </c>
      <c r="F19" s="104">
        <v>7230000</v>
      </c>
      <c r="G19" s="105">
        <v>4114000</v>
      </c>
      <c r="H19" s="105">
        <f>7800000</f>
        <v>7800000</v>
      </c>
      <c r="I19" s="105">
        <v>350000</v>
      </c>
      <c r="J19" s="105">
        <v>2800000</v>
      </c>
      <c r="K19" s="105">
        <v>2000000</v>
      </c>
      <c r="L19" s="106">
        <f t="shared" si="1"/>
        <v>24294000</v>
      </c>
      <c r="M19" s="106"/>
      <c r="N19" s="107"/>
      <c r="O19" s="99">
        <v>0</v>
      </c>
      <c r="P19" s="99">
        <v>0</v>
      </c>
      <c r="Q19" s="99">
        <f t="shared" si="6"/>
        <v>224640</v>
      </c>
      <c r="R19" s="99">
        <f t="shared" si="2"/>
        <v>2340000</v>
      </c>
      <c r="S19" s="100">
        <f t="shared" si="3"/>
        <v>780000</v>
      </c>
      <c r="T19" s="100"/>
      <c r="U19" s="102"/>
      <c r="V19" s="99">
        <f>SUM(O19:U19)</f>
        <v>3344640</v>
      </c>
      <c r="W19" s="101">
        <f t="shared" si="4"/>
        <v>20949360</v>
      </c>
      <c r="Y19" s="8"/>
      <c r="Z19" s="8"/>
    </row>
    <row r="20" spans="2:26" ht="18.75" customHeight="1" x14ac:dyDescent="0.2">
      <c r="B20" s="128">
        <f t="shared" si="5"/>
        <v>11</v>
      </c>
      <c r="C20" s="127" t="s">
        <v>51</v>
      </c>
      <c r="D20" s="108">
        <v>1.3888888888888889E-3</v>
      </c>
      <c r="E20" s="94">
        <f t="shared" si="7"/>
        <v>3.3333333333333333E-2</v>
      </c>
      <c r="F20" s="104">
        <v>5400000</v>
      </c>
      <c r="G20" s="105">
        <v>3435000</v>
      </c>
      <c r="H20" s="105">
        <f>7800000</f>
        <v>7800000</v>
      </c>
      <c r="I20" s="105">
        <v>350000</v>
      </c>
      <c r="J20" s="105">
        <v>2800000</v>
      </c>
      <c r="K20" s="105">
        <v>2000000</v>
      </c>
      <c r="L20" s="106">
        <f t="shared" si="1"/>
        <v>21785000</v>
      </c>
      <c r="M20" s="106">
        <v>136</v>
      </c>
      <c r="N20" s="107">
        <f t="shared" si="8"/>
        <v>0.99975490196078431</v>
      </c>
      <c r="O20" s="99">
        <v>0</v>
      </c>
      <c r="P20" s="99">
        <v>0</v>
      </c>
      <c r="Q20" s="99">
        <f t="shared" si="6"/>
        <v>224640</v>
      </c>
      <c r="R20" s="99">
        <f t="shared" si="2"/>
        <v>2340000</v>
      </c>
      <c r="S20" s="100">
        <f t="shared" si="3"/>
        <v>780000</v>
      </c>
      <c r="T20" s="100">
        <v>0</v>
      </c>
      <c r="U20" s="102">
        <v>0</v>
      </c>
      <c r="V20" s="99">
        <f>SUM(O20:U20)</f>
        <v>3344640</v>
      </c>
      <c r="W20" s="101">
        <f t="shared" si="4"/>
        <v>18440360</v>
      </c>
      <c r="Y20" s="8"/>
    </row>
    <row r="21" spans="2:26" ht="18.75" hidden="1" customHeight="1" x14ac:dyDescent="0.2">
      <c r="B21" s="91">
        <f t="shared" si="5"/>
        <v>12</v>
      </c>
      <c r="C21" s="92" t="s">
        <v>16</v>
      </c>
      <c r="D21" s="93">
        <v>0</v>
      </c>
      <c r="E21" s="94">
        <f t="shared" si="7"/>
        <v>0</v>
      </c>
      <c r="F21" s="114" t="s">
        <v>48</v>
      </c>
      <c r="G21" s="96">
        <v>0</v>
      </c>
      <c r="H21" s="96">
        <v>6000000</v>
      </c>
      <c r="I21" s="96">
        <v>0</v>
      </c>
      <c r="J21" s="96">
        <v>0</v>
      </c>
      <c r="K21" s="96">
        <v>0</v>
      </c>
      <c r="L21" s="97">
        <f t="shared" ref="L21:L23" si="10">SUM(F21:H21)</f>
        <v>6000000</v>
      </c>
      <c r="M21" s="97">
        <v>136</v>
      </c>
      <c r="N21" s="98">
        <f t="shared" si="8"/>
        <v>1</v>
      </c>
      <c r="O21" s="99">
        <v>0</v>
      </c>
      <c r="P21" s="99">
        <v>0</v>
      </c>
      <c r="Q21" s="99">
        <f t="shared" si="6"/>
        <v>172800</v>
      </c>
      <c r="R21" s="99">
        <f t="shared" si="2"/>
        <v>1800000</v>
      </c>
      <c r="S21" s="100">
        <f t="shared" si="3"/>
        <v>600000</v>
      </c>
      <c r="T21" s="100"/>
      <c r="U21" s="102"/>
      <c r="V21" s="99">
        <f t="shared" si="9"/>
        <v>2572800</v>
      </c>
      <c r="W21" s="101">
        <f t="shared" si="4"/>
        <v>3427200</v>
      </c>
      <c r="Y21" s="8"/>
    </row>
    <row r="22" spans="2:26" ht="18.75" customHeight="1" x14ac:dyDescent="0.2">
      <c r="B22" s="91">
        <f t="shared" si="5"/>
        <v>13</v>
      </c>
      <c r="C22" s="103" t="s">
        <v>17</v>
      </c>
      <c r="D22" s="108">
        <v>0</v>
      </c>
      <c r="E22" s="94">
        <f t="shared" si="7"/>
        <v>0</v>
      </c>
      <c r="F22" s="95">
        <v>4543000</v>
      </c>
      <c r="G22" s="96">
        <v>3435000</v>
      </c>
      <c r="H22" s="96">
        <v>6000000</v>
      </c>
      <c r="I22" s="96">
        <v>0</v>
      </c>
      <c r="J22" s="96">
        <v>0</v>
      </c>
      <c r="K22" s="96">
        <v>0</v>
      </c>
      <c r="L22" s="106">
        <f t="shared" si="10"/>
        <v>13978000</v>
      </c>
      <c r="M22" s="106">
        <v>136</v>
      </c>
      <c r="N22" s="107">
        <f t="shared" si="8"/>
        <v>1</v>
      </c>
      <c r="O22" s="99">
        <v>0</v>
      </c>
      <c r="P22" s="99">
        <v>0</v>
      </c>
      <c r="Q22" s="99">
        <f t="shared" si="6"/>
        <v>172800</v>
      </c>
      <c r="R22" s="99">
        <f t="shared" si="2"/>
        <v>1800000</v>
      </c>
      <c r="S22" s="100">
        <f t="shared" si="3"/>
        <v>600000</v>
      </c>
      <c r="T22" s="100"/>
      <c r="U22" s="100">
        <v>0</v>
      </c>
      <c r="V22" s="99">
        <f t="shared" si="9"/>
        <v>2572800</v>
      </c>
      <c r="W22" s="101">
        <f t="shared" si="4"/>
        <v>11405200</v>
      </c>
      <c r="Y22" s="8"/>
    </row>
    <row r="23" spans="2:26" ht="18.75" customHeight="1" x14ac:dyDescent="0.2">
      <c r="B23" s="91">
        <f t="shared" si="5"/>
        <v>14</v>
      </c>
      <c r="C23" s="103" t="s">
        <v>13</v>
      </c>
      <c r="D23" s="108">
        <v>6.2499999999999995E-3</v>
      </c>
      <c r="E23" s="94">
        <f t="shared" si="7"/>
        <v>0.15</v>
      </c>
      <c r="F23" s="95">
        <v>4543000</v>
      </c>
      <c r="G23" s="96">
        <v>3435000</v>
      </c>
      <c r="H23" s="96">
        <v>6000000</v>
      </c>
      <c r="I23" s="96">
        <v>0</v>
      </c>
      <c r="J23" s="96">
        <v>0</v>
      </c>
      <c r="K23" s="96">
        <v>0</v>
      </c>
      <c r="L23" s="106">
        <f t="shared" si="10"/>
        <v>13978000</v>
      </c>
      <c r="M23" s="106">
        <v>136</v>
      </c>
      <c r="N23" s="107">
        <f t="shared" si="8"/>
        <v>0.99889705882352942</v>
      </c>
      <c r="O23" s="99">
        <v>0</v>
      </c>
      <c r="P23" s="99">
        <v>0</v>
      </c>
      <c r="Q23" s="99">
        <f t="shared" si="6"/>
        <v>172800</v>
      </c>
      <c r="R23" s="99">
        <f t="shared" si="2"/>
        <v>1800000</v>
      </c>
      <c r="S23" s="100">
        <f t="shared" si="3"/>
        <v>600000</v>
      </c>
      <c r="T23" s="100"/>
      <c r="U23" s="102"/>
      <c r="V23" s="99">
        <f>SUM(O23:U23)</f>
        <v>2572800</v>
      </c>
      <c r="W23" s="101">
        <f t="shared" si="4"/>
        <v>11405200</v>
      </c>
      <c r="Y23" s="8"/>
    </row>
    <row r="24" spans="2:26" ht="15" x14ac:dyDescent="0.25">
      <c r="B24" s="157"/>
      <c r="C24" s="157"/>
      <c r="D24" s="157"/>
      <c r="E24" s="80"/>
      <c r="F24" s="155">
        <f>SUM(F10:F23)</f>
        <v>95672000</v>
      </c>
      <c r="G24" s="155">
        <f t="shared" ref="G24:L24" si="11">SUM(G10:G23)</f>
        <v>53275000</v>
      </c>
      <c r="H24" s="155">
        <f t="shared" si="11"/>
        <v>130800000</v>
      </c>
      <c r="I24" s="155">
        <f t="shared" si="11"/>
        <v>5350000</v>
      </c>
      <c r="J24" s="155">
        <f t="shared" si="11"/>
        <v>38000000</v>
      </c>
      <c r="K24" s="155">
        <f t="shared" si="11"/>
        <v>37000000</v>
      </c>
      <c r="L24" s="155">
        <f t="shared" si="11"/>
        <v>360097000</v>
      </c>
      <c r="M24" s="81"/>
      <c r="N24" s="81"/>
      <c r="O24" s="147">
        <f>SUM(O11:O23)</f>
        <v>0</v>
      </c>
      <c r="P24" s="147">
        <f t="shared" ref="P24:S24" si="12">SUM(P11:P23)</f>
        <v>0</v>
      </c>
      <c r="Q24" s="148"/>
      <c r="R24" s="147">
        <f t="shared" ref="R24" si="13">SUM(R11:R23)</f>
        <v>35550000</v>
      </c>
      <c r="S24" s="147">
        <f t="shared" si="12"/>
        <v>11850000</v>
      </c>
      <c r="T24" s="147">
        <f t="shared" ref="T24" si="14">SUM(T11:T23)</f>
        <v>0</v>
      </c>
      <c r="U24" s="147">
        <f>SUM(U11:U23)</f>
        <v>0</v>
      </c>
      <c r="V24" s="147">
        <f>SUM(V10:V23)</f>
        <v>56077200</v>
      </c>
      <c r="W24" s="153">
        <f>SUM(W11:W23)</f>
        <v>273533200</v>
      </c>
      <c r="Y24" s="8"/>
    </row>
    <row r="25" spans="2:26" ht="15" x14ac:dyDescent="0.25">
      <c r="B25" s="157"/>
      <c r="C25" s="157"/>
      <c r="D25" s="157"/>
      <c r="E25" s="80"/>
      <c r="F25" s="155"/>
      <c r="G25" s="155"/>
      <c r="H25" s="155"/>
      <c r="I25" s="155"/>
      <c r="J25" s="155"/>
      <c r="K25" s="155"/>
      <c r="L25" s="155"/>
      <c r="M25" s="81"/>
      <c r="N25" s="81"/>
      <c r="O25" s="147"/>
      <c r="P25" s="147"/>
      <c r="Q25" s="149"/>
      <c r="R25" s="147"/>
      <c r="S25" s="147"/>
      <c r="T25" s="147"/>
      <c r="U25" s="147"/>
      <c r="V25" s="147"/>
      <c r="W25" s="154"/>
      <c r="Y25" s="24" t="e">
        <f>L24-(#REF!+#REF!)</f>
        <v>#REF!</v>
      </c>
    </row>
    <row r="27" spans="2:26" x14ac:dyDescent="0.2">
      <c r="B27" s="13"/>
      <c r="C27" s="9"/>
      <c r="D27" s="9"/>
      <c r="E27" s="9"/>
      <c r="F27" s="9"/>
      <c r="G27" s="9"/>
    </row>
    <row r="28" spans="2:26" x14ac:dyDescent="0.2">
      <c r="B28" s="10"/>
      <c r="C28" s="9"/>
      <c r="D28" s="9"/>
      <c r="E28" s="9"/>
      <c r="F28" s="9"/>
      <c r="G28" s="110"/>
      <c r="H28" s="44"/>
      <c r="W28" s="9"/>
    </row>
    <row r="29" spans="2:26" x14ac:dyDescent="0.2">
      <c r="B29" s="9"/>
      <c r="C29" s="9"/>
      <c r="D29" s="9"/>
      <c r="E29" s="9"/>
      <c r="F29" s="9"/>
      <c r="G29" s="11"/>
      <c r="H29" s="45"/>
      <c r="W29" s="43"/>
    </row>
    <row r="30" spans="2:26" x14ac:dyDescent="0.2">
      <c r="B30" s="9"/>
      <c r="C30" s="9"/>
      <c r="D30" s="9"/>
      <c r="E30" s="9"/>
      <c r="F30" s="9"/>
      <c r="G30" s="11"/>
      <c r="H30" s="42"/>
      <c r="Q30" s="8">
        <f>SUM(Q10:S10)</f>
        <v>5264400</v>
      </c>
      <c r="W30" s="43"/>
    </row>
    <row r="31" spans="2:26" x14ac:dyDescent="0.2">
      <c r="B31" s="9"/>
      <c r="C31" s="9"/>
      <c r="D31" s="21"/>
      <c r="E31" s="21"/>
      <c r="F31" s="9"/>
      <c r="G31" s="11"/>
      <c r="H31" s="42"/>
      <c r="Q31" s="8">
        <f>SUM(Q16:S16)</f>
        <v>3344640</v>
      </c>
      <c r="S31" t="s">
        <v>37</v>
      </c>
      <c r="U31">
        <f>21*8</f>
        <v>168</v>
      </c>
      <c r="W31">
        <v>15.05</v>
      </c>
    </row>
    <row r="32" spans="2:26" x14ac:dyDescent="0.2">
      <c r="B32" s="9"/>
      <c r="C32" s="9"/>
      <c r="D32" s="9"/>
      <c r="E32" s="9"/>
      <c r="F32" s="9"/>
      <c r="G32" s="9"/>
      <c r="H32" s="42"/>
      <c r="Q32" s="8">
        <f>SUM(Q22:S22)</f>
        <v>2572800</v>
      </c>
      <c r="U32" s="42">
        <f>U31-W31</f>
        <v>152.94999999999999</v>
      </c>
      <c r="W32">
        <f>U32/U31</f>
        <v>0.91041666666666665</v>
      </c>
    </row>
    <row r="33" spans="2:23" x14ac:dyDescent="0.2">
      <c r="B33" s="9"/>
      <c r="C33" s="9"/>
      <c r="D33" s="9"/>
      <c r="E33" s="9"/>
      <c r="F33" s="9"/>
      <c r="G33" s="9"/>
    </row>
    <row r="34" spans="2:23" x14ac:dyDescent="0.2">
      <c r="B34" s="9"/>
      <c r="C34" s="9"/>
      <c r="D34" s="9"/>
      <c r="E34" s="9"/>
      <c r="F34" s="9"/>
      <c r="G34" s="9"/>
      <c r="U34" s="8">
        <f>G18*60%</f>
        <v>2351400</v>
      </c>
      <c r="W34" s="125">
        <f>W32*U34</f>
        <v>2140753.75</v>
      </c>
    </row>
    <row r="35" spans="2:23" x14ac:dyDescent="0.2">
      <c r="O35" s="39">
        <f>10-7.12</f>
        <v>2.88</v>
      </c>
      <c r="W35" s="145">
        <f>U34-W34</f>
        <v>210646.25</v>
      </c>
    </row>
    <row r="36" spans="2:23" x14ac:dyDescent="0.2">
      <c r="B36" s="10"/>
      <c r="C36" s="9"/>
      <c r="D36" s="9"/>
      <c r="E36" s="9"/>
      <c r="F36" s="9"/>
      <c r="G36" s="9"/>
    </row>
    <row r="37" spans="2:23" x14ac:dyDescent="0.2">
      <c r="B37" s="10"/>
      <c r="C37" s="9"/>
      <c r="D37" s="9"/>
      <c r="E37" s="9"/>
      <c r="F37" s="9"/>
      <c r="G37" s="9"/>
    </row>
    <row r="38" spans="2:23" x14ac:dyDescent="0.2">
      <c r="B38" s="10"/>
      <c r="C38" s="9"/>
      <c r="D38" s="40"/>
      <c r="E38" s="40"/>
      <c r="F38" s="9"/>
      <c r="G38" s="9"/>
      <c r="H38" s="42"/>
    </row>
    <row r="39" spans="2:23" x14ac:dyDescent="0.2">
      <c r="B39" s="10"/>
      <c r="C39" s="9"/>
      <c r="D39" s="9"/>
      <c r="E39" s="9"/>
      <c r="F39" s="9"/>
      <c r="G39" s="9"/>
    </row>
    <row r="40" spans="2:23" x14ac:dyDescent="0.2">
      <c r="B40" s="10"/>
      <c r="C40" s="9"/>
      <c r="D40" s="9"/>
      <c r="E40" s="9"/>
      <c r="F40" s="9"/>
      <c r="G40" s="9"/>
    </row>
    <row r="41" spans="2:23" x14ac:dyDescent="0.2">
      <c r="B41" s="10"/>
      <c r="C41" s="9"/>
      <c r="D41" s="9"/>
      <c r="E41" s="9"/>
      <c r="F41" s="9"/>
      <c r="G41" s="9"/>
    </row>
    <row r="42" spans="2:23" x14ac:dyDescent="0.2">
      <c r="B42" s="9"/>
      <c r="C42" s="9"/>
      <c r="D42" s="9"/>
      <c r="E42" s="9"/>
      <c r="F42" s="9"/>
      <c r="G42" s="9"/>
    </row>
    <row r="43" spans="2:23" x14ac:dyDescent="0.2">
      <c r="B43" s="9"/>
      <c r="C43" s="9"/>
      <c r="D43" s="9"/>
      <c r="E43" s="9"/>
      <c r="F43" s="9"/>
      <c r="G43" s="9"/>
    </row>
    <row r="44" spans="2:23" x14ac:dyDescent="0.2">
      <c r="B44" s="9"/>
      <c r="C44" s="9"/>
      <c r="D44" s="9"/>
      <c r="E44" s="9"/>
      <c r="F44" s="9"/>
      <c r="G44" s="9"/>
    </row>
  </sheetData>
  <mergeCells count="35">
    <mergeCell ref="B24:D25"/>
    <mergeCell ref="K24:K25"/>
    <mergeCell ref="J6:J7"/>
    <mergeCell ref="I6:I7"/>
    <mergeCell ref="I24:I25"/>
    <mergeCell ref="J24:J25"/>
    <mergeCell ref="A3:W3"/>
    <mergeCell ref="A4:W4"/>
    <mergeCell ref="W6:W7"/>
    <mergeCell ref="W24:W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U6:U7"/>
    <mergeCell ref="U24:U25"/>
    <mergeCell ref="M6:M7"/>
    <mergeCell ref="N6:N7"/>
    <mergeCell ref="V6:V7"/>
    <mergeCell ref="O24:O25"/>
    <mergeCell ref="V24:V25"/>
    <mergeCell ref="O6:S6"/>
    <mergeCell ref="P24:P25"/>
    <mergeCell ref="R24:R25"/>
    <mergeCell ref="S24:S25"/>
    <mergeCell ref="T24:T25"/>
    <mergeCell ref="Q24:Q25"/>
  </mergeCells>
  <printOptions horizontalCentered="1"/>
  <pageMargins left="0" right="0" top="0" bottom="0.74803149606299213" header="0.31496062992125984" footer="0.31496062992125984"/>
  <pageSetup paperSize="9" scale="54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42"/>
  <sheetViews>
    <sheetView tabSelected="1" view="pageBreakPreview" topLeftCell="A6" zoomScale="85" zoomScaleNormal="90" zoomScaleSheetLayoutView="85" workbookViewId="0">
      <pane xSplit="4" topLeftCell="G1" activePane="topRight" state="frozen"/>
      <selection pane="topRight" activeCell="O15" sqref="O15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8" width="14.85546875" customWidth="1"/>
    <col min="19" max="19" width="12.85546875" hidden="1" customWidth="1"/>
    <col min="20" max="21" width="12.85546875" customWidth="1"/>
    <col min="22" max="22" width="2.7109375" customWidth="1"/>
    <col min="23" max="26" width="13.28515625" bestFit="1" customWidth="1"/>
    <col min="27" max="27" width="11.140625" bestFit="1" customWidth="1"/>
    <col min="28" max="29" width="10.5703125" bestFit="1" customWidth="1"/>
  </cols>
  <sheetData>
    <row r="1" spans="2:28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8" ht="12.75" customHeight="1" x14ac:dyDescent="0.2">
      <c r="B2" s="150" t="s">
        <v>29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5"/>
    </row>
    <row r="3" spans="2:28" ht="12.75" customHeight="1" x14ac:dyDescent="0.2">
      <c r="B3" s="151" t="s">
        <v>66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44"/>
    </row>
    <row r="4" spans="2:28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</row>
    <row r="5" spans="2:28" ht="36" customHeight="1" x14ac:dyDescent="0.2">
      <c r="B5" s="167" t="s">
        <v>0</v>
      </c>
      <c r="C5" s="167" t="s">
        <v>9</v>
      </c>
      <c r="D5" s="167" t="s">
        <v>54</v>
      </c>
      <c r="E5" s="167"/>
      <c r="F5" s="167" t="s">
        <v>10</v>
      </c>
      <c r="G5" s="167" t="s">
        <v>27</v>
      </c>
      <c r="H5" s="167" t="s">
        <v>28</v>
      </c>
      <c r="I5" s="170" t="s">
        <v>11</v>
      </c>
      <c r="J5" s="74"/>
      <c r="K5" s="167" t="s">
        <v>38</v>
      </c>
      <c r="L5" s="167" t="s">
        <v>37</v>
      </c>
      <c r="M5" s="146" t="s">
        <v>40</v>
      </c>
      <c r="N5" s="146"/>
      <c r="O5" s="146"/>
      <c r="P5" s="146"/>
      <c r="Q5" s="146"/>
      <c r="R5" s="146" t="s">
        <v>33</v>
      </c>
      <c r="S5" s="146" t="s">
        <v>33</v>
      </c>
      <c r="T5" s="146" t="s">
        <v>42</v>
      </c>
      <c r="U5" s="146" t="s">
        <v>39</v>
      </c>
      <c r="V5" s="33"/>
    </row>
    <row r="6" spans="2:28" ht="78.75" customHeight="1" thickBot="1" x14ac:dyDescent="0.25">
      <c r="B6" s="168"/>
      <c r="C6" s="169"/>
      <c r="D6" s="168"/>
      <c r="E6" s="168"/>
      <c r="F6" s="169"/>
      <c r="G6" s="168"/>
      <c r="H6" s="168"/>
      <c r="I6" s="171"/>
      <c r="J6" s="73" t="s">
        <v>41</v>
      </c>
      <c r="K6" s="172"/>
      <c r="L6" s="172"/>
      <c r="M6" s="73" t="s">
        <v>55</v>
      </c>
      <c r="N6" s="71" t="s">
        <v>56</v>
      </c>
      <c r="O6" s="130" t="s">
        <v>57</v>
      </c>
      <c r="P6" s="130" t="s">
        <v>59</v>
      </c>
      <c r="Q6" s="130" t="s">
        <v>60</v>
      </c>
      <c r="R6" s="146"/>
      <c r="S6" s="146"/>
      <c r="T6" s="146"/>
      <c r="U6" s="146"/>
      <c r="V6" s="33"/>
      <c r="W6" s="66">
        <v>4.2361111111111106E-2</v>
      </c>
    </row>
    <row r="7" spans="2:28" ht="20.100000000000001" customHeight="1" x14ac:dyDescent="0.2">
      <c r="B7" s="34">
        <v>1</v>
      </c>
      <c r="C7" s="17" t="s">
        <v>1</v>
      </c>
      <c r="D7" s="175">
        <v>0</v>
      </c>
      <c r="E7" s="68">
        <f>D7*24</f>
        <v>0</v>
      </c>
      <c r="F7" s="27">
        <v>3330000</v>
      </c>
      <c r="G7" s="28">
        <v>4706000</v>
      </c>
      <c r="H7" s="28">
        <v>2755000</v>
      </c>
      <c r="I7" s="29">
        <f t="shared" ref="I7:I17" si="0">SUM(F7:H7)</f>
        <v>10791000</v>
      </c>
      <c r="J7" s="46">
        <v>0</v>
      </c>
      <c r="K7" s="46">
        <v>136</v>
      </c>
      <c r="L7" s="60">
        <f>(K7-E7)/K7</f>
        <v>1</v>
      </c>
      <c r="M7" s="75">
        <f t="shared" ref="M7:M8" si="1">J7</f>
        <v>0</v>
      </c>
      <c r="N7" s="55">
        <v>0</v>
      </c>
      <c r="O7" s="122">
        <f>H7*4.269%</f>
        <v>117610.95</v>
      </c>
      <c r="P7" s="121">
        <f>H7*30%</f>
        <v>826500</v>
      </c>
      <c r="Q7" s="55">
        <f>H7*10%</f>
        <v>275500</v>
      </c>
      <c r="R7" s="132">
        <v>0</v>
      </c>
      <c r="S7" s="78">
        <v>0</v>
      </c>
      <c r="T7" s="78">
        <f>SUM(M7:R7)</f>
        <v>1219610.95</v>
      </c>
      <c r="U7" s="79">
        <f>I7-T7</f>
        <v>9571389.0500000007</v>
      </c>
      <c r="V7" s="30"/>
      <c r="W7" s="8"/>
      <c r="X7" s="8"/>
      <c r="Y7" s="22"/>
      <c r="Z7" s="22"/>
    </row>
    <row r="8" spans="2:28" ht="20.100000000000001" customHeight="1" x14ac:dyDescent="0.2">
      <c r="B8" s="34">
        <v>2</v>
      </c>
      <c r="C8" s="17" t="s">
        <v>2</v>
      </c>
      <c r="D8" s="66">
        <v>0</v>
      </c>
      <c r="E8" s="68">
        <f t="shared" ref="E8:E17" si="2">D8*24</f>
        <v>0</v>
      </c>
      <c r="F8" s="27">
        <f t="shared" ref="F8" si="3">F7</f>
        <v>3330000</v>
      </c>
      <c r="G8" s="28">
        <v>4706000</v>
      </c>
      <c r="H8" s="28">
        <f t="shared" ref="H8" si="4">H7</f>
        <v>2755000</v>
      </c>
      <c r="I8" s="29">
        <f t="shared" si="0"/>
        <v>10791000</v>
      </c>
      <c r="J8" s="47">
        <v>0</v>
      </c>
      <c r="K8" s="47">
        <v>136</v>
      </c>
      <c r="L8" s="61">
        <f t="shared" ref="L8:L17" si="5">(K8-E8)/K8</f>
        <v>1</v>
      </c>
      <c r="M8" s="133">
        <f t="shared" si="1"/>
        <v>0</v>
      </c>
      <c r="N8" s="55">
        <v>0</v>
      </c>
      <c r="O8" s="122">
        <f t="shared" ref="O8:O17" si="6">H8*4.269%</f>
        <v>117610.95</v>
      </c>
      <c r="P8" s="121">
        <f t="shared" ref="P8:P17" si="7">H8*30%</f>
        <v>826500</v>
      </c>
      <c r="Q8" s="55">
        <f t="shared" ref="Q8:Q17" si="8">H8*10%</f>
        <v>275500</v>
      </c>
      <c r="R8" s="132">
        <v>0</v>
      </c>
      <c r="S8" s="47">
        <v>0</v>
      </c>
      <c r="T8" s="78">
        <f t="shared" ref="T8:T17" si="9">SUM(M8:R8)</f>
        <v>1219610.95</v>
      </c>
      <c r="U8" s="79">
        <f t="shared" ref="U8:U18" si="10">I8-T8</f>
        <v>9571389.0500000007</v>
      </c>
      <c r="V8" s="30"/>
      <c r="W8" s="8"/>
      <c r="X8" s="8"/>
      <c r="Y8" s="22"/>
      <c r="Z8" s="22" t="s">
        <v>35</v>
      </c>
      <c r="AA8">
        <f>(132-18.14)/136</f>
        <v>0.83720588235294113</v>
      </c>
      <c r="AB8" s="39"/>
    </row>
    <row r="9" spans="2:28" ht="20.100000000000001" customHeight="1" x14ac:dyDescent="0.2">
      <c r="B9" s="34">
        <v>3</v>
      </c>
      <c r="C9" s="16" t="s">
        <v>8</v>
      </c>
      <c r="D9" s="66">
        <v>0.13541666666666666</v>
      </c>
      <c r="E9" s="68">
        <f t="shared" si="2"/>
        <v>3.25</v>
      </c>
      <c r="F9" s="111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48">
        <f t="shared" ref="J9" si="11">H9*10%</f>
        <v>52700</v>
      </c>
      <c r="K9" s="48">
        <v>136</v>
      </c>
      <c r="L9" s="62">
        <f t="shared" si="5"/>
        <v>0.97610294117647056</v>
      </c>
      <c r="M9" s="77">
        <f>H9*10%</f>
        <v>52700</v>
      </c>
      <c r="N9" s="55">
        <v>0</v>
      </c>
      <c r="O9" s="122">
        <f t="shared" si="6"/>
        <v>22497.63</v>
      </c>
      <c r="P9" s="121">
        <f t="shared" si="7"/>
        <v>158100</v>
      </c>
      <c r="Q9" s="55">
        <f t="shared" si="8"/>
        <v>52700</v>
      </c>
      <c r="R9" s="48">
        <v>19429</v>
      </c>
      <c r="S9" s="48">
        <v>202715</v>
      </c>
      <c r="T9" s="78">
        <f t="shared" si="9"/>
        <v>305426.63</v>
      </c>
      <c r="U9" s="79">
        <f t="shared" si="10"/>
        <v>6084573.3700000001</v>
      </c>
      <c r="V9" s="31"/>
      <c r="W9" s="8"/>
      <c r="X9" s="8"/>
      <c r="Y9" s="22"/>
      <c r="Z9" s="22"/>
      <c r="AA9" s="8" t="e">
        <f>AA8*#REF!</f>
        <v>#REF!</v>
      </c>
      <c r="AB9" s="8"/>
    </row>
    <row r="10" spans="2:28" ht="20.100000000000001" customHeight="1" x14ac:dyDescent="0.2">
      <c r="B10" s="34">
        <v>4</v>
      </c>
      <c r="C10" s="16" t="s">
        <v>14</v>
      </c>
      <c r="D10" s="66">
        <v>2.2222222222222223E-2</v>
      </c>
      <c r="E10" s="68">
        <f t="shared" si="2"/>
        <v>0.53333333333333333</v>
      </c>
      <c r="F10" s="111">
        <f t="shared" ref="F10:F11" si="12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47">
        <v>0</v>
      </c>
      <c r="K10" s="47">
        <v>136</v>
      </c>
      <c r="L10" s="61">
        <f t="shared" si="5"/>
        <v>0.99607843137254903</v>
      </c>
      <c r="M10" s="77">
        <f>H10*10%</f>
        <v>94400</v>
      </c>
      <c r="N10" s="55">
        <v>0</v>
      </c>
      <c r="O10" s="122">
        <f t="shared" si="6"/>
        <v>40299.360000000001</v>
      </c>
      <c r="P10" s="121">
        <f t="shared" si="7"/>
        <v>283200</v>
      </c>
      <c r="Q10" s="55">
        <f t="shared" si="8"/>
        <v>94400</v>
      </c>
      <c r="R10" s="132">
        <v>0</v>
      </c>
      <c r="S10" s="47">
        <v>0</v>
      </c>
      <c r="T10" s="78">
        <f t="shared" si="9"/>
        <v>512299.36</v>
      </c>
      <c r="U10" s="79">
        <f t="shared" si="10"/>
        <v>6576700.6399999997</v>
      </c>
      <c r="V10" s="31"/>
      <c r="W10" s="8"/>
      <c r="X10" s="8"/>
      <c r="Y10" s="23"/>
      <c r="Z10" s="22" t="s">
        <v>36</v>
      </c>
      <c r="AA10" s="42">
        <v>2533000</v>
      </c>
    </row>
    <row r="11" spans="2:28" ht="20.100000000000001" customHeight="1" x14ac:dyDescent="0.2">
      <c r="B11" s="34">
        <v>5</v>
      </c>
      <c r="C11" s="35" t="s">
        <v>19</v>
      </c>
      <c r="D11" s="67">
        <v>9.7222222222222224E-3</v>
      </c>
      <c r="E11" s="69">
        <f t="shared" si="2"/>
        <v>0.23333333333333334</v>
      </c>
      <c r="F11" s="112">
        <f t="shared" si="12"/>
        <v>3330000</v>
      </c>
      <c r="G11" s="19">
        <f>[2]Sheet1!$O$19</f>
        <v>2533000</v>
      </c>
      <c r="H11" s="19">
        <f>[2]Sheet1!$Q$19</f>
        <v>527000</v>
      </c>
      <c r="I11" s="36">
        <f t="shared" si="0"/>
        <v>6390000</v>
      </c>
      <c r="J11" s="47">
        <v>0</v>
      </c>
      <c r="K11" s="49">
        <v>136</v>
      </c>
      <c r="L11" s="63">
        <f t="shared" si="5"/>
        <v>0.99828431372549031</v>
      </c>
      <c r="M11" s="77">
        <f>H11*10%</f>
        <v>52700</v>
      </c>
      <c r="N11" s="55">
        <v>0</v>
      </c>
      <c r="O11" s="122">
        <f t="shared" si="6"/>
        <v>22497.63</v>
      </c>
      <c r="P11" s="121">
        <f t="shared" si="7"/>
        <v>158100</v>
      </c>
      <c r="Q11" s="55">
        <f t="shared" si="8"/>
        <v>52700</v>
      </c>
      <c r="R11" s="132">
        <v>0</v>
      </c>
      <c r="S11" s="49">
        <v>15980</v>
      </c>
      <c r="T11" s="78">
        <f t="shared" si="9"/>
        <v>285997.63</v>
      </c>
      <c r="U11" s="79">
        <f t="shared" si="10"/>
        <v>6104002.3700000001</v>
      </c>
      <c r="V11" s="31"/>
      <c r="W11" s="8"/>
      <c r="X11" s="8"/>
      <c r="Y11" s="23"/>
      <c r="AA11" s="8" t="e">
        <f>AA10-#REF!</f>
        <v>#REF!</v>
      </c>
    </row>
    <row r="12" spans="2:28" ht="20.100000000000001" customHeight="1" x14ac:dyDescent="0.2">
      <c r="B12" s="34">
        <v>6</v>
      </c>
      <c r="C12" s="16" t="s">
        <v>21</v>
      </c>
      <c r="D12" s="115" t="s">
        <v>63</v>
      </c>
      <c r="E12" s="69">
        <f t="shared" si="2"/>
        <v>4.7666666666666666</v>
      </c>
      <c r="F12" s="111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48">
        <f t="shared" ref="J12:J13" si="13">H12*10%</f>
        <v>52700</v>
      </c>
      <c r="K12" s="49">
        <v>136</v>
      </c>
      <c r="L12" s="63">
        <f t="shared" si="5"/>
        <v>0.96495098039215677</v>
      </c>
      <c r="M12" s="77">
        <f t="shared" ref="M12:M17" si="14">H12*10%</f>
        <v>52700</v>
      </c>
      <c r="N12" s="55">
        <v>0</v>
      </c>
      <c r="O12" s="122">
        <f t="shared" si="6"/>
        <v>22497.63</v>
      </c>
      <c r="P12" s="121">
        <f t="shared" si="7"/>
        <v>158100</v>
      </c>
      <c r="Q12" s="55">
        <f t="shared" si="8"/>
        <v>52700</v>
      </c>
      <c r="R12" s="48">
        <v>32468</v>
      </c>
      <c r="S12" s="48">
        <v>0</v>
      </c>
      <c r="T12" s="78">
        <f t="shared" si="9"/>
        <v>318465.63</v>
      </c>
      <c r="U12" s="79">
        <f t="shared" si="10"/>
        <v>6071534.3700000001</v>
      </c>
      <c r="V12" s="31"/>
      <c r="W12" s="8"/>
      <c r="X12" s="8"/>
      <c r="Y12" s="23"/>
    </row>
    <row r="13" spans="2:28" ht="20.100000000000001" customHeight="1" x14ac:dyDescent="0.2">
      <c r="B13" s="34">
        <v>7</v>
      </c>
      <c r="C13" s="16" t="s">
        <v>22</v>
      </c>
      <c r="D13" s="115" t="s">
        <v>64</v>
      </c>
      <c r="E13" s="68">
        <f t="shared" si="2"/>
        <v>14.7</v>
      </c>
      <c r="F13" s="111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48">
        <f t="shared" si="13"/>
        <v>52700</v>
      </c>
      <c r="K13" s="49">
        <v>136</v>
      </c>
      <c r="L13" s="63">
        <f t="shared" si="5"/>
        <v>0.89191176470588229</v>
      </c>
      <c r="M13" s="77">
        <f t="shared" si="14"/>
        <v>52700</v>
      </c>
      <c r="N13" s="55">
        <f>H13*40%</f>
        <v>210800</v>
      </c>
      <c r="O13" s="122">
        <f t="shared" si="6"/>
        <v>22497.63</v>
      </c>
      <c r="P13" s="121">
        <f t="shared" si="7"/>
        <v>158100</v>
      </c>
      <c r="Q13" s="55">
        <f t="shared" si="8"/>
        <v>52700</v>
      </c>
      <c r="R13" s="48">
        <v>118302</v>
      </c>
      <c r="S13" s="48">
        <v>218248</v>
      </c>
      <c r="T13" s="78">
        <f t="shared" si="9"/>
        <v>615099.63</v>
      </c>
      <c r="U13" s="79">
        <f t="shared" si="10"/>
        <v>5774900.3700000001</v>
      </c>
      <c r="V13" s="31"/>
      <c r="W13" s="8"/>
      <c r="X13" s="8"/>
      <c r="Y13" s="23"/>
    </row>
    <row r="14" spans="2:28" ht="20.100000000000001" customHeight="1" x14ac:dyDescent="0.2">
      <c r="B14" s="34">
        <f t="shared" ref="B14:B17" si="15">B13+1</f>
        <v>8</v>
      </c>
      <c r="C14" s="16" t="s">
        <v>23</v>
      </c>
      <c r="D14" s="66">
        <v>6.2499999999999995E-3</v>
      </c>
      <c r="E14" s="68">
        <f t="shared" si="2"/>
        <v>0.15</v>
      </c>
      <c r="F14" s="111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47">
        <v>0</v>
      </c>
      <c r="K14" s="47">
        <v>136</v>
      </c>
      <c r="L14" s="61">
        <f t="shared" si="5"/>
        <v>0.99889705882352942</v>
      </c>
      <c r="M14" s="76">
        <v>0</v>
      </c>
      <c r="N14" s="55">
        <v>0</v>
      </c>
      <c r="O14" s="122">
        <f t="shared" si="6"/>
        <v>22497.63</v>
      </c>
      <c r="P14" s="121">
        <f t="shared" si="7"/>
        <v>158100</v>
      </c>
      <c r="Q14" s="55">
        <f t="shared" si="8"/>
        <v>52700</v>
      </c>
      <c r="R14" s="132">
        <v>0</v>
      </c>
      <c r="S14" s="50">
        <v>0</v>
      </c>
      <c r="T14" s="78">
        <f t="shared" si="9"/>
        <v>233297.63</v>
      </c>
      <c r="U14" s="79">
        <f t="shared" si="10"/>
        <v>6156702.3700000001</v>
      </c>
      <c r="V14" s="31"/>
      <c r="W14" s="8"/>
      <c r="X14" s="8"/>
      <c r="Y14" s="23"/>
    </row>
    <row r="15" spans="2:28" ht="20.100000000000001" customHeight="1" x14ac:dyDescent="0.2">
      <c r="B15" s="34">
        <f t="shared" si="15"/>
        <v>9</v>
      </c>
      <c r="C15" s="37" t="s">
        <v>24</v>
      </c>
      <c r="D15" s="176" t="s">
        <v>65</v>
      </c>
      <c r="E15" s="68">
        <f t="shared" si="2"/>
        <v>4.3166666666666664</v>
      </c>
      <c r="F15" s="111">
        <v>3330000</v>
      </c>
      <c r="G15" s="18">
        <f t="shared" ref="G15" si="16">G11</f>
        <v>2533000</v>
      </c>
      <c r="H15" s="19">
        <f>[2]Sheet1!$Q$19</f>
        <v>527000</v>
      </c>
      <c r="I15" s="38">
        <f t="shared" si="0"/>
        <v>6390000</v>
      </c>
      <c r="J15" s="51">
        <v>0</v>
      </c>
      <c r="K15" s="51">
        <v>136</v>
      </c>
      <c r="L15" s="64">
        <f t="shared" si="5"/>
        <v>0.96825980392156863</v>
      </c>
      <c r="M15" s="77">
        <f t="shared" si="14"/>
        <v>52700</v>
      </c>
      <c r="N15" s="55">
        <v>0</v>
      </c>
      <c r="O15" s="122">
        <f t="shared" si="6"/>
        <v>22497.63</v>
      </c>
      <c r="P15" s="121">
        <f t="shared" si="7"/>
        <v>158100</v>
      </c>
      <c r="Q15" s="55">
        <f t="shared" si="8"/>
        <v>52700</v>
      </c>
      <c r="R15" s="132">
        <v>28582</v>
      </c>
      <c r="S15" s="52">
        <v>0</v>
      </c>
      <c r="T15" s="78">
        <f t="shared" si="9"/>
        <v>314579.63</v>
      </c>
      <c r="U15" s="79">
        <f t="shared" si="10"/>
        <v>6075420.3700000001</v>
      </c>
      <c r="V15" s="31"/>
      <c r="W15" s="8" t="s">
        <v>4</v>
      </c>
      <c r="X15" s="8"/>
      <c r="Y15" s="23"/>
      <c r="AA15" s="8"/>
    </row>
    <row r="16" spans="2:28" ht="20.100000000000001" customHeight="1" x14ac:dyDescent="0.2">
      <c r="B16" s="34">
        <f t="shared" si="15"/>
        <v>10</v>
      </c>
      <c r="C16" s="16" t="s">
        <v>26</v>
      </c>
      <c r="D16" s="66">
        <v>1.3194444444444444E-2</v>
      </c>
      <c r="E16" s="68">
        <f t="shared" si="2"/>
        <v>0.31666666666666665</v>
      </c>
      <c r="F16" s="111">
        <f>F10</f>
        <v>3330000</v>
      </c>
      <c r="G16" s="18">
        <f t="shared" ref="G16" si="17">G12</f>
        <v>2533000</v>
      </c>
      <c r="H16" s="19">
        <f>[2]Sheet1!$Q$19</f>
        <v>527000</v>
      </c>
      <c r="I16" s="20">
        <f t="shared" si="0"/>
        <v>6390000</v>
      </c>
      <c r="J16" s="47">
        <v>0</v>
      </c>
      <c r="K16" s="47">
        <v>136</v>
      </c>
      <c r="L16" s="61">
        <f t="shared" si="5"/>
        <v>0.99767156862745099</v>
      </c>
      <c r="M16" s="77">
        <v>0</v>
      </c>
      <c r="N16" s="55">
        <v>0</v>
      </c>
      <c r="O16" s="122">
        <f t="shared" si="6"/>
        <v>22497.63</v>
      </c>
      <c r="P16" s="121">
        <f t="shared" si="7"/>
        <v>158100</v>
      </c>
      <c r="Q16" s="55">
        <f t="shared" si="8"/>
        <v>52700</v>
      </c>
      <c r="R16" s="132">
        <v>0</v>
      </c>
      <c r="S16" s="50">
        <v>0</v>
      </c>
      <c r="T16" s="78">
        <f t="shared" si="9"/>
        <v>233297.63</v>
      </c>
      <c r="U16" s="79">
        <f t="shared" si="10"/>
        <v>6156702.3700000001</v>
      </c>
      <c r="V16" s="31"/>
      <c r="W16" s="8"/>
      <c r="X16" s="8"/>
      <c r="Y16" s="23"/>
    </row>
    <row r="17" spans="2:29" ht="20.100000000000001" customHeight="1" x14ac:dyDescent="0.2">
      <c r="B17" s="131">
        <f t="shared" si="15"/>
        <v>11</v>
      </c>
      <c r="C17" s="140" t="s">
        <v>18</v>
      </c>
      <c r="D17" s="66">
        <v>3.4027777777777775E-2</v>
      </c>
      <c r="E17" s="70">
        <f t="shared" si="2"/>
        <v>0.81666666666666665</v>
      </c>
      <c r="F17" s="111">
        <f>F16</f>
        <v>3330000</v>
      </c>
      <c r="G17" s="18">
        <f t="shared" ref="G17" si="18">G13</f>
        <v>2533000</v>
      </c>
      <c r="H17" s="19">
        <f>[2]Sheet1!$Q$19</f>
        <v>527000</v>
      </c>
      <c r="I17" s="116">
        <f t="shared" si="0"/>
        <v>6390000</v>
      </c>
      <c r="J17" s="48">
        <f t="shared" ref="J17" si="19">H17*10%</f>
        <v>52700</v>
      </c>
      <c r="K17" s="53">
        <v>136</v>
      </c>
      <c r="L17" s="65">
        <f t="shared" si="5"/>
        <v>0.99399509803921571</v>
      </c>
      <c r="M17" s="77">
        <f t="shared" si="14"/>
        <v>52700</v>
      </c>
      <c r="N17" s="55">
        <v>0</v>
      </c>
      <c r="O17" s="122">
        <f t="shared" si="6"/>
        <v>22497.63</v>
      </c>
      <c r="P17" s="121">
        <f t="shared" si="7"/>
        <v>158100</v>
      </c>
      <c r="Q17" s="55">
        <f t="shared" si="8"/>
        <v>52700</v>
      </c>
      <c r="R17" s="132">
        <v>0</v>
      </c>
      <c r="S17" s="54">
        <v>0</v>
      </c>
      <c r="T17" s="78">
        <f t="shared" si="9"/>
        <v>285997.63</v>
      </c>
      <c r="U17" s="79">
        <f t="shared" si="10"/>
        <v>6104002.3700000001</v>
      </c>
      <c r="V17" s="31"/>
      <c r="W17" s="8"/>
      <c r="X17" s="8"/>
      <c r="Y17" s="8"/>
    </row>
    <row r="18" spans="2:29" ht="20.100000000000001" customHeight="1" x14ac:dyDescent="0.2">
      <c r="B18" s="134">
        <v>12</v>
      </c>
      <c r="C18" s="135" t="s">
        <v>49</v>
      </c>
      <c r="D18" s="136">
        <v>0</v>
      </c>
      <c r="E18" s="70"/>
      <c r="F18" s="137">
        <f>F17</f>
        <v>3330000</v>
      </c>
      <c r="G18" s="138">
        <v>506600</v>
      </c>
      <c r="H18" s="139">
        <v>527000</v>
      </c>
      <c r="I18" s="36">
        <f>SUM(F18:H18)</f>
        <v>4363600</v>
      </c>
      <c r="J18" s="117"/>
      <c r="K18" s="118"/>
      <c r="L18" s="119"/>
      <c r="M18" s="120">
        <v>0</v>
      </c>
      <c r="N18" s="121">
        <v>0</v>
      </c>
      <c r="O18" s="121">
        <v>0</v>
      </c>
      <c r="P18" s="121">
        <f t="shared" ref="P18" si="20">H18*0%</f>
        <v>0</v>
      </c>
      <c r="Q18" s="55">
        <v>0</v>
      </c>
      <c r="R18" s="132">
        <v>0</v>
      </c>
      <c r="S18" s="123"/>
      <c r="T18" s="124">
        <f>M18+R18</f>
        <v>0</v>
      </c>
      <c r="U18" s="79">
        <f t="shared" si="10"/>
        <v>4363600</v>
      </c>
      <c r="V18" s="31"/>
      <c r="W18" s="8"/>
      <c r="X18" s="8"/>
      <c r="Y18" s="8"/>
    </row>
    <row r="19" spans="2:29" ht="10.5" customHeight="1" x14ac:dyDescent="0.25">
      <c r="B19" s="14"/>
      <c r="C19" s="14"/>
      <c r="D19" s="14"/>
      <c r="E19" s="14"/>
      <c r="F19" s="160">
        <f>SUM(F7:F17)</f>
        <v>36630000</v>
      </c>
      <c r="G19" s="160">
        <f>SUM(G7:G17)</f>
        <v>32491000</v>
      </c>
      <c r="H19" s="162">
        <f>SUM(H7:H17)</f>
        <v>10670000</v>
      </c>
      <c r="I19" s="163">
        <f>SUM(I7:I18)</f>
        <v>84154600</v>
      </c>
      <c r="J19" s="173">
        <f>SUM(J7:J17)</f>
        <v>210800</v>
      </c>
      <c r="K19" s="58"/>
      <c r="L19" s="58"/>
      <c r="M19" s="158">
        <f t="shared" ref="M19:S19" si="21">SUM(M7:M17)</f>
        <v>410600</v>
      </c>
      <c r="N19" s="158">
        <f t="shared" si="21"/>
        <v>210800</v>
      </c>
      <c r="O19" s="158">
        <f t="shared" si="21"/>
        <v>455502.30000000005</v>
      </c>
      <c r="P19" s="158">
        <f t="shared" ref="P19" si="22">SUM(P7:P17)</f>
        <v>3201000</v>
      </c>
      <c r="Q19" s="158">
        <f t="shared" si="21"/>
        <v>1067000</v>
      </c>
      <c r="R19" s="158">
        <f t="shared" si="21"/>
        <v>198781</v>
      </c>
      <c r="S19" s="158">
        <f t="shared" si="21"/>
        <v>436943</v>
      </c>
      <c r="T19" s="158">
        <f>SUM(T7:T18)</f>
        <v>5543683.2999999989</v>
      </c>
      <c r="U19" s="165">
        <f>SUM(U7:U18)</f>
        <v>78610916.700000003</v>
      </c>
      <c r="V19" s="32"/>
      <c r="W19" s="8"/>
      <c r="X19" s="8"/>
    </row>
    <row r="20" spans="2:29" ht="10.5" customHeight="1" thickBot="1" x14ac:dyDescent="0.3">
      <c r="B20" s="15"/>
      <c r="C20" s="15"/>
      <c r="D20" s="15"/>
      <c r="E20" s="15"/>
      <c r="F20" s="161"/>
      <c r="G20" s="161"/>
      <c r="H20" s="161"/>
      <c r="I20" s="164"/>
      <c r="J20" s="174"/>
      <c r="K20" s="59"/>
      <c r="L20" s="59"/>
      <c r="M20" s="159"/>
      <c r="N20" s="159"/>
      <c r="O20" s="159"/>
      <c r="P20" s="159"/>
      <c r="Q20" s="159"/>
      <c r="R20" s="159"/>
      <c r="S20" s="159"/>
      <c r="T20" s="159"/>
      <c r="U20" s="166"/>
      <c r="V20" s="32"/>
      <c r="W20" s="8"/>
      <c r="X20" s="24"/>
      <c r="Y20" s="8"/>
    </row>
    <row r="21" spans="2:29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2:29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9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7"/>
      <c r="V23" s="26"/>
    </row>
    <row r="24" spans="2:29" ht="13.5" customHeight="1" x14ac:dyDescent="0.25">
      <c r="B24" s="12"/>
      <c r="C24" s="9"/>
      <c r="D24" s="9"/>
      <c r="E24" s="9"/>
      <c r="F24" s="9"/>
      <c r="G24" s="9"/>
      <c r="H24" s="9"/>
      <c r="O24" s="8">
        <f>SUM(O7:Q7)</f>
        <v>1219610.95</v>
      </c>
      <c r="U24" s="56"/>
    </row>
    <row r="25" spans="2:29" ht="15" x14ac:dyDescent="0.25">
      <c r="C25" s="5"/>
      <c r="D25" s="5"/>
      <c r="E25" s="5"/>
      <c r="F25" s="8"/>
      <c r="G25">
        <f>10-5.731</f>
        <v>4.2690000000000001</v>
      </c>
      <c r="I25" s="8"/>
      <c r="M25" s="143"/>
      <c r="O25" s="8">
        <f>SUM(O10:Q10)</f>
        <v>417899.36</v>
      </c>
      <c r="U25" s="7"/>
      <c r="Z25" s="8"/>
    </row>
    <row r="26" spans="2:29" ht="15" x14ac:dyDescent="0.25">
      <c r="C26" s="5"/>
      <c r="D26" s="5"/>
      <c r="E26" s="5"/>
      <c r="O26" s="8">
        <f>SUM(O9:Q9)</f>
        <v>233297.63</v>
      </c>
      <c r="Q26" t="s">
        <v>37</v>
      </c>
      <c r="R26">
        <f>22*8</f>
        <v>176</v>
      </c>
      <c r="T26">
        <v>3.31</v>
      </c>
      <c r="U26" s="7"/>
      <c r="Y26" s="39" t="s">
        <v>4</v>
      </c>
      <c r="Z26" s="8"/>
    </row>
    <row r="27" spans="2:29" ht="15" x14ac:dyDescent="0.25">
      <c r="C27" s="5"/>
      <c r="D27" s="5"/>
      <c r="E27" s="5"/>
      <c r="I27" s="8">
        <f>G14*60%</f>
        <v>1519800</v>
      </c>
      <c r="R27" s="42">
        <f>R26-T26</f>
        <v>172.69</v>
      </c>
      <c r="T27">
        <f>R27/R26</f>
        <v>0.98119318181818183</v>
      </c>
      <c r="U27" s="7"/>
      <c r="Z27" s="8"/>
    </row>
    <row r="28" spans="2:29" ht="15" x14ac:dyDescent="0.25">
      <c r="C28" s="5"/>
      <c r="D28" s="5"/>
      <c r="E28" s="5"/>
      <c r="G28" s="8">
        <f>F13+G13</f>
        <v>5863000</v>
      </c>
      <c r="U28" s="56"/>
      <c r="AB28" s="8"/>
      <c r="AC28" s="8"/>
    </row>
    <row r="29" spans="2:29" x14ac:dyDescent="0.2">
      <c r="N29">
        <f>8*60</f>
        <v>480</v>
      </c>
      <c r="R29" s="8">
        <f>G12*60%</f>
        <v>1519800</v>
      </c>
      <c r="T29" s="125">
        <f>T27*R29</f>
        <v>1491217.3977272727</v>
      </c>
    </row>
    <row r="30" spans="2:29" x14ac:dyDescent="0.2">
      <c r="N30">
        <f>N29+52</f>
        <v>532</v>
      </c>
      <c r="T30" s="125">
        <f>R29-T29</f>
        <v>28582.602272727294</v>
      </c>
      <c r="Z30" s="42"/>
      <c r="AA30" s="8"/>
      <c r="AC30" s="8"/>
    </row>
    <row r="31" spans="2:29" x14ac:dyDescent="0.2">
      <c r="AA31" s="8"/>
    </row>
    <row r="34" spans="26:27" x14ac:dyDescent="0.2">
      <c r="Z34">
        <v>13.933</v>
      </c>
      <c r="AA34" s="8">
        <f>G9*60%</f>
        <v>1519800</v>
      </c>
    </row>
    <row r="35" spans="26:27" x14ac:dyDescent="0.2">
      <c r="Z35">
        <v>0.89700000000000002</v>
      </c>
      <c r="AA35" s="8">
        <f>Z35*AA30</f>
        <v>0</v>
      </c>
    </row>
    <row r="37" spans="26:27" x14ac:dyDescent="0.2">
      <c r="AA37" s="8">
        <f>AA34-AA35</f>
        <v>1519800</v>
      </c>
    </row>
    <row r="42" spans="26:27" x14ac:dyDescent="0.2">
      <c r="Z42">
        <v>13.54</v>
      </c>
    </row>
  </sheetData>
  <mergeCells count="31">
    <mergeCell ref="U19:U20"/>
    <mergeCell ref="B2:U2"/>
    <mergeCell ref="B3:U3"/>
    <mergeCell ref="B5:B6"/>
    <mergeCell ref="C5:C6"/>
    <mergeCell ref="H5:H6"/>
    <mergeCell ref="D5:D6"/>
    <mergeCell ref="U5:U6"/>
    <mergeCell ref="F5:F6"/>
    <mergeCell ref="G5:G6"/>
    <mergeCell ref="I5:I6"/>
    <mergeCell ref="L5:L6"/>
    <mergeCell ref="R5:R6"/>
    <mergeCell ref="K5:K6"/>
    <mergeCell ref="E5:E6"/>
    <mergeCell ref="J19:J20"/>
    <mergeCell ref="F19:F20"/>
    <mergeCell ref="G19:G20"/>
    <mergeCell ref="H19:H20"/>
    <mergeCell ref="I19:I20"/>
    <mergeCell ref="R19:R20"/>
    <mergeCell ref="M19:M20"/>
    <mergeCell ref="P19:P20"/>
    <mergeCell ref="T5:T6"/>
    <mergeCell ref="N19:N20"/>
    <mergeCell ref="O19:O20"/>
    <mergeCell ref="Q19:Q20"/>
    <mergeCell ref="S5:S6"/>
    <mergeCell ref="M5:Q5"/>
    <mergeCell ref="T19:T20"/>
    <mergeCell ref="S19:S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colBreaks count="1" manualBreakCount="1">
    <brk id="22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2022-04-25T03:44:27Z</dcterms:modified>
</cp:coreProperties>
</file>