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13_ncr:1_{3EC9EB43-6047-4070-B84A-65AF9216A9AF}" xr6:coauthVersionLast="36" xr6:coauthVersionMax="36" xr10:uidLastSave="{00000000-0000-0000-0000-000000000000}"/>
  <bookViews>
    <workbookView xWindow="0" yWindow="0" windowWidth="19200" windowHeight="6810" tabRatio="661" firstSheet="3" activeTab="3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KOMISARIS'!$B$1:$R$20</definedName>
    <definedName name="_xlnm.Print_Area" localSheetId="3">'NET PEG PELINDO DIPERBANTUKAN'!$A$1:$Z$33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W23" i="68" l="1"/>
  <c r="Q21" i="68"/>
  <c r="V28" i="64"/>
  <c r="F57" i="68" l="1"/>
  <c r="Q17" i="59"/>
  <c r="Q16" i="59"/>
  <c r="Q14" i="59"/>
  <c r="Q13" i="59"/>
  <c r="Q12" i="59"/>
  <c r="V23" i="68" l="1"/>
  <c r="S23" i="68"/>
  <c r="R23" i="68"/>
  <c r="U22" i="68"/>
  <c r="U21" i="68"/>
  <c r="U19" i="68"/>
  <c r="U14" i="68"/>
  <c r="U13" i="68"/>
  <c r="U12" i="68"/>
  <c r="U10" i="68"/>
  <c r="Y10" i="68" s="1"/>
  <c r="Y19" i="68" l="1"/>
  <c r="Y22" i="68"/>
  <c r="Y13" i="68"/>
  <c r="Y14" i="68"/>
  <c r="Y21" i="68"/>
  <c r="Y12" i="68"/>
  <c r="X23" i="68"/>
  <c r="Z19" i="59"/>
  <c r="S20" i="59"/>
  <c r="W19" i="59"/>
  <c r="U17" i="59"/>
  <c r="U16" i="59"/>
  <c r="U15" i="59"/>
  <c r="U14" i="59"/>
  <c r="R14" i="59"/>
  <c r="R20" i="59" s="1"/>
  <c r="U13" i="59"/>
  <c r="U12" i="59"/>
  <c r="U11" i="59"/>
  <c r="U9" i="59"/>
  <c r="W9" i="59" s="1"/>
  <c r="U8" i="59"/>
  <c r="W8" i="59" s="1"/>
  <c r="Z8" i="59" l="1"/>
  <c r="Z9" i="59"/>
  <c r="V20" i="59" l="1"/>
  <c r="N23" i="68"/>
  <c r="M23" i="68"/>
  <c r="L23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I12" i="64" l="1"/>
  <c r="R11" i="64"/>
  <c r="J13" i="67" s="1"/>
  <c r="K11" i="64"/>
  <c r="X12" i="63" l="1"/>
  <c r="X11" i="63"/>
  <c r="Q13" i="63"/>
  <c r="P13" i="63"/>
  <c r="O13" i="63"/>
  <c r="X10" i="63"/>
  <c r="X14" i="63" l="1"/>
  <c r="O10" i="68" l="1"/>
  <c r="Z10" i="68" s="1"/>
  <c r="AB10" i="68" l="1"/>
  <c r="N11" i="63"/>
  <c r="V11" i="63" l="1"/>
  <c r="J12" i="65" s="1"/>
  <c r="Y11" i="63"/>
  <c r="M10" i="59"/>
  <c r="M11" i="59" l="1"/>
  <c r="W11" i="59" l="1"/>
  <c r="Z11" i="59"/>
  <c r="M12" i="59"/>
  <c r="J10" i="58"/>
  <c r="Z12" i="59" l="1"/>
  <c r="W12" i="59"/>
  <c r="M13" i="59"/>
  <c r="N10" i="63"/>
  <c r="Y10" i="63" l="1"/>
  <c r="V10" i="63"/>
  <c r="J11" i="65" s="1"/>
  <c r="M14" i="59"/>
  <c r="P23" i="68"/>
  <c r="M15" i="59" l="1"/>
  <c r="Z15" i="59" l="1"/>
  <c r="W15" i="59"/>
  <c r="M16" i="59"/>
  <c r="G9" i="63"/>
  <c r="H9" i="63"/>
  <c r="X9" i="63"/>
  <c r="Z9" i="63"/>
  <c r="N9" i="63" l="1"/>
  <c r="V9" i="63" s="1"/>
  <c r="M18" i="59"/>
  <c r="M17" i="59"/>
  <c r="Y9" i="63" l="1"/>
  <c r="M20" i="59"/>
  <c r="P20" i="59"/>
  <c r="O20" i="59" l="1"/>
  <c r="K18" i="68"/>
  <c r="K20" i="68"/>
  <c r="K16" i="68"/>
  <c r="K17" i="68"/>
  <c r="K15" i="68"/>
  <c r="K11" i="68"/>
  <c r="J16" i="68"/>
  <c r="J17" i="68"/>
  <c r="J11" i="68"/>
  <c r="I22" i="68"/>
  <c r="K9" i="68"/>
  <c r="O9" i="68" s="1"/>
  <c r="Z9" i="68" s="1"/>
  <c r="K10" i="59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M12" i="64"/>
  <c r="N12" i="64"/>
  <c r="O12" i="64"/>
  <c r="P12" i="64"/>
  <c r="Q12" i="64"/>
  <c r="T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Q10" i="59" l="1"/>
  <c r="U16" i="68"/>
  <c r="U20" i="68"/>
  <c r="Y20" i="68" s="1"/>
  <c r="U15" i="68"/>
  <c r="U18" i="68"/>
  <c r="Y18" i="68" s="1"/>
  <c r="K23" i="68"/>
  <c r="U11" i="68"/>
  <c r="Y11" i="68" s="1"/>
  <c r="Q23" i="68"/>
  <c r="U17" i="68"/>
  <c r="U10" i="59"/>
  <c r="AA10" i="65"/>
  <c r="I14" i="68"/>
  <c r="J19" i="68"/>
  <c r="J13" i="68"/>
  <c r="Z12" i="69"/>
  <c r="G12" i="63"/>
  <c r="G13" i="63" s="1"/>
  <c r="T13" i="64"/>
  <c r="G10" i="64"/>
  <c r="G9" i="64"/>
  <c r="K8" i="64"/>
  <c r="O16" i="68"/>
  <c r="O20" i="68"/>
  <c r="O17" i="68"/>
  <c r="O11" i="68"/>
  <c r="O12" i="68"/>
  <c r="Z12" i="68" s="1"/>
  <c r="J10" i="65"/>
  <c r="L10" i="59"/>
  <c r="I17" i="59"/>
  <c r="I14" i="59"/>
  <c r="I12" i="59"/>
  <c r="I15" i="59"/>
  <c r="I13" i="59"/>
  <c r="L8" i="59"/>
  <c r="Z20" i="68" l="1"/>
  <c r="D19" i="61" s="1"/>
  <c r="Z16" i="68"/>
  <c r="D14" i="61" s="1"/>
  <c r="Z11" i="68"/>
  <c r="Z17" i="68"/>
  <c r="D15" i="61" s="1"/>
  <c r="Y17" i="68"/>
  <c r="AB17" i="68" s="1"/>
  <c r="U23" i="68"/>
  <c r="T23" i="68"/>
  <c r="X10" i="59"/>
  <c r="J12" i="69" s="1"/>
  <c r="G12" i="64"/>
  <c r="Y15" i="68"/>
  <c r="Y16" i="68"/>
  <c r="AB16" i="68" s="1"/>
  <c r="X8" i="59"/>
  <c r="J10" i="69" s="1"/>
  <c r="Y10" i="69"/>
  <c r="AA10" i="69" s="1"/>
  <c r="Z10" i="59"/>
  <c r="W10" i="59"/>
  <c r="Y12" i="69"/>
  <c r="AA12" i="69" s="1"/>
  <c r="O18" i="68"/>
  <c r="Z18" i="68" s="1"/>
  <c r="N17" i="59"/>
  <c r="AB20" i="68"/>
  <c r="D12" i="61"/>
  <c r="AB12" i="68"/>
  <c r="I23" i="68"/>
  <c r="O13" i="68"/>
  <c r="Z13" i="68" s="1"/>
  <c r="AA8" i="59"/>
  <c r="J14" i="68"/>
  <c r="J23" i="68" s="1"/>
  <c r="O19" i="68"/>
  <c r="Z19" i="68" s="1"/>
  <c r="L9" i="59"/>
  <c r="L11" i="59"/>
  <c r="X11" i="59" s="1"/>
  <c r="J18" i="59"/>
  <c r="N12" i="63"/>
  <c r="V12" i="63" s="1"/>
  <c r="R8" i="64"/>
  <c r="J10" i="64"/>
  <c r="K10" i="64" s="1"/>
  <c r="U8" i="64"/>
  <c r="J9" i="64"/>
  <c r="O15" i="68"/>
  <c r="Z15" i="68" s="1"/>
  <c r="O22" i="68"/>
  <c r="Z22" i="68" s="1"/>
  <c r="O21" i="68"/>
  <c r="Z21" i="68" s="1"/>
  <c r="I18" i="59"/>
  <c r="I20" i="59" s="1"/>
  <c r="AB24" i="68" l="1"/>
  <c r="K42" i="68"/>
  <c r="F58" i="68"/>
  <c r="Y23" i="68"/>
  <c r="J12" i="64"/>
  <c r="AB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N18" i="59"/>
  <c r="AB15" i="68"/>
  <c r="J11" i="58"/>
  <c r="AB22" i="68"/>
  <c r="D16" i="61"/>
  <c r="AB21" i="68"/>
  <c r="D11" i="61"/>
  <c r="D20" i="61"/>
  <c r="AB19" i="68"/>
  <c r="AB13" i="68"/>
  <c r="AB11" i="68"/>
  <c r="AA9" i="59"/>
  <c r="O14" i="68"/>
  <c r="Z14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J10" i="67"/>
  <c r="R10" i="64"/>
  <c r="J12" i="67" s="1"/>
  <c r="U10" i="64"/>
  <c r="U12" i="64" s="1"/>
  <c r="K9" i="64"/>
  <c r="K12" i="64" s="1"/>
  <c r="T20" i="59" l="1"/>
  <c r="Q18" i="59"/>
  <c r="W16" i="59"/>
  <c r="Z16" i="59"/>
  <c r="AA16" i="59" s="1"/>
  <c r="W13" i="59"/>
  <c r="Z13" i="59"/>
  <c r="AA13" i="59" s="1"/>
  <c r="X16" i="59"/>
  <c r="J18" i="69" s="1"/>
  <c r="L19" i="59"/>
  <c r="N20" i="59"/>
  <c r="U18" i="59"/>
  <c r="U20" i="59" s="1"/>
  <c r="K20" i="59"/>
  <c r="J32" i="59" s="1"/>
  <c r="K43" i="68" s="1"/>
  <c r="X13" i="59"/>
  <c r="J14" i="69" s="1"/>
  <c r="Z14" i="59"/>
  <c r="AA14" i="59" s="1"/>
  <c r="W14" i="59"/>
  <c r="X14" i="59"/>
  <c r="J16" i="69" s="1"/>
  <c r="Z23" i="68"/>
  <c r="L18" i="59"/>
  <c r="AA17" i="59"/>
  <c r="AA12" i="59"/>
  <c r="AB14" i="68"/>
  <c r="O23" i="68"/>
  <c r="AB25" i="68" s="1"/>
  <c r="J21" i="69"/>
  <c r="J17" i="69"/>
  <c r="J20" i="69"/>
  <c r="AA15" i="59"/>
  <c r="J13" i="65"/>
  <c r="V13" i="63"/>
  <c r="D13" i="61"/>
  <c r="R9" i="64"/>
  <c r="R12" i="64" s="1"/>
  <c r="U13" i="64"/>
  <c r="N12" i="67"/>
  <c r="N14" i="67" s="1"/>
  <c r="O12" i="67"/>
  <c r="Z18" i="59" l="1"/>
  <c r="AA18" i="59" s="1"/>
  <c r="AA19" i="59"/>
  <c r="X19" i="59"/>
  <c r="J15" i="69" s="1"/>
  <c r="L20" i="59"/>
  <c r="W18" i="59"/>
  <c r="W20" i="59" s="1"/>
  <c r="Q20" i="59"/>
  <c r="X18" i="59"/>
  <c r="AB27" i="68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2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<sst xmlns="http://schemas.openxmlformats.org/spreadsheetml/2006/main" count="544" uniqueCount="236">
  <si>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</si>
  <si>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</si>
  <si>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</si>
  <si>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</si>
  <si>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</si>
  <si>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</si>
  <si>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</si>
  <si>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</si>
  <si>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</si>
  <si>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</si>
  <si>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</si>
  <si>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</si>
  <si>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</si>
  <si>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</si>
  <si>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</si>
  <si>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</si>
  <si>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</si>
  <si>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</si>
  <si>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</si>
  <si>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</si>
  <si>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</si>
  <si>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</si>
  <si>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</si>
  <si>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</si>
  <si>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</si>
  <si>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</si>
  <si>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</si>
  <si>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</si>
  <si>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</si>
  <si>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</si>
  <si>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</si>
  <si>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</si>
  <si>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</si>
  <si>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</si>
  <si>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</si>
  <si>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</si>
  <si>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</si>
  <si>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</si>
  <si>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</si>
  <si>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</si>
  <si>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</si>
  <si>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</si>
  <si>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</si>
  <si>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</si>
  <si>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</si>
  <si>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</si>
  <si>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</si>
  <si>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</si>
  <si>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</si>
  <si>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</si>
  <si>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</si>
  <si>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</si>
  <si>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</si>
  <si>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</si>
  <si>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</si>
  <si>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</si>
  <si>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</si>
  <si>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</si>
  <si>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</si>
  <si>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</si>
  <si>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</si>
  <si>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</si>
  <si>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</si>
  <si>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</si>
  <si>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</si>
  <si>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</si>
  <si>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</si>
  <si>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</si>
  <si>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</si>
  <si>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</si>
  <si>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</si>
  <si>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</si>
  <si>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</si>
  <si>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</si>
  <si>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</si>
  <si>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</si>
  <si>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</si>
  <si>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</si>
  <si>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</si>
  <si>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</si>
  <si>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</si>
  <si>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</si>
  <si>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</si>
  <si>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</si>
  <si>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</si>
  <si>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</si>
  <si>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</si>
  <si>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</si>
  <si>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</si>
  <si>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</si>
  <si>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</si>
  <si>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</si>
  <si>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</si>
  <si>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</si>
  <si>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</si>
  <si>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</si>
  <si>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</si>
  <si>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</si>
  <si>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</si>
  <si>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</si>
  <si>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</si>
  <si>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</si>
  <si>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</si>
  <si>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</si>
  <si>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</si>
  <si>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</si>
  <si>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</si>
  <si>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</si>
  <si>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</si>
  <si>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</si>
  <si>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</si>
  <si>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</si>
  <si>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</si>
  <si>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</si>
  <si>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</si>
  <si>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</si>
  <si>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</si>
  <si>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</si>
  <si>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</si>
  <si>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</si>
  <si>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</si>
  <si>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</si>
  <si>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</si>
  <si>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</si>
  <si>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</si>
  <si>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</si>
  <si>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</si>
  <si>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</si>
  <si>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</si>
  <si>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</si>
  <si>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</si>
  <si>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</si>
  <si>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</si>
  <si>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</si>
  <si>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</si>
  <si>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</si>
  <si>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</si>
  <si>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</si>
  <si>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</si>
  <si>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</si>
  <si>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</si>
  <si>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</si>
  <si>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</si>
  <si>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</si>
  <si>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</si>
  <si>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</si>
  <si>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</si>
  <si>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</si>
  <si>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</si>
  <si>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</si>
  <si>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</si>
  <si>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</si>
  <si>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</si>
  <si>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</si>
  <si>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</si>
  <si>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</si>
  <si>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</si>
  <si>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</si>
  <si>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</si>
  <si>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</si>
  <si>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</si>
  <si>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</si>
  <si>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</si>
  <si>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</si>
  <si>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</si>
  <si>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</si>
  <si>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</si>
  <si>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</si>
  <si>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</si>
  <si>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</si>
  <si>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</si>
  <si>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</si>
  <si>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</si>
  <si>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</si>
  <si>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</si>
  <si>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</si>
  <si>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</si>
  <si>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</si>
  <si>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</si>
  <si>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</si>
  <si>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</si>
  <si>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</si>
  <si>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</si>
  <si>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</si>
  <si>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</si>
  <si>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</si>
  <si>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</si>
  <si>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</si>
  <si>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</si>
  <si>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</si>
  <si>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</si>
  <si>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</si>
  <si>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</si>
  <si>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</si>
  <si>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</si>
  <si>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</si>
  <si>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</si>
  <si>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</si>
  <si>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</si>
  <si>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</si>
  <si>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</si>
  <si>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</si>
  <si>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</si>
  <si>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</si>
  <si>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</si>
  <si>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</si>
  <si>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</si>
  <si>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</si>
  <si>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</si>
  <si>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</si>
  <si>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</si>
  <si>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</si>
  <si>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</si>
  <si>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</si>
  <si>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</si>
  <si>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</si>
  <si>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 10% Disiplin Kerja</t>
  </si>
  <si>
    <t>Pot 40% tidak mengumpulkan RKB (mendapatkan kategori Baik (C))</t>
  </si>
  <si>
    <t>Potongan 10% Pencairan Piutang tidak tercapai</t>
  </si>
  <si>
    <t>Pot 10% Pendapatan Usaha tidak tercapai</t>
  </si>
  <si>
    <t>KOMISARIS II/PLT KOMISARIS UTAMA</t>
  </si>
  <si>
    <t>KOMISARIS II / PLT KOMISARIS UTAMA</t>
  </si>
  <si>
    <t>Bank BSI AC. 7183-5822-45</t>
  </si>
  <si>
    <t>Bank BSI AC. 1015-2219-40</t>
  </si>
  <si>
    <t>Bank BNI AC. 0436-336-752</t>
  </si>
  <si>
    <t>Potongan 30% atau 15% Laba Bersih tidak tercapai</t>
  </si>
  <si>
    <t>Bank BSI AC. 718-7060-057</t>
  </si>
  <si>
    <t>BULAN FEBRUARI 2022</t>
  </si>
  <si>
    <t>Medan,           Februari 2022</t>
  </si>
  <si>
    <t>Medan,          Februari 2022</t>
  </si>
  <si>
    <t>Medan,         Februari 2022</t>
  </si>
  <si>
    <t>Medan,             Februari 2022</t>
  </si>
  <si>
    <t>8:59</t>
  </si>
  <si>
    <t>01:09</t>
  </si>
  <si>
    <t>POTONGAN HASIL TEMUAN SPI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</si>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</sst>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23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2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7" fontId="20" fillId="5" borderId="16" xfId="9" applyNumberFormat="1" applyFont="1" applyFill="1" applyBorder="1" applyProtection="1"/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0" fontId="21" fillId="7" borderId="34" xfId="0" applyFont="1" applyFill="1" applyBorder="1" applyAlignment="1" applyProtection="1">
      <alignment horizontal="center" vertical="center" wrapText="1"/>
    </xf>
    <xf numFmtId="0" fontId="22" fillId="0" borderId="0" xfId="0" applyFont="1" applyFill="1"/>
    <xf numFmtId="0" fontId="28" fillId="7" borderId="34" xfId="0" applyFont="1" applyFill="1" applyBorder="1" applyAlignment="1" applyProtection="1">
      <alignment horizontal="center" vertical="center" wrapText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9" fillId="5" borderId="11" xfId="9" applyNumberFormat="1" applyFont="1" applyFill="1" applyBorder="1" applyAlignment="1" applyProtection="1">
      <alignment vertical="center" shrinkToFit="1"/>
    </xf>
    <xf numFmtId="20" fontId="22" fillId="0" borderId="8" xfId="9" quotePrefix="1" applyNumberFormat="1" applyFont="1" applyFill="1" applyBorder="1" applyAlignment="1" applyProtection="1">
      <alignment horizontal="center" vertical="center"/>
    </xf>
    <xf numFmtId="20" fontId="22" fillId="0" borderId="8" xfId="9" applyNumberFormat="1" applyFont="1" applyFill="1" applyBorder="1" applyAlignment="1" applyProtection="1">
      <alignment horizontal="center" vertical="center"/>
    </xf>
    <xf numFmtId="179" fontId="22" fillId="0" borderId="8" xfId="9" applyNumberFormat="1" applyFont="1" applyFill="1" applyBorder="1" applyAlignment="1" applyProtection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/>
      <protection hidden="1"/>
    </xf>
    <xf numFmtId="165" fontId="20" fillId="5" borderId="6" xfId="9" applyFont="1" applyFill="1" applyBorder="1" applyAlignment="1" applyProtection="1">
      <alignment vertical="center"/>
    </xf>
    <xf numFmtId="167" fontId="20" fillId="5" borderId="6" xfId="9" applyNumberFormat="1" applyFont="1" applyFill="1" applyBorder="1" applyAlignment="1" applyProtection="1">
      <alignment vertical="center" shrinkToFit="1"/>
    </xf>
    <xf numFmtId="167" fontId="21" fillId="4" borderId="10" xfId="9" applyNumberFormat="1" applyFont="1" applyFill="1" applyBorder="1" applyAlignment="1" applyProtection="1">
      <alignment horizontal="center" vertical="center"/>
    </xf>
    <xf numFmtId="167" fontId="19" fillId="5" borderId="8" xfId="9" applyNumberFormat="1" applyFont="1" applyFill="1" applyBorder="1" applyAlignment="1" applyProtection="1">
      <alignment vertical="center" shrinkToFit="1"/>
    </xf>
    <xf numFmtId="167" fontId="21" fillId="4" borderId="17" xfId="9" applyNumberFormat="1" applyFont="1" applyFill="1" applyBorder="1" applyAlignment="1" applyProtection="1">
      <alignment horizontal="center" vertical="center"/>
    </xf>
    <xf numFmtId="0" fontId="22" fillId="4" borderId="9" xfId="0" quotePrefix="1" applyFont="1" applyFill="1" applyBorder="1" applyAlignment="1" applyProtection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165" fontId="20" fillId="5" borderId="6" xfId="9" applyFont="1" applyFill="1" applyBorder="1" applyProtection="1"/>
    <xf numFmtId="165" fontId="20" fillId="5" borderId="6" xfId="9" applyFont="1" applyFill="1" applyBorder="1" applyAlignment="1" applyProtection="1">
      <alignment horizontal="center"/>
    </xf>
    <xf numFmtId="0" fontId="20" fillId="5" borderId="6" xfId="0" applyFont="1" applyFill="1" applyBorder="1" applyAlignment="1" applyProtection="1">
      <alignment horizontal="center"/>
    </xf>
    <xf numFmtId="167" fontId="20" fillId="5" borderId="6" xfId="9" applyNumberFormat="1" applyFont="1" applyFill="1" applyBorder="1" applyProtection="1"/>
    <xf numFmtId="165" fontId="20" fillId="5" borderId="6" xfId="9" applyNumberFormat="1" applyFont="1" applyFill="1" applyBorder="1" applyProtection="1"/>
    <xf numFmtId="0" fontId="21" fillId="0" borderId="0" xfId="0" applyFont="1" applyAlignment="1">
      <alignment horizontal="center"/>
    </xf>
    <xf numFmtId="165" fontId="22" fillId="5" borderId="9" xfId="9" applyFont="1" applyFill="1" applyBorder="1" applyAlignment="1" applyProtection="1">
      <alignment vertical="center"/>
    </xf>
    <xf numFmtId="0" fontId="22" fillId="5" borderId="9" xfId="0" applyFont="1" applyFill="1" applyBorder="1" applyAlignment="1" applyProtection="1">
      <alignment horizontal="center" vertical="center"/>
    </xf>
    <xf numFmtId="167" fontId="22" fillId="5" borderId="9" xfId="9" applyNumberFormat="1" applyFont="1" applyFill="1" applyBorder="1" applyAlignment="1" applyProtection="1">
      <alignment vertical="center"/>
      <protection hidden="1"/>
    </xf>
    <xf numFmtId="167" fontId="28" fillId="0" borderId="0" xfId="0" applyNumberFormat="1" applyFont="1"/>
    <xf numFmtId="20" fontId="20" fillId="0" borderId="6" xfId="9" quotePrefix="1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1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  <protection hidden="1"/>
    </xf>
    <xf numFmtId="167" fontId="18" fillId="0" borderId="32" xfId="9" applyNumberFormat="1" applyFont="1" applyFill="1" applyBorder="1" applyAlignment="1" applyProtection="1">
      <alignment vertical="center"/>
    </xf>
    <xf numFmtId="167" fontId="19" fillId="0" borderId="17" xfId="9" applyNumberFormat="1" applyFont="1" applyFill="1" applyBorder="1" applyAlignment="1" applyProtection="1"/>
    <xf numFmtId="167" fontId="19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shrinkToFit="1"/>
    </xf>
    <xf numFmtId="167" fontId="19" fillId="0" borderId="8" xfId="9" applyNumberFormat="1" applyFont="1" applyFill="1" applyBorder="1" applyAlignment="1" applyProtection="1">
      <alignment shrinkToFit="1"/>
    </xf>
    <xf numFmtId="167" fontId="19" fillId="0" borderId="9" xfId="9" applyNumberFormat="1" applyFont="1" applyFill="1" applyBorder="1" applyAlignment="1" applyProtection="1">
      <alignment shrinkToFit="1"/>
    </xf>
    <xf numFmtId="0" fontId="20" fillId="0" borderId="11" xfId="0" applyFont="1" applyBorder="1" applyAlignment="1">
      <alignment horizontal="center" vertical="center"/>
    </xf>
    <xf numFmtId="167" fontId="19" fillId="5" borderId="30" xfId="9" applyNumberFormat="1" applyFont="1" applyFill="1" applyBorder="1" applyAlignment="1" applyProtection="1">
      <alignment horizontal="center" vertical="center" shrinkToFit="1"/>
    </xf>
    <xf numFmtId="167" fontId="21" fillId="4" borderId="11" xfId="9" applyNumberFormat="1" applyFont="1" applyFill="1" applyBorder="1" applyAlignment="1" applyProtection="1">
      <alignment horizontal="center" vertical="center"/>
    </xf>
    <xf numFmtId="165" fontId="20" fillId="5" borderId="8" xfId="9" applyFont="1" applyFill="1" applyBorder="1" applyAlignment="1" applyProtection="1">
      <alignment horizontal="center" vertical="center"/>
    </xf>
    <xf numFmtId="165" fontId="20" fillId="5" borderId="9" xfId="9" applyFont="1" applyFill="1" applyBorder="1" applyAlignment="1" applyProtection="1">
      <alignment horizontal="center" vertical="center"/>
    </xf>
    <xf numFmtId="0" fontId="22" fillId="0" borderId="8" xfId="0" applyFont="1" applyBorder="1"/>
    <xf numFmtId="0" fontId="22" fillId="0" borderId="9" xfId="0" applyFont="1" applyBorder="1"/>
    <xf numFmtId="167" fontId="19" fillId="0" borderId="17" xfId="9" applyNumberFormat="1" applyFont="1" applyFill="1" applyBorder="1" applyAlignment="1" applyProtection="1">
      <alignment vertical="center" shrinkToFit="1"/>
    </xf>
    <xf numFmtId="0" fontId="27" fillId="4" borderId="49" xfId="0" applyFont="1" applyFill="1" applyBorder="1" applyAlignment="1" applyProtection="1">
      <alignment horizontal="center" vertical="center"/>
    </xf>
    <xf numFmtId="167" fontId="21" fillId="0" borderId="32" xfId="9" applyNumberFormat="1" applyFont="1" applyFill="1" applyBorder="1" applyAlignment="1" applyProtection="1">
      <alignment vertical="center"/>
    </xf>
    <xf numFmtId="0" fontId="16" fillId="0" borderId="0" xfId="0" applyFont="1" applyAlignme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5" borderId="23" xfId="9" applyFont="1" applyFill="1" applyBorder="1" applyAlignment="1" applyProtection="1">
      <alignment vertical="center"/>
    </xf>
    <xf numFmtId="165" fontId="20" fillId="5" borderId="23" xfId="9" applyFont="1" applyFill="1" applyBorder="1" applyProtection="1"/>
    <xf numFmtId="165" fontId="20" fillId="5" borderId="50" xfId="9" applyFont="1" applyFill="1" applyBorder="1" applyAlignment="1" applyProtection="1">
      <alignment horizontal="center"/>
    </xf>
    <xf numFmtId="0" fontId="20" fillId="5" borderId="50" xfId="0" applyFont="1" applyFill="1" applyBorder="1" applyAlignment="1" applyProtection="1">
      <alignment horizontal="center"/>
    </xf>
    <xf numFmtId="167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/>
      <protection hidden="1"/>
    </xf>
    <xf numFmtId="167" fontId="21" fillId="5" borderId="25" xfId="9" applyNumberFormat="1" applyFont="1" applyFill="1" applyBorder="1" applyProtection="1"/>
    <xf numFmtId="165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vertical="center" shrinkToFit="1"/>
    </xf>
    <xf numFmtId="0" fontId="20" fillId="5" borderId="10" xfId="9" applyNumberFormat="1" applyFont="1" applyFill="1" applyBorder="1" applyAlignment="1" applyProtection="1">
      <alignment vertical="center" shrinkToFit="1"/>
    </xf>
    <xf numFmtId="0" fontId="20" fillId="0" borderId="10" xfId="9" applyNumberFormat="1" applyFont="1" applyBorder="1" applyAlignment="1">
      <alignment horizontal="left" vertical="center"/>
    </xf>
    <xf numFmtId="0" fontId="20" fillId="5" borderId="30" xfId="9" applyNumberFormat="1" applyFont="1" applyFill="1" applyBorder="1" applyAlignment="1" applyProtection="1">
      <alignment vertical="center" shrinkToFit="1"/>
    </xf>
    <xf numFmtId="0" fontId="32" fillId="0" borderId="0" xfId="0" applyFont="1" applyBorder="1"/>
    <xf numFmtId="0" fontId="32" fillId="0" borderId="0" xfId="0" applyFont="1"/>
    <xf numFmtId="167" fontId="33" fillId="5" borderId="10" xfId="9" applyNumberFormat="1" applyFont="1" applyFill="1" applyBorder="1" applyAlignment="1" applyProtection="1">
      <alignment vertical="center" shrinkToFit="1"/>
    </xf>
    <xf numFmtId="167" fontId="33" fillId="5" borderId="8" xfId="9" applyNumberFormat="1" applyFont="1" applyFill="1" applyBorder="1" applyAlignment="1" applyProtection="1">
      <alignment vertical="center" shrinkToFit="1"/>
    </xf>
    <xf numFmtId="167" fontId="33" fillId="0" borderId="8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/>
    </xf>
    <xf numFmtId="167" fontId="33" fillId="0" borderId="8" xfId="9" applyNumberFormat="1" applyFont="1" applyFill="1" applyBorder="1" applyAlignment="1" applyProtection="1"/>
    <xf numFmtId="167" fontId="33" fillId="0" borderId="28" xfId="9" applyNumberFormat="1" applyFont="1" applyFill="1" applyBorder="1" applyAlignment="1" applyProtection="1"/>
    <xf numFmtId="167" fontId="33" fillId="0" borderId="8" xfId="9" applyNumberFormat="1" applyFont="1" applyFill="1" applyBorder="1" applyAlignment="1" applyProtection="1">
      <alignment vertical="center"/>
    </xf>
    <xf numFmtId="167" fontId="33" fillId="0" borderId="17" xfId="9" applyNumberFormat="1" applyFont="1" applyFill="1" applyBorder="1" applyAlignment="1" applyProtection="1">
      <alignment vertical="center"/>
    </xf>
    <xf numFmtId="167" fontId="33" fillId="0" borderId="9" xfId="9" applyNumberFormat="1" applyFont="1" applyFill="1" applyBorder="1" applyAlignment="1" applyProtection="1"/>
    <xf numFmtId="167" fontId="28" fillId="0" borderId="8" xfId="0" applyNumberFormat="1" applyFont="1" applyBorder="1" applyAlignment="1">
      <alignment vertical="center"/>
    </xf>
    <xf numFmtId="3" fontId="19" fillId="0" borderId="8" xfId="9" applyNumberFormat="1" applyFont="1" applyFill="1" applyBorder="1" applyAlignment="1" applyProtection="1">
      <alignment horizontal="right" vertical="center"/>
    </xf>
    <xf numFmtId="3" fontId="19" fillId="0" borderId="23" xfId="9" applyNumberFormat="1" applyFont="1" applyFill="1" applyBorder="1" applyAlignment="1" applyProtection="1">
      <alignment horizontal="right" vertical="center"/>
    </xf>
    <xf numFmtId="0" fontId="20" fillId="0" borderId="0" xfId="0" applyFont="1" applyAlignment="1">
      <alignment vertical="top" wrapText="1"/>
    </xf>
    <xf numFmtId="167" fontId="33" fillId="0" borderId="28" xfId="9" applyNumberFormat="1" applyFont="1" applyFill="1" applyBorder="1" applyAlignment="1" applyProtection="1">
      <alignment vertical="center"/>
    </xf>
    <xf numFmtId="0" fontId="21" fillId="7" borderId="51" xfId="0" applyFont="1" applyFill="1" applyBorder="1" applyAlignment="1" applyProtection="1">
      <alignment horizontal="center" vertical="center" wrapText="1"/>
    </xf>
    <xf numFmtId="20" fontId="20" fillId="0" borderId="8" xfId="9" quotePrefix="1" applyNumberFormat="1" applyFont="1" applyFill="1" applyBorder="1" applyAlignment="1" applyProtection="1">
      <alignment horizontal="center" vertical="center"/>
    </xf>
    <xf numFmtId="0" fontId="28" fillId="7" borderId="51" xfId="0" applyFont="1" applyFill="1" applyBorder="1" applyAlignment="1" applyProtection="1">
      <alignment horizontal="center" vertical="center" wrapText="1"/>
    </xf>
    <xf numFmtId="20" fontId="20" fillId="0" borderId="6" xfId="9" applyNumberFormat="1" applyFont="1" applyFill="1" applyBorder="1" applyAlignment="1" applyProtection="1">
      <alignment horizontal="center" vertical="center"/>
    </xf>
    <xf numFmtId="20" fontId="20" fillId="0" borderId="9" xfId="9" applyNumberFormat="1" applyFont="1" applyFill="1" applyBorder="1" applyAlignment="1" applyProtection="1">
      <alignment horizontal="center" vertical="center"/>
    </xf>
    <xf numFmtId="167" fontId="29" fillId="0" borderId="11" xfId="9" applyNumberFormat="1" applyFont="1" applyFill="1" applyBorder="1" applyAlignment="1" applyProtection="1">
      <alignment vertical="center"/>
    </xf>
    <xf numFmtId="167" fontId="19" fillId="0" borderId="11" xfId="9" applyNumberFormat="1" applyFont="1" applyFill="1" applyBorder="1" applyAlignment="1" applyProtection="1">
      <alignment vertical="center"/>
    </xf>
    <xf numFmtId="0" fontId="22" fillId="5" borderId="28" xfId="0" applyFont="1" applyFill="1" applyBorder="1" applyAlignment="1" applyProtection="1">
      <alignment horizontal="center" vertical="center"/>
    </xf>
    <xf numFmtId="179" fontId="22" fillId="0" borderId="23" xfId="9" applyNumberFormat="1" applyFont="1" applyFill="1" applyBorder="1" applyAlignment="1" applyProtection="1">
      <alignment horizontal="center" vertical="center"/>
    </xf>
    <xf numFmtId="167" fontId="33" fillId="0" borderId="9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33" fillId="5" borderId="13" xfId="9" applyNumberFormat="1" applyFont="1" applyFill="1" applyBorder="1" applyAlignment="1" applyProtection="1">
      <alignment horizontal="center" vertical="center" wrapText="1"/>
    </xf>
    <xf numFmtId="167" fontId="33" fillId="5" borderId="14" xfId="9" applyNumberFormat="1" applyFont="1" applyFill="1" applyBorder="1" applyAlignment="1" applyProtection="1">
      <alignment horizontal="center" vertical="center" wrapText="1"/>
    </xf>
    <xf numFmtId="167" fontId="33" fillId="5" borderId="13" xfId="9" quotePrefix="1" applyNumberFormat="1" applyFont="1" applyFill="1" applyBorder="1" applyAlignment="1" applyProtection="1">
      <alignment horizontal="center" vertical="center" wrapText="1"/>
    </xf>
    <xf numFmtId="167" fontId="33" fillId="5" borderId="14" xfId="9" quotePrefix="1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33" fillId="5" borderId="12" xfId="9" applyNumberFormat="1" applyFont="1" applyFill="1" applyBorder="1" applyAlignment="1" applyProtection="1">
      <alignment vertical="center" wrapText="1"/>
    </xf>
    <xf numFmtId="167" fontId="33" fillId="5" borderId="18" xfId="9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40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167" fontId="19" fillId="5" borderId="6" xfId="9" quotePrefix="1" applyNumberFormat="1" applyFont="1" applyFill="1" applyBorder="1" applyAlignment="1" applyProtection="1">
      <alignment horizontal="center" vertical="center" wrapText="1"/>
    </xf>
    <xf numFmtId="167" fontId="19" fillId="5" borderId="14" xfId="9" quotePrefix="1" applyNumberFormat="1" applyFont="1" applyFill="1" applyBorder="1" applyAlignment="1" applyProtection="1">
      <alignment horizontal="center"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733426</xdr:colOff>
      <xdr:row>0</xdr:row>
      <xdr:rowOff>76200</xdr:rowOff>
    </xdr:from>
    <xdr:to>
      <xdr:col>13</xdr:col>
      <xdr:colOff>47625</xdr:colOff>
      <xdr:row>1</xdr:row>
      <xdr:rowOff>266700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1" y="76200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4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179917</xdr:colOff>
      <xdr:row>0</xdr:row>
      <xdr:rowOff>0</xdr:rowOff>
    </xdr:from>
    <xdr:to>
      <xdr:col>11</xdr:col>
      <xdr:colOff>657224</xdr:colOff>
      <xdr:row>0</xdr:row>
      <xdr:rowOff>550332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417" y="0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102659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8"/>
  <sheetViews>
    <sheetView view="pageBreakPreview" zoomScale="60" zoomScaleNormal="90" workbookViewId="0">
      <pane xSplit="4" topLeftCell="E1" activePane="topRight" state="frozen"/>
      <selection pane="topRight" activeCell="J12" sqref="J12:J13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84" t="s">
        <v>155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165"/>
    </row>
    <row r="3" spans="2:22" ht="12.75" customHeight="1" x14ac:dyDescent="0.25">
      <c r="B3" s="385" t="s">
        <v>227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166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67" t="s">
        <v>7</v>
      </c>
      <c r="C5" s="367" t="s">
        <v>66</v>
      </c>
      <c r="D5" s="367" t="s">
        <v>21</v>
      </c>
      <c r="E5" s="367" t="s">
        <v>0</v>
      </c>
      <c r="F5" s="367" t="s">
        <v>2</v>
      </c>
      <c r="G5" s="367" t="s">
        <v>67</v>
      </c>
      <c r="H5" s="367" t="s">
        <v>17</v>
      </c>
      <c r="I5" s="367" t="s">
        <v>18</v>
      </c>
      <c r="J5" s="367" t="s">
        <v>6</v>
      </c>
      <c r="K5" s="378" t="s">
        <v>68</v>
      </c>
      <c r="L5" s="380" t="s">
        <v>83</v>
      </c>
      <c r="M5" s="367" t="s">
        <v>60</v>
      </c>
      <c r="N5" s="367" t="s">
        <v>95</v>
      </c>
      <c r="O5" s="367" t="s">
        <v>56</v>
      </c>
      <c r="P5" s="367" t="s">
        <v>49</v>
      </c>
      <c r="Q5" s="367" t="s">
        <v>46</v>
      </c>
      <c r="R5" s="367" t="s">
        <v>82</v>
      </c>
      <c r="S5" s="107"/>
    </row>
    <row r="6" spans="2:22" ht="36" customHeight="1" thickBot="1" x14ac:dyDescent="0.3">
      <c r="B6" s="368"/>
      <c r="C6" s="394"/>
      <c r="D6" s="394"/>
      <c r="E6" s="394"/>
      <c r="F6" s="394"/>
      <c r="G6" s="394"/>
      <c r="H6" s="368"/>
      <c r="I6" s="368"/>
      <c r="J6" s="368"/>
      <c r="K6" s="379"/>
      <c r="L6" s="381"/>
      <c r="M6" s="368"/>
      <c r="N6" s="368"/>
      <c r="O6" s="368"/>
      <c r="P6" s="368"/>
      <c r="Q6" s="368"/>
      <c r="R6" s="368"/>
      <c r="S6" s="107"/>
    </row>
    <row r="7" spans="2:22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131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130</v>
      </c>
      <c r="S7" s="102"/>
    </row>
    <row r="8" spans="2:22" s="25" customFormat="1" ht="18.75" hidden="1" customHeight="1" x14ac:dyDescent="0.35">
      <c r="B8" s="114">
        <v>1</v>
      </c>
      <c r="C8" s="110" t="s">
        <v>196</v>
      </c>
      <c r="D8" s="110" t="s">
        <v>65</v>
      </c>
      <c r="E8" s="108" t="s">
        <v>116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3">
      <c r="B9" s="115">
        <v>1</v>
      </c>
      <c r="C9" s="92" t="s">
        <v>159</v>
      </c>
      <c r="D9" s="307" t="s">
        <v>59</v>
      </c>
      <c r="E9" s="302" t="s">
        <v>89</v>
      </c>
      <c r="F9" s="123" t="s">
        <v>35</v>
      </c>
      <c r="G9" s="124">
        <f>90%*G8</f>
        <v>24300000</v>
      </c>
      <c r="H9" s="49">
        <v>0</v>
      </c>
      <c r="I9" s="49">
        <v>0</v>
      </c>
      <c r="J9" s="49">
        <f>20%*G9</f>
        <v>4860000</v>
      </c>
      <c r="K9" s="125">
        <f>SUM(G9:J9)</f>
        <v>29160000</v>
      </c>
      <c r="L9" s="160">
        <v>0</v>
      </c>
      <c r="M9" s="160">
        <v>0</v>
      </c>
      <c r="N9" s="303">
        <v>0</v>
      </c>
      <c r="O9" s="160">
        <v>0</v>
      </c>
      <c r="P9" s="160">
        <v>0</v>
      </c>
      <c r="Q9" s="50"/>
      <c r="R9" s="304">
        <f>K9-(L9+M9+N9+O9+P9)</f>
        <v>29160000</v>
      </c>
      <c r="S9" s="103"/>
      <c r="U9" s="20"/>
    </row>
    <row r="10" spans="2:22" ht="20.149999999999999" customHeight="1" x14ac:dyDescent="0.3">
      <c r="B10" s="115">
        <v>2</v>
      </c>
      <c r="C10" s="181" t="s">
        <v>39</v>
      </c>
      <c r="D10" s="307" t="s">
        <v>221</v>
      </c>
      <c r="E10" s="305" t="s">
        <v>40</v>
      </c>
      <c r="F10" s="183" t="s">
        <v>34</v>
      </c>
      <c r="G10" s="287">
        <f>90%*G8</f>
        <v>24300000</v>
      </c>
      <c r="H10" s="185">
        <v>0</v>
      </c>
      <c r="I10" s="185">
        <v>0</v>
      </c>
      <c r="J10" s="40">
        <f>20%*G10</f>
        <v>4860000</v>
      </c>
      <c r="K10" s="289">
        <f>SUM(G10:J10)</f>
        <v>29160000</v>
      </c>
      <c r="L10" s="159">
        <v>0</v>
      </c>
      <c r="M10" s="272">
        <v>0</v>
      </c>
      <c r="N10" s="263">
        <v>0</v>
      </c>
      <c r="O10" s="272">
        <v>0</v>
      </c>
      <c r="P10" s="272">
        <v>0</v>
      </c>
      <c r="Q10" s="66">
        <v>3790000</v>
      </c>
      <c r="R10" s="271">
        <f>K10-(L10+M10+N10+O10+P10)</f>
        <v>29160000</v>
      </c>
      <c r="S10" s="104"/>
      <c r="U10" s="20">
        <f>K10-L10-M10-O10-P10</f>
        <v>29160000</v>
      </c>
    </row>
    <row r="11" spans="2:22" ht="20.149999999999999" customHeight="1" x14ac:dyDescent="0.3">
      <c r="B11" s="274">
        <v>3</v>
      </c>
      <c r="C11" s="282" t="s">
        <v>191</v>
      </c>
      <c r="D11" s="308" t="s">
        <v>44</v>
      </c>
      <c r="E11" s="306" t="s">
        <v>192</v>
      </c>
      <c r="F11" s="283" t="s">
        <v>193</v>
      </c>
      <c r="G11" s="288">
        <v>9000000</v>
      </c>
      <c r="H11" s="284">
        <v>0</v>
      </c>
      <c r="I11" s="284">
        <v>0</v>
      </c>
      <c r="J11" s="167">
        <v>450000</v>
      </c>
      <c r="K11" s="290">
        <f>G11+H11+I11+J11</f>
        <v>9450000</v>
      </c>
      <c r="L11" s="261"/>
      <c r="M11" s="262"/>
      <c r="N11" s="156"/>
      <c r="O11" s="262"/>
      <c r="P11" s="262">
        <v>0</v>
      </c>
      <c r="Q11" s="69"/>
      <c r="R11" s="273">
        <f>G11+H11+I11+J11</f>
        <v>9450000</v>
      </c>
      <c r="S11" s="104"/>
      <c r="U11" s="20"/>
    </row>
    <row r="12" spans="2:22" ht="10.5" customHeight="1" x14ac:dyDescent="0.35">
      <c r="B12" s="74"/>
      <c r="C12" s="74"/>
      <c r="D12" s="74"/>
      <c r="E12" s="73"/>
      <c r="F12" s="21"/>
      <c r="G12" s="395">
        <f>SUM(G9:G11)</f>
        <v>57600000</v>
      </c>
      <c r="H12" s="395">
        <f>SUM(H8:H10)</f>
        <v>0</v>
      </c>
      <c r="I12" s="395">
        <f>I11</f>
        <v>0</v>
      </c>
      <c r="J12" s="395">
        <f>SUM(J8:J11)</f>
        <v>10170000</v>
      </c>
      <c r="K12" s="401">
        <f>SUM(K9:K11)</f>
        <v>67770000</v>
      </c>
      <c r="L12" s="420">
        <v>0</v>
      </c>
      <c r="M12" s="405">
        <f>SUM(M10:M10)</f>
        <v>0</v>
      </c>
      <c r="N12" s="405">
        <f>SUM(N10:N10)</f>
        <v>0</v>
      </c>
      <c r="O12" s="405">
        <f>SUM(O10:O10)</f>
        <v>0</v>
      </c>
      <c r="P12" s="417">
        <f>SUM(P10:P10)</f>
        <v>0</v>
      </c>
      <c r="Q12" s="395">
        <f>SUM(Q10:Q10)</f>
        <v>3790000</v>
      </c>
      <c r="R12" s="408">
        <f>SUM(R9:R11)</f>
        <v>67770000</v>
      </c>
      <c r="S12" s="106"/>
      <c r="T12" s="20" t="e">
        <f>SUM(#REF!)</f>
        <v>#REF!</v>
      </c>
      <c r="U12" s="20">
        <f>SUM(U8:U10)</f>
        <v>56160000</v>
      </c>
    </row>
    <row r="13" spans="2:22" ht="10.5" customHeight="1" thickBot="1" x14ac:dyDescent="0.4">
      <c r="B13" s="75"/>
      <c r="C13" s="75"/>
      <c r="D13" s="75"/>
      <c r="E13" s="76"/>
      <c r="F13" s="77"/>
      <c r="G13" s="396"/>
      <c r="H13" s="396"/>
      <c r="I13" s="396"/>
      <c r="J13" s="396"/>
      <c r="K13" s="402"/>
      <c r="L13" s="421"/>
      <c r="M13" s="406"/>
      <c r="N13" s="406"/>
      <c r="O13" s="406"/>
      <c r="P13" s="422"/>
      <c r="Q13" s="396"/>
      <c r="R13" s="409"/>
      <c r="S13" s="106"/>
      <c r="T13" s="20">
        <f>L12+M12+N12+O12+P12</f>
        <v>0</v>
      </c>
      <c r="U13" s="93">
        <f>K12-T13</f>
        <v>67770000</v>
      </c>
      <c r="V13" s="20"/>
    </row>
    <row r="14" spans="2:22" ht="6.75" customHeight="1" thickTop="1" x14ac:dyDescent="0.35">
      <c r="B14" s="6"/>
      <c r="C14" s="6"/>
      <c r="D14" s="6"/>
      <c r="E14" s="6"/>
      <c r="F14" s="6"/>
      <c r="G14" s="6"/>
      <c r="H14" s="6"/>
      <c r="I14" s="7"/>
      <c r="J14" s="6"/>
      <c r="K14" s="7"/>
      <c r="L14" s="6"/>
      <c r="M14" s="6"/>
      <c r="N14" s="6"/>
      <c r="O14" s="6"/>
      <c r="P14" s="6"/>
      <c r="Q14" s="6"/>
      <c r="R14" s="6"/>
      <c r="S14" s="6"/>
      <c r="T14" t="s">
        <v>43</v>
      </c>
    </row>
    <row r="15" spans="2:22" ht="14.5" x14ac:dyDescent="0.35">
      <c r="B15" s="328"/>
      <c r="C15" s="6"/>
      <c r="D15" s="6"/>
      <c r="E15" s="6" t="s">
        <v>137</v>
      </c>
    </row>
    <row r="16" spans="2:22" ht="14.5" x14ac:dyDescent="0.35">
      <c r="B16" s="329"/>
      <c r="C16" s="6"/>
      <c r="D16" s="6"/>
      <c r="E16" s="6"/>
      <c r="K16" s="398" t="s">
        <v>229</v>
      </c>
      <c r="L16" s="398"/>
      <c r="M16" s="398"/>
      <c r="N16" s="398"/>
      <c r="O16" s="398"/>
      <c r="P16" s="398"/>
      <c r="Q16" s="398"/>
      <c r="R16" s="398"/>
    </row>
    <row r="17" spans="2:22" ht="15" customHeight="1" x14ac:dyDescent="0.25">
      <c r="B17" s="152"/>
      <c r="C17" s="419"/>
      <c r="D17" s="419"/>
      <c r="E17" s="419"/>
      <c r="F17" s="419"/>
      <c r="G17" s="419"/>
      <c r="H17" s="419"/>
      <c r="I17" s="419"/>
      <c r="J17" s="343"/>
      <c r="K17" s="398" t="s">
        <v>36</v>
      </c>
      <c r="L17" s="398"/>
      <c r="M17" s="398"/>
      <c r="N17" s="398"/>
      <c r="O17" s="398"/>
      <c r="P17" s="398"/>
      <c r="Q17" s="398"/>
      <c r="R17" s="398"/>
    </row>
    <row r="18" spans="2:22" ht="24.75" customHeight="1" x14ac:dyDescent="0.35">
      <c r="C18" s="419"/>
      <c r="D18" s="419"/>
      <c r="E18" s="419"/>
      <c r="F18" s="419"/>
      <c r="G18" s="419"/>
      <c r="H18" s="419"/>
      <c r="I18" s="419"/>
      <c r="J18" s="343"/>
      <c r="N18" s="8"/>
      <c r="O18" s="8"/>
      <c r="P18" s="8"/>
      <c r="Q18" s="8"/>
    </row>
    <row r="19" spans="2:22" ht="27" customHeight="1" x14ac:dyDescent="0.35">
      <c r="N19" s="8"/>
      <c r="O19" s="8"/>
      <c r="P19" s="8"/>
      <c r="Q19" s="8"/>
    </row>
    <row r="20" spans="2:22" ht="14.5" x14ac:dyDescent="0.35">
      <c r="K20" s="407" t="s">
        <v>167</v>
      </c>
      <c r="L20" s="407"/>
      <c r="M20" s="407"/>
      <c r="N20" s="407"/>
      <c r="O20" s="407"/>
      <c r="P20" s="407"/>
      <c r="Q20" s="407"/>
      <c r="R20" s="407"/>
    </row>
    <row r="22" spans="2:22" ht="14.5" x14ac:dyDescent="0.25">
      <c r="C22" s="418"/>
      <c r="D22" s="418"/>
      <c r="E22" s="418"/>
      <c r="F22" s="418"/>
      <c r="G22" s="418"/>
      <c r="H22" s="418"/>
      <c r="I22" s="418"/>
    </row>
    <row r="28" spans="2:22" x14ac:dyDescent="0.25">
      <c r="V28">
        <f>15%*'NET DIREKSI '!G10</f>
        <v>9000000</v>
      </c>
    </row>
  </sheetData>
  <mergeCells count="36">
    <mergeCell ref="K17:R17"/>
    <mergeCell ref="R12:R13"/>
    <mergeCell ref="K16:R16"/>
    <mergeCell ref="L12:L13"/>
    <mergeCell ref="M12:M13"/>
    <mergeCell ref="N12:N13"/>
    <mergeCell ref="O12:O13"/>
    <mergeCell ref="P12:P13"/>
    <mergeCell ref="Q12:Q13"/>
    <mergeCell ref="R5:R6"/>
    <mergeCell ref="G12:G13"/>
    <mergeCell ref="H12:H13"/>
    <mergeCell ref="I12:I13"/>
    <mergeCell ref="J12:J13"/>
    <mergeCell ref="K12:K13"/>
    <mergeCell ref="L5:L6"/>
    <mergeCell ref="P5:P6"/>
    <mergeCell ref="Q5:Q6"/>
    <mergeCell ref="O5:O6"/>
    <mergeCell ref="N5:N6"/>
    <mergeCell ref="C22:I22"/>
    <mergeCell ref="C17:I18"/>
    <mergeCell ref="K20:R20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</mergeCells>
  <printOptions horizontalCentered="1"/>
  <pageMargins left="0.118110236220472" right="0.118110236220472" top="0.118110236220472" bottom="0.35433070866141703" header="0.31496062992126" footer="0.31496062992126"/>
  <pageSetup paperSize="9" scale="72" orientation="landscape" horizontalDpi="4294967293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zoomScaleNormal="100" workbookViewId="0">
      <selection activeCell="S25" sqref="S25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5" t="s">
        <v>123</v>
      </c>
      <c r="B1" s="35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56" t="s">
        <v>132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</row>
    <row r="5" spans="1:21" ht="16.5" customHeight="1" x14ac:dyDescent="0.25">
      <c r="A5" s="13"/>
      <c r="B5" s="356" t="s">
        <v>227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7" t="s">
        <v>7</v>
      </c>
      <c r="B7" s="357" t="s">
        <v>66</v>
      </c>
      <c r="C7" s="357" t="s">
        <v>21</v>
      </c>
      <c r="D7" s="357" t="s">
        <v>23</v>
      </c>
      <c r="E7" s="357" t="s">
        <v>4</v>
      </c>
      <c r="F7" s="357" t="s">
        <v>3</v>
      </c>
      <c r="G7" s="357" t="s">
        <v>19</v>
      </c>
      <c r="H7" s="357" t="s">
        <v>9</v>
      </c>
      <c r="I7" s="357" t="s">
        <v>8</v>
      </c>
      <c r="J7" s="357" t="s">
        <v>5</v>
      </c>
      <c r="K7" s="357" t="s">
        <v>11</v>
      </c>
      <c r="L7" s="357" t="s">
        <v>10</v>
      </c>
      <c r="M7" s="22" t="s">
        <v>12</v>
      </c>
      <c r="N7" s="22"/>
      <c r="O7" s="22"/>
      <c r="P7" s="22"/>
      <c r="Q7" s="22"/>
      <c r="R7" s="360" t="s">
        <v>24</v>
      </c>
    </row>
    <row r="8" spans="1:21" ht="20.149999999999999" customHeight="1" x14ac:dyDescent="0.25">
      <c r="A8" s="358"/>
      <c r="B8" s="359"/>
      <c r="C8" s="359"/>
      <c r="D8" s="358"/>
      <c r="E8" s="358"/>
      <c r="F8" s="358"/>
      <c r="G8" s="358"/>
      <c r="H8" s="358"/>
      <c r="I8" s="358"/>
      <c r="J8" s="358"/>
      <c r="K8" s="358"/>
      <c r="L8" s="358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60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170</v>
      </c>
      <c r="C10" s="36" t="s">
        <v>57</v>
      </c>
      <c r="D10" s="41">
        <f>'NET PEG PELINDO DIPERBANTUKAN'!Z13</f>
        <v>32836675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223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DIPERBANTUKAN'!Z11</f>
        <v>32816910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122</v>
      </c>
      <c r="T11" s="30"/>
      <c r="U11" s="48"/>
    </row>
    <row r="12" spans="1:21" ht="20.149999999999999" customHeight="1" x14ac:dyDescent="0.35">
      <c r="A12" s="126">
        <v>3</v>
      </c>
      <c r="B12" s="46" t="s">
        <v>167</v>
      </c>
      <c r="C12" s="36" t="s">
        <v>36</v>
      </c>
      <c r="D12" s="70">
        <f>'NET PEG PELINDO DIPERBANTUKAN'!Z12</f>
        <v>31877424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177</v>
      </c>
      <c r="T12" s="30"/>
      <c r="U12" s="48"/>
    </row>
    <row r="13" spans="1:21" ht="20.149999999999999" customHeight="1" x14ac:dyDescent="0.35">
      <c r="A13" s="126">
        <v>4</v>
      </c>
      <c r="B13" s="46" t="s">
        <v>98</v>
      </c>
      <c r="C13" s="36" t="s">
        <v>99</v>
      </c>
      <c r="D13" s="41">
        <f>'NET PEG PELINDO DIPERBANTUKAN'!Z15</f>
        <v>31467036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222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DIPERBANTUKAN'!Z16</f>
        <v>21562801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207</v>
      </c>
      <c r="T14" s="30"/>
      <c r="U14" s="48"/>
    </row>
    <row r="15" spans="1:21" ht="20.149999999999999" customHeight="1" x14ac:dyDescent="0.35">
      <c r="A15" s="122">
        <v>6</v>
      </c>
      <c r="B15" s="46" t="s">
        <v>84</v>
      </c>
      <c r="C15" s="36" t="s">
        <v>111</v>
      </c>
      <c r="D15" s="41">
        <f>'NET PEG PELINDO DIPERBANTUKAN'!Z17</f>
        <v>20291644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224</v>
      </c>
      <c r="T15" s="30"/>
      <c r="U15" s="48"/>
    </row>
    <row r="16" spans="1:21" ht="20.149999999999999" customHeight="1" x14ac:dyDescent="0.35">
      <c r="A16" s="126">
        <v>7</v>
      </c>
      <c r="B16" s="46" t="s">
        <v>87</v>
      </c>
      <c r="C16" s="36" t="s">
        <v>52</v>
      </c>
      <c r="D16" s="70">
        <f>'NET PEG PELINDO DIPERBANTUKAN'!Z21</f>
        <v>11485804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226</v>
      </c>
      <c r="T16" s="30"/>
      <c r="U16" s="48"/>
    </row>
    <row r="17" spans="1:21" ht="20.149999999999999" customHeight="1" x14ac:dyDescent="0.35">
      <c r="A17" s="126">
        <v>8</v>
      </c>
      <c r="B17" s="46" t="s">
        <v>171</v>
      </c>
      <c r="C17" s="36" t="s">
        <v>99</v>
      </c>
      <c r="D17" s="70">
        <f>'NET PEG PELINDO DIPERBANTUKAN'!Z14</f>
        <v>32899191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183</v>
      </c>
      <c r="T17" s="30"/>
      <c r="U17" s="48"/>
    </row>
    <row r="18" spans="1:21" ht="20.149999999999999" customHeight="1" x14ac:dyDescent="0.35">
      <c r="A18" s="126">
        <v>9</v>
      </c>
      <c r="B18" s="46" t="s">
        <v>204</v>
      </c>
      <c r="C18" s="36" t="s">
        <v>136</v>
      </c>
      <c r="D18" s="70">
        <f>'NET PEG PELINDO DIPERBANTUKAN'!Z18</f>
        <v>20395264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208</v>
      </c>
      <c r="T18" s="30"/>
      <c r="U18" s="48"/>
    </row>
    <row r="19" spans="1:21" ht="20.149999999999999" customHeight="1" x14ac:dyDescent="0.35">
      <c r="A19" s="126">
        <v>10</v>
      </c>
      <c r="B19" s="46" t="s">
        <v>211</v>
      </c>
      <c r="C19" s="36" t="s">
        <v>209</v>
      </c>
      <c r="D19" s="70">
        <f>'NET PEG PELINDO DIPERBANTUKAN'!Z20</f>
        <v>22461384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214</v>
      </c>
      <c r="T19" s="30"/>
      <c r="U19" s="48"/>
    </row>
    <row r="20" spans="1:21" ht="20.149999999999999" customHeight="1" x14ac:dyDescent="0.35">
      <c r="A20" s="126">
        <v>11</v>
      </c>
      <c r="B20" s="46" t="s">
        <v>172</v>
      </c>
      <c r="C20" s="36" t="s">
        <v>135</v>
      </c>
      <c r="D20" s="70">
        <f>'NET PEG PELINDO DIPERBANTUKAN'!Z19</f>
        <v>22670112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178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63">
        <f>SUM(D10:D21)</f>
        <v>280764245</v>
      </c>
      <c r="E22" s="361">
        <f t="shared" ref="E22:Q22" si="0">SUM(E9:E15)</f>
        <v>0</v>
      </c>
      <c r="F22" s="361">
        <f t="shared" si="0"/>
        <v>0</v>
      </c>
      <c r="G22" s="361">
        <f t="shared" si="0"/>
        <v>0</v>
      </c>
      <c r="H22" s="361">
        <f t="shared" si="0"/>
        <v>0</v>
      </c>
      <c r="I22" s="361">
        <f t="shared" si="0"/>
        <v>0</v>
      </c>
      <c r="J22" s="361">
        <f t="shared" si="0"/>
        <v>0</v>
      </c>
      <c r="K22" s="361">
        <f t="shared" si="0"/>
        <v>0</v>
      </c>
      <c r="L22" s="361">
        <f t="shared" si="0"/>
        <v>0</v>
      </c>
      <c r="M22" s="361">
        <f t="shared" si="0"/>
        <v>0</v>
      </c>
      <c r="N22" s="361">
        <f t="shared" si="0"/>
        <v>0</v>
      </c>
      <c r="O22" s="361">
        <f t="shared" si="0"/>
        <v>0</v>
      </c>
      <c r="P22" s="361">
        <f t="shared" si="0"/>
        <v>0</v>
      </c>
      <c r="Q22" s="361">
        <f t="shared" si="0"/>
        <v>0</v>
      </c>
      <c r="R22" s="361"/>
    </row>
    <row r="23" spans="1:21" ht="15" customHeight="1" thickBot="1" x14ac:dyDescent="0.4">
      <c r="A23" s="57"/>
      <c r="B23" s="58"/>
      <c r="C23" s="58"/>
      <c r="D23" s="364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81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228</v>
      </c>
    </row>
    <row r="26" spans="1:21" ht="14.5" x14ac:dyDescent="0.35">
      <c r="A26" s="6"/>
      <c r="B26" s="281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81" t="s">
        <v>184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167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zoomScaleNormal="100" workbookViewId="0">
      <selection activeCell="Y15" sqref="Y1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5" t="s">
        <v>42</v>
      </c>
      <c r="B1" s="35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6" t="s">
        <v>165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</row>
    <row r="5" spans="1:27" ht="16.5" customHeight="1" x14ac:dyDescent="0.25">
      <c r="A5" s="13"/>
      <c r="B5" s="356" t="s">
        <v>227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7" t="s">
        <v>7</v>
      </c>
      <c r="B7" s="357" t="s">
        <v>66</v>
      </c>
      <c r="C7" s="357" t="s">
        <v>21</v>
      </c>
      <c r="D7" s="357" t="s">
        <v>0</v>
      </c>
      <c r="E7" s="357" t="s">
        <v>2</v>
      </c>
      <c r="F7" s="357" t="s">
        <v>16</v>
      </c>
      <c r="G7" s="357" t="s">
        <v>17</v>
      </c>
      <c r="H7" s="357" t="s">
        <v>18</v>
      </c>
      <c r="I7" s="357" t="s">
        <v>6</v>
      </c>
      <c r="J7" s="357" t="s">
        <v>23</v>
      </c>
      <c r="K7" s="357" t="s">
        <v>4</v>
      </c>
      <c r="L7" s="357" t="s">
        <v>3</v>
      </c>
      <c r="M7" s="357" t="s">
        <v>19</v>
      </c>
      <c r="N7" s="357" t="s">
        <v>9</v>
      </c>
      <c r="O7" s="357" t="s">
        <v>8</v>
      </c>
      <c r="P7" s="357" t="s">
        <v>5</v>
      </c>
      <c r="Q7" s="357" t="s">
        <v>11</v>
      </c>
      <c r="R7" s="357" t="s">
        <v>10</v>
      </c>
      <c r="S7" s="22" t="s">
        <v>12</v>
      </c>
      <c r="T7" s="22"/>
      <c r="U7" s="22"/>
      <c r="V7" s="22"/>
      <c r="W7" s="22"/>
      <c r="X7" s="360" t="s">
        <v>24</v>
      </c>
    </row>
    <row r="8" spans="1:27" ht="20.149999999999999" customHeight="1" x14ac:dyDescent="0.25">
      <c r="A8" s="358"/>
      <c r="B8" s="359"/>
      <c r="C8" s="359"/>
      <c r="D8" s="359"/>
      <c r="E8" s="359"/>
      <c r="F8" s="359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0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168</v>
      </c>
      <c r="C10" s="36" t="s">
        <v>180</v>
      </c>
      <c r="D10" s="61"/>
      <c r="E10" s="62"/>
      <c r="F10" s="63"/>
      <c r="G10" s="64"/>
      <c r="H10" s="64"/>
      <c r="I10" s="64"/>
      <c r="J10" s="70">
        <f>'NET PEG PELINDO DIPERBANTUKAN'!Z10</f>
        <v>33503805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181</v>
      </c>
    </row>
    <row r="11" spans="1:27" ht="20.149999999999999" customHeight="1" x14ac:dyDescent="0.35">
      <c r="A11" s="122">
        <v>2</v>
      </c>
      <c r="B11" s="46" t="s">
        <v>77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DIPERBANTUKAN'!Z22</f>
        <v>12073347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80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61">
        <f>SUM(F9:F10)</f>
        <v>0</v>
      </c>
      <c r="G12" s="361">
        <f>SUM(G9:G10)</f>
        <v>0</v>
      </c>
      <c r="H12" s="361">
        <f>SUM(H9:H10)</f>
        <v>0</v>
      </c>
      <c r="I12" s="361">
        <f>SUM(I9:I10)</f>
        <v>0</v>
      </c>
      <c r="J12" s="363">
        <f>SUM(J10:J11)</f>
        <v>45577152</v>
      </c>
      <c r="K12" s="361">
        <f t="shared" ref="K12:W12" si="0">SUM(K9:K10)</f>
        <v>0</v>
      </c>
      <c r="L12" s="361">
        <f t="shared" si="0"/>
        <v>0</v>
      </c>
      <c r="M12" s="361">
        <f t="shared" si="0"/>
        <v>0</v>
      </c>
      <c r="N12" s="361">
        <f t="shared" si="0"/>
        <v>0</v>
      </c>
      <c r="O12" s="361">
        <f t="shared" si="0"/>
        <v>0</v>
      </c>
      <c r="P12" s="361">
        <f t="shared" si="0"/>
        <v>0</v>
      </c>
      <c r="Q12" s="361">
        <f t="shared" si="0"/>
        <v>0</v>
      </c>
      <c r="R12" s="361">
        <f t="shared" si="0"/>
        <v>0</v>
      </c>
      <c r="S12" s="361">
        <f t="shared" si="0"/>
        <v>0</v>
      </c>
      <c r="T12" s="361">
        <f t="shared" si="0"/>
        <v>0</v>
      </c>
      <c r="U12" s="361">
        <f t="shared" si="0"/>
        <v>0</v>
      </c>
      <c r="V12" s="361">
        <f t="shared" si="0"/>
        <v>0</v>
      </c>
      <c r="W12" s="361">
        <f t="shared" si="0"/>
        <v>0</v>
      </c>
      <c r="X12" s="361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62"/>
      <c r="G13" s="362"/>
      <c r="H13" s="362"/>
      <c r="I13" s="362"/>
      <c r="J13" s="364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81" t="s">
        <v>195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229</v>
      </c>
    </row>
    <row r="16" spans="1:27" ht="14.5" x14ac:dyDescent="0.35">
      <c r="A16" s="6"/>
      <c r="B16" s="281" t="s">
        <v>185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81" t="s">
        <v>184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167</v>
      </c>
    </row>
  </sheetData>
  <mergeCells count="41"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B60"/>
  <sheetViews>
    <sheetView tabSelected="1" topLeftCell="C1" zoomScale="90" zoomScaleNormal="90" workbookViewId="0">
      <selection activeCell="M5" sqref="M5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3" width="12.453125" customWidth="1"/>
    <col min="24" max="24" width="12.81640625" customWidth="1"/>
    <col min="25" max="25" width="12.26953125" customWidth="1"/>
    <col min="26" max="26" width="12.1796875" customWidth="1"/>
    <col min="27" max="27" width="12" bestFit="1" customWidth="1"/>
    <col min="28" max="28" width="12.26953125" bestFit="1" customWidth="1"/>
  </cols>
  <sheetData>
    <row r="1" spans="1:28" ht="24.75" customHeight="1" x14ac:dyDescent="0.25"/>
    <row r="2" spans="1:28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2.75" customHeight="1" x14ac:dyDescent="0.25">
      <c r="A3" s="384" t="s">
        <v>150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spans="1:28" ht="13.5" customHeight="1" x14ac:dyDescent="0.25">
      <c r="A4" s="385" t="s">
        <v>227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</row>
    <row r="5" spans="1:28" ht="10.5" customHeight="1" x14ac:dyDescent="0.25"/>
    <row r="6" spans="1:28" ht="38.25" customHeight="1" x14ac:dyDescent="0.25">
      <c r="B6" s="367" t="s">
        <v>7</v>
      </c>
      <c r="C6" s="367" t="s">
        <v>66</v>
      </c>
      <c r="D6" s="367" t="s">
        <v>21</v>
      </c>
      <c r="E6" s="367" t="s">
        <v>149</v>
      </c>
      <c r="F6" s="367" t="s">
        <v>0</v>
      </c>
      <c r="G6" s="367" t="s">
        <v>2</v>
      </c>
      <c r="H6" s="367" t="s">
        <v>176</v>
      </c>
      <c r="I6" s="367" t="s">
        <v>67</v>
      </c>
      <c r="J6" s="367" t="s">
        <v>140</v>
      </c>
      <c r="K6" s="367" t="s">
        <v>141</v>
      </c>
      <c r="L6" s="367" t="s">
        <v>147</v>
      </c>
      <c r="M6" s="367" t="s">
        <v>29</v>
      </c>
      <c r="N6" s="367" t="s">
        <v>146</v>
      </c>
      <c r="O6" s="378" t="s">
        <v>68</v>
      </c>
      <c r="P6" s="380" t="s">
        <v>148</v>
      </c>
      <c r="Q6" s="369" t="s">
        <v>153</v>
      </c>
      <c r="R6" s="370"/>
      <c r="S6" s="370"/>
      <c r="T6" s="370"/>
      <c r="U6" s="371"/>
      <c r="V6" s="367" t="s">
        <v>215</v>
      </c>
      <c r="W6" s="367" t="s">
        <v>234</v>
      </c>
      <c r="X6" s="367" t="s">
        <v>154</v>
      </c>
      <c r="Y6" s="367" t="s">
        <v>189</v>
      </c>
      <c r="Z6" s="386" t="s">
        <v>82</v>
      </c>
    </row>
    <row r="7" spans="1:28" ht="78" customHeight="1" thickBot="1" x14ac:dyDescent="0.3">
      <c r="B7" s="368"/>
      <c r="C7" s="394"/>
      <c r="D7" s="394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79"/>
      <c r="P7" s="381"/>
      <c r="Q7" s="239" t="s">
        <v>216</v>
      </c>
      <c r="R7" s="239" t="s">
        <v>217</v>
      </c>
      <c r="S7" s="239" t="s">
        <v>219</v>
      </c>
      <c r="T7" s="347" t="s">
        <v>225</v>
      </c>
      <c r="U7" s="347" t="s">
        <v>218</v>
      </c>
      <c r="V7" s="368"/>
      <c r="W7" s="368"/>
      <c r="X7" s="368"/>
      <c r="Y7" s="368"/>
      <c r="Z7" s="387"/>
    </row>
    <row r="8" spans="1:28" ht="9.75" customHeight="1" x14ac:dyDescent="0.25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212</v>
      </c>
      <c r="P8" s="212">
        <v>15</v>
      </c>
      <c r="Q8" s="210">
        <v>17</v>
      </c>
      <c r="R8" s="210">
        <v>18</v>
      </c>
      <c r="S8" s="210">
        <v>19</v>
      </c>
      <c r="T8" s="210"/>
      <c r="U8" s="210">
        <v>20</v>
      </c>
      <c r="V8" s="210"/>
      <c r="W8" s="210"/>
      <c r="X8" s="210">
        <v>21</v>
      </c>
      <c r="Y8" s="210">
        <v>23</v>
      </c>
      <c r="Z8" s="213" t="s">
        <v>213</v>
      </c>
    </row>
    <row r="9" spans="1:28" ht="18.75" hidden="1" customHeight="1" x14ac:dyDescent="0.3">
      <c r="B9" s="115">
        <v>1</v>
      </c>
      <c r="C9" s="181" t="s">
        <v>124</v>
      </c>
      <c r="D9" s="181" t="s">
        <v>44</v>
      </c>
      <c r="E9" s="182" t="s">
        <v>69</v>
      </c>
      <c r="F9" s="182" t="s">
        <v>125</v>
      </c>
      <c r="G9" s="183" t="s">
        <v>45</v>
      </c>
      <c r="H9" s="352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8"/>
      <c r="R9" s="188"/>
      <c r="S9" s="188"/>
      <c r="T9" s="188"/>
      <c r="U9" s="188"/>
      <c r="V9" s="188"/>
      <c r="W9" s="188"/>
      <c r="X9" s="188"/>
      <c r="Y9" s="264"/>
      <c r="Z9" s="214">
        <f>O9</f>
        <v>9450000</v>
      </c>
    </row>
    <row r="10" spans="1:28" ht="18.75" customHeight="1" x14ac:dyDescent="0.25">
      <c r="B10" s="115">
        <v>1</v>
      </c>
      <c r="C10" s="181" t="s">
        <v>168</v>
      </c>
      <c r="D10" s="181" t="s">
        <v>169</v>
      </c>
      <c r="E10" s="258">
        <v>6</v>
      </c>
      <c r="F10" s="182" t="s">
        <v>174</v>
      </c>
      <c r="G10" s="183" t="s">
        <v>35</v>
      </c>
      <c r="H10" s="266">
        <v>0</v>
      </c>
      <c r="I10" s="260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330">
        <v>1017195</v>
      </c>
      <c r="Q10" s="331">
        <v>0</v>
      </c>
      <c r="R10" s="331">
        <v>0</v>
      </c>
      <c r="S10" s="331">
        <v>0</v>
      </c>
      <c r="T10" s="331">
        <v>0</v>
      </c>
      <c r="U10" s="331">
        <f t="shared" ref="U10:U22" si="0">10%*K10</f>
        <v>1230000</v>
      </c>
      <c r="V10" s="331">
        <v>0</v>
      </c>
      <c r="W10" s="331">
        <v>0</v>
      </c>
      <c r="X10" s="331">
        <v>0</v>
      </c>
      <c r="Y10" s="332">
        <f>SUM(P10:X10)</f>
        <v>2247195</v>
      </c>
      <c r="Z10" s="340">
        <f t="shared" ref="Z10:Z22" si="1">O10-(P10+Q10+R10+S10+T10+U10+V10+W10+X10)</f>
        <v>33503805</v>
      </c>
      <c r="AB10" s="20">
        <f>O10-Y10</f>
        <v>33503805</v>
      </c>
    </row>
    <row r="11" spans="1:28" ht="18.75" customHeight="1" x14ac:dyDescent="0.25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66">
        <v>6.2499999999999995E-3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2">SUM(I11:N11)</f>
        <v>36466000</v>
      </c>
      <c r="P11" s="333">
        <v>1107702</v>
      </c>
      <c r="Q11" s="332">
        <v>0</v>
      </c>
      <c r="R11" s="332">
        <v>0</v>
      </c>
      <c r="S11" s="331">
        <v>0</v>
      </c>
      <c r="T11" s="331">
        <v>0</v>
      </c>
      <c r="U11" s="331">
        <f t="shared" si="0"/>
        <v>1230000</v>
      </c>
      <c r="V11" s="332">
        <v>0</v>
      </c>
      <c r="W11" s="332">
        <v>1311388</v>
      </c>
      <c r="X11" s="332">
        <v>0</v>
      </c>
      <c r="Y11" s="332">
        <f>SUM(P11:X11)</f>
        <v>3649090</v>
      </c>
      <c r="Z11" s="340">
        <f t="shared" si="1"/>
        <v>32816910</v>
      </c>
      <c r="AB11" s="20">
        <f t="shared" ref="AB11:AB22" si="3">O11-Y11</f>
        <v>32816910</v>
      </c>
    </row>
    <row r="12" spans="1:28" ht="18.75" customHeight="1" x14ac:dyDescent="0.25">
      <c r="B12" s="115">
        <v>3</v>
      </c>
      <c r="C12" s="189" t="s">
        <v>167</v>
      </c>
      <c r="D12" s="189" t="s">
        <v>36</v>
      </c>
      <c r="E12" s="235">
        <v>7</v>
      </c>
      <c r="F12" s="194" t="s">
        <v>175</v>
      </c>
      <c r="G12" s="129" t="s">
        <v>45</v>
      </c>
      <c r="H12" s="259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2"/>
        <v>33945000</v>
      </c>
      <c r="P12" s="333">
        <v>837576</v>
      </c>
      <c r="Q12" s="332">
        <v>0</v>
      </c>
      <c r="R12" s="332">
        <v>0</v>
      </c>
      <c r="S12" s="331">
        <v>0</v>
      </c>
      <c r="T12" s="331">
        <v>0</v>
      </c>
      <c r="U12" s="331">
        <f t="shared" si="0"/>
        <v>1230000</v>
      </c>
      <c r="V12" s="332">
        <v>0</v>
      </c>
      <c r="W12" s="332">
        <v>0</v>
      </c>
      <c r="X12" s="332">
        <v>0</v>
      </c>
      <c r="Y12" s="332">
        <f t="shared" ref="Y12:Y22" si="4">SUM(P12:X12)</f>
        <v>2067576</v>
      </c>
      <c r="Z12" s="340">
        <f t="shared" si="1"/>
        <v>31877424</v>
      </c>
      <c r="AB12" s="20">
        <f t="shared" si="3"/>
        <v>31877424</v>
      </c>
    </row>
    <row r="13" spans="1:28" ht="18.75" customHeight="1" x14ac:dyDescent="0.25">
      <c r="B13" s="129">
        <v>4</v>
      </c>
      <c r="C13" s="189" t="s">
        <v>170</v>
      </c>
      <c r="D13" s="189" t="s">
        <v>173</v>
      </c>
      <c r="E13" s="235">
        <v>6</v>
      </c>
      <c r="F13" s="194" t="s">
        <v>58</v>
      </c>
      <c r="G13" s="129" t="s">
        <v>31</v>
      </c>
      <c r="H13" s="267">
        <v>2.0833333333333333E-3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2"/>
        <v>35029000</v>
      </c>
      <c r="P13" s="333">
        <v>962325</v>
      </c>
      <c r="Q13" s="332">
        <v>0</v>
      </c>
      <c r="R13" s="332">
        <v>0</v>
      </c>
      <c r="S13" s="331">
        <v>0</v>
      </c>
      <c r="T13" s="331">
        <v>0</v>
      </c>
      <c r="U13" s="331">
        <f t="shared" si="0"/>
        <v>1230000</v>
      </c>
      <c r="V13" s="332">
        <v>0</v>
      </c>
      <c r="W13" s="332">
        <v>0</v>
      </c>
      <c r="X13" s="332">
        <v>0</v>
      </c>
      <c r="Y13" s="332">
        <f t="shared" si="4"/>
        <v>2192325</v>
      </c>
      <c r="Z13" s="340">
        <f t="shared" si="1"/>
        <v>32836675</v>
      </c>
      <c r="AB13" s="20">
        <f t="shared" si="3"/>
        <v>32836675</v>
      </c>
    </row>
    <row r="14" spans="1:28" ht="18.75" customHeight="1" x14ac:dyDescent="0.25">
      <c r="B14" s="129">
        <v>5</v>
      </c>
      <c r="C14" s="189" t="s">
        <v>171</v>
      </c>
      <c r="D14" s="189" t="s">
        <v>99</v>
      </c>
      <c r="E14" s="235">
        <v>6</v>
      </c>
      <c r="F14" s="190" t="s">
        <v>121</v>
      </c>
      <c r="G14" s="129" t="s">
        <v>31</v>
      </c>
      <c r="H14" s="265" t="s">
        <v>235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333">
        <v>899809</v>
      </c>
      <c r="Q14" s="332">
        <v>0</v>
      </c>
      <c r="R14" s="332">
        <v>0</v>
      </c>
      <c r="S14" s="331">
        <v>0</v>
      </c>
      <c r="T14" s="331">
        <v>0</v>
      </c>
      <c r="U14" s="331">
        <f t="shared" si="0"/>
        <v>1230000</v>
      </c>
      <c r="V14" s="332">
        <v>0</v>
      </c>
      <c r="W14" s="332">
        <v>0</v>
      </c>
      <c r="X14" s="332">
        <v>0</v>
      </c>
      <c r="Y14" s="332">
        <f t="shared" si="4"/>
        <v>2129809</v>
      </c>
      <c r="Z14" s="340">
        <f t="shared" si="1"/>
        <v>32899191</v>
      </c>
      <c r="AB14" s="20">
        <f t="shared" si="3"/>
        <v>32899191</v>
      </c>
    </row>
    <row r="15" spans="1:28" ht="18.75" customHeight="1" x14ac:dyDescent="0.25">
      <c r="B15" s="115">
        <v>6</v>
      </c>
      <c r="C15" s="189" t="s">
        <v>98</v>
      </c>
      <c r="D15" s="189" t="s">
        <v>120</v>
      </c>
      <c r="E15" s="235">
        <v>7</v>
      </c>
      <c r="F15" s="190" t="s">
        <v>100</v>
      </c>
      <c r="G15" s="129" t="s">
        <v>1</v>
      </c>
      <c r="H15" s="266">
        <v>2.013888888888889E-2</v>
      </c>
      <c r="I15" s="191">
        <v>7823000</v>
      </c>
      <c r="J15" s="192">
        <v>4342000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2"/>
        <v>33565000</v>
      </c>
      <c r="P15" s="333">
        <v>867964</v>
      </c>
      <c r="Q15" s="332">
        <v>0</v>
      </c>
      <c r="R15" s="332">
        <v>0</v>
      </c>
      <c r="S15" s="331">
        <v>0</v>
      </c>
      <c r="T15" s="331">
        <v>0</v>
      </c>
      <c r="U15" s="331">
        <f t="shared" si="0"/>
        <v>1230000</v>
      </c>
      <c r="V15" s="332">
        <v>0</v>
      </c>
      <c r="W15" s="332">
        <v>0</v>
      </c>
      <c r="X15" s="332">
        <v>0</v>
      </c>
      <c r="Y15" s="332">
        <f t="shared" si="4"/>
        <v>2097964</v>
      </c>
      <c r="Z15" s="340">
        <f t="shared" si="1"/>
        <v>31467036</v>
      </c>
      <c r="AB15" s="20">
        <f t="shared" si="3"/>
        <v>31467036</v>
      </c>
    </row>
    <row r="16" spans="1:28" ht="19.5" customHeight="1" x14ac:dyDescent="0.3">
      <c r="B16" s="129">
        <v>7</v>
      </c>
      <c r="C16" s="196" t="s">
        <v>75</v>
      </c>
      <c r="D16" s="189" t="s">
        <v>76</v>
      </c>
      <c r="E16" s="235">
        <v>8</v>
      </c>
      <c r="F16" s="197" t="s">
        <v>79</v>
      </c>
      <c r="G16" s="198" t="s">
        <v>31</v>
      </c>
      <c r="H16" s="266">
        <v>1.3888888888888888E-2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334">
        <v>800428</v>
      </c>
      <c r="Q16" s="335">
        <v>0</v>
      </c>
      <c r="R16" s="335">
        <v>0</v>
      </c>
      <c r="S16" s="331">
        <v>0</v>
      </c>
      <c r="T16" s="331">
        <v>0</v>
      </c>
      <c r="U16" s="331">
        <f t="shared" si="0"/>
        <v>780000</v>
      </c>
      <c r="V16" s="335">
        <v>0</v>
      </c>
      <c r="W16" s="337">
        <v>838771</v>
      </c>
      <c r="X16" s="335">
        <v>0</v>
      </c>
      <c r="Y16" s="332">
        <f t="shared" si="4"/>
        <v>2419199</v>
      </c>
      <c r="Z16" s="340">
        <f t="shared" si="1"/>
        <v>21562801</v>
      </c>
      <c r="AB16" s="20">
        <f t="shared" si="3"/>
        <v>21562801</v>
      </c>
    </row>
    <row r="17" spans="2:28" ht="18.75" customHeight="1" x14ac:dyDescent="0.25">
      <c r="B17" s="115">
        <v>8</v>
      </c>
      <c r="C17" s="189" t="s">
        <v>84</v>
      </c>
      <c r="D17" s="189" t="s">
        <v>111</v>
      </c>
      <c r="E17" s="235">
        <v>9</v>
      </c>
      <c r="F17" s="195" t="s">
        <v>85</v>
      </c>
      <c r="G17" s="129" t="s">
        <v>45</v>
      </c>
      <c r="H17" s="266">
        <v>1.3194444444444444E-2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2"/>
        <v>22736000</v>
      </c>
      <c r="P17" s="333">
        <v>721488</v>
      </c>
      <c r="Q17" s="332">
        <v>0</v>
      </c>
      <c r="R17" s="332">
        <v>0</v>
      </c>
      <c r="S17" s="331">
        <v>0</v>
      </c>
      <c r="T17" s="331">
        <v>0</v>
      </c>
      <c r="U17" s="331">
        <f t="shared" si="0"/>
        <v>780000</v>
      </c>
      <c r="V17" s="332">
        <v>0</v>
      </c>
      <c r="W17" s="332">
        <v>942868</v>
      </c>
      <c r="X17" s="332">
        <v>0</v>
      </c>
      <c r="Y17" s="332">
        <f t="shared" si="4"/>
        <v>2444356</v>
      </c>
      <c r="Z17" s="340">
        <f t="shared" si="1"/>
        <v>20291644</v>
      </c>
      <c r="AB17" s="20">
        <f t="shared" si="3"/>
        <v>20291644</v>
      </c>
    </row>
    <row r="18" spans="2:28" ht="18.75" customHeight="1" x14ac:dyDescent="0.3">
      <c r="B18" s="129">
        <v>9</v>
      </c>
      <c r="C18" s="196" t="s">
        <v>204</v>
      </c>
      <c r="D18" s="189" t="s">
        <v>133</v>
      </c>
      <c r="E18" s="235">
        <v>10</v>
      </c>
      <c r="F18" s="197" t="s">
        <v>205</v>
      </c>
      <c r="G18" s="198" t="s">
        <v>34</v>
      </c>
      <c r="H18" s="267">
        <v>6.9444444444444441E-3</v>
      </c>
      <c r="I18" s="199">
        <v>5400000</v>
      </c>
      <c r="J18" s="200">
        <v>3479000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21829000</v>
      </c>
      <c r="P18" s="334">
        <v>653736</v>
      </c>
      <c r="Q18" s="335">
        <v>0</v>
      </c>
      <c r="R18" s="335">
        <v>0</v>
      </c>
      <c r="S18" s="331">
        <v>0</v>
      </c>
      <c r="T18" s="331">
        <v>0</v>
      </c>
      <c r="U18" s="331">
        <f t="shared" si="0"/>
        <v>780000</v>
      </c>
      <c r="V18" s="335">
        <v>0</v>
      </c>
      <c r="W18" s="337">
        <v>0</v>
      </c>
      <c r="X18" s="335">
        <v>0</v>
      </c>
      <c r="Y18" s="332">
        <f t="shared" si="4"/>
        <v>1433736</v>
      </c>
      <c r="Z18" s="340">
        <f t="shared" si="1"/>
        <v>20395264</v>
      </c>
      <c r="AB18" s="20">
        <f t="shared" si="3"/>
        <v>20395264</v>
      </c>
    </row>
    <row r="19" spans="2:28" ht="18.75" customHeight="1" x14ac:dyDescent="0.3">
      <c r="B19" s="115">
        <v>10</v>
      </c>
      <c r="C19" s="196" t="s">
        <v>172</v>
      </c>
      <c r="D19" s="189" t="s">
        <v>135</v>
      </c>
      <c r="E19" s="235">
        <v>8</v>
      </c>
      <c r="F19" s="197" t="s">
        <v>134</v>
      </c>
      <c r="G19" s="198" t="s">
        <v>34</v>
      </c>
      <c r="H19" s="266">
        <v>7.6388888888888886E-3</v>
      </c>
      <c r="I19" s="199">
        <v>7230000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24294000</v>
      </c>
      <c r="P19" s="334">
        <v>843888</v>
      </c>
      <c r="Q19" s="335">
        <v>0</v>
      </c>
      <c r="R19" s="335">
        <v>0</v>
      </c>
      <c r="S19" s="331">
        <v>0</v>
      </c>
      <c r="T19" s="331">
        <v>0</v>
      </c>
      <c r="U19" s="331">
        <f t="shared" si="0"/>
        <v>780000</v>
      </c>
      <c r="V19" s="336">
        <v>0</v>
      </c>
      <c r="W19" s="344">
        <v>0</v>
      </c>
      <c r="X19" s="336">
        <v>0</v>
      </c>
      <c r="Y19" s="332">
        <f t="shared" si="4"/>
        <v>1623888</v>
      </c>
      <c r="Z19" s="340">
        <f t="shared" si="1"/>
        <v>22670112</v>
      </c>
      <c r="AB19" s="20">
        <f t="shared" si="3"/>
        <v>22670112</v>
      </c>
    </row>
    <row r="20" spans="2:28" ht="18.75" customHeight="1" x14ac:dyDescent="0.3">
      <c r="B20" s="129">
        <v>11</v>
      </c>
      <c r="C20" s="196" t="s">
        <v>211</v>
      </c>
      <c r="D20" s="189" t="s">
        <v>201</v>
      </c>
      <c r="E20" s="235">
        <v>8</v>
      </c>
      <c r="F20" s="197" t="s">
        <v>126</v>
      </c>
      <c r="G20" s="198" t="s">
        <v>34</v>
      </c>
      <c r="H20" s="266">
        <v>2.0833333333333333E-3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2"/>
        <v>23982000</v>
      </c>
      <c r="P20" s="334">
        <v>740616</v>
      </c>
      <c r="Q20" s="337">
        <v>0</v>
      </c>
      <c r="R20" s="337">
        <v>0</v>
      </c>
      <c r="S20" s="331">
        <v>0</v>
      </c>
      <c r="T20" s="331">
        <v>0</v>
      </c>
      <c r="U20" s="331">
        <f t="shared" si="0"/>
        <v>780000</v>
      </c>
      <c r="V20" s="344">
        <v>0</v>
      </c>
      <c r="W20" s="344">
        <v>0</v>
      </c>
      <c r="X20" s="336">
        <v>0</v>
      </c>
      <c r="Y20" s="332">
        <f t="shared" si="4"/>
        <v>1520616</v>
      </c>
      <c r="Z20" s="340">
        <f t="shared" si="1"/>
        <v>22461384</v>
      </c>
      <c r="AB20" s="20">
        <f t="shared" si="3"/>
        <v>22461384</v>
      </c>
    </row>
    <row r="21" spans="2:28" ht="18.75" customHeight="1" x14ac:dyDescent="0.3">
      <c r="B21" s="115">
        <v>12</v>
      </c>
      <c r="C21" s="196" t="s">
        <v>87</v>
      </c>
      <c r="D21" s="189" t="s">
        <v>52</v>
      </c>
      <c r="E21" s="235">
        <v>11</v>
      </c>
      <c r="F21" s="197" t="s">
        <v>88</v>
      </c>
      <c r="G21" s="198" t="s">
        <v>34</v>
      </c>
      <c r="H21" s="267">
        <v>6.3888888888888884E-2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5">SUM(I21:K21)</f>
        <v>13978000</v>
      </c>
      <c r="P21" s="334">
        <v>587551</v>
      </c>
      <c r="Q21" s="335">
        <f>10%*K21</f>
        <v>600000</v>
      </c>
      <c r="R21" s="335">
        <v>0</v>
      </c>
      <c r="S21" s="331">
        <v>0</v>
      </c>
      <c r="T21" s="331">
        <v>0</v>
      </c>
      <c r="U21" s="331">
        <f t="shared" si="0"/>
        <v>600000</v>
      </c>
      <c r="V21" s="335">
        <v>0</v>
      </c>
      <c r="W21" s="337">
        <v>698143</v>
      </c>
      <c r="X21" s="337">
        <v>6502</v>
      </c>
      <c r="Y21" s="332">
        <f t="shared" si="4"/>
        <v>2492196</v>
      </c>
      <c r="Z21" s="340">
        <f t="shared" si="1"/>
        <v>11485804</v>
      </c>
      <c r="AB21" s="20">
        <f t="shared" si="3"/>
        <v>11485804</v>
      </c>
    </row>
    <row r="22" spans="2:28" ht="18.75" customHeight="1" x14ac:dyDescent="0.3">
      <c r="B22" s="151">
        <v>13</v>
      </c>
      <c r="C22" s="202" t="s">
        <v>77</v>
      </c>
      <c r="D22" s="203" t="s">
        <v>52</v>
      </c>
      <c r="E22" s="236">
        <v>11</v>
      </c>
      <c r="F22" s="204" t="s">
        <v>78</v>
      </c>
      <c r="G22" s="205" t="s">
        <v>1</v>
      </c>
      <c r="H22" s="353">
        <v>1.5277777777777777E-2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5"/>
        <v>13978000</v>
      </c>
      <c r="P22" s="338">
        <v>587551</v>
      </c>
      <c r="Q22" s="339">
        <v>0</v>
      </c>
      <c r="R22" s="339">
        <v>0</v>
      </c>
      <c r="S22" s="331">
        <v>0</v>
      </c>
      <c r="T22" s="331">
        <v>0</v>
      </c>
      <c r="U22" s="331">
        <f t="shared" si="0"/>
        <v>600000</v>
      </c>
      <c r="V22" s="339">
        <v>0</v>
      </c>
      <c r="W22" s="354">
        <v>717102</v>
      </c>
      <c r="X22" s="339">
        <v>0</v>
      </c>
      <c r="Y22" s="332">
        <f t="shared" si="4"/>
        <v>1904653</v>
      </c>
      <c r="Z22" s="340">
        <f t="shared" si="1"/>
        <v>12073347</v>
      </c>
      <c r="AB22" s="20">
        <f t="shared" si="3"/>
        <v>12073347</v>
      </c>
    </row>
    <row r="23" spans="2:28" ht="14.5" x14ac:dyDescent="0.35">
      <c r="B23" s="74"/>
      <c r="C23" s="74"/>
      <c r="D23" s="74"/>
      <c r="E23" s="74"/>
      <c r="F23" s="73"/>
      <c r="G23" s="21"/>
      <c r="H23" s="21"/>
      <c r="I23" s="376">
        <f>SUM(I10:I22)</f>
        <v>95672000</v>
      </c>
      <c r="J23" s="376">
        <f>SUM(J10:J22)</f>
        <v>53742000</v>
      </c>
      <c r="K23" s="376">
        <f>K10+K11+K12+K13+K14+K15+K16+K17+K18+K19+K20+K21+K22</f>
        <v>124800000</v>
      </c>
      <c r="L23" s="382">
        <f>SUM(L10:L22)</f>
        <v>5350000</v>
      </c>
      <c r="M23" s="382">
        <f>SUM(M10:M22)</f>
        <v>38000000</v>
      </c>
      <c r="N23" s="382">
        <f>SUM(N9:N22)</f>
        <v>37000000</v>
      </c>
      <c r="O23" s="390">
        <f>O10+O11+O12+O13+O14+O15+O16+O17+O18+O19+O20+O21+O22</f>
        <v>354564000</v>
      </c>
      <c r="P23" s="392">
        <f>P10+P11+P12+P13+P14+P15+P16+P17+P18+P19+P20+P21+P22</f>
        <v>10627829</v>
      </c>
      <c r="Q23" s="372">
        <f>Q10+Q11+Q12+Q13+Q14+Q15+Q16+Q17+Q18+Q19+Q20+Q21+Q22</f>
        <v>600000</v>
      </c>
      <c r="R23" s="372">
        <f t="shared" ref="R23:Y23" si="6">SUM(R10:R22)</f>
        <v>0</v>
      </c>
      <c r="S23" s="372">
        <f t="shared" si="6"/>
        <v>0</v>
      </c>
      <c r="T23" s="372">
        <f t="shared" si="6"/>
        <v>0</v>
      </c>
      <c r="U23" s="372">
        <f t="shared" si="6"/>
        <v>12480000</v>
      </c>
      <c r="V23" s="372">
        <f t="shared" si="6"/>
        <v>0</v>
      </c>
      <c r="W23" s="372">
        <f>SUM(W10:W22)</f>
        <v>4508272</v>
      </c>
      <c r="X23" s="372">
        <f t="shared" si="6"/>
        <v>6502</v>
      </c>
      <c r="Y23" s="374">
        <f t="shared" si="6"/>
        <v>28222603</v>
      </c>
      <c r="Z23" s="388">
        <f>Z10+Z11+Z12+Z13+Z14+Z15+Z16+Z17+Z18+Z19+Z20+Z21+Z22</f>
        <v>326341397</v>
      </c>
      <c r="AB23" s="20"/>
    </row>
    <row r="24" spans="2:28" ht="15" thickBot="1" x14ac:dyDescent="0.4">
      <c r="B24" s="75"/>
      <c r="C24" s="75"/>
      <c r="D24" s="75"/>
      <c r="E24" s="75"/>
      <c r="F24" s="76"/>
      <c r="G24" s="77"/>
      <c r="H24" s="77"/>
      <c r="I24" s="377"/>
      <c r="J24" s="377"/>
      <c r="K24" s="377"/>
      <c r="L24" s="383"/>
      <c r="M24" s="383"/>
      <c r="N24" s="383"/>
      <c r="O24" s="391"/>
      <c r="P24" s="393"/>
      <c r="Q24" s="373"/>
      <c r="R24" s="373"/>
      <c r="S24" s="373"/>
      <c r="T24" s="373"/>
      <c r="U24" s="373"/>
      <c r="V24" s="373"/>
      <c r="W24" s="373"/>
      <c r="X24" s="373"/>
      <c r="Y24" s="375"/>
      <c r="Z24" s="389"/>
      <c r="AB24" s="93">
        <f>P23+Q23+R23+S23+T23+U23+V23+X23</f>
        <v>23714331</v>
      </c>
    </row>
    <row r="25" spans="2:28" ht="13" thickTop="1" x14ac:dyDescent="0.25">
      <c r="AB25" s="20">
        <f>O23-AB24</f>
        <v>330849669</v>
      </c>
    </row>
    <row r="26" spans="2:28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8" ht="13" x14ac:dyDescent="0.3">
      <c r="B27" s="27"/>
      <c r="C27" s="26"/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26"/>
      <c r="W27" s="26"/>
      <c r="X27" s="365" t="s">
        <v>228</v>
      </c>
      <c r="Y27" s="365"/>
      <c r="Z27" s="365"/>
      <c r="AA27" s="365"/>
      <c r="AB27" s="20">
        <f>O23-AB24</f>
        <v>330849669</v>
      </c>
    </row>
    <row r="28" spans="2:28" ht="13" x14ac:dyDescent="0.3">
      <c r="B28" s="27"/>
      <c r="C28" s="26"/>
      <c r="D28" s="26"/>
      <c r="E28" s="26"/>
      <c r="F28" s="26"/>
      <c r="G28" s="26"/>
      <c r="H28" s="26"/>
      <c r="I28" s="26"/>
      <c r="J28" s="26"/>
      <c r="Q28" s="254"/>
      <c r="R28" s="254"/>
      <c r="S28" s="254"/>
      <c r="T28" s="254"/>
      <c r="U28" s="254"/>
      <c r="V28" s="254"/>
      <c r="W28" s="254"/>
      <c r="X28" s="365" t="s">
        <v>36</v>
      </c>
      <c r="Y28" s="365"/>
      <c r="Z28" s="365"/>
      <c r="AA28" s="365"/>
    </row>
    <row r="29" spans="2:28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4"/>
      <c r="R29" s="254"/>
      <c r="S29" s="254"/>
      <c r="T29" s="254"/>
      <c r="U29" s="254"/>
      <c r="V29" s="254"/>
      <c r="W29" s="254"/>
      <c r="X29" s="120"/>
      <c r="Y29" s="120"/>
      <c r="Z29" s="120"/>
      <c r="AA29" s="120"/>
      <c r="AB29" s="20"/>
    </row>
    <row r="30" spans="2:28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4"/>
      <c r="R30" s="254"/>
      <c r="S30" s="254"/>
      <c r="T30" s="254"/>
      <c r="U30" s="254"/>
      <c r="V30" s="254"/>
      <c r="W30" s="254"/>
      <c r="X30" s="120"/>
      <c r="Y30" s="120"/>
      <c r="Z30" s="120"/>
      <c r="AA30" s="285"/>
    </row>
    <row r="31" spans="2:28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285"/>
    </row>
    <row r="32" spans="2:28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120"/>
      <c r="X32" s="366" t="s">
        <v>167</v>
      </c>
      <c r="Y32" s="366"/>
      <c r="Z32" s="366"/>
      <c r="AA32" s="366"/>
    </row>
    <row r="33" spans="2:26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2:26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120"/>
      <c r="W34" s="120"/>
      <c r="X34" s="365"/>
      <c r="Y34" s="365"/>
      <c r="Z34" s="365"/>
    </row>
    <row r="35" spans="2:26" ht="13" x14ac:dyDescent="0.3">
      <c r="Q35" s="255"/>
      <c r="R35" s="255"/>
      <c r="S35" s="255"/>
      <c r="T35" s="255"/>
      <c r="U35" s="255" t="s">
        <v>43</v>
      </c>
      <c r="V35" s="255"/>
      <c r="W35" s="255"/>
      <c r="X35" s="255"/>
      <c r="Y35" s="255"/>
      <c r="Z35" s="255"/>
    </row>
    <row r="36" spans="2:26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6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6" ht="13" x14ac:dyDescent="0.3">
      <c r="B38" s="27"/>
      <c r="C38" s="26"/>
      <c r="D38" s="158"/>
      <c r="E38" s="26"/>
      <c r="F38" s="26"/>
      <c r="G38" s="26"/>
      <c r="H38" s="26"/>
      <c r="I38" s="26"/>
      <c r="J38" s="26"/>
    </row>
    <row r="39" spans="2:26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6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6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6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258892000</v>
      </c>
    </row>
    <row r="43" spans="2:26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303086600</v>
      </c>
    </row>
    <row r="44" spans="2:26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151</v>
      </c>
      <c r="F57" s="20">
        <f>95672000+40407095</f>
        <v>136079095</v>
      </c>
    </row>
    <row r="58" spans="5:9" x14ac:dyDescent="0.25">
      <c r="E58" t="s">
        <v>152</v>
      </c>
      <c r="F58" s="20">
        <f>J23+K23+L23+M23+N23+44194600</f>
        <v>303086600</v>
      </c>
      <c r="H58" s="152"/>
      <c r="I58" s="20"/>
    </row>
    <row r="60" spans="5:9" x14ac:dyDescent="0.25">
      <c r="E60" s="20"/>
    </row>
  </sheetData>
  <mergeCells count="45">
    <mergeCell ref="A3:Z3"/>
    <mergeCell ref="A4:Z4"/>
    <mergeCell ref="Z6:Z7"/>
    <mergeCell ref="Z23:Z24"/>
    <mergeCell ref="O23:O24"/>
    <mergeCell ref="P23:P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I6:I7"/>
    <mergeCell ref="X34:Z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Y6:Y7"/>
    <mergeCell ref="Q23:Q24"/>
    <mergeCell ref="R23:R24"/>
    <mergeCell ref="U23:U24"/>
    <mergeCell ref="X27:AA27"/>
    <mergeCell ref="X28:AA28"/>
    <mergeCell ref="X32:AA32"/>
    <mergeCell ref="X6:X7"/>
    <mergeCell ref="Q6:U6"/>
    <mergeCell ref="S23:S24"/>
    <mergeCell ref="X23:X24"/>
    <mergeCell ref="Y23:Y24"/>
    <mergeCell ref="V6:V7"/>
    <mergeCell ref="T23:T24"/>
    <mergeCell ref="V23:V24"/>
    <mergeCell ref="W6:W7"/>
    <mergeCell ref="W23:W24"/>
  </mergeCells>
  <printOptions horizontalCentered="1"/>
  <pageMargins left="0" right="0" top="0" bottom="0.74803149606299202" header="0.31496062992126" footer="0.31496062992126"/>
  <pageSetup paperSize="9" scale="43" orientation="landscape" horizontalDpi="4294967293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topLeftCell="J17" zoomScaleNormal="100" workbookViewId="0">
      <selection activeCell="Z28" sqref="Z2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13.54296875" bestFit="1" customWidth="1"/>
    <col min="6" max="6" width="4.453125" bestFit="1" customWidth="1"/>
    <col min="7" max="7" width="23" bestFit="1" customWidth="1"/>
    <col min="8" max="8" width="22.90625" bestFit="1" customWidth="1"/>
    <col min="9" max="9" width="21.90625" bestFit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5" t="s">
        <v>42</v>
      </c>
      <c r="B1" s="35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13"/>
      <c r="B2" s="31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56" t="s">
        <v>165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</row>
    <row r="5" spans="1:32" ht="16.5" customHeight="1" x14ac:dyDescent="0.25">
      <c r="A5" s="13"/>
      <c r="B5" s="356" t="s">
        <v>227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7" t="s">
        <v>7</v>
      </c>
      <c r="B7" s="357" t="s">
        <v>66</v>
      </c>
      <c r="C7" s="357" t="s">
        <v>21</v>
      </c>
      <c r="D7" s="357" t="s">
        <v>0</v>
      </c>
      <c r="E7" s="357" t="s">
        <v>2</v>
      </c>
      <c r="F7" s="357" t="s">
        <v>16</v>
      </c>
      <c r="G7" s="357" t="s">
        <v>17</v>
      </c>
      <c r="H7" s="357" t="s">
        <v>18</v>
      </c>
      <c r="I7" s="357" t="s">
        <v>6</v>
      </c>
      <c r="J7" s="357" t="s">
        <v>23</v>
      </c>
      <c r="K7" s="357" t="s">
        <v>4</v>
      </c>
      <c r="L7" s="357" t="s">
        <v>3</v>
      </c>
      <c r="M7" s="357" t="s">
        <v>19</v>
      </c>
      <c r="N7" s="357" t="s">
        <v>9</v>
      </c>
      <c r="O7" s="357" t="s">
        <v>8</v>
      </c>
      <c r="P7" s="357" t="s">
        <v>5</v>
      </c>
      <c r="Q7" s="357" t="s">
        <v>11</v>
      </c>
      <c r="R7" s="357" t="s">
        <v>10</v>
      </c>
      <c r="S7" s="22" t="s">
        <v>12</v>
      </c>
      <c r="T7" s="22"/>
      <c r="U7" s="22"/>
      <c r="V7" s="22"/>
      <c r="W7" s="22"/>
      <c r="X7" s="360" t="s">
        <v>24</v>
      </c>
    </row>
    <row r="8" spans="1:32" ht="20.149999999999999" customHeight="1" x14ac:dyDescent="0.25">
      <c r="A8" s="358"/>
      <c r="B8" s="359"/>
      <c r="C8" s="359"/>
      <c r="D8" s="359"/>
      <c r="E8" s="359"/>
      <c r="F8" s="359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0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10421320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24" t="s">
        <v>119</v>
      </c>
      <c r="Y10">
        <f>'NET PEGAWAI PTP'!L8</f>
        <v>10831645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10421320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24" t="s">
        <v>28</v>
      </c>
      <c r="Y11">
        <f>'NET PEGAWAI PTP'!L9</f>
        <v>10831645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6177303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25" t="s">
        <v>64</v>
      </c>
      <c r="Y12">
        <f>'NET PEGAWAI PTP'!L10</f>
        <v>6430645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6900420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25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102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6118230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25" t="s">
        <v>109</v>
      </c>
      <c r="Z14" s="30"/>
      <c r="AA14" s="48"/>
      <c r="AD14" s="152"/>
      <c r="AE14" s="179"/>
      <c r="AF14" s="20"/>
    </row>
    <row r="15" spans="1:32" ht="20.149999999999999" customHeight="1" x14ac:dyDescent="0.35">
      <c r="A15" s="122">
        <v>6</v>
      </c>
      <c r="B15" s="46" t="s">
        <v>198</v>
      </c>
      <c r="C15" s="36" t="s">
        <v>86</v>
      </c>
      <c r="D15" s="61"/>
      <c r="E15" s="62"/>
      <c r="F15" s="63"/>
      <c r="G15" s="64"/>
      <c r="H15" s="64"/>
      <c r="I15" s="64"/>
      <c r="J15" s="70">
        <f>'NET PEGAWAI PTP'!X19</f>
        <v>4269420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26" t="s">
        <v>203</v>
      </c>
      <c r="Z15" s="30"/>
      <c r="AA15" s="48"/>
      <c r="AD15" s="152"/>
      <c r="AE15" s="20"/>
    </row>
    <row r="16" spans="1:32" ht="20.149999999999999" customHeight="1" x14ac:dyDescent="0.35">
      <c r="A16" s="122">
        <v>7</v>
      </c>
      <c r="B16" s="46" t="s">
        <v>108</v>
      </c>
      <c r="C16" s="36" t="s">
        <v>86</v>
      </c>
      <c r="D16" s="61"/>
      <c r="E16" s="62"/>
      <c r="F16" s="63"/>
      <c r="G16" s="64"/>
      <c r="H16" s="64"/>
      <c r="I16" s="64"/>
      <c r="J16" s="70">
        <f>'NET PEGAWAI PTP'!X14</f>
        <v>5877305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25" t="s">
        <v>110</v>
      </c>
      <c r="Z16" s="30"/>
      <c r="AA16" s="48"/>
      <c r="AD16" s="152"/>
      <c r="AE16" s="179"/>
      <c r="AF16" s="20"/>
    </row>
    <row r="17" spans="1:31" ht="20.149999999999999" customHeight="1" x14ac:dyDescent="0.35">
      <c r="A17" s="126">
        <v>8</v>
      </c>
      <c r="B17" s="46" t="s">
        <v>96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6166357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25" t="s">
        <v>97</v>
      </c>
      <c r="Z17" s="30"/>
      <c r="AA17" s="48"/>
      <c r="AD17" s="252"/>
      <c r="AE17" s="253"/>
    </row>
    <row r="18" spans="1:31" ht="20.149999999999999" customHeight="1" x14ac:dyDescent="0.35">
      <c r="A18" s="122">
        <v>9</v>
      </c>
      <c r="B18" s="240" t="s">
        <v>115</v>
      </c>
      <c r="C18" s="241" t="s">
        <v>86</v>
      </c>
      <c r="D18" s="242"/>
      <c r="E18" s="243"/>
      <c r="F18" s="244"/>
      <c r="G18" s="245"/>
      <c r="H18" s="245"/>
      <c r="I18" s="245"/>
      <c r="J18" s="246">
        <f>'NET PEGAWAI PTP'!X16</f>
        <v>6148419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27" t="s">
        <v>114</v>
      </c>
      <c r="Z18" s="30"/>
      <c r="AA18" s="48"/>
    </row>
    <row r="19" spans="1:31" ht="20.149999999999999" customHeight="1" x14ac:dyDescent="0.35">
      <c r="A19" s="122">
        <v>10</v>
      </c>
      <c r="B19" s="46" t="s">
        <v>90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6179293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25" t="s">
        <v>182</v>
      </c>
      <c r="Z19" s="30"/>
      <c r="AA19" s="48"/>
    </row>
    <row r="20" spans="1:31" ht="20.149999999999999" customHeight="1" x14ac:dyDescent="0.35">
      <c r="A20" s="126">
        <v>11</v>
      </c>
      <c r="B20" s="46" t="s">
        <v>210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6243120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202</v>
      </c>
      <c r="Z20" s="30"/>
      <c r="AA20" s="48"/>
    </row>
    <row r="21" spans="1:31" ht="20.149999999999999" customHeight="1" x14ac:dyDescent="0.35">
      <c r="A21" s="126">
        <v>12</v>
      </c>
      <c r="B21" s="315" t="s">
        <v>127</v>
      </c>
      <c r="C21" s="316" t="s">
        <v>50</v>
      </c>
      <c r="D21" s="317"/>
      <c r="E21" s="318"/>
      <c r="F21" s="319"/>
      <c r="G21" s="320"/>
      <c r="H21" s="320"/>
      <c r="I21" s="320"/>
      <c r="J21" s="321">
        <f>'NET PEGAWAI PTP'!X17</f>
        <v>6132976</v>
      </c>
      <c r="K21" s="322"/>
      <c r="L21" s="322"/>
      <c r="M21" s="322"/>
      <c r="N21" s="319"/>
      <c r="O21" s="323"/>
      <c r="P21" s="322"/>
      <c r="Q21" s="319"/>
      <c r="R21" s="319"/>
      <c r="S21" s="323"/>
      <c r="T21" s="323"/>
      <c r="U21" s="323"/>
      <c r="V21" s="323"/>
      <c r="W21" s="323"/>
      <c r="X21" s="251" t="s">
        <v>129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61">
        <f>SUM(F9:F11)</f>
        <v>0</v>
      </c>
      <c r="G22" s="361">
        <f>SUM(G9:G11)</f>
        <v>0</v>
      </c>
      <c r="H22" s="361">
        <f>SUM(H9:H11)</f>
        <v>0</v>
      </c>
      <c r="I22" s="361">
        <f>SUM(I9:I11)</f>
        <v>0</v>
      </c>
      <c r="J22" s="363">
        <f>SUM(J10:J21)</f>
        <v>81055483</v>
      </c>
      <c r="K22" s="361">
        <f t="shared" ref="K22:W22" si="0">SUM(K9:K11)</f>
        <v>0</v>
      </c>
      <c r="L22" s="361">
        <f t="shared" si="0"/>
        <v>0</v>
      </c>
      <c r="M22" s="361">
        <f t="shared" si="0"/>
        <v>0</v>
      </c>
      <c r="N22" s="361">
        <f t="shared" si="0"/>
        <v>0</v>
      </c>
      <c r="O22" s="361">
        <f t="shared" si="0"/>
        <v>0</v>
      </c>
      <c r="P22" s="361">
        <f t="shared" si="0"/>
        <v>0</v>
      </c>
      <c r="Q22" s="361">
        <f t="shared" si="0"/>
        <v>0</v>
      </c>
      <c r="R22" s="361">
        <f t="shared" si="0"/>
        <v>0</v>
      </c>
      <c r="S22" s="361">
        <f t="shared" si="0"/>
        <v>0</v>
      </c>
      <c r="T22" s="361">
        <f t="shared" si="0"/>
        <v>0</v>
      </c>
      <c r="U22" s="361">
        <f t="shared" si="0"/>
        <v>0</v>
      </c>
      <c r="V22" s="361">
        <f t="shared" si="0"/>
        <v>0</v>
      </c>
      <c r="W22" s="361">
        <f t="shared" si="0"/>
        <v>0</v>
      </c>
      <c r="X22" s="361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62"/>
      <c r="G23" s="362"/>
      <c r="H23" s="362"/>
      <c r="I23" s="362"/>
      <c r="J23" s="364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14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14" t="s">
        <v>230</v>
      </c>
    </row>
    <row r="26" spans="1:31" ht="14.5" x14ac:dyDescent="0.35">
      <c r="A26" s="6"/>
      <c r="B26" s="314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14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14" t="s">
        <v>184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14" t="s">
        <v>167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32"/>
  <sheetViews>
    <sheetView zoomScale="90" zoomScaleNormal="90" workbookViewId="0">
      <selection activeCell="U36" sqref="U36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84" t="s">
        <v>142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95"/>
    </row>
    <row r="3" spans="2:29" ht="12.75" customHeight="1" x14ac:dyDescent="0.25">
      <c r="B3" s="385" t="s">
        <v>227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67" t="s">
        <v>7</v>
      </c>
      <c r="C5" s="367" t="s">
        <v>66</v>
      </c>
      <c r="D5" s="367" t="s">
        <v>21</v>
      </c>
      <c r="E5" s="367" t="s">
        <v>166</v>
      </c>
      <c r="F5" s="367" t="s">
        <v>70</v>
      </c>
      <c r="G5" s="367" t="s">
        <v>0</v>
      </c>
      <c r="H5" s="367" t="s">
        <v>2</v>
      </c>
      <c r="I5" s="367" t="s">
        <v>67</v>
      </c>
      <c r="J5" s="367" t="s">
        <v>140</v>
      </c>
      <c r="K5" s="367" t="s">
        <v>141</v>
      </c>
      <c r="L5" s="378" t="s">
        <v>68</v>
      </c>
      <c r="M5" s="399" t="s">
        <v>144</v>
      </c>
      <c r="N5" s="367" t="s">
        <v>143</v>
      </c>
      <c r="O5" s="367" t="s">
        <v>95</v>
      </c>
      <c r="P5" s="367" t="s">
        <v>56</v>
      </c>
      <c r="Q5" s="369" t="s">
        <v>153</v>
      </c>
      <c r="R5" s="370"/>
      <c r="S5" s="370"/>
      <c r="T5" s="370"/>
      <c r="U5" s="371"/>
      <c r="V5" s="367" t="s">
        <v>154</v>
      </c>
      <c r="W5" s="367" t="s">
        <v>189</v>
      </c>
      <c r="X5" s="367" t="s">
        <v>82</v>
      </c>
      <c r="Y5" s="107"/>
    </row>
    <row r="6" spans="2:29" ht="96" customHeight="1" thickBot="1" x14ac:dyDescent="0.3">
      <c r="B6" s="368"/>
      <c r="C6" s="394"/>
      <c r="D6" s="394"/>
      <c r="E6" s="368"/>
      <c r="F6" s="368"/>
      <c r="G6" s="394"/>
      <c r="H6" s="394"/>
      <c r="I6" s="394"/>
      <c r="J6" s="368"/>
      <c r="K6" s="368"/>
      <c r="L6" s="379"/>
      <c r="M6" s="400"/>
      <c r="N6" s="368"/>
      <c r="O6" s="368"/>
      <c r="P6" s="368"/>
      <c r="Q6" s="237" t="s">
        <v>216</v>
      </c>
      <c r="R6" s="237" t="s">
        <v>217</v>
      </c>
      <c r="S6" s="237" t="s">
        <v>219</v>
      </c>
      <c r="T6" s="347" t="s">
        <v>225</v>
      </c>
      <c r="U6" s="345" t="s">
        <v>218</v>
      </c>
      <c r="V6" s="368"/>
      <c r="W6" s="368"/>
      <c r="X6" s="368"/>
      <c r="Y6" s="107"/>
      <c r="Z6" t="s">
        <v>179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131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156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7">
        <v>0</v>
      </c>
      <c r="F8" s="81" t="s">
        <v>197</v>
      </c>
      <c r="G8" s="131" t="s">
        <v>33</v>
      </c>
      <c r="H8" s="130" t="s">
        <v>35</v>
      </c>
      <c r="I8" s="97">
        <v>3370645</v>
      </c>
      <c r="J8" s="98">
        <v>4706000</v>
      </c>
      <c r="K8" s="98">
        <v>2755000</v>
      </c>
      <c r="L8" s="99">
        <f t="shared" ref="L8:L18" si="0">SUM(I8:K8)</f>
        <v>10831645</v>
      </c>
      <c r="M8" s="100">
        <v>33706</v>
      </c>
      <c r="N8" s="88">
        <v>101119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f t="shared" ref="U8:U18" si="1">10%*K8</f>
        <v>275500</v>
      </c>
      <c r="V8" s="88">
        <v>0</v>
      </c>
      <c r="W8" s="88">
        <f>M8+N8+Q8+R8+S8+T8+U8+V8</f>
        <v>410325</v>
      </c>
      <c r="X8" s="155">
        <f t="shared" ref="X8:X18" si="2">L8-(M8+N8+Q8+R8+S8+T8+U8+V8)</f>
        <v>10421320</v>
      </c>
      <c r="Y8" s="104"/>
      <c r="Z8" s="20">
        <f t="shared" ref="Z8:Z19" si="3">SUM(M8:V8)</f>
        <v>410325</v>
      </c>
      <c r="AA8" s="20">
        <f t="shared" ref="AA8:AA19" si="4">L8-Z8</f>
        <v>10421320</v>
      </c>
      <c r="AB8" s="90"/>
      <c r="AC8" s="90"/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6">
        <v>0</v>
      </c>
      <c r="F9" s="81" t="s">
        <v>197</v>
      </c>
      <c r="G9" s="131" t="s">
        <v>37</v>
      </c>
      <c r="H9" s="130" t="s">
        <v>35</v>
      </c>
      <c r="I9" s="97">
        <f t="shared" ref="I9" si="5">I8</f>
        <v>3370645</v>
      </c>
      <c r="J9" s="98">
        <v>4706000</v>
      </c>
      <c r="K9" s="98">
        <v>2755000</v>
      </c>
      <c r="L9" s="99">
        <f t="shared" si="0"/>
        <v>10831645</v>
      </c>
      <c r="M9" s="100">
        <v>33706</v>
      </c>
      <c r="N9" s="88">
        <v>101119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f t="shared" si="1"/>
        <v>275500</v>
      </c>
      <c r="V9" s="88">
        <v>0</v>
      </c>
      <c r="W9" s="88">
        <f>M9+N9+Q9+R9+S9+T9+U9+V9</f>
        <v>410325</v>
      </c>
      <c r="X9" s="155">
        <f t="shared" si="2"/>
        <v>10421320</v>
      </c>
      <c r="Y9" s="104"/>
      <c r="Z9" s="20">
        <f t="shared" si="3"/>
        <v>410325</v>
      </c>
      <c r="AA9" s="20">
        <f t="shared" si="4"/>
        <v>10421320</v>
      </c>
      <c r="AB9" s="90"/>
      <c r="AC9" s="90"/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56">
        <v>0.10208333333333335</v>
      </c>
      <c r="F10" s="81" t="s">
        <v>72</v>
      </c>
      <c r="G10" s="82" t="s">
        <v>62</v>
      </c>
      <c r="H10" s="83" t="s">
        <v>34</v>
      </c>
      <c r="I10" s="84">
        <v>3370645</v>
      </c>
      <c r="J10" s="85">
        <f>[2]Sheet1!$O$19</f>
        <v>2533000</v>
      </c>
      <c r="K10" s="85">
        <f>[2]Sheet1!$Q$19</f>
        <v>527000</v>
      </c>
      <c r="L10" s="86">
        <f t="shared" si="0"/>
        <v>6430645</v>
      </c>
      <c r="M10" s="215">
        <f t="shared" ref="M10:M17" si="6">M9</f>
        <v>33706</v>
      </c>
      <c r="N10" s="87">
        <v>101119</v>
      </c>
      <c r="O10" s="153">
        <v>0</v>
      </c>
      <c r="P10" s="88">
        <v>0</v>
      </c>
      <c r="Q10" s="88">
        <f>10%*K10</f>
        <v>52700</v>
      </c>
      <c r="R10" s="88">
        <v>0</v>
      </c>
      <c r="S10" s="88">
        <v>0</v>
      </c>
      <c r="T10" s="88">
        <v>0</v>
      </c>
      <c r="U10" s="88">
        <f t="shared" si="1"/>
        <v>52700</v>
      </c>
      <c r="V10" s="350">
        <v>13117</v>
      </c>
      <c r="W10" s="88">
        <f t="shared" ref="W10:W19" si="7">SUM(M10:V10)</f>
        <v>253342</v>
      </c>
      <c r="X10" s="155">
        <f t="shared" si="2"/>
        <v>6177303</v>
      </c>
      <c r="Y10" s="105"/>
      <c r="Z10" s="20">
        <f t="shared" si="3"/>
        <v>253342</v>
      </c>
      <c r="AA10" s="20">
        <f t="shared" si="4"/>
        <v>6177303</v>
      </c>
      <c r="AB10" s="90"/>
      <c r="AC10" s="90"/>
    </row>
    <row r="11" spans="2:29" ht="18" customHeight="1" x14ac:dyDescent="0.35">
      <c r="B11" s="129">
        <v>4</v>
      </c>
      <c r="C11" s="79" t="s">
        <v>81</v>
      </c>
      <c r="D11" s="80" t="s">
        <v>51</v>
      </c>
      <c r="E11" s="256">
        <v>1.8749999999999999E-2</v>
      </c>
      <c r="F11" s="81" t="s">
        <v>206</v>
      </c>
      <c r="G11" s="82" t="s">
        <v>73</v>
      </c>
      <c r="H11" s="83" t="s">
        <v>34</v>
      </c>
      <c r="I11" s="84">
        <f t="shared" ref="I11:I12" si="8">I10</f>
        <v>3370645</v>
      </c>
      <c r="J11" s="85">
        <v>2815000</v>
      </c>
      <c r="K11" s="85">
        <v>944000</v>
      </c>
      <c r="L11" s="86">
        <f t="shared" si="0"/>
        <v>7129645</v>
      </c>
      <c r="M11" s="215">
        <f t="shared" si="6"/>
        <v>33706</v>
      </c>
      <c r="N11" s="87">
        <v>101119</v>
      </c>
      <c r="O11" s="153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f t="shared" si="1"/>
        <v>94400</v>
      </c>
      <c r="V11" s="88">
        <v>0</v>
      </c>
      <c r="W11" s="88">
        <f t="shared" si="7"/>
        <v>229225</v>
      </c>
      <c r="X11" s="155">
        <f t="shared" si="2"/>
        <v>6900420</v>
      </c>
      <c r="Y11" s="105"/>
      <c r="Z11" s="20">
        <f t="shared" si="3"/>
        <v>229225</v>
      </c>
      <c r="AA11" s="20">
        <f t="shared" si="4"/>
        <v>6900420</v>
      </c>
      <c r="AB11" s="91"/>
    </row>
    <row r="12" spans="2:29" ht="20.149999999999999" customHeight="1" x14ac:dyDescent="0.35">
      <c r="B12" s="129">
        <v>5</v>
      </c>
      <c r="C12" s="132" t="s">
        <v>96</v>
      </c>
      <c r="D12" s="133" t="s">
        <v>50</v>
      </c>
      <c r="E12" s="348">
        <v>0.15277777777777776</v>
      </c>
      <c r="F12" s="134" t="s">
        <v>72</v>
      </c>
      <c r="G12" s="135" t="s">
        <v>101</v>
      </c>
      <c r="H12" s="136" t="s">
        <v>35</v>
      </c>
      <c r="I12" s="137">
        <f t="shared" si="8"/>
        <v>3370645</v>
      </c>
      <c r="J12" s="138">
        <v>2533000</v>
      </c>
      <c r="K12" s="138">
        <v>527000</v>
      </c>
      <c r="L12" s="139">
        <f t="shared" si="0"/>
        <v>6430645</v>
      </c>
      <c r="M12" s="216">
        <f t="shared" si="6"/>
        <v>33706</v>
      </c>
      <c r="N12" s="140">
        <v>101119</v>
      </c>
      <c r="O12" s="153">
        <v>0</v>
      </c>
      <c r="P12" s="142">
        <v>0</v>
      </c>
      <c r="Q12" s="88">
        <f>10%*K12</f>
        <v>52700</v>
      </c>
      <c r="R12" s="142">
        <v>0</v>
      </c>
      <c r="S12" s="88">
        <v>0</v>
      </c>
      <c r="T12" s="88">
        <v>0</v>
      </c>
      <c r="U12" s="142">
        <f t="shared" si="1"/>
        <v>52700</v>
      </c>
      <c r="V12" s="351">
        <v>24063</v>
      </c>
      <c r="W12" s="88">
        <f t="shared" si="7"/>
        <v>264288</v>
      </c>
      <c r="X12" s="155">
        <f t="shared" si="2"/>
        <v>6166357</v>
      </c>
      <c r="Y12" s="105"/>
      <c r="Z12" s="20">
        <f t="shared" si="3"/>
        <v>264288</v>
      </c>
      <c r="AA12" s="20">
        <f t="shared" si="4"/>
        <v>6166357</v>
      </c>
      <c r="AB12" s="91"/>
    </row>
    <row r="13" spans="2:29" ht="20.149999999999999" customHeight="1" x14ac:dyDescent="0.35">
      <c r="B13" s="129">
        <v>6</v>
      </c>
      <c r="C13" s="79" t="s">
        <v>102</v>
      </c>
      <c r="D13" s="80" t="s">
        <v>52</v>
      </c>
      <c r="E13" s="286" t="s">
        <v>232</v>
      </c>
      <c r="F13" s="81" t="s">
        <v>72</v>
      </c>
      <c r="G13" s="82" t="s">
        <v>106</v>
      </c>
      <c r="H13" s="83" t="s">
        <v>35</v>
      </c>
      <c r="I13" s="84">
        <f>I11</f>
        <v>3370645</v>
      </c>
      <c r="J13" s="84">
        <v>2533000</v>
      </c>
      <c r="K13" s="84">
        <v>527000</v>
      </c>
      <c r="L13" s="86">
        <f t="shared" si="0"/>
        <v>6430645</v>
      </c>
      <c r="M13" s="215">
        <f t="shared" si="6"/>
        <v>33706</v>
      </c>
      <c r="N13" s="87">
        <v>101119</v>
      </c>
      <c r="O13" s="153">
        <v>0</v>
      </c>
      <c r="P13" s="88">
        <v>0</v>
      </c>
      <c r="Q13" s="299">
        <f>10%*K13</f>
        <v>52700</v>
      </c>
      <c r="R13" s="88">
        <v>0</v>
      </c>
      <c r="S13" s="88">
        <v>0</v>
      </c>
      <c r="T13" s="88">
        <v>0</v>
      </c>
      <c r="U13" s="88">
        <f t="shared" si="1"/>
        <v>52700</v>
      </c>
      <c r="V13" s="341">
        <v>72190</v>
      </c>
      <c r="W13" s="88">
        <f t="shared" si="7"/>
        <v>312415</v>
      </c>
      <c r="X13" s="155">
        <f t="shared" si="2"/>
        <v>6118230</v>
      </c>
      <c r="Y13" s="105"/>
      <c r="Z13" s="20">
        <f t="shared" si="3"/>
        <v>312415</v>
      </c>
      <c r="AA13" s="20">
        <f t="shared" si="4"/>
        <v>6118230</v>
      </c>
      <c r="AB13" s="91"/>
    </row>
    <row r="14" spans="2:29" ht="20.149999999999999" customHeight="1" x14ac:dyDescent="0.35">
      <c r="B14" s="129">
        <v>7</v>
      </c>
      <c r="C14" s="79" t="s">
        <v>103</v>
      </c>
      <c r="D14" s="80" t="s">
        <v>86</v>
      </c>
      <c r="E14" s="286">
        <v>0.5131944444444444</v>
      </c>
      <c r="F14" s="81" t="s">
        <v>72</v>
      </c>
      <c r="G14" s="82" t="s">
        <v>107</v>
      </c>
      <c r="H14" s="83" t="s">
        <v>1</v>
      </c>
      <c r="I14" s="84">
        <f>I11</f>
        <v>3370645</v>
      </c>
      <c r="J14" s="84">
        <v>2533000</v>
      </c>
      <c r="K14" s="84">
        <v>527000</v>
      </c>
      <c r="L14" s="86">
        <f t="shared" si="0"/>
        <v>6430645</v>
      </c>
      <c r="M14" s="215">
        <f t="shared" si="6"/>
        <v>33706</v>
      </c>
      <c r="N14" s="87">
        <v>101119</v>
      </c>
      <c r="O14" s="153">
        <v>0</v>
      </c>
      <c r="P14" s="88">
        <v>0</v>
      </c>
      <c r="Q14" s="299">
        <f>10%*K14</f>
        <v>52700</v>
      </c>
      <c r="R14" s="88">
        <f>40%*K14</f>
        <v>210800</v>
      </c>
      <c r="S14" s="88">
        <v>0</v>
      </c>
      <c r="T14" s="88">
        <v>0</v>
      </c>
      <c r="U14" s="88">
        <f t="shared" si="1"/>
        <v>52700</v>
      </c>
      <c r="V14" s="341">
        <v>102315</v>
      </c>
      <c r="W14" s="88">
        <f t="shared" si="7"/>
        <v>553340</v>
      </c>
      <c r="X14" s="155">
        <f t="shared" si="2"/>
        <v>5877305</v>
      </c>
      <c r="Y14" s="105"/>
      <c r="Z14" s="20">
        <f t="shared" si="3"/>
        <v>553340</v>
      </c>
      <c r="AA14" s="20">
        <f t="shared" si="4"/>
        <v>5877305</v>
      </c>
      <c r="AB14" s="91"/>
    </row>
    <row r="15" spans="2:29" ht="20.149999999999999" customHeight="1" x14ac:dyDescent="0.35">
      <c r="B15" s="129">
        <v>8</v>
      </c>
      <c r="C15" s="79" t="s">
        <v>104</v>
      </c>
      <c r="D15" s="80" t="s">
        <v>52</v>
      </c>
      <c r="E15" s="256">
        <v>2.0833333333333333E-3</v>
      </c>
      <c r="F15" s="81" t="s">
        <v>72</v>
      </c>
      <c r="G15" s="82" t="s">
        <v>105</v>
      </c>
      <c r="H15" s="83" t="s">
        <v>31</v>
      </c>
      <c r="I15" s="84">
        <f>I11</f>
        <v>3370645</v>
      </c>
      <c r="J15" s="84">
        <v>2533000</v>
      </c>
      <c r="K15" s="84">
        <v>527000</v>
      </c>
      <c r="L15" s="86">
        <f t="shared" si="0"/>
        <v>6430645</v>
      </c>
      <c r="M15" s="215">
        <f t="shared" si="6"/>
        <v>33706</v>
      </c>
      <c r="N15" s="87">
        <v>101119</v>
      </c>
      <c r="O15" s="153">
        <v>0</v>
      </c>
      <c r="P15" s="88">
        <v>0</v>
      </c>
      <c r="Q15" s="300">
        <v>0</v>
      </c>
      <c r="R15" s="88">
        <v>0</v>
      </c>
      <c r="S15" s="88">
        <v>0</v>
      </c>
      <c r="T15" s="88">
        <v>0</v>
      </c>
      <c r="U15" s="88">
        <f t="shared" si="1"/>
        <v>52700</v>
      </c>
      <c r="V15" s="88">
        <v>0</v>
      </c>
      <c r="W15" s="88">
        <f t="shared" si="7"/>
        <v>187525</v>
      </c>
      <c r="X15" s="155">
        <f t="shared" si="2"/>
        <v>6243120</v>
      </c>
      <c r="Y15" s="105"/>
      <c r="Z15" s="20">
        <f t="shared" si="3"/>
        <v>187525</v>
      </c>
      <c r="AA15" s="20">
        <f t="shared" si="4"/>
        <v>6243120</v>
      </c>
      <c r="AB15" s="91"/>
    </row>
    <row r="16" spans="2:29" ht="20.149999999999999" customHeight="1" x14ac:dyDescent="0.35">
      <c r="B16" s="129">
        <v>9</v>
      </c>
      <c r="C16" s="143" t="s">
        <v>112</v>
      </c>
      <c r="D16" s="144" t="s">
        <v>86</v>
      </c>
      <c r="E16" s="346" t="s">
        <v>233</v>
      </c>
      <c r="F16" s="145" t="s">
        <v>72</v>
      </c>
      <c r="G16" s="146" t="s">
        <v>113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6"/>
        <v>33706</v>
      </c>
      <c r="N16" s="157">
        <v>101119</v>
      </c>
      <c r="O16" s="149">
        <v>0</v>
      </c>
      <c r="P16" s="150">
        <v>0</v>
      </c>
      <c r="Q16" s="299">
        <f>10%*K16</f>
        <v>52700</v>
      </c>
      <c r="R16" s="150">
        <v>0</v>
      </c>
      <c r="S16" s="88">
        <v>0</v>
      </c>
      <c r="T16" s="88">
        <v>0</v>
      </c>
      <c r="U16" s="150">
        <f t="shared" si="1"/>
        <v>52700</v>
      </c>
      <c r="V16" s="341">
        <v>1356</v>
      </c>
      <c r="W16" s="88">
        <f t="shared" si="7"/>
        <v>241581</v>
      </c>
      <c r="X16" s="155">
        <f t="shared" si="2"/>
        <v>6148419</v>
      </c>
      <c r="Y16" s="105"/>
      <c r="Z16" s="20">
        <f t="shared" si="3"/>
        <v>241581</v>
      </c>
      <c r="AA16" s="20">
        <f t="shared" si="4"/>
        <v>6148419</v>
      </c>
      <c r="AB16" s="91"/>
    </row>
    <row r="17" spans="2:28" ht="20.149999999999999" customHeight="1" x14ac:dyDescent="0.35">
      <c r="B17" s="129">
        <v>10</v>
      </c>
      <c r="C17" s="79" t="s">
        <v>127</v>
      </c>
      <c r="D17" s="80" t="s">
        <v>50</v>
      </c>
      <c r="E17" s="256">
        <v>0.30624999999999997</v>
      </c>
      <c r="F17" s="81" t="s">
        <v>72</v>
      </c>
      <c r="G17" s="82" t="s">
        <v>128</v>
      </c>
      <c r="H17" s="83" t="s">
        <v>35</v>
      </c>
      <c r="I17" s="84">
        <f>I11</f>
        <v>3370645</v>
      </c>
      <c r="J17" s="84">
        <v>2533000</v>
      </c>
      <c r="K17" s="84">
        <v>527000</v>
      </c>
      <c r="L17" s="86">
        <f t="shared" si="0"/>
        <v>6430645</v>
      </c>
      <c r="M17" s="215">
        <f t="shared" si="6"/>
        <v>33706</v>
      </c>
      <c r="N17" s="87">
        <f>N16</f>
        <v>101119</v>
      </c>
      <c r="O17" s="141">
        <v>0</v>
      </c>
      <c r="P17" s="88">
        <v>0</v>
      </c>
      <c r="Q17" s="300">
        <f>10%*K17</f>
        <v>52700</v>
      </c>
      <c r="R17" s="88">
        <v>0</v>
      </c>
      <c r="S17" s="88">
        <v>0</v>
      </c>
      <c r="T17" s="88">
        <v>0</v>
      </c>
      <c r="U17" s="88">
        <f t="shared" si="1"/>
        <v>52700</v>
      </c>
      <c r="V17" s="341">
        <v>57444</v>
      </c>
      <c r="W17" s="88">
        <f t="shared" si="7"/>
        <v>297669</v>
      </c>
      <c r="X17" s="155">
        <f t="shared" si="2"/>
        <v>6132976</v>
      </c>
      <c r="Y17" s="105"/>
      <c r="Z17" s="20">
        <f t="shared" si="3"/>
        <v>297669</v>
      </c>
      <c r="AA17" s="20">
        <f t="shared" si="4"/>
        <v>6132976</v>
      </c>
      <c r="AB17" s="91"/>
    </row>
    <row r="18" spans="2:28" ht="20.149999999999999" customHeight="1" x14ac:dyDescent="0.35">
      <c r="B18" s="129">
        <v>11</v>
      </c>
      <c r="C18" s="79" t="s">
        <v>90</v>
      </c>
      <c r="D18" s="80" t="s">
        <v>51</v>
      </c>
      <c r="E18" s="256">
        <v>9.3055555555555558E-2</v>
      </c>
      <c r="F18" s="81" t="s">
        <v>72</v>
      </c>
      <c r="G18" s="82" t="s">
        <v>91</v>
      </c>
      <c r="H18" s="83" t="s">
        <v>35</v>
      </c>
      <c r="I18" s="84">
        <f>I17</f>
        <v>3370645</v>
      </c>
      <c r="J18" s="85">
        <f>J17</f>
        <v>2533000</v>
      </c>
      <c r="K18" s="85">
        <f>K17</f>
        <v>527000</v>
      </c>
      <c r="L18" s="86">
        <f t="shared" si="0"/>
        <v>6430645</v>
      </c>
      <c r="M18" s="215">
        <f>M16</f>
        <v>33706</v>
      </c>
      <c r="N18" s="87">
        <f>N17</f>
        <v>101119</v>
      </c>
      <c r="O18" s="263">
        <v>0</v>
      </c>
      <c r="P18" s="88">
        <v>0</v>
      </c>
      <c r="Q18" s="300">
        <f>10%*K18</f>
        <v>52700</v>
      </c>
      <c r="R18" s="88">
        <v>0</v>
      </c>
      <c r="S18" s="88">
        <v>0</v>
      </c>
      <c r="T18" s="88">
        <v>0</v>
      </c>
      <c r="U18" s="88">
        <f t="shared" si="1"/>
        <v>52700</v>
      </c>
      <c r="V18" s="341">
        <v>11127</v>
      </c>
      <c r="W18" s="88">
        <f t="shared" si="7"/>
        <v>251352</v>
      </c>
      <c r="X18" s="155">
        <f t="shared" si="2"/>
        <v>6179293</v>
      </c>
      <c r="Y18" s="20">
        <f>SUM(L18:V18)</f>
        <v>6681997</v>
      </c>
      <c r="Z18" s="20">
        <f t="shared" si="3"/>
        <v>251352</v>
      </c>
      <c r="AA18" s="20">
        <f t="shared" si="4"/>
        <v>6179293</v>
      </c>
      <c r="AB18" s="20"/>
    </row>
    <row r="19" spans="2:28" ht="20.149999999999999" customHeight="1" x14ac:dyDescent="0.35">
      <c r="B19" s="151">
        <v>12</v>
      </c>
      <c r="C19" s="296" t="s">
        <v>198</v>
      </c>
      <c r="D19" s="169" t="s">
        <v>199</v>
      </c>
      <c r="E19" s="349">
        <v>0</v>
      </c>
      <c r="F19" s="170" t="str">
        <f>F18</f>
        <v>Madya Grade 2</v>
      </c>
      <c r="G19" s="297" t="s">
        <v>200</v>
      </c>
      <c r="H19" s="298" t="s">
        <v>35</v>
      </c>
      <c r="I19" s="291">
        <v>3370645</v>
      </c>
      <c r="J19" s="292">
        <f>20%*J18</f>
        <v>506600</v>
      </c>
      <c r="K19" s="292">
        <v>527000</v>
      </c>
      <c r="L19" s="293">
        <f>I19+J19+K19</f>
        <v>4404245</v>
      </c>
      <c r="M19" s="294">
        <v>33706</v>
      </c>
      <c r="N19" s="295">
        <v>101119</v>
      </c>
      <c r="O19" s="156"/>
      <c r="P19" s="174"/>
      <c r="Q19" s="301">
        <v>0</v>
      </c>
      <c r="R19" s="174">
        <v>0</v>
      </c>
      <c r="S19" s="174">
        <v>0</v>
      </c>
      <c r="T19" s="88">
        <v>0</v>
      </c>
      <c r="U19" s="174">
        <v>0</v>
      </c>
      <c r="V19" s="342">
        <v>0</v>
      </c>
      <c r="W19" s="174">
        <f t="shared" si="7"/>
        <v>134825</v>
      </c>
      <c r="X19" s="168">
        <f>L19-(M19+N19+Q19+R19+S19+U19+V19)</f>
        <v>4269420</v>
      </c>
      <c r="Y19" s="20"/>
      <c r="Z19" s="20">
        <f t="shared" si="3"/>
        <v>134825</v>
      </c>
      <c r="AA19" s="20">
        <f t="shared" si="4"/>
        <v>4269420</v>
      </c>
      <c r="AB19" s="20"/>
    </row>
    <row r="20" spans="2:28" ht="10.5" customHeight="1" x14ac:dyDescent="0.35">
      <c r="B20" s="74"/>
      <c r="C20" s="74"/>
      <c r="D20" s="74"/>
      <c r="E20" s="74"/>
      <c r="F20" s="74"/>
      <c r="G20" s="73"/>
      <c r="H20" s="21"/>
      <c r="I20" s="395">
        <f t="shared" ref="I20:N20" si="9">SUM(I8:I19)</f>
        <v>40407095</v>
      </c>
      <c r="J20" s="395">
        <f t="shared" si="9"/>
        <v>32997600</v>
      </c>
      <c r="K20" s="395">
        <f t="shared" si="9"/>
        <v>11197000</v>
      </c>
      <c r="L20" s="401">
        <f t="shared" si="9"/>
        <v>84601695</v>
      </c>
      <c r="M20" s="403">
        <f t="shared" si="9"/>
        <v>404472</v>
      </c>
      <c r="N20" s="405">
        <f t="shared" si="9"/>
        <v>1213428</v>
      </c>
      <c r="O20" s="405">
        <f t="shared" ref="O20:P20" si="10">SUM(O8:O18)</f>
        <v>0</v>
      </c>
      <c r="P20" s="405">
        <f t="shared" si="10"/>
        <v>0</v>
      </c>
      <c r="Q20" s="410">
        <f t="shared" ref="Q20:X20" si="11">SUM(Q8:Q19)</f>
        <v>368900</v>
      </c>
      <c r="R20" s="410">
        <f t="shared" si="11"/>
        <v>210800</v>
      </c>
      <c r="S20" s="410">
        <f t="shared" si="11"/>
        <v>0</v>
      </c>
      <c r="T20" s="414">
        <f t="shared" si="11"/>
        <v>0</v>
      </c>
      <c r="U20" s="410">
        <f t="shared" si="11"/>
        <v>1067000</v>
      </c>
      <c r="V20" s="410">
        <f t="shared" si="11"/>
        <v>281612</v>
      </c>
      <c r="W20" s="412">
        <f t="shared" si="11"/>
        <v>3546212</v>
      </c>
      <c r="X20" s="408">
        <f t="shared" si="11"/>
        <v>81055483</v>
      </c>
      <c r="Y20" s="106"/>
      <c r="Z20" s="93"/>
      <c r="AA20" s="20"/>
    </row>
    <row r="21" spans="2:28" ht="10.5" customHeight="1" thickBot="1" x14ac:dyDescent="0.4">
      <c r="B21" s="75"/>
      <c r="C21" s="75"/>
      <c r="D21" s="75"/>
      <c r="E21" s="75"/>
      <c r="F21" s="75"/>
      <c r="G21" s="76"/>
      <c r="H21" s="77"/>
      <c r="I21" s="396"/>
      <c r="J21" s="396"/>
      <c r="K21" s="396"/>
      <c r="L21" s="402"/>
      <c r="M21" s="404"/>
      <c r="N21" s="406"/>
      <c r="O21" s="406"/>
      <c r="P21" s="406"/>
      <c r="Q21" s="411"/>
      <c r="R21" s="411"/>
      <c r="S21" s="411"/>
      <c r="T21" s="411"/>
      <c r="U21" s="411"/>
      <c r="V21" s="411"/>
      <c r="W21" s="413"/>
      <c r="X21" s="409"/>
      <c r="Y21" s="106"/>
      <c r="Z21" s="20">
        <f>SUM(Z8:Z19)</f>
        <v>3546212</v>
      </c>
      <c r="AA21" s="93">
        <f>SUM(AA8:AA19)</f>
        <v>81055483</v>
      </c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81055483</v>
      </c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407" t="s">
        <v>229</v>
      </c>
      <c r="W24" s="407"/>
      <c r="X24" s="407"/>
      <c r="Y24" s="6"/>
    </row>
    <row r="25" spans="2:28" ht="13.5" customHeight="1" x14ac:dyDescent="0.35">
      <c r="B25" s="27"/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407" t="s">
        <v>36</v>
      </c>
      <c r="W25" s="407"/>
      <c r="X25" s="407"/>
    </row>
    <row r="26" spans="2:28" ht="6" customHeight="1" x14ac:dyDescent="0.35">
      <c r="C26" s="6"/>
      <c r="D26" s="6"/>
      <c r="E26" s="6"/>
      <c r="F26" s="6"/>
      <c r="G26" s="6" t="s">
        <v>137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398"/>
      <c r="W28" s="398"/>
      <c r="X28" s="398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65" t="s">
        <v>167</v>
      </c>
      <c r="W30" s="365"/>
      <c r="X30" s="365"/>
    </row>
    <row r="32" spans="2:28" x14ac:dyDescent="0.25">
      <c r="J32" s="20">
        <f>J20+K20</f>
        <v>44194600</v>
      </c>
    </row>
  </sheetData>
  <mergeCells count="41"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zoomScaleNormal="100" workbookViewId="0">
      <selection activeCell="Y17" sqref="Y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5" t="s">
        <v>42</v>
      </c>
      <c r="B1" s="35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56" t="s">
        <v>139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</row>
    <row r="5" spans="1:28" ht="16.5" customHeight="1" x14ac:dyDescent="0.25">
      <c r="A5" s="13"/>
      <c r="B5" s="356" t="s">
        <v>227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7" t="s">
        <v>7</v>
      </c>
      <c r="B7" s="357" t="s">
        <v>66</v>
      </c>
      <c r="C7" s="357" t="s">
        <v>21</v>
      </c>
      <c r="D7" s="357" t="s">
        <v>0</v>
      </c>
      <c r="E7" s="357" t="s">
        <v>2</v>
      </c>
      <c r="F7" s="357" t="s">
        <v>16</v>
      </c>
      <c r="G7" s="357" t="s">
        <v>17</v>
      </c>
      <c r="H7" s="357" t="s">
        <v>18</v>
      </c>
      <c r="I7" s="357" t="s">
        <v>6</v>
      </c>
      <c r="J7" s="357" t="s">
        <v>23</v>
      </c>
      <c r="K7" s="357" t="s">
        <v>4</v>
      </c>
      <c r="L7" s="357" t="s">
        <v>3</v>
      </c>
      <c r="M7" s="357" t="s">
        <v>19</v>
      </c>
      <c r="N7" s="357" t="s">
        <v>9</v>
      </c>
      <c r="O7" s="357" t="s">
        <v>8</v>
      </c>
      <c r="P7" s="357" t="s">
        <v>5</v>
      </c>
      <c r="Q7" s="357" t="s">
        <v>11</v>
      </c>
      <c r="R7" s="357" t="s">
        <v>10</v>
      </c>
      <c r="S7" s="22" t="s">
        <v>12</v>
      </c>
      <c r="T7" s="22"/>
      <c r="U7" s="22"/>
      <c r="V7" s="22"/>
      <c r="W7" s="22"/>
      <c r="X7" s="360" t="s">
        <v>24</v>
      </c>
    </row>
    <row r="8" spans="1:28" ht="20.149999999999999" customHeight="1" x14ac:dyDescent="0.25">
      <c r="A8" s="358"/>
      <c r="B8" s="359"/>
      <c r="C8" s="359"/>
      <c r="D8" s="359"/>
      <c r="E8" s="359"/>
      <c r="F8" s="359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0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117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118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164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184</v>
      </c>
      <c r="C12" s="36" t="s">
        <v>185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188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92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59059940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94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61">
        <f>SUM(F9:F13)</f>
        <v>0</v>
      </c>
      <c r="G14" s="361">
        <f>SUM(G9:G13)</f>
        <v>0</v>
      </c>
      <c r="H14" s="361">
        <f>SUM(H9:H13)</f>
        <v>0</v>
      </c>
      <c r="I14" s="361">
        <f>SUM(I9:I13)</f>
        <v>0</v>
      </c>
      <c r="J14" s="363">
        <f>SUM(J11:J13)</f>
        <v>198729248</v>
      </c>
      <c r="K14" s="361">
        <f t="shared" ref="K14:W14" si="0">SUM(K9:K13)</f>
        <v>0</v>
      </c>
      <c r="L14" s="361">
        <f t="shared" si="0"/>
        <v>0</v>
      </c>
      <c r="M14" s="361">
        <f t="shared" si="0"/>
        <v>0</v>
      </c>
      <c r="N14" s="361">
        <f t="shared" si="0"/>
        <v>0</v>
      </c>
      <c r="O14" s="361">
        <f t="shared" si="0"/>
        <v>0</v>
      </c>
      <c r="P14" s="361">
        <f t="shared" si="0"/>
        <v>0</v>
      </c>
      <c r="Q14" s="361">
        <f t="shared" si="0"/>
        <v>0</v>
      </c>
      <c r="R14" s="361">
        <f t="shared" si="0"/>
        <v>0</v>
      </c>
      <c r="S14" s="361">
        <f t="shared" si="0"/>
        <v>0</v>
      </c>
      <c r="T14" s="361">
        <f t="shared" si="0"/>
        <v>0</v>
      </c>
      <c r="U14" s="361">
        <f t="shared" si="0"/>
        <v>0</v>
      </c>
      <c r="V14" s="361">
        <f t="shared" si="0"/>
        <v>0</v>
      </c>
      <c r="W14" s="361">
        <f t="shared" si="0"/>
        <v>0</v>
      </c>
      <c r="X14" s="361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62"/>
      <c r="G15" s="362"/>
      <c r="H15" s="362"/>
      <c r="I15" s="362"/>
      <c r="J15" s="364"/>
      <c r="K15" s="362"/>
      <c r="L15" s="362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81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228</v>
      </c>
    </row>
    <row r="18" spans="1:24" ht="14.5" x14ac:dyDescent="0.35">
      <c r="A18" s="6"/>
      <c r="B18" s="281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81" t="s">
        <v>184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167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view="pageBreakPreview" zoomScale="60" zoomScaleNormal="90" workbookViewId="0">
      <pane xSplit="4" topLeftCell="E1" activePane="topRight" state="frozen"/>
      <selection pane="topRight" activeCell="V31" sqref="V31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5" t="s">
        <v>15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164"/>
    </row>
    <row r="3" spans="2:27" ht="12.75" customHeight="1" x14ac:dyDescent="0.25">
      <c r="B3" s="384" t="s">
        <v>145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165"/>
    </row>
    <row r="4" spans="2:27" ht="12.75" customHeight="1" x14ac:dyDescent="0.25">
      <c r="B4" s="385" t="s">
        <v>227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  <c r="W4" s="166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67" t="s">
        <v>7</v>
      </c>
      <c r="C6" s="367" t="s">
        <v>66</v>
      </c>
      <c r="D6" s="367" t="s">
        <v>21</v>
      </c>
      <c r="E6" s="367" t="s">
        <v>0</v>
      </c>
      <c r="F6" s="367" t="s">
        <v>2</v>
      </c>
      <c r="G6" s="367" t="s">
        <v>67</v>
      </c>
      <c r="H6" s="367" t="s">
        <v>17</v>
      </c>
      <c r="I6" s="367" t="s">
        <v>18</v>
      </c>
      <c r="J6" s="367" t="s">
        <v>30</v>
      </c>
      <c r="K6" s="367" t="s">
        <v>29</v>
      </c>
      <c r="L6" s="367" t="s">
        <v>6</v>
      </c>
      <c r="M6" s="367" t="s">
        <v>47</v>
      </c>
      <c r="N6" s="378" t="s">
        <v>68</v>
      </c>
      <c r="O6" s="399" t="s">
        <v>83</v>
      </c>
      <c r="P6" s="367" t="s">
        <v>60</v>
      </c>
      <c r="Q6" s="367" t="s">
        <v>190</v>
      </c>
      <c r="R6" s="367" t="s">
        <v>95</v>
      </c>
      <c r="S6" s="367" t="s">
        <v>56</v>
      </c>
      <c r="T6" s="367" t="s">
        <v>49</v>
      </c>
      <c r="U6" s="367" t="s">
        <v>46</v>
      </c>
      <c r="V6" s="367" t="s">
        <v>82</v>
      </c>
      <c r="W6" s="107"/>
    </row>
    <row r="7" spans="2:27" ht="36" customHeight="1" thickBot="1" x14ac:dyDescent="0.3">
      <c r="B7" s="368"/>
      <c r="C7" s="394"/>
      <c r="D7" s="394"/>
      <c r="E7" s="394"/>
      <c r="F7" s="394"/>
      <c r="G7" s="394"/>
      <c r="H7" s="368"/>
      <c r="I7" s="368"/>
      <c r="J7" s="368"/>
      <c r="K7" s="368"/>
      <c r="L7" s="368"/>
      <c r="M7" s="368"/>
      <c r="N7" s="379"/>
      <c r="O7" s="400"/>
      <c r="P7" s="368"/>
      <c r="Q7" s="368"/>
      <c r="R7" s="368"/>
      <c r="S7" s="368"/>
      <c r="T7" s="368"/>
      <c r="U7" s="368"/>
      <c r="V7" s="368"/>
      <c r="W7" s="107"/>
      <c r="X7" t="s">
        <v>161</v>
      </c>
      <c r="Y7" t="s">
        <v>162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10" t="s">
        <v>131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130</v>
      </c>
      <c r="W8" s="102"/>
    </row>
    <row r="9" spans="2:27" ht="20.149999999999999" hidden="1" customHeight="1" x14ac:dyDescent="0.25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7" t="s">
        <v>32</v>
      </c>
      <c r="C10" s="80" t="s">
        <v>157</v>
      </c>
      <c r="D10" s="80" t="s">
        <v>14</v>
      </c>
      <c r="E10" s="81" t="s">
        <v>158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3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49999999999999" customHeight="1" x14ac:dyDescent="0.25">
      <c r="B11" s="177" t="s">
        <v>38</v>
      </c>
      <c r="C11" s="80" t="s">
        <v>184</v>
      </c>
      <c r="D11" s="80" t="s">
        <v>185</v>
      </c>
      <c r="E11" s="81" t="s">
        <v>186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3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49999999999999" customHeight="1" x14ac:dyDescent="0.25">
      <c r="B12" s="178" t="s">
        <v>187</v>
      </c>
      <c r="C12" s="169" t="s">
        <v>92</v>
      </c>
      <c r="D12" s="169" t="s">
        <v>22</v>
      </c>
      <c r="E12" s="170" t="s">
        <v>93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11">
        <f>SUM(G12:M12)</f>
        <v>66000000</v>
      </c>
      <c r="O12" s="309">
        <v>0</v>
      </c>
      <c r="P12" s="174">
        <v>0</v>
      </c>
      <c r="Q12" s="174"/>
      <c r="R12" s="175">
        <v>6940060</v>
      </c>
      <c r="S12" s="174">
        <v>0</v>
      </c>
      <c r="T12" s="174">
        <v>0</v>
      </c>
      <c r="U12" s="176">
        <v>14316667</v>
      </c>
      <c r="V12" s="168">
        <f>N12-(O12+P12+Q12+R12+S12+T12)</f>
        <v>59059940</v>
      </c>
      <c r="W12" s="104"/>
      <c r="X12" s="20">
        <f>SUM(O12:T12)</f>
        <v>6940060</v>
      </c>
      <c r="Y12" s="20">
        <f>N12-(O12+P12+Q12+R12+T12)</f>
        <v>59059940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395">
        <f>SUM(G10:G12)</f>
        <v>162000000</v>
      </c>
      <c r="H13" s="395">
        <f>SUM(H10:H12)</f>
        <v>45000000</v>
      </c>
      <c r="I13" s="395">
        <f>SUM(I9:I12)</f>
        <v>0</v>
      </c>
      <c r="J13" s="416">
        <f>SUM(J9:J12)</f>
        <v>0</v>
      </c>
      <c r="K13" s="395">
        <f>SUM(K9:K12)</f>
        <v>0</v>
      </c>
      <c r="L13" s="395">
        <f>SUM(L9:L12)</f>
        <v>0</v>
      </c>
      <c r="M13" s="395">
        <f>SUM(M9:M12)</f>
        <v>0</v>
      </c>
      <c r="N13" s="401">
        <f>SUM(N10:N12)</f>
        <v>207000000</v>
      </c>
      <c r="O13" s="403">
        <f>O10+O11+O12</f>
        <v>756006</v>
      </c>
      <c r="P13" s="405">
        <f>P10+P11+P12</f>
        <v>524686</v>
      </c>
      <c r="Q13" s="414">
        <f>Q10+Q11+Q12</f>
        <v>50000</v>
      </c>
      <c r="R13" s="405">
        <f>SUM(R9:R12)</f>
        <v>6940060</v>
      </c>
      <c r="S13" s="405">
        <f>SUM(S9:S12)</f>
        <v>0</v>
      </c>
      <c r="T13" s="417">
        <f>SUM(T9:T12)</f>
        <v>0</v>
      </c>
      <c r="U13" s="395">
        <f>SUM(U9:U12)</f>
        <v>30559709</v>
      </c>
      <c r="V13" s="408">
        <f>SUM(V10:V12)</f>
        <v>198729248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396"/>
      <c r="H14" s="396"/>
      <c r="I14" s="396"/>
      <c r="J14" s="396"/>
      <c r="K14" s="396"/>
      <c r="L14" s="396"/>
      <c r="M14" s="396"/>
      <c r="N14" s="402"/>
      <c r="O14" s="404"/>
      <c r="P14" s="406"/>
      <c r="Q14" s="411"/>
      <c r="R14" s="406"/>
      <c r="S14" s="406"/>
      <c r="T14" s="406"/>
      <c r="U14" s="396"/>
      <c r="V14" s="409"/>
      <c r="W14" s="106"/>
      <c r="X14" s="20">
        <f>X10+X11+X12</f>
        <v>8270752</v>
      </c>
      <c r="Y14" s="93">
        <f>N13-X14</f>
        <v>198729248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398" t="s">
        <v>230</v>
      </c>
      <c r="S18" s="398"/>
      <c r="T18" s="398"/>
      <c r="U18" s="398"/>
      <c r="V18" s="398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98"/>
      <c r="P19" s="398"/>
      <c r="Q19" s="398"/>
      <c r="R19" s="398"/>
      <c r="S19" s="398"/>
      <c r="T19" s="398"/>
      <c r="U19" s="398"/>
      <c r="V19" s="398"/>
      <c r="W19" s="163"/>
    </row>
    <row r="20" spans="2:27" ht="15" customHeight="1" x14ac:dyDescent="0.3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98" t="s">
        <v>36</v>
      </c>
      <c r="S20" s="398"/>
      <c r="T20" s="398"/>
      <c r="U20" s="398"/>
      <c r="V20" s="398"/>
      <c r="W20" s="6"/>
    </row>
    <row r="21" spans="2:27" ht="24.75" customHeight="1" x14ac:dyDescent="0.3">
      <c r="B21" s="29"/>
      <c r="C21" s="238"/>
      <c r="D21" s="238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12"/>
      <c r="Q23" s="312"/>
      <c r="R23" s="365" t="s">
        <v>167</v>
      </c>
      <c r="S23" s="365"/>
      <c r="T23" s="365"/>
      <c r="U23" s="365"/>
      <c r="V23" s="365"/>
    </row>
    <row r="24" spans="2:27" ht="14.5" x14ac:dyDescent="0.35">
      <c r="C24" s="6"/>
      <c r="D24" s="6"/>
      <c r="E24" s="6" t="s">
        <v>137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" right="0.118110236220472" top="0.118110236220472" bottom="0.35433070866141703" header="0.31496062992126" footer="0.31496062992126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zoomScaleNormal="100" workbookViewId="0">
      <selection activeCell="Y17" sqref="Y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5" t="s">
        <v>42</v>
      </c>
      <c r="B1" s="35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6" t="s">
        <v>138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</row>
    <row r="5" spans="1:27" ht="16.5" customHeight="1" x14ac:dyDescent="0.25">
      <c r="A5" s="13"/>
      <c r="B5" s="356" t="s">
        <v>227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  <c r="Y5" s="152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7" t="s">
        <v>7</v>
      </c>
      <c r="B7" s="357" t="s">
        <v>66</v>
      </c>
      <c r="C7" s="357" t="s">
        <v>21</v>
      </c>
      <c r="D7" s="357" t="s">
        <v>0</v>
      </c>
      <c r="E7" s="357" t="s">
        <v>2</v>
      </c>
      <c r="F7" s="357" t="s">
        <v>16</v>
      </c>
      <c r="G7" s="357" t="s">
        <v>17</v>
      </c>
      <c r="H7" s="357" t="s">
        <v>18</v>
      </c>
      <c r="I7" s="357" t="s">
        <v>6</v>
      </c>
      <c r="J7" s="357" t="s">
        <v>23</v>
      </c>
      <c r="K7" s="357" t="s">
        <v>4</v>
      </c>
      <c r="L7" s="357" t="s">
        <v>3</v>
      </c>
      <c r="M7" s="357" t="s">
        <v>19</v>
      </c>
      <c r="N7" s="357" t="s">
        <v>9</v>
      </c>
      <c r="O7" s="357" t="s">
        <v>8</v>
      </c>
      <c r="P7" s="357" t="s">
        <v>5</v>
      </c>
      <c r="Q7" s="357" t="s">
        <v>11</v>
      </c>
      <c r="R7" s="357" t="s">
        <v>10</v>
      </c>
      <c r="S7" s="22" t="s">
        <v>12</v>
      </c>
      <c r="T7" s="22"/>
      <c r="U7" s="22"/>
      <c r="V7" s="22"/>
      <c r="W7" s="22"/>
      <c r="X7" s="360" t="s">
        <v>24</v>
      </c>
    </row>
    <row r="8" spans="1:27" ht="20.149999999999999" customHeight="1" x14ac:dyDescent="0.25">
      <c r="A8" s="358"/>
      <c r="B8" s="359"/>
      <c r="C8" s="359"/>
      <c r="D8" s="359"/>
      <c r="E8" s="359"/>
      <c r="F8" s="359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0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196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163</v>
      </c>
    </row>
    <row r="11" spans="1:27" ht="19.5" customHeight="1" x14ac:dyDescent="0.35">
      <c r="A11" s="122">
        <v>1</v>
      </c>
      <c r="B11" s="46" t="s">
        <v>159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KOMISARIS'!$R$9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160</v>
      </c>
    </row>
    <row r="12" spans="1:27" ht="20.149999999999999" customHeight="1" x14ac:dyDescent="0.35">
      <c r="A12" s="126">
        <v>2</v>
      </c>
      <c r="B12" s="46" t="s">
        <v>39</v>
      </c>
      <c r="C12" s="36" t="s">
        <v>220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KOMISARIS'!$R$10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75">
        <v>3</v>
      </c>
      <c r="B13" s="269" t="s">
        <v>191</v>
      </c>
      <c r="C13" s="276" t="s">
        <v>44</v>
      </c>
      <c r="D13" s="277"/>
      <c r="E13" s="278"/>
      <c r="F13" s="279"/>
      <c r="G13" s="268"/>
      <c r="H13" s="268"/>
      <c r="I13" s="268"/>
      <c r="J13" s="180">
        <f>'NET KOMISARIS'!R11</f>
        <v>9450000</v>
      </c>
      <c r="K13" s="280"/>
      <c r="L13" s="280"/>
      <c r="M13" s="280"/>
      <c r="N13" s="279"/>
      <c r="O13" s="270"/>
      <c r="P13" s="280"/>
      <c r="Q13" s="279"/>
      <c r="R13" s="279"/>
      <c r="S13" s="270"/>
      <c r="T13" s="270"/>
      <c r="U13" s="270"/>
      <c r="V13" s="270"/>
      <c r="W13" s="270"/>
      <c r="X13" s="270" t="s">
        <v>194</v>
      </c>
    </row>
    <row r="14" spans="1:27" ht="15" customHeight="1" x14ac:dyDescent="0.35">
      <c r="A14" s="53"/>
      <c r="B14" s="54"/>
      <c r="C14" s="54"/>
      <c r="D14" s="55"/>
      <c r="E14" s="56"/>
      <c r="F14" s="361">
        <f>SUM(F9:F12)</f>
        <v>18000000</v>
      </c>
      <c r="G14" s="361">
        <f>SUM(G9:G12)</f>
        <v>0</v>
      </c>
      <c r="H14" s="361">
        <f>SUM(H9:H12)</f>
        <v>1000000</v>
      </c>
      <c r="I14" s="361">
        <f>SUM(I9:I12)</f>
        <v>0</v>
      </c>
      <c r="J14" s="363">
        <f>SUM(J11:J13)</f>
        <v>67770000</v>
      </c>
      <c r="K14" s="361">
        <f t="shared" ref="K14:W14" si="0">SUM(K9:K12)</f>
        <v>0</v>
      </c>
      <c r="L14" s="361">
        <f t="shared" si="0"/>
        <v>0</v>
      </c>
      <c r="M14" s="361">
        <f t="shared" si="0"/>
        <v>0</v>
      </c>
      <c r="N14" s="361">
        <f t="shared" si="0"/>
        <v>29160000</v>
      </c>
      <c r="O14" s="361">
        <f t="shared" si="0"/>
        <v>500000</v>
      </c>
      <c r="P14" s="361">
        <f t="shared" si="0"/>
        <v>0</v>
      </c>
      <c r="Q14" s="361">
        <f t="shared" si="0"/>
        <v>500000</v>
      </c>
      <c r="R14" s="361">
        <f t="shared" si="0"/>
        <v>28660000</v>
      </c>
      <c r="S14" s="361">
        <f t="shared" si="0"/>
        <v>1433000</v>
      </c>
      <c r="T14" s="361">
        <f t="shared" si="0"/>
        <v>0</v>
      </c>
      <c r="U14" s="361">
        <f t="shared" si="0"/>
        <v>0</v>
      </c>
      <c r="V14" s="361">
        <f t="shared" si="0"/>
        <v>0</v>
      </c>
      <c r="W14" s="361">
        <f t="shared" si="0"/>
        <v>1433000</v>
      </c>
      <c r="X14" s="361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62"/>
      <c r="G15" s="362"/>
      <c r="H15" s="362"/>
      <c r="I15" s="362"/>
      <c r="J15" s="364"/>
      <c r="K15" s="362"/>
      <c r="L15" s="362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62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231</v>
      </c>
      <c r="Y17" s="152" t="s">
        <v>43</v>
      </c>
    </row>
    <row r="18" spans="1:25" ht="14.5" x14ac:dyDescent="0.35">
      <c r="A18" s="6"/>
      <c r="B18" s="162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62" t="s">
        <v>184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62" t="s">
        <v>167</v>
      </c>
    </row>
    <row r="28" spans="1:25" x14ac:dyDescent="0.25">
      <c r="X28" s="152" t="s">
        <v>43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2022-03-02T04:12:39Z</cp:lastPrinted>
  <dcterms:created xsi:type="dcterms:W3CDTF">1999-12-02T03:49:52Z</dcterms:created>
  <dcterms:modified xsi:type="dcterms:W3CDTF">2022-03-02T06:58:31Z</dcterms:modified>
</cp:coreProperties>
</file>